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<sst xmlns="http://schemas.openxmlformats.org/spreadsheetml/2006/main" count="131566" uniqueCount="15751">
  <si>
    <t>Hyperlinked Case #</t>
  </si>
  <si>
    <t>Primary Advocate</t>
  </si>
  <si>
    <t>Assigned Branch/CC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</si>
  <si>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</si>
  <si>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</si>
  <si>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</si>
  <si>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</si>
  <si>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</si>
  <si>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</si>
  <si>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</si>
  <si>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</si>
  <si>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Close Reason</t>
  </si>
  <si>
    <t>Secondary Funding Codes</t>
  </si>
  <si>
    <t>Legal Problem Code</t>
  </si>
  <si>
    <t>Date of Birth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</si>
  <si>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</si>
  <si>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</si>
  <si>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</si>
  <si>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</si>
  <si>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</si>
  <si>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 xml:space="preserve">Total Annual Income </t>
  </si>
  <si>
    <t>Housing Funding Note</t>
  </si>
  <si>
    <t>Total Time For Case</t>
  </si>
  <si>
    <t>Service Date</t>
  </si>
  <si>
    <t>Caseworker Name</t>
  </si>
  <si>
    <t>HRA Release Tester</t>
  </si>
  <si>
    <t>HRA Release?</t>
  </si>
  <si>
    <t>HAL Eligibility Date</t>
  </si>
  <si>
    <t>Housing Type Tester</t>
  </si>
  <si>
    <t>Housing Type Of Case</t>
  </si>
  <si>
    <t>Housing Level Tester</t>
  </si>
  <si>
    <t>Housing Level of Service</t>
  </si>
  <si>
    <t>Building Case Tester</t>
  </si>
  <si>
    <t>Housing Building Case?</t>
  </si>
  <si>
    <t>Referral Tester</t>
  </si>
  <si>
    <t>Referral Source</t>
  </si>
  <si>
    <t>Primary Funding Code</t>
  </si>
  <si>
    <t>Rent Tester</t>
  </si>
  <si>
    <t>Housing Total Monthly Rent</t>
  </si>
  <si>
    <t>Unit Tester</t>
  </si>
  <si>
    <t>Housing Number Of Units In Building</t>
  </si>
  <si>
    <t>Regulation Tester</t>
  </si>
  <si>
    <t>Housing Form Of Regulation</t>
  </si>
  <si>
    <t>Subsidy Tester</t>
  </si>
  <si>
    <t>Housing Subsidy Type</t>
  </si>
  <si>
    <t>Years in Apartment Tester</t>
  </si>
  <si>
    <t>Housing Years Living In Apartment</t>
  </si>
  <si>
    <t>Language Tester</t>
  </si>
  <si>
    <t>Language</t>
  </si>
  <si>
    <t>Posture Tester</t>
  </si>
  <si>
    <t>Housing Posture of Case on Eligibility Date</t>
  </si>
  <si>
    <t>Income Verification Tester</t>
  </si>
  <si>
    <t>Housing Income Verification</t>
  </si>
  <si>
    <t>PA # Tester</t>
  </si>
  <si>
    <t>Gen Pub Assist Case Number</t>
  </si>
  <si>
    <t>SS # Tester</t>
  </si>
  <si>
    <t>Social Security #</t>
  </si>
  <si>
    <t>Case Number Tester</t>
  </si>
  <si>
    <t>Gen Case Index Number</t>
  </si>
  <si>
    <t>Housing Activity Tester</t>
  </si>
  <si>
    <t>Housing Activity Indicators</t>
  </si>
  <si>
    <t>Housing Services Tester</t>
  </si>
  <si>
    <t>Housing Services Rendered to Client</t>
  </si>
  <si>
    <t>Outcome Tester</t>
  </si>
  <si>
    <t>Case Disposition</t>
  </si>
  <si>
    <t>Housing Outcome</t>
  </si>
  <si>
    <t>Housing Outcome Date</t>
  </si>
  <si>
    <t>Abbas, Sayeda</t>
  </si>
  <si>
    <t>Allen, Sharette</t>
  </si>
  <si>
    <t>Almanzar, Milagros</t>
  </si>
  <si>
    <t>Almanzar, Yocari</t>
  </si>
  <si>
    <t>Alvarez, Adriana</t>
  </si>
  <si>
    <t>Anunkor, Ifeoma</t>
  </si>
  <si>
    <t>Ascher, Ann</t>
  </si>
  <si>
    <t>Bailey, Michael</t>
  </si>
  <si>
    <t>Barkley, Daniel</t>
  </si>
  <si>
    <t>Barreda, Catherine</t>
  </si>
  <si>
    <t>Barrett, Samantha</t>
  </si>
  <si>
    <t>Basu, Shantonu</t>
  </si>
  <si>
    <t>Batten, Michael</t>
  </si>
  <si>
    <t>Bauer, Kai</t>
  </si>
  <si>
    <t>Belhomme, Wilesca</t>
  </si>
  <si>
    <t>Betances, Gabriella</t>
  </si>
  <si>
    <t>Black, Rosalind</t>
  </si>
  <si>
    <t>Braudy, Erica</t>
  </si>
  <si>
    <t>Breakstone, Chelsea</t>
  </si>
  <si>
    <t>Briggs, John</t>
  </si>
  <si>
    <t>Bromberg, Iris</t>
  </si>
  <si>
    <t>Brutus, Jean-Pierre</t>
  </si>
  <si>
    <t>Burns, Erin</t>
  </si>
  <si>
    <t>Cappellini, Bianca</t>
  </si>
  <si>
    <t>Carter, Corinthia</t>
  </si>
  <si>
    <t>Carwin, Mikailla</t>
  </si>
  <si>
    <t>Castillo, Angel</t>
  </si>
  <si>
    <t>Castro, Cristina</t>
  </si>
  <si>
    <t>Castronovo, Julian</t>
  </si>
  <si>
    <t>Catuira, Rochelle</t>
  </si>
  <si>
    <t>Cepeda, Jeanette</t>
  </si>
  <si>
    <t>Chen, Eugene</t>
  </si>
  <si>
    <t>Chew, Thomas</t>
  </si>
  <si>
    <t>Christian, Fitzroy</t>
  </si>
  <si>
    <t>Cisneros, Marisol</t>
  </si>
  <si>
    <t>Clifford, Mun</t>
  </si>
  <si>
    <t>Corsaro, Veronica</t>
  </si>
  <si>
    <t>Costa, Stephanie</t>
  </si>
  <si>
    <t>Cowen, Lindsay</t>
  </si>
  <si>
    <t>Crisona, Kathryn</t>
  </si>
  <si>
    <t>De Silva, Natasia</t>
  </si>
  <si>
    <t>DeLong, Sarah</t>
  </si>
  <si>
    <t>DeVolld, Angela</t>
  </si>
  <si>
    <t>Delgadillo, Omar</t>
  </si>
  <si>
    <t>Diaz, Lino</t>
  </si>
  <si>
    <t>Dolin, Brett</t>
  </si>
  <si>
    <t>Drumm, Kristen</t>
  </si>
  <si>
    <t>Elmore, Josh</t>
  </si>
  <si>
    <t>Evers, Erin</t>
  </si>
  <si>
    <t>Falco, Fara</t>
  </si>
  <si>
    <t>Farrell, Emily</t>
  </si>
  <si>
    <t>Feliz, Oswald</t>
  </si>
  <si>
    <t>Figaro, Nakesha</t>
  </si>
  <si>
    <t>Fischman, Jean</t>
  </si>
  <si>
    <t>Flores, Irene</t>
  </si>
  <si>
    <t>Freeman, Daniel</t>
  </si>
  <si>
    <t>Frizell, Catherine</t>
  </si>
  <si>
    <t>Fuentes, Maria</t>
  </si>
  <si>
    <t>Fukuda, Noriko</t>
  </si>
  <si>
    <t>Fuller-Bennett, Reuben</t>
  </si>
  <si>
    <t>Garcia, Keiannis</t>
  </si>
  <si>
    <t>Gardner III, George</t>
  </si>
  <si>
    <t>Gathing, Vance</t>
  </si>
  <si>
    <t>Geha, Nada</t>
  </si>
  <si>
    <t>Ginsberg, Irene</t>
  </si>
  <si>
    <t>Golden, Tashanna</t>
  </si>
  <si>
    <t>Goncharov-Cruickshnk, Natalie</t>
  </si>
  <si>
    <t>Gonzalez, Atenedoro</t>
  </si>
  <si>
    <t>Gonzalez, Matias</t>
  </si>
  <si>
    <t>Gonzalez-Munoz, Rossana</t>
  </si>
  <si>
    <t>Goyzueta, Anna</t>
  </si>
  <si>
    <t>Guadalupe, Marilyn</t>
  </si>
  <si>
    <t>Guzman, Michael</t>
  </si>
  <si>
    <t>Hammond, Robert</t>
  </si>
  <si>
    <t>Hao, Lindsay</t>
  </si>
  <si>
    <t>Hardy, Le`Shera</t>
  </si>
  <si>
    <t>He, Ricky</t>
  </si>
  <si>
    <t>Hecht-Felella, Laura</t>
  </si>
  <si>
    <t>Heller, Steven</t>
  </si>
  <si>
    <t>Henriquez, Luis</t>
  </si>
  <si>
    <t>Hernandez, Karen</t>
  </si>
  <si>
    <t>Herrmann, Neil</t>
  </si>
  <si>
    <t>Honan, Thomas</t>
  </si>
  <si>
    <t>Hong, Connie</t>
  </si>
  <si>
    <t>Hoque, Shatti</t>
  </si>
  <si>
    <t>Ijaz, Kulsoom</t>
  </si>
  <si>
    <t>Jacobs, Alex</t>
  </si>
  <si>
    <t>James, Lelia</t>
  </si>
  <si>
    <t>James, Natalie</t>
  </si>
  <si>
    <t>Johnson, Emelia</t>
  </si>
  <si>
    <t>Joly, Coco</t>
  </si>
  <si>
    <t>Katnani, Samar</t>
  </si>
  <si>
    <t>Kelly, Dawn</t>
  </si>
  <si>
    <t>Kelly, Kitanya</t>
  </si>
  <si>
    <t>Kramer, Kramer</t>
  </si>
  <si>
    <t>Krishnaswamy, Pavita</t>
  </si>
  <si>
    <t>Labossiere, Samantha</t>
  </si>
  <si>
    <t>Lam, Kevin</t>
  </si>
  <si>
    <t>Landry-Reyes, Jane</t>
  </si>
  <si>
    <t>Latterner, Matt</t>
  </si>
  <si>
    <t>Laureano, Luz</t>
  </si>
  <si>
    <t>Lee, Jooyeon</t>
  </si>
  <si>
    <t>Lee, Thomas</t>
  </si>
  <si>
    <t>Lohr-Schmidt, Ilana</t>
  </si>
  <si>
    <t>Lowery, Liam</t>
  </si>
  <si>
    <t>Loxley, Oliver</t>
  </si>
  <si>
    <t>Ma, Chiansan</t>
  </si>
  <si>
    <t>MacRae, John</t>
  </si>
  <si>
    <t>Maltezos, Alexander</t>
  </si>
  <si>
    <t>Marchena, Ivan</t>
  </si>
  <si>
    <t>Massey, Randi</t>
  </si>
  <si>
    <t>McCormick, James</t>
  </si>
  <si>
    <t>McCowen, Tamella</t>
  </si>
  <si>
    <t>McCune, Mary</t>
  </si>
  <si>
    <t>McDonald, John</t>
  </si>
  <si>
    <t>McHugh Mills, Maura</t>
  </si>
  <si>
    <t>Mercedes, Jannelys</t>
  </si>
  <si>
    <t>Miller, Thomas</t>
  </si>
  <si>
    <t>Molnar, Shandanette</t>
  </si>
  <si>
    <t>Montoute, John</t>
  </si>
  <si>
    <t>Mottley, Darlene</t>
  </si>
  <si>
    <t>Mui, Ernie</t>
  </si>
  <si>
    <t>Mulles, Carlos</t>
  </si>
  <si>
    <t>Nilsson, Erik</t>
  </si>
  <si>
    <t>Nimis, Roland</t>
  </si>
  <si>
    <t>Norton, Carolyn</t>
  </si>
  <si>
    <t>Ocana, Johanna</t>
  </si>
  <si>
    <t>Odoemene, Udoka</t>
  </si>
  <si>
    <t>Ortiz, Andrew</t>
  </si>
  <si>
    <t>Pangonis, Dustin</t>
  </si>
  <si>
    <t>Patel, Mona</t>
  </si>
  <si>
    <t>Patel, Roopal</t>
  </si>
  <si>
    <t>Pepe, Lailah</t>
  </si>
  <si>
    <t>Pettit, Stephanie</t>
  </si>
  <si>
    <t>Porcelli, Ronald</t>
  </si>
  <si>
    <t>Pozo, Caridad</t>
  </si>
  <si>
    <t>Puleo Jr, Michael</t>
  </si>
  <si>
    <t>Rave, Helen</t>
  </si>
  <si>
    <t>Reardon, Elizabeth</t>
  </si>
  <si>
    <t>Reed, Jessica</t>
  </si>
  <si>
    <t>Restrepo-Serrano, Francois</t>
  </si>
  <si>
    <t>Rhee, Bohee</t>
  </si>
  <si>
    <t>Roman, Melissa</t>
  </si>
  <si>
    <t>Rookwood, Shardae</t>
  </si>
  <si>
    <t>Rosen, David</t>
  </si>
  <si>
    <t>Ross, Jasmine</t>
  </si>
  <si>
    <t>Rubin, Jenn</t>
  </si>
  <si>
    <t>Salas, Emma</t>
  </si>
  <si>
    <t>Sanderman, Robert</t>
  </si>
  <si>
    <t>Santana, Bridgette</t>
  </si>
  <si>
    <t>Santos, Marisol</t>
  </si>
  <si>
    <t>Saywack, Priam</t>
  </si>
  <si>
    <t>Schafler, Eliza</t>
  </si>
  <si>
    <t>Schiff, Logan</t>
  </si>
  <si>
    <t>Shah, Ami</t>
  </si>
  <si>
    <t>Sharma, Sagar</t>
  </si>
  <si>
    <t>Smith, Sara</t>
  </si>
  <si>
    <t>Spencer, Eleanor</t>
  </si>
  <si>
    <t>St. Louis, Bianca</t>
  </si>
  <si>
    <t>Stevens, Jean</t>
  </si>
  <si>
    <t>Succop, Steven</t>
  </si>
  <si>
    <t>Sun, Dao</t>
  </si>
  <si>
    <t>Surette, Gibb</t>
  </si>
  <si>
    <t>Tadepalli, Ashwin</t>
  </si>
  <si>
    <t>Tan, Andrea</t>
  </si>
  <si>
    <t>Taylor, Mark</t>
  </si>
  <si>
    <t>Treadwell, Nathan</t>
  </si>
  <si>
    <t>Twersky, Jonathan</t>
  </si>
  <si>
    <t>Ukegbu, Ezi</t>
  </si>
  <si>
    <t>Vale, Yvonne</t>
  </si>
  <si>
    <t>Vaz, Marie</t>
  </si>
  <si>
    <t>Vega, Rita</t>
  </si>
  <si>
    <t>Vujica, Visnja</t>
  </si>
  <si>
    <t>Watson, Michael</t>
  </si>
  <si>
    <t>Wilkes, Nicole</t>
  </si>
  <si>
    <t>Wong, Humbert</t>
  </si>
  <si>
    <t>Xie, Vivian</t>
  </si>
  <si>
    <t>Yamasaki, Emily Woo</t>
  </si>
  <si>
    <t>MLS</t>
  </si>
  <si>
    <t>BxLS</t>
  </si>
  <si>
    <t>QLS</t>
  </si>
  <si>
    <t>BkLS</t>
  </si>
  <si>
    <t>SILS</t>
  </si>
  <si>
    <t>06/06/2016</t>
  </si>
  <si>
    <t>06/08/2017</t>
  </si>
  <si>
    <t>08/07/2017</t>
  </si>
  <si>
    <t>03/13/2018</t>
  </si>
  <si>
    <t>04/13/2017</t>
  </si>
  <si>
    <t>02/17/2016</t>
  </si>
  <si>
    <t>04/26/2017</t>
  </si>
  <si>
    <t>01/18/2017</t>
  </si>
  <si>
    <t>07/15/2016</t>
  </si>
  <si>
    <t>11/30/2018</t>
  </si>
  <si>
    <t>07/02/2019</t>
  </si>
  <si>
    <t>05/11/2018</t>
  </si>
  <si>
    <t>11/20/2019</t>
  </si>
  <si>
    <t>09/24/2019</t>
  </si>
  <si>
    <t>11/21/2019</t>
  </si>
  <si>
    <t>10/17/2019</t>
  </si>
  <si>
    <t>11/13/2019</t>
  </si>
  <si>
    <t>06/27/2019</t>
  </si>
  <si>
    <t>05/29/2019</t>
  </si>
  <si>
    <t>09/12/2019</t>
  </si>
  <si>
    <t>09/11/2019</t>
  </si>
  <si>
    <t>10/16/2019</t>
  </si>
  <si>
    <t>11/06/2019</t>
  </si>
  <si>
    <t>10/31/2019</t>
  </si>
  <si>
    <t>04/15/2019</t>
  </si>
  <si>
    <t>05/22/2019</t>
  </si>
  <si>
    <t>06/19/2019</t>
  </si>
  <si>
    <t>01/06/2017</t>
  </si>
  <si>
    <t>12/13/2016</t>
  </si>
  <si>
    <t>09/19/2018</t>
  </si>
  <si>
    <t>06/06/2019</t>
  </si>
  <si>
    <t>12/19/2016</t>
  </si>
  <si>
    <t>09/29/2017</t>
  </si>
  <si>
    <t>08/01/2016</t>
  </si>
  <si>
    <t>09/11/2018</t>
  </si>
  <si>
    <t>03/22/2018</t>
  </si>
  <si>
    <t>03/09/2016</t>
  </si>
  <si>
    <t>05/31/2019</t>
  </si>
  <si>
    <t>02/14/2017</t>
  </si>
  <si>
    <t>03/06/2018</t>
  </si>
  <si>
    <t>01/09/2019</t>
  </si>
  <si>
    <t>08/29/2018</t>
  </si>
  <si>
    <t>01/16/2018</t>
  </si>
  <si>
    <t>11/04/2019</t>
  </si>
  <si>
    <t>11/14/2017</t>
  </si>
  <si>
    <t>04/04/2019</t>
  </si>
  <si>
    <t>03/13/2019</t>
  </si>
  <si>
    <t>11/18/2019</t>
  </si>
  <si>
    <t>06/13/2018</t>
  </si>
  <si>
    <t>03/29/2019</t>
  </si>
  <si>
    <t>12/27/2018</t>
  </si>
  <si>
    <t>11/12/2019</t>
  </si>
  <si>
    <t>08/30/2019</t>
  </si>
  <si>
    <t>09/11/2017</t>
  </si>
  <si>
    <t>08/23/2019</t>
  </si>
  <si>
    <t>10/25/2019</t>
  </si>
  <si>
    <t>10/03/2019</t>
  </si>
  <si>
    <t>06/18/2019</t>
  </si>
  <si>
    <t>03/19/2018</t>
  </si>
  <si>
    <t>11/23/2019</t>
  </si>
  <si>
    <t>06/26/2019</t>
  </si>
  <si>
    <t>07/01/2019</t>
  </si>
  <si>
    <t>11/15/2019</t>
  </si>
  <si>
    <t>05/28/2019</t>
  </si>
  <si>
    <t>05/16/2019</t>
  </si>
  <si>
    <t>05/21/2019</t>
  </si>
  <si>
    <t>10/24/2019</t>
  </si>
  <si>
    <t>09/21/2019</t>
  </si>
  <si>
    <t>01/29/2019</t>
  </si>
  <si>
    <t>03/06/2019</t>
  </si>
  <si>
    <t>03/27/2019</t>
  </si>
  <si>
    <t>01/25/2019</t>
  </si>
  <si>
    <t>06/20/2019</t>
  </si>
  <si>
    <t>10/17/2018</t>
  </si>
  <si>
    <t>11/05/2018</t>
  </si>
  <si>
    <t>01/19/2018</t>
  </si>
  <si>
    <t>09/14/2017</t>
  </si>
  <si>
    <t>09/27/2019</t>
  </si>
  <si>
    <t>07/16/2019</t>
  </si>
  <si>
    <t>01/14/2019</t>
  </si>
  <si>
    <t>02/17/2019</t>
  </si>
  <si>
    <t>02/16/2019</t>
  </si>
  <si>
    <t>07/17/2019</t>
  </si>
  <si>
    <t>11/08/2019</t>
  </si>
  <si>
    <t>03/15/2019</t>
  </si>
  <si>
    <t>09/19/2019</t>
  </si>
  <si>
    <t>10/28/2019</t>
  </si>
  <si>
    <t>07/25/2019</t>
  </si>
  <si>
    <t>10/13/2017</t>
  </si>
  <si>
    <t>02/01/2019</t>
  </si>
  <si>
    <t>04/26/2018</t>
  </si>
  <si>
    <t>10/15/2019</t>
  </si>
  <si>
    <t>02/27/2019</t>
  </si>
  <si>
    <t>05/30/2019</t>
  </si>
  <si>
    <t>03/12/2019</t>
  </si>
  <si>
    <t>10/11/2019</t>
  </si>
  <si>
    <t>07/10/2017</t>
  </si>
  <si>
    <t>05/03/2019</t>
  </si>
  <si>
    <t>08/01/2017</t>
  </si>
  <si>
    <t>07/29/2019</t>
  </si>
  <si>
    <t>04/06/2018</t>
  </si>
  <si>
    <t>07/27/2017</t>
  </si>
  <si>
    <t>03/12/2018</t>
  </si>
  <si>
    <t>09/12/2017</t>
  </si>
  <si>
    <t>01/08/2019</t>
  </si>
  <si>
    <t>10/23/2017</t>
  </si>
  <si>
    <t>07/20/2017</t>
  </si>
  <si>
    <t>05/30/2017</t>
  </si>
  <si>
    <t>07/21/2017</t>
  </si>
  <si>
    <t>01/23/2018</t>
  </si>
  <si>
    <t>01/02/2018</t>
  </si>
  <si>
    <t>06/06/2017</t>
  </si>
  <si>
    <t>08/15/2019</t>
  </si>
  <si>
    <t>05/16/2017</t>
  </si>
  <si>
    <t>05/22/2018</t>
  </si>
  <si>
    <t>10/16/2018</t>
  </si>
  <si>
    <t>07/24/2018</t>
  </si>
  <si>
    <t>02/13/2019</t>
  </si>
  <si>
    <t>03/21/2018</t>
  </si>
  <si>
    <t>10/31/2017</t>
  </si>
  <si>
    <t>04/01/2019</t>
  </si>
  <si>
    <t>08/16/2018</t>
  </si>
  <si>
    <t>10/31/2018</t>
  </si>
  <si>
    <t>07/12/2019</t>
  </si>
  <si>
    <t>12/01/2017</t>
  </si>
  <si>
    <t>09/10/2019</t>
  </si>
  <si>
    <t>06/13/2017</t>
  </si>
  <si>
    <t>08/16/2019</t>
  </si>
  <si>
    <t>01/31/2017</t>
  </si>
  <si>
    <t>01/22/2019</t>
  </si>
  <si>
    <t>07/11/2019</t>
  </si>
  <si>
    <t>04/04/2018</t>
  </si>
  <si>
    <t>05/15/2019</t>
  </si>
  <si>
    <t>01/22/2018</t>
  </si>
  <si>
    <t>10/01/2019</t>
  </si>
  <si>
    <t>03/21/2017</t>
  </si>
  <si>
    <t>01/25/2018</t>
  </si>
  <si>
    <t>05/08/2018</t>
  </si>
  <si>
    <t>03/20/2018</t>
  </si>
  <si>
    <t>04/22/2019</t>
  </si>
  <si>
    <t>04/18/2017</t>
  </si>
  <si>
    <t>11/06/2017</t>
  </si>
  <si>
    <t>05/30/2018</t>
  </si>
  <si>
    <t>07/12/2017</t>
  </si>
  <si>
    <t>07/26/2019</t>
  </si>
  <si>
    <t>02/20/2019</t>
  </si>
  <si>
    <t>11/28/2017</t>
  </si>
  <si>
    <t>12/20/2017</t>
  </si>
  <si>
    <t>06/24/2016</t>
  </si>
  <si>
    <t>10/28/2016</t>
  </si>
  <si>
    <t>11/13/2018</t>
  </si>
  <si>
    <t>11/02/2017</t>
  </si>
  <si>
    <t>08/09/2018</t>
  </si>
  <si>
    <t>03/04/2019</t>
  </si>
  <si>
    <t>09/17/2018</t>
  </si>
  <si>
    <t>12/19/2018</t>
  </si>
  <si>
    <t>07/03/2019</t>
  </si>
  <si>
    <t>05/31/2017</t>
  </si>
  <si>
    <t>04/05/2017</t>
  </si>
  <si>
    <t>06/21/2018</t>
  </si>
  <si>
    <t>09/01/2017</t>
  </si>
  <si>
    <t>08/15/2017</t>
  </si>
  <si>
    <t>04/09/2019</t>
  </si>
  <si>
    <t>01/03/2018</t>
  </si>
  <si>
    <t>03/09/2018</t>
  </si>
  <si>
    <t>10/20/2017</t>
  </si>
  <si>
    <t>01/20/2017</t>
  </si>
  <si>
    <t>05/15/2018</t>
  </si>
  <si>
    <t>09/28/2017</t>
  </si>
  <si>
    <t>03/08/2018</t>
  </si>
  <si>
    <t>09/05/2019</t>
  </si>
  <si>
    <t>09/03/2019</t>
  </si>
  <si>
    <t>09/04/2019</t>
  </si>
  <si>
    <t>07/08/2019</t>
  </si>
  <si>
    <t>02/07/2019</t>
  </si>
  <si>
    <t>02/26/2019</t>
  </si>
  <si>
    <t>11/25/2019</t>
  </si>
  <si>
    <t>04/10/2019</t>
  </si>
  <si>
    <t>03/28/2019</t>
  </si>
  <si>
    <t>08/05/2019</t>
  </si>
  <si>
    <t>06/07/2019</t>
  </si>
  <si>
    <t>05/13/2019</t>
  </si>
  <si>
    <t>11/08/2018</t>
  </si>
  <si>
    <t>08/14/2019</t>
  </si>
  <si>
    <t>09/16/2019</t>
  </si>
  <si>
    <t>03/25/2019</t>
  </si>
  <si>
    <t>11/26/2019</t>
  </si>
  <si>
    <t>08/22/2019</t>
  </si>
  <si>
    <t>04/05/2019</t>
  </si>
  <si>
    <t>01/14/2016</t>
  </si>
  <si>
    <t>02/24/2017</t>
  </si>
  <si>
    <t>10/21/2019</t>
  </si>
  <si>
    <t>02/11/2019</t>
  </si>
  <si>
    <t>09/23/2019</t>
  </si>
  <si>
    <t>04/17/2019</t>
  </si>
  <si>
    <t>04/08/2019</t>
  </si>
  <si>
    <t>12/04/2018</t>
  </si>
  <si>
    <t>06/13/2019</t>
  </si>
  <si>
    <t>12/31/2014</t>
  </si>
  <si>
    <t>11/22/2019</t>
  </si>
  <si>
    <t>08/08/2019</t>
  </si>
  <si>
    <t>02/16/2018</t>
  </si>
  <si>
    <t>05/24/2018</t>
  </si>
  <si>
    <t>02/22/2018</t>
  </si>
  <si>
    <t>05/12/2016</t>
  </si>
  <si>
    <t>05/23/2017</t>
  </si>
  <si>
    <t>02/20/2018</t>
  </si>
  <si>
    <t>10/19/2016</t>
  </si>
  <si>
    <t>01/31/2018</t>
  </si>
  <si>
    <t>02/15/2017</t>
  </si>
  <si>
    <t>12/27/2016</t>
  </si>
  <si>
    <t>01/05/2017</t>
  </si>
  <si>
    <t>01/03/2017</t>
  </si>
  <si>
    <t>01/09/2017</t>
  </si>
  <si>
    <t>12/22/2016</t>
  </si>
  <si>
    <t>10/12/2018</t>
  </si>
  <si>
    <t>11/07/2018</t>
  </si>
  <si>
    <t>10/15/2018</t>
  </si>
  <si>
    <t>08/09/2016</t>
  </si>
  <si>
    <t>08/24/2018</t>
  </si>
  <si>
    <t>07/18/2019</t>
  </si>
  <si>
    <t>10/05/2016</t>
  </si>
  <si>
    <t>03/21/2019</t>
  </si>
  <si>
    <t>10/18/2018</t>
  </si>
  <si>
    <t>07/01/2016</t>
  </si>
  <si>
    <t>01/27/2019</t>
  </si>
  <si>
    <t>06/23/2017</t>
  </si>
  <si>
    <t>06/15/2017</t>
  </si>
  <si>
    <t>02/04/2019</t>
  </si>
  <si>
    <t>02/15/2019</t>
  </si>
  <si>
    <t>01/30/2019</t>
  </si>
  <si>
    <t>12/12/2016</t>
  </si>
  <si>
    <t>02/05/2019</t>
  </si>
  <si>
    <t>03/01/2019</t>
  </si>
  <si>
    <t>01/17/2019</t>
  </si>
  <si>
    <t>11/30/2017</t>
  </si>
  <si>
    <t>06/22/2017</t>
  </si>
  <si>
    <t>08/22/2018</t>
  </si>
  <si>
    <t>03/28/2018</t>
  </si>
  <si>
    <t>08/28/2017</t>
  </si>
  <si>
    <t>06/21/2017</t>
  </si>
  <si>
    <t>08/30/2018</t>
  </si>
  <si>
    <t>03/08/2016</t>
  </si>
  <si>
    <t>05/02/2018</t>
  </si>
  <si>
    <t>10/06/2016</t>
  </si>
  <si>
    <t>01/07/2019</t>
  </si>
  <si>
    <t>07/26/2017</t>
  </si>
  <si>
    <t>11/14/2019</t>
  </si>
  <si>
    <t>05/10/2016</t>
  </si>
  <si>
    <t>07/07/2016</t>
  </si>
  <si>
    <t>08/23/2017</t>
  </si>
  <si>
    <t>11/10/2016</t>
  </si>
  <si>
    <t>06/28/2016</t>
  </si>
  <si>
    <t>02/28/2019</t>
  </si>
  <si>
    <t>06/14/2017</t>
  </si>
  <si>
    <t>03/18/2019</t>
  </si>
  <si>
    <t>10/30/2018</t>
  </si>
  <si>
    <t>03/07/2016</t>
  </si>
  <si>
    <t>08/20/2018</t>
  </si>
  <si>
    <t>07/26/2016</t>
  </si>
  <si>
    <t>06/29/2016</t>
  </si>
  <si>
    <t>07/24/2019</t>
  </si>
  <si>
    <t>07/09/2019</t>
  </si>
  <si>
    <t>12/07/2016</t>
  </si>
  <si>
    <t>12/06/2016</t>
  </si>
  <si>
    <t>02/22/2019</t>
  </si>
  <si>
    <t>09/07/2018</t>
  </si>
  <si>
    <t>06/07/2017</t>
  </si>
  <si>
    <t>08/21/2018</t>
  </si>
  <si>
    <t>04/30/2019</t>
  </si>
  <si>
    <t>03/02/2016</t>
  </si>
  <si>
    <t>03/26/2019</t>
  </si>
  <si>
    <t>06/14/2018</t>
  </si>
  <si>
    <t>12/29/2017</t>
  </si>
  <si>
    <t>07/30/2019</t>
  </si>
  <si>
    <t>07/10/2019</t>
  </si>
  <si>
    <t>03/14/2016</t>
  </si>
  <si>
    <t>08/31/2018</t>
  </si>
  <si>
    <t>12/03/2019</t>
  </si>
  <si>
    <t>04/26/2019</t>
  </si>
  <si>
    <t>11/18/2016</t>
  </si>
  <si>
    <t>10/11/2018</t>
  </si>
  <si>
    <t>08/27/2018</t>
  </si>
  <si>
    <t>01/18/2018</t>
  </si>
  <si>
    <t>05/12/2017</t>
  </si>
  <si>
    <t>08/18/2017</t>
  </si>
  <si>
    <t>11/01/2019</t>
  </si>
  <si>
    <t>07/13/2015</t>
  </si>
  <si>
    <t>11/16/2016</t>
  </si>
  <si>
    <t>12/05/2019</t>
  </si>
  <si>
    <t>09/18/2017</t>
  </si>
  <si>
    <t>07/13/2018</t>
  </si>
  <si>
    <t>12/07/2018</t>
  </si>
  <si>
    <t>09/25/2018</t>
  </si>
  <si>
    <t>08/19/2019</t>
  </si>
  <si>
    <t>02/25/2019</t>
  </si>
  <si>
    <t>07/23/2019</t>
  </si>
  <si>
    <t>01/02/2019</t>
  </si>
  <si>
    <t>12/02/2019</t>
  </si>
  <si>
    <t>05/23/2019</t>
  </si>
  <si>
    <t>03/22/2019</t>
  </si>
  <si>
    <t>12/26/2018</t>
  </si>
  <si>
    <t>11/27/2018</t>
  </si>
  <si>
    <t>10/29/2018</t>
  </si>
  <si>
    <t>09/26/2019</t>
  </si>
  <si>
    <t>07/02/2018</t>
  </si>
  <si>
    <t>09/18/2018</t>
  </si>
  <si>
    <t>04/03/2019</t>
  </si>
  <si>
    <t>01/18/2019</t>
  </si>
  <si>
    <t>12/17/2018</t>
  </si>
  <si>
    <t>07/31/2019</t>
  </si>
  <si>
    <t>09/25/2019</t>
  </si>
  <si>
    <t>05/02/2019</t>
  </si>
  <si>
    <t>10/10/2019</t>
  </si>
  <si>
    <t>10/08/2019</t>
  </si>
  <si>
    <t>08/28/2019</t>
  </si>
  <si>
    <t>12/10/2018</t>
  </si>
  <si>
    <t>03/11/2019</t>
  </si>
  <si>
    <t>09/09/2019</t>
  </si>
  <si>
    <t>11/01/2018</t>
  </si>
  <si>
    <t>08/20/2019</t>
  </si>
  <si>
    <t>06/25/2019</t>
  </si>
  <si>
    <t>06/05/2018</t>
  </si>
  <si>
    <t>09/21/2018</t>
  </si>
  <si>
    <t>06/28/2017</t>
  </si>
  <si>
    <t>08/01/2019</t>
  </si>
  <si>
    <t>10/26/2018</t>
  </si>
  <si>
    <t>08/17/2018</t>
  </si>
  <si>
    <t>08/27/2019</t>
  </si>
  <si>
    <t>12/14/2018</t>
  </si>
  <si>
    <t>04/20/2017</t>
  </si>
  <si>
    <t>10/06/2017</t>
  </si>
  <si>
    <t>05/24/2019</t>
  </si>
  <si>
    <t>04/18/2019</t>
  </si>
  <si>
    <t>05/14/2019</t>
  </si>
  <si>
    <t>04/11/2019</t>
  </si>
  <si>
    <t>02/19/2019</t>
  </si>
  <si>
    <t>01/23/2019</t>
  </si>
  <si>
    <t>01/15/2019</t>
  </si>
  <si>
    <t>06/03/2019</t>
  </si>
  <si>
    <t>06/10/2019</t>
  </si>
  <si>
    <t>04/29/2019</t>
  </si>
  <si>
    <t>11/09/2018</t>
  </si>
  <si>
    <t>01/24/2019</t>
  </si>
  <si>
    <t>04/25/2019</t>
  </si>
  <si>
    <t>10/09/2018</t>
  </si>
  <si>
    <t>01/11/2019</t>
  </si>
  <si>
    <t>12/31/2018</t>
  </si>
  <si>
    <t>09/06/2019</t>
  </si>
  <si>
    <t>10/22/2019</t>
  </si>
  <si>
    <t>10/03/2018</t>
  </si>
  <si>
    <t>10/07/2019</t>
  </si>
  <si>
    <t>04/02/2019</t>
  </si>
  <si>
    <t>08/08/2017</t>
  </si>
  <si>
    <t>01/31/2019</t>
  </si>
  <si>
    <t>01/10/2019</t>
  </si>
  <si>
    <t>11/15/2018</t>
  </si>
  <si>
    <t>06/06/2018</t>
  </si>
  <si>
    <t>05/06/2019</t>
  </si>
  <si>
    <t>10/01/2018</t>
  </si>
  <si>
    <t>12/13/2018</t>
  </si>
  <si>
    <t>06/21/2019</t>
  </si>
  <si>
    <t>11/19/2018</t>
  </si>
  <si>
    <t>11/27/2017</t>
  </si>
  <si>
    <t>11/19/2019</t>
  </si>
  <si>
    <t>11/16/2017</t>
  </si>
  <si>
    <t>11/14/2018</t>
  </si>
  <si>
    <t>09/26/2018</t>
  </si>
  <si>
    <t>07/12/2018</t>
  </si>
  <si>
    <t>10/10/2018</t>
  </si>
  <si>
    <t>07/03/2018</t>
  </si>
  <si>
    <t>01/03/2019</t>
  </si>
  <si>
    <t>12/05/2016</t>
  </si>
  <si>
    <t>01/30/2017</t>
  </si>
  <si>
    <t>09/18/2019</t>
  </si>
  <si>
    <t>10/24/2018</t>
  </si>
  <si>
    <t>10/02/2019</t>
  </si>
  <si>
    <t>09/17/2019</t>
  </si>
  <si>
    <t>07/23/2018</t>
  </si>
  <si>
    <t>06/12/2019</t>
  </si>
  <si>
    <t>10/03/2017</t>
  </si>
  <si>
    <t>12/18/2018</t>
  </si>
  <si>
    <t>09/26/2016</t>
  </si>
  <si>
    <t>04/23/2019</t>
  </si>
  <si>
    <t>10/23/2019</t>
  </si>
  <si>
    <t>08/29/2019</t>
  </si>
  <si>
    <t>02/21/2019</t>
  </si>
  <si>
    <t>08/21/2019</t>
  </si>
  <si>
    <t>12/04/2019</t>
  </si>
  <si>
    <t>02/08/2018</t>
  </si>
  <si>
    <t>11/29/2016</t>
  </si>
  <si>
    <t>06/20/2018</t>
  </si>
  <si>
    <t>06/27/2018</t>
  </si>
  <si>
    <t>02/26/2018</t>
  </si>
  <si>
    <t>12/07/2017</t>
  </si>
  <si>
    <t>08/10/2016</t>
  </si>
  <si>
    <t>10/13/2016</t>
  </si>
  <si>
    <t>08/12/2016</t>
  </si>
  <si>
    <t>05/15/2017</t>
  </si>
  <si>
    <t>04/11/2016</t>
  </si>
  <si>
    <t>06/14/2019</t>
  </si>
  <si>
    <t>06/28/2019</t>
  </si>
  <si>
    <t>05/03/2017</t>
  </si>
  <si>
    <t>08/09/2019</t>
  </si>
  <si>
    <t>10/27/2017</t>
  </si>
  <si>
    <t>08/13/2019</t>
  </si>
  <si>
    <t>09/05/2018</t>
  </si>
  <si>
    <t>07/10/2018</t>
  </si>
  <si>
    <t>09/06/2018</t>
  </si>
  <si>
    <t>06/24/2019</t>
  </si>
  <si>
    <t>08/26/2019</t>
  </si>
  <si>
    <t>09/06/2017</t>
  </si>
  <si>
    <t>09/04/2018</t>
  </si>
  <si>
    <t>10/25/2018</t>
  </si>
  <si>
    <t>04/19/2019</t>
  </si>
  <si>
    <t>11/04/2018</t>
  </si>
  <si>
    <t>05/17/2019</t>
  </si>
  <si>
    <t>08/01/2018</t>
  </si>
  <si>
    <t>12/05/2018</t>
  </si>
  <si>
    <t>11/27/2019</t>
  </si>
  <si>
    <t>11/17/2018</t>
  </si>
  <si>
    <t>10/04/2019</t>
  </si>
  <si>
    <t>12/11/2018</t>
  </si>
  <si>
    <t>01/12/2018</t>
  </si>
  <si>
    <t>04/23/2018</t>
  </si>
  <si>
    <t>05/08/2019</t>
  </si>
  <si>
    <t>05/17/2018</t>
  </si>
  <si>
    <t>05/03/2018</t>
  </si>
  <si>
    <t>12/20/2018</t>
  </si>
  <si>
    <t>04/24/2018</t>
  </si>
  <si>
    <t>02/13/2018</t>
  </si>
  <si>
    <t>01/16/2019</t>
  </si>
  <si>
    <t>04/03/2017</t>
  </si>
  <si>
    <t>05/16/2018</t>
  </si>
  <si>
    <t>12/03/2018</t>
  </si>
  <si>
    <t>07/22/2019</t>
  </si>
  <si>
    <t>06/01/2018</t>
  </si>
  <si>
    <t>04/02/2018</t>
  </si>
  <si>
    <t>12/28/2017</t>
  </si>
  <si>
    <t>06/18/2015</t>
  </si>
  <si>
    <t>08/12/2015</t>
  </si>
  <si>
    <t>01/29/2018</t>
  </si>
  <si>
    <t>01/24/2018</t>
  </si>
  <si>
    <t>03/07/2019</t>
  </si>
  <si>
    <t>06/30/2017</t>
  </si>
  <si>
    <t>08/31/2016</t>
  </si>
  <si>
    <t>03/08/2019</t>
  </si>
  <si>
    <t>11/16/2015</t>
  </si>
  <si>
    <t>12/30/2016</t>
  </si>
  <si>
    <t>06/17/2015</t>
  </si>
  <si>
    <t>01/26/2018</t>
  </si>
  <si>
    <t>06/04/2019</t>
  </si>
  <si>
    <t>06/28/2018</t>
  </si>
  <si>
    <t>08/15/2016</t>
  </si>
  <si>
    <t>10/17/2017</t>
  </si>
  <si>
    <t>08/14/2015</t>
  </si>
  <si>
    <t>12/06/2018</t>
  </si>
  <si>
    <t>05/07/2016</t>
  </si>
  <si>
    <t>10/24/2017</t>
  </si>
  <si>
    <t>06/01/2016</t>
  </si>
  <si>
    <t>08/16/2016</t>
  </si>
  <si>
    <t>07/19/2017</t>
  </si>
  <si>
    <t>01/10/2018</t>
  </si>
  <si>
    <t>12/11/2017</t>
  </si>
  <si>
    <t>12/14/2016</t>
  </si>
  <si>
    <t>05/23/2016</t>
  </si>
  <si>
    <t>04/18/2018</t>
  </si>
  <si>
    <t>03/05/2018</t>
  </si>
  <si>
    <t>03/14/2018</t>
  </si>
  <si>
    <t>11/17/2016</t>
  </si>
  <si>
    <t>07/06/2018</t>
  </si>
  <si>
    <t>11/28/2018</t>
  </si>
  <si>
    <t>10/05/2018</t>
  </si>
  <si>
    <t>02/06/2018</t>
  </si>
  <si>
    <t>06/12/2018</t>
  </si>
  <si>
    <t>03/26/2018</t>
  </si>
  <si>
    <t>06/25/2018</t>
  </si>
  <si>
    <t>11/26/2018</t>
  </si>
  <si>
    <t>09/30/2019</t>
  </si>
  <si>
    <t>03/05/2019</t>
  </si>
  <si>
    <t>09/01/2018</t>
  </si>
  <si>
    <t>08/02/2019</t>
  </si>
  <si>
    <t>09/03/2018</t>
  </si>
  <si>
    <t>08/06/2019</t>
  </si>
  <si>
    <t>12/12/2017</t>
  </si>
  <si>
    <t>11/07/2019</t>
  </si>
  <si>
    <t>08/24/2016</t>
  </si>
  <si>
    <t>10/18/2019</t>
  </si>
  <si>
    <t>05/24/2016</t>
  </si>
  <si>
    <t>04/27/2016</t>
  </si>
  <si>
    <t>10/10/2016</t>
  </si>
  <si>
    <t>08/25/2016</t>
  </si>
  <si>
    <t>10/11/2016</t>
  </si>
  <si>
    <t>11/18/2017</t>
  </si>
  <si>
    <t>05/18/2016</t>
  </si>
  <si>
    <t>05/19/2016</t>
  </si>
  <si>
    <t>12/21/2016</t>
  </si>
  <si>
    <t>05/20/2016</t>
  </si>
  <si>
    <t>12/29/2014</t>
  </si>
  <si>
    <t>06/15/2016</t>
  </si>
  <si>
    <t>07/20/2018</t>
  </si>
  <si>
    <t>05/01/2015</t>
  </si>
  <si>
    <t>12/02/2015</t>
  </si>
  <si>
    <t>06/23/2015</t>
  </si>
  <si>
    <t>09/14/2018</t>
  </si>
  <si>
    <t>11/15/2017</t>
  </si>
  <si>
    <t>04/06/2016</t>
  </si>
  <si>
    <t>05/07/2018</t>
  </si>
  <si>
    <t>03/29/2018</t>
  </si>
  <si>
    <t>04/25/2018</t>
  </si>
  <si>
    <t>09/27/2018</t>
  </si>
  <si>
    <t>05/10/2018</t>
  </si>
  <si>
    <t>03/12/2017</t>
  </si>
  <si>
    <t>05/01/2017</t>
  </si>
  <si>
    <t>05/14/2018</t>
  </si>
  <si>
    <t>09/28/2018</t>
  </si>
  <si>
    <t>06/07/2018</t>
  </si>
  <si>
    <t>03/03/2017</t>
  </si>
  <si>
    <t>05/09/2018</t>
  </si>
  <si>
    <t>03/02/2017</t>
  </si>
  <si>
    <t>04/09/2018</t>
  </si>
  <si>
    <t>07/05/2018</t>
  </si>
  <si>
    <t>02/19/2017</t>
  </si>
  <si>
    <t>07/16/2018</t>
  </si>
  <si>
    <t>02/28/2017</t>
  </si>
  <si>
    <t>01/11/2018</t>
  </si>
  <si>
    <t>04/12/2019</t>
  </si>
  <si>
    <t>03/27/2017</t>
  </si>
  <si>
    <t>09/12/2018</t>
  </si>
  <si>
    <t>07/09/2018</t>
  </si>
  <si>
    <t>06/29/2018</t>
  </si>
  <si>
    <t>03/20/2017</t>
  </si>
  <si>
    <t>07/17/2018</t>
  </si>
  <si>
    <t>11/22/2017</t>
  </si>
  <si>
    <t>01/29/2016</t>
  </si>
  <si>
    <t>01/04/2019</t>
  </si>
  <si>
    <t>10/02/2017</t>
  </si>
  <si>
    <t>09/21/2015</t>
  </si>
  <si>
    <t>12/18/2017</t>
  </si>
  <si>
    <t>10/02/2018</t>
  </si>
  <si>
    <t>04/27/2018</t>
  </si>
  <si>
    <t>05/08/2016</t>
  </si>
  <si>
    <t>06/12/2015</t>
  </si>
  <si>
    <t>12/09/2016</t>
  </si>
  <si>
    <t>12/21/2018</t>
  </si>
  <si>
    <t>11/29/2018</t>
  </si>
  <si>
    <t>05/05/2017</t>
  </si>
  <si>
    <t>08/07/2019</t>
  </si>
  <si>
    <t>10/09/2019</t>
  </si>
  <si>
    <t>07/13/2017</t>
  </si>
  <si>
    <t>05/01/2019</t>
  </si>
  <si>
    <t>10/29/2019</t>
  </si>
  <si>
    <t>07/30/2018</t>
  </si>
  <si>
    <t>05/20/2017</t>
  </si>
  <si>
    <t>05/18/2017</t>
  </si>
  <si>
    <t>05/21/2017</t>
  </si>
  <si>
    <t>08/11/2017</t>
  </si>
  <si>
    <t>06/20/2017</t>
  </si>
  <si>
    <t>05/22/2017</t>
  </si>
  <si>
    <t>06/01/2017</t>
  </si>
  <si>
    <t>03/30/2017</t>
  </si>
  <si>
    <t>04/29/2016</t>
  </si>
  <si>
    <t>06/12/2017</t>
  </si>
  <si>
    <t>10/30/2017</t>
  </si>
  <si>
    <t>03/11/2016</t>
  </si>
  <si>
    <t>07/08/2016</t>
  </si>
  <si>
    <t>03/10/2016</t>
  </si>
  <si>
    <t>04/10/2018</t>
  </si>
  <si>
    <t>04/17/2018</t>
  </si>
  <si>
    <t>09/27/2017</t>
  </si>
  <si>
    <t>05/31/2018</t>
  </si>
  <si>
    <t>08/10/2017</t>
  </si>
  <si>
    <t>04/24/2019</t>
  </si>
  <si>
    <t>04/13/2018</t>
  </si>
  <si>
    <t>04/30/2018</t>
  </si>
  <si>
    <t>03/02/2018</t>
  </si>
  <si>
    <t>04/12/2018</t>
  </si>
  <si>
    <t>05/21/2018</t>
  </si>
  <si>
    <t>12/14/2017</t>
  </si>
  <si>
    <t>05/04/2018</t>
  </si>
  <si>
    <t>08/02/2017</t>
  </si>
  <si>
    <t>07/25/2017</t>
  </si>
  <si>
    <t>04/05/2018</t>
  </si>
  <si>
    <t>07/28/2017</t>
  </si>
  <si>
    <t>07/22/2015</t>
  </si>
  <si>
    <t>05/19/2017</t>
  </si>
  <si>
    <t>04/20/2018</t>
  </si>
  <si>
    <t>03/08/2017</t>
  </si>
  <si>
    <t>10/24/2016</t>
  </si>
  <si>
    <t>01/12/2017</t>
  </si>
  <si>
    <t>07/24/2017</t>
  </si>
  <si>
    <t>07/11/2016</t>
  </si>
  <si>
    <t>02/07/2018</t>
  </si>
  <si>
    <t>08/04/2017</t>
  </si>
  <si>
    <t>08/15/2018</t>
  </si>
  <si>
    <t>08/28/2018</t>
  </si>
  <si>
    <t>08/06/2018</t>
  </si>
  <si>
    <t>07/03/2017</t>
  </si>
  <si>
    <t>05/17/2017</t>
  </si>
  <si>
    <t>05/01/2018</t>
  </si>
  <si>
    <t>08/23/2018</t>
  </si>
  <si>
    <t>08/16/2017</t>
  </si>
  <si>
    <t>02/28/2018</t>
  </si>
  <si>
    <t>02/10/2017</t>
  </si>
  <si>
    <t>05/14/2017</t>
  </si>
  <si>
    <t>08/10/2015</t>
  </si>
  <si>
    <t>04/25/2017</t>
  </si>
  <si>
    <t>01/06/2016</t>
  </si>
  <si>
    <t>05/04/2017</t>
  </si>
  <si>
    <t>05/26/2017</t>
  </si>
  <si>
    <t>05/09/2017</t>
  </si>
  <si>
    <t>05/08/2017</t>
  </si>
  <si>
    <t>12/08/2015</t>
  </si>
  <si>
    <t>03/14/2019</t>
  </si>
  <si>
    <t>09/10/2018</t>
  </si>
  <si>
    <t>05/02/2016</t>
  </si>
  <si>
    <t>07/19/2019</t>
  </si>
  <si>
    <t>01/11/2016</t>
  </si>
  <si>
    <t>02/04/2016</t>
  </si>
  <si>
    <t>06/07/2016</t>
  </si>
  <si>
    <t>02/06/2017</t>
  </si>
  <si>
    <t>03/01/2018</t>
  </si>
  <si>
    <t>04/16/2019</t>
  </si>
  <si>
    <t>03/15/2018</t>
  </si>
  <si>
    <t>02/08/2019</t>
  </si>
  <si>
    <t>05/24/2017</t>
  </si>
  <si>
    <t>08/07/2018</t>
  </si>
  <si>
    <t>12/13/2017</t>
  </si>
  <si>
    <t>08/08/2018</t>
  </si>
  <si>
    <t>10/21/2016</t>
  </si>
  <si>
    <t>05/07/2019</t>
  </si>
  <si>
    <t>09/08/2017</t>
  </si>
  <si>
    <t>04/17/2017</t>
  </si>
  <si>
    <t>09/07/2017</t>
  </si>
  <si>
    <t>10/28/2017</t>
  </si>
  <si>
    <t>07/18/2017</t>
  </si>
  <si>
    <t>06/09/2015</t>
  </si>
  <si>
    <t>12/04/2015</t>
  </si>
  <si>
    <t>03/17/2017</t>
  </si>
  <si>
    <t>07/06/2017</t>
  </si>
  <si>
    <t>05/11/2017</t>
  </si>
  <si>
    <t>07/31/2018</t>
  </si>
  <si>
    <t>10/23/2018</t>
  </si>
  <si>
    <t>05/18/2018</t>
  </si>
  <si>
    <t>06/09/2017</t>
  </si>
  <si>
    <t>06/19/2018</t>
  </si>
  <si>
    <t>06/17/2019</t>
  </si>
  <si>
    <t>08/03/2018</t>
  </si>
  <si>
    <t>09/21/2017</t>
  </si>
  <si>
    <t>02/08/2016</t>
  </si>
  <si>
    <t>09/29/2018</t>
  </si>
  <si>
    <t>05/31/2016</t>
  </si>
  <si>
    <t>12/22/2017</t>
  </si>
  <si>
    <t>12/31/2015</t>
  </si>
  <si>
    <t>11/20/2015</t>
  </si>
  <si>
    <t>06/25/2015</t>
  </si>
  <si>
    <t>12/01/2015</t>
  </si>
  <si>
    <t>12/07/2015</t>
  </si>
  <si>
    <t>12/30/2015</t>
  </si>
  <si>
    <t>12/24/2015</t>
  </si>
  <si>
    <t>11/17/2015</t>
  </si>
  <si>
    <t>10/13/2015</t>
  </si>
  <si>
    <t>07/26/2018</t>
  </si>
  <si>
    <t>03/03/2016</t>
  </si>
  <si>
    <t>03/23/2017</t>
  </si>
  <si>
    <t>04/01/2013</t>
  </si>
  <si>
    <t>06/01/2015</t>
  </si>
  <si>
    <t>05/29/2015</t>
  </si>
  <si>
    <t>10/17/2016</t>
  </si>
  <si>
    <t>10/26/2016</t>
  </si>
  <si>
    <t>03/19/2019</t>
  </si>
  <si>
    <t>04/20/2016</t>
  </si>
  <si>
    <t>12/28/2018</t>
  </si>
  <si>
    <t>07/15/2019</t>
  </si>
  <si>
    <t>03/31/2017</t>
  </si>
  <si>
    <t>10/30/2019</t>
  </si>
  <si>
    <t>06/08/2015</t>
  </si>
  <si>
    <t>08/21/2017</t>
  </si>
  <si>
    <t>02/14/2019</t>
  </si>
  <si>
    <t>02/11/2018</t>
  </si>
  <si>
    <t>04/13/2016</t>
  </si>
  <si>
    <t>11/29/2017</t>
  </si>
  <si>
    <t>04/05/2016</t>
  </si>
  <si>
    <t>08/14/2017</t>
  </si>
  <si>
    <t>09/02/2016</t>
  </si>
  <si>
    <t>04/18/2016</t>
  </si>
  <si>
    <t>02/21/2018</t>
  </si>
  <si>
    <t>05/29/2018</t>
  </si>
  <si>
    <t>12/08/2016</t>
  </si>
  <si>
    <t>06/30/2018</t>
  </si>
  <si>
    <t>09/20/2017</t>
  </si>
  <si>
    <t>08/03/2016</t>
  </si>
  <si>
    <t>04/14/2016</t>
  </si>
  <si>
    <t>05/25/2018</t>
  </si>
  <si>
    <t>03/07/2018</t>
  </si>
  <si>
    <t>04/28/2016</t>
  </si>
  <si>
    <t>12/12/2018</t>
  </si>
  <si>
    <t>06/11/2018</t>
  </si>
  <si>
    <t>04/07/2016</t>
  </si>
  <si>
    <t>04/15/2016</t>
  </si>
  <si>
    <t>05/04/2016</t>
  </si>
  <si>
    <t>09/27/2016</t>
  </si>
  <si>
    <t>04/03/2018</t>
  </si>
  <si>
    <t>06/18/2018</t>
  </si>
  <si>
    <t>10/25/2017</t>
  </si>
  <si>
    <t>09/01/2016</t>
  </si>
  <si>
    <t>08/25/2015</t>
  </si>
  <si>
    <t>01/26/2017</t>
  </si>
  <si>
    <t>11/21/2018</t>
  </si>
  <si>
    <t>10/22/2018</t>
  </si>
  <si>
    <t>09/08/2015</t>
  </si>
  <si>
    <t>05/27/2017</t>
  </si>
  <si>
    <t>04/19/2018</t>
  </si>
  <si>
    <t>04/19/2016</t>
  </si>
  <si>
    <t>03/16/2018</t>
  </si>
  <si>
    <t>09/24/2018</t>
  </si>
  <si>
    <t>12/15/2017</t>
  </si>
  <si>
    <t>10/19/2017</t>
  </si>
  <si>
    <t>11/09/2017</t>
  </si>
  <si>
    <t>03/30/2016</t>
  </si>
  <si>
    <t>12/16/2015</t>
  </si>
  <si>
    <t>02/29/2016</t>
  </si>
  <si>
    <t>06/21/2016</t>
  </si>
  <si>
    <t>11/02/2015</t>
  </si>
  <si>
    <t>06/15/2018</t>
  </si>
  <si>
    <t>06/26/2018</t>
  </si>
  <si>
    <t>09/20/2019</t>
  </si>
  <si>
    <t>03/24/2017</t>
  </si>
  <si>
    <t>02/09/2016</t>
  </si>
  <si>
    <t>11/22/2016</t>
  </si>
  <si>
    <t>12/16/2016</t>
  </si>
  <si>
    <t>02/23/2016</t>
  </si>
  <si>
    <t>12/15/2015</t>
  </si>
  <si>
    <t>06/26/2017</t>
  </si>
  <si>
    <t>03/17/2016</t>
  </si>
  <si>
    <t>12/21/2017</t>
  </si>
  <si>
    <t>03/15/2017</t>
  </si>
  <si>
    <t>11/23/2016</t>
  </si>
  <si>
    <t>04/27/2017</t>
  </si>
  <si>
    <t>02/28/2016</t>
  </si>
  <si>
    <t>07/08/2015</t>
  </si>
  <si>
    <t>07/27/2018</t>
  </si>
  <si>
    <t>02/21/2017</t>
  </si>
  <si>
    <t>12/27/2017</t>
  </si>
  <si>
    <t>10/07/2016</t>
  </si>
  <si>
    <t>11/20/2018</t>
  </si>
  <si>
    <t>04/26/2016</t>
  </si>
  <si>
    <t>01/05/2018</t>
  </si>
  <si>
    <t>01/04/2017</t>
  </si>
  <si>
    <t>06/22/2016</t>
  </si>
  <si>
    <t>09/13/2018</t>
  </si>
  <si>
    <t>11/03/2016</t>
  </si>
  <si>
    <t>02/09/2018</t>
  </si>
  <si>
    <t>01/21/2012</t>
  </si>
  <si>
    <t>12/24/2018</t>
  </si>
  <si>
    <t>12/20/2016</t>
  </si>
  <si>
    <t>02/06/2019</t>
  </si>
  <si>
    <t>01/28/2019</t>
  </si>
  <si>
    <t>07/05/2019</t>
  </si>
  <si>
    <t>05/10/2019</t>
  </si>
  <si>
    <t>09/13/2019</t>
  </si>
  <si>
    <t>10/05/2017</t>
  </si>
  <si>
    <t>11/10/2019</t>
  </si>
  <si>
    <t>03/28/2017</t>
  </si>
  <si>
    <t>09/28/2016</t>
  </si>
  <si>
    <t>04/07/2017</t>
  </si>
  <si>
    <t>03/09/2017</t>
  </si>
  <si>
    <t>10/19/2018</t>
  </si>
  <si>
    <t>02/01/2017</t>
  </si>
  <si>
    <t>02/05/2018</t>
  </si>
  <si>
    <t>10/04/2018</t>
  </si>
  <si>
    <t>08/25/2017</t>
  </si>
  <si>
    <t>12/15/2018</t>
  </si>
  <si>
    <t>01/19/2017</t>
  </si>
  <si>
    <t>09/30/2016</t>
  </si>
  <si>
    <t>08/11/2019</t>
  </si>
  <si>
    <t>11/24/2019</t>
  </si>
  <si>
    <t>07/25/2018</t>
  </si>
  <si>
    <t>08/14/2018</t>
  </si>
  <si>
    <t>06/05/2017</t>
  </si>
  <si>
    <t>05/20/2019</t>
  </si>
  <si>
    <t>05/27/2019</t>
  </si>
  <si>
    <t>05/09/2019</t>
  </si>
  <si>
    <t>09/22/2015</t>
  </si>
  <si>
    <t>06/04/2018</t>
  </si>
  <si>
    <t>09/22/2016</t>
  </si>
  <si>
    <t>04/25/2016</t>
  </si>
  <si>
    <t>05/01/2016</t>
  </si>
  <si>
    <t>07/19/2018</t>
  </si>
  <si>
    <t>07/18/2018</t>
  </si>
  <si>
    <t>06/19/2017</t>
  </si>
  <si>
    <t>06/16/2017</t>
  </si>
  <si>
    <t>03/31/2016</t>
  </si>
  <si>
    <t>01/20/2016</t>
  </si>
  <si>
    <t>12/10/2013</t>
  </si>
  <si>
    <t>11/01/2017</t>
  </si>
  <si>
    <t>12/06/2017</t>
  </si>
  <si>
    <t>03/30/2018</t>
  </si>
  <si>
    <t>07/17/2017</t>
  </si>
  <si>
    <t>05/23/2018</t>
  </si>
  <si>
    <t>08/30/2017</t>
  </si>
  <si>
    <t>02/27/2018</t>
  </si>
  <si>
    <t>09/25/2017</t>
  </si>
  <si>
    <t>01/04/2018</t>
  </si>
  <si>
    <t>11/12/2018</t>
  </si>
  <si>
    <t>01/04/2016</t>
  </si>
  <si>
    <t>01/01/2018</t>
  </si>
  <si>
    <t>04/06/2017</t>
  </si>
  <si>
    <t>08/13/2018</t>
  </si>
  <si>
    <t>04/16/2018</t>
  </si>
  <si>
    <t>03/20/2019</t>
  </si>
  <si>
    <t>10/03/2016</t>
  </si>
  <si>
    <t>04/11/2017</t>
  </si>
  <si>
    <t>11/21/2017</t>
  </si>
  <si>
    <t>10/26/2017</t>
  </si>
  <si>
    <t>02/07/2017</t>
  </si>
  <si>
    <t>01/10/2017</t>
  </si>
  <si>
    <t>10/12/2017</t>
  </si>
  <si>
    <t>08/22/2017</t>
  </si>
  <si>
    <t>09/15/2017</t>
  </si>
  <si>
    <t>07/20/2016</t>
  </si>
  <si>
    <t>02/10/2015</t>
  </si>
  <si>
    <t>03/06/2015</t>
  </si>
  <si>
    <t>01/16/2015</t>
  </si>
  <si>
    <t>03/15/2015</t>
  </si>
  <si>
    <t>06/05/2019</t>
  </si>
  <si>
    <t>11/29/2019</t>
  </si>
  <si>
    <t>02/12/2019</t>
  </si>
  <si>
    <t>04/11/2018</t>
  </si>
  <si>
    <t>09/23/2016</t>
  </si>
  <si>
    <t>08/29/2017</t>
  </si>
  <si>
    <t>11/03/2019</t>
  </si>
  <si>
    <t>11/02/2019</t>
  </si>
  <si>
    <t>Akasha</t>
  </si>
  <si>
    <t>Magdalena</t>
  </si>
  <si>
    <t>Xiu Hua</t>
  </si>
  <si>
    <t>Abdoulaye</t>
  </si>
  <si>
    <t>Beatriz</t>
  </si>
  <si>
    <t>Serena</t>
  </si>
  <si>
    <t>Akitsu</t>
  </si>
  <si>
    <t>Ana</t>
  </si>
  <si>
    <t>Lishan</t>
  </si>
  <si>
    <t>Sucre</t>
  </si>
  <si>
    <t>Elizabeth</t>
  </si>
  <si>
    <t>Cesar</t>
  </si>
  <si>
    <t>Joan</t>
  </si>
  <si>
    <t>Evangelista</t>
  </si>
  <si>
    <t>Jacinta</t>
  </si>
  <si>
    <t>Rafael</t>
  </si>
  <si>
    <t>Benjamin</t>
  </si>
  <si>
    <t>Flavia</t>
  </si>
  <si>
    <t>Margarita</t>
  </si>
  <si>
    <t>Georgina</t>
  </si>
  <si>
    <t>Afra</t>
  </si>
  <si>
    <t>Oscar</t>
  </si>
  <si>
    <t>Rodney</t>
  </si>
  <si>
    <t>Anna</t>
  </si>
  <si>
    <t>Gretchen</t>
  </si>
  <si>
    <t>Dorothy</t>
  </si>
  <si>
    <t>Adolfo</t>
  </si>
  <si>
    <t>Tara</t>
  </si>
  <si>
    <t>Nicole</t>
  </si>
  <si>
    <t>Nakia</t>
  </si>
  <si>
    <t>Ruth</t>
  </si>
  <si>
    <t>Tamika</t>
  </si>
  <si>
    <t>Santa</t>
  </si>
  <si>
    <t>Hattie</t>
  </si>
  <si>
    <t>Joanne</t>
  </si>
  <si>
    <t>Joslyn</t>
  </si>
  <si>
    <t>Mercedes</t>
  </si>
  <si>
    <t>Jerry</t>
  </si>
  <si>
    <t>Alicia</t>
  </si>
  <si>
    <t>Maria</t>
  </si>
  <si>
    <t>Lisette</t>
  </si>
  <si>
    <t>Bernice</t>
  </si>
  <si>
    <t>Jorge</t>
  </si>
  <si>
    <t>Erdal</t>
  </si>
  <si>
    <t>Laura</t>
  </si>
  <si>
    <t>Richard</t>
  </si>
  <si>
    <t>Hong Rui</t>
  </si>
  <si>
    <t>Petal</t>
  </si>
  <si>
    <t>Jephtah</t>
  </si>
  <si>
    <t>Helene</t>
  </si>
  <si>
    <t>Venita</t>
  </si>
  <si>
    <t>Keesha</t>
  </si>
  <si>
    <t>Betty</t>
  </si>
  <si>
    <t>Jacqueline</t>
  </si>
  <si>
    <t>John</t>
  </si>
  <si>
    <t>Cheryl</t>
  </si>
  <si>
    <t>Sonia</t>
  </si>
  <si>
    <t>Michelle</t>
  </si>
  <si>
    <t>Shanelle</t>
  </si>
  <si>
    <t>Donna</t>
  </si>
  <si>
    <t>Willie</t>
  </si>
  <si>
    <t>David</t>
  </si>
  <si>
    <t>Rosemae</t>
  </si>
  <si>
    <t>Suzan</t>
  </si>
  <si>
    <t>Carolla</t>
  </si>
  <si>
    <t>Arthur</t>
  </si>
  <si>
    <t>Rosa</t>
  </si>
  <si>
    <t>Daisy</t>
  </si>
  <si>
    <t>Blanca</t>
  </si>
  <si>
    <t>Dino</t>
  </si>
  <si>
    <t>Marquise</t>
  </si>
  <si>
    <t>Termaine</t>
  </si>
  <si>
    <t>Jose</t>
  </si>
  <si>
    <t>Robeela</t>
  </si>
  <si>
    <t>George</t>
  </si>
  <si>
    <t>Jhon</t>
  </si>
  <si>
    <t>Dora</t>
  </si>
  <si>
    <t>Ligia</t>
  </si>
  <si>
    <t>Lupe</t>
  </si>
  <si>
    <t>Ara</t>
  </si>
  <si>
    <t>Aysha</t>
  </si>
  <si>
    <t>Martine</t>
  </si>
  <si>
    <t>Angelia</t>
  </si>
  <si>
    <t>Lydia</t>
  </si>
  <si>
    <t>Leonora</t>
  </si>
  <si>
    <t>Carolina</t>
  </si>
  <si>
    <t>Tiffany</t>
  </si>
  <si>
    <t>Andre</t>
  </si>
  <si>
    <t>Danielle</t>
  </si>
  <si>
    <t>Jully</t>
  </si>
  <si>
    <t>Sokhna</t>
  </si>
  <si>
    <t>Juana</t>
  </si>
  <si>
    <t>Beverly</t>
  </si>
  <si>
    <t>Heavenly</t>
  </si>
  <si>
    <t>Michael</t>
  </si>
  <si>
    <t>Antonio</t>
  </si>
  <si>
    <t>Antonnette</t>
  </si>
  <si>
    <t>Beverley</t>
  </si>
  <si>
    <t>Araceli</t>
  </si>
  <si>
    <t>Suranyely</t>
  </si>
  <si>
    <t>Barbara</t>
  </si>
  <si>
    <t>Esther</t>
  </si>
  <si>
    <t>Kimmi</t>
  </si>
  <si>
    <t>Rafaela</t>
  </si>
  <si>
    <t>Thomas</t>
  </si>
  <si>
    <t>Janet</t>
  </si>
  <si>
    <t>Naida</t>
  </si>
  <si>
    <t>Guillermo</t>
  </si>
  <si>
    <t>Pierre</t>
  </si>
  <si>
    <t>Soto</t>
  </si>
  <si>
    <t>Mayi</t>
  </si>
  <si>
    <t>Sophia</t>
  </si>
  <si>
    <t>Carlos</t>
  </si>
  <si>
    <t>Nathan</t>
  </si>
  <si>
    <t>Darneice</t>
  </si>
  <si>
    <t>Lucitania</t>
  </si>
  <si>
    <t>Carolyn</t>
  </si>
  <si>
    <t>Penny</t>
  </si>
  <si>
    <t>Keysha</t>
  </si>
  <si>
    <t>Lucia</t>
  </si>
  <si>
    <t>Ezequiel</t>
  </si>
  <si>
    <t>Marina</t>
  </si>
  <si>
    <t>Amada</t>
  </si>
  <si>
    <t>Ai</t>
  </si>
  <si>
    <t>Digna</t>
  </si>
  <si>
    <t>Mary</t>
  </si>
  <si>
    <t>Bukunmi</t>
  </si>
  <si>
    <t>Pedro</t>
  </si>
  <si>
    <t>Enrique</t>
  </si>
  <si>
    <t>Luis</t>
  </si>
  <si>
    <t>Denise</t>
  </si>
  <si>
    <t>Regla</t>
  </si>
  <si>
    <t>Mokdul</t>
  </si>
  <si>
    <t>Viviana</t>
  </si>
  <si>
    <t>Marcelina</t>
  </si>
  <si>
    <t>Norberto</t>
  </si>
  <si>
    <t>Elba</t>
  </si>
  <si>
    <t>Fresi</t>
  </si>
  <si>
    <t>Flor</t>
  </si>
  <si>
    <t>Daniel</t>
  </si>
  <si>
    <t>Ines</t>
  </si>
  <si>
    <t>Danny</t>
  </si>
  <si>
    <t>Wilhelmina</t>
  </si>
  <si>
    <t>Francisco</t>
  </si>
  <si>
    <t>Dimaris</t>
  </si>
  <si>
    <t>Lillian</t>
  </si>
  <si>
    <t>Temistocles</t>
  </si>
  <si>
    <t>Erick</t>
  </si>
  <si>
    <t>Gabriela</t>
  </si>
  <si>
    <t>Jeremy</t>
  </si>
  <si>
    <t>Joaris</t>
  </si>
  <si>
    <t>Alexis</t>
  </si>
  <si>
    <t>Virginia</t>
  </si>
  <si>
    <t>Rachael</t>
  </si>
  <si>
    <t>Raisa</t>
  </si>
  <si>
    <t>Mark</t>
  </si>
  <si>
    <t>Julio</t>
  </si>
  <si>
    <t>Patrick</t>
  </si>
  <si>
    <t>Martha</t>
  </si>
  <si>
    <t>Kalven</t>
  </si>
  <si>
    <t>Rosita</t>
  </si>
  <si>
    <t>Maritza</t>
  </si>
  <si>
    <t>Rolando</t>
  </si>
  <si>
    <t>Mirely</t>
  </si>
  <si>
    <t>Aida</t>
  </si>
  <si>
    <t>Magaly</t>
  </si>
  <si>
    <t>Florentina</t>
  </si>
  <si>
    <t>Victoria</t>
  </si>
  <si>
    <t>Doris</t>
  </si>
  <si>
    <t>Juan</t>
  </si>
  <si>
    <t>Chantal</t>
  </si>
  <si>
    <t>Thelma</t>
  </si>
  <si>
    <t>Jay</t>
  </si>
  <si>
    <t>Shavell</t>
  </si>
  <si>
    <t>Angie</t>
  </si>
  <si>
    <t>Marlene</t>
  </si>
  <si>
    <t>Minerva</t>
  </si>
  <si>
    <t>Deborah</t>
  </si>
  <si>
    <t>Raymond</t>
  </si>
  <si>
    <t>Victor</t>
  </si>
  <si>
    <t>Renier</t>
  </si>
  <si>
    <t>Mahbub</t>
  </si>
  <si>
    <t>Sabrina</t>
  </si>
  <si>
    <t>Katherine</t>
  </si>
  <si>
    <t>Francia</t>
  </si>
  <si>
    <t>Carmela</t>
  </si>
  <si>
    <t>Paola</t>
  </si>
  <si>
    <t>Luz</t>
  </si>
  <si>
    <t>Donisha</t>
  </si>
  <si>
    <t>Yovani</t>
  </si>
  <si>
    <t>Luis Angel</t>
  </si>
  <si>
    <t>Clarence</t>
  </si>
  <si>
    <t>Alfonso</t>
  </si>
  <si>
    <t>Elsie</t>
  </si>
  <si>
    <t>Sandra</t>
  </si>
  <si>
    <t>Sekou</t>
  </si>
  <si>
    <t>Charles</t>
  </si>
  <si>
    <t>Carmen</t>
  </si>
  <si>
    <t>Deshawn</t>
  </si>
  <si>
    <t>Anthony</t>
  </si>
  <si>
    <t>Hanan</t>
  </si>
  <si>
    <t>Peter</t>
  </si>
  <si>
    <t>Desiree</t>
  </si>
  <si>
    <t>Ladora</t>
  </si>
  <si>
    <t>Peta</t>
  </si>
  <si>
    <t>Renauld</t>
  </si>
  <si>
    <t>Ajulet</t>
  </si>
  <si>
    <t>Elsa</t>
  </si>
  <si>
    <t>Erika</t>
  </si>
  <si>
    <t>Jacquelynn</t>
  </si>
  <si>
    <t>Amy</t>
  </si>
  <si>
    <t>Theresa</t>
  </si>
  <si>
    <t>Andrea</t>
  </si>
  <si>
    <t>Clara</t>
  </si>
  <si>
    <t>Lucero</t>
  </si>
  <si>
    <t>Shpendi</t>
  </si>
  <si>
    <t>Tomika</t>
  </si>
  <si>
    <t>Adara</t>
  </si>
  <si>
    <t>Rigoberto</t>
  </si>
  <si>
    <t>Juanita</t>
  </si>
  <si>
    <t>Kim</t>
  </si>
  <si>
    <t>Osvaldo</t>
  </si>
  <si>
    <t>Tracey</t>
  </si>
  <si>
    <t>Denice</t>
  </si>
  <si>
    <t>Milagros</t>
  </si>
  <si>
    <t>Honori</t>
  </si>
  <si>
    <t>Tavika</t>
  </si>
  <si>
    <t>Wendy</t>
  </si>
  <si>
    <t>Chenequa</t>
  </si>
  <si>
    <t>Sara</t>
  </si>
  <si>
    <t>Karla</t>
  </si>
  <si>
    <t>Momodou</t>
  </si>
  <si>
    <t>Hendrick</t>
  </si>
  <si>
    <t>Nadia</t>
  </si>
  <si>
    <t>Francisca</t>
  </si>
  <si>
    <t>Jennette</t>
  </si>
  <si>
    <t>Sylvia</t>
  </si>
  <si>
    <t>Ricardo</t>
  </si>
  <si>
    <t>Gina</t>
  </si>
  <si>
    <t>Yvonne</t>
  </si>
  <si>
    <t>Lina</t>
  </si>
  <si>
    <t>Ednice</t>
  </si>
  <si>
    <t>Althea</t>
  </si>
  <si>
    <t>Sikhumbuzo</t>
  </si>
  <si>
    <t>Mikhail</t>
  </si>
  <si>
    <t>Octavia</t>
  </si>
  <si>
    <t>Patria</t>
  </si>
  <si>
    <t>Tina</t>
  </si>
  <si>
    <t>Cynthia</t>
  </si>
  <si>
    <t>Roselina</t>
  </si>
  <si>
    <t>Martina</t>
  </si>
  <si>
    <t>Narciso</t>
  </si>
  <si>
    <t>Idrissa</t>
  </si>
  <si>
    <t>Pilar</t>
  </si>
  <si>
    <t>Leonicia</t>
  </si>
  <si>
    <t>Suleika</t>
  </si>
  <si>
    <t>Danilo</t>
  </si>
  <si>
    <t>Olga</t>
  </si>
  <si>
    <t>Raul</t>
  </si>
  <si>
    <t>Nilda</t>
  </si>
  <si>
    <t>Vanessa</t>
  </si>
  <si>
    <t>Eusebio</t>
  </si>
  <si>
    <t>Melanie</t>
  </si>
  <si>
    <t>Glendora</t>
  </si>
  <si>
    <t>Craig</t>
  </si>
  <si>
    <t>Celeste</t>
  </si>
  <si>
    <t>Beatrice</t>
  </si>
  <si>
    <t>Eugenia</t>
  </si>
  <si>
    <t>Mavis</t>
  </si>
  <si>
    <t>Shirley</t>
  </si>
  <si>
    <t>Elbia</t>
  </si>
  <si>
    <t>Julia</t>
  </si>
  <si>
    <t>Sylvi</t>
  </si>
  <si>
    <t>Winston</t>
  </si>
  <si>
    <t>Alzira</t>
  </si>
  <si>
    <t>Aiden</t>
  </si>
  <si>
    <t>Annette</t>
  </si>
  <si>
    <t>Manuel</t>
  </si>
  <si>
    <t>Jesus</t>
  </si>
  <si>
    <t>DuAne</t>
  </si>
  <si>
    <t>Shelia</t>
  </si>
  <si>
    <t>Yines</t>
  </si>
  <si>
    <t>Juceyna</t>
  </si>
  <si>
    <t>Benecia</t>
  </si>
  <si>
    <t>Linda</t>
  </si>
  <si>
    <t>Cora</t>
  </si>
  <si>
    <t>Jacquelin</t>
  </si>
  <si>
    <t>Debra</t>
  </si>
  <si>
    <t>Verine</t>
  </si>
  <si>
    <t>Josefa</t>
  </si>
  <si>
    <t>Dalila</t>
  </si>
  <si>
    <t>Louisia</t>
  </si>
  <si>
    <t>Cecilia</t>
  </si>
  <si>
    <t>Maxima</t>
  </si>
  <si>
    <t>Knolly</t>
  </si>
  <si>
    <t>Sanabe</t>
  </si>
  <si>
    <t>Dawn</t>
  </si>
  <si>
    <t>Harrold</t>
  </si>
  <si>
    <t>Amparo</t>
  </si>
  <si>
    <t>Norma</t>
  </si>
  <si>
    <t>Isabel</t>
  </si>
  <si>
    <t>Hildania</t>
  </si>
  <si>
    <t>Darrylin</t>
  </si>
  <si>
    <t>Abeba</t>
  </si>
  <si>
    <t>La-Dawn</t>
  </si>
  <si>
    <t>Lisa</t>
  </si>
  <si>
    <t>Hanirka</t>
  </si>
  <si>
    <t>Florinda</t>
  </si>
  <si>
    <t>Silvia</t>
  </si>
  <si>
    <t>Helen</t>
  </si>
  <si>
    <t>Venida</t>
  </si>
  <si>
    <t>Pamela</t>
  </si>
  <si>
    <t>Ernest</t>
  </si>
  <si>
    <t>Otilio</t>
  </si>
  <si>
    <t>Philip</t>
  </si>
  <si>
    <t>Stephany</t>
  </si>
  <si>
    <t>Delsy</t>
  </si>
  <si>
    <t>Dilcia</t>
  </si>
  <si>
    <t>Marco</t>
  </si>
  <si>
    <t>Curtis</t>
  </si>
  <si>
    <t>Evetta</t>
  </si>
  <si>
    <t>Carl</t>
  </si>
  <si>
    <t>Luisa</t>
  </si>
  <si>
    <t>Anita</t>
  </si>
  <si>
    <t>Ingrid</t>
  </si>
  <si>
    <t>Gayle</t>
  </si>
  <si>
    <t>Stanley</t>
  </si>
  <si>
    <t>Aracelis</t>
  </si>
  <si>
    <t>Tanica</t>
  </si>
  <si>
    <t>Santiago</t>
  </si>
  <si>
    <t>Seifeldin</t>
  </si>
  <si>
    <t>Nelson</t>
  </si>
  <si>
    <t>Dian</t>
  </si>
  <si>
    <t>Latisha</t>
  </si>
  <si>
    <t>Dolores</t>
  </si>
  <si>
    <t>Steven</t>
  </si>
  <si>
    <t>Jean</t>
  </si>
  <si>
    <t>Odalis</t>
  </si>
  <si>
    <t>Phillip</t>
  </si>
  <si>
    <t>Sebastian</t>
  </si>
  <si>
    <t>Tammy</t>
  </si>
  <si>
    <t>Dulce</t>
  </si>
  <si>
    <t>Freddy</t>
  </si>
  <si>
    <t>Emilio</t>
  </si>
  <si>
    <t>Edda</t>
  </si>
  <si>
    <t>Sharon</t>
  </si>
  <si>
    <t>Yrenes</t>
  </si>
  <si>
    <t>Migdalia</t>
  </si>
  <si>
    <t>Junie</t>
  </si>
  <si>
    <t>Melania</t>
  </si>
  <si>
    <t>Betsy</t>
  </si>
  <si>
    <t>Erenia</t>
  </si>
  <si>
    <t>Waleska</t>
  </si>
  <si>
    <t>Sherina</t>
  </si>
  <si>
    <t>Wanda</t>
  </si>
  <si>
    <t>Nanette</t>
  </si>
  <si>
    <t>Jenny</t>
  </si>
  <si>
    <t>Emmanuel</t>
  </si>
  <si>
    <t>Basiliza</t>
  </si>
  <si>
    <t>Jackie</t>
  </si>
  <si>
    <t>Miguel</t>
  </si>
  <si>
    <t>Nilo</t>
  </si>
  <si>
    <t>Bertico</t>
  </si>
  <si>
    <t>Indra</t>
  </si>
  <si>
    <t>Meris</t>
  </si>
  <si>
    <t>Bonaerge</t>
  </si>
  <si>
    <t>Asseth</t>
  </si>
  <si>
    <t>Orlando</t>
  </si>
  <si>
    <t>Teresa</t>
  </si>
  <si>
    <t>Samantha</t>
  </si>
  <si>
    <t>Ena</t>
  </si>
  <si>
    <t>Liz</t>
  </si>
  <si>
    <t>Alexandra</t>
  </si>
  <si>
    <t>Yolanda</t>
  </si>
  <si>
    <t>Nicholas</t>
  </si>
  <si>
    <t>Yanuaria</t>
  </si>
  <si>
    <t>Patricia</t>
  </si>
  <si>
    <t>Dawna</t>
  </si>
  <si>
    <t>Viola</t>
  </si>
  <si>
    <t>Osborne</t>
  </si>
  <si>
    <t>Walik</t>
  </si>
  <si>
    <t>Angela</t>
  </si>
  <si>
    <t>Selwyn</t>
  </si>
  <si>
    <t>Lauraine</t>
  </si>
  <si>
    <t>Diamante</t>
  </si>
  <si>
    <t>Gertrude</t>
  </si>
  <si>
    <t>Venetta</t>
  </si>
  <si>
    <t>Lonnie</t>
  </si>
  <si>
    <t>Agatha</t>
  </si>
  <si>
    <t>Ivette</t>
  </si>
  <si>
    <t>Frank</t>
  </si>
  <si>
    <t>Eloise</t>
  </si>
  <si>
    <t>Angel</t>
  </si>
  <si>
    <t>Celia</t>
  </si>
  <si>
    <t>Davona</t>
  </si>
  <si>
    <t>Andreen</t>
  </si>
  <si>
    <t>Adila</t>
  </si>
  <si>
    <t>Ansar</t>
  </si>
  <si>
    <t>Violet</t>
  </si>
  <si>
    <t>Shauna</t>
  </si>
  <si>
    <t>Darlyne</t>
  </si>
  <si>
    <t>Evita</t>
  </si>
  <si>
    <t>Morenike</t>
  </si>
  <si>
    <t>Yuverky</t>
  </si>
  <si>
    <t>Naika</t>
  </si>
  <si>
    <t>Bridget</t>
  </si>
  <si>
    <t>Natasha</t>
  </si>
  <si>
    <t>Shani</t>
  </si>
  <si>
    <t>Leslie</t>
  </si>
  <si>
    <t>Viela</t>
  </si>
  <si>
    <t>Monique</t>
  </si>
  <si>
    <t>Alex</t>
  </si>
  <si>
    <t>Zipporah</t>
  </si>
  <si>
    <t>Marie</t>
  </si>
  <si>
    <t>Marcia</t>
  </si>
  <si>
    <t>Esperanza</t>
  </si>
  <si>
    <t>Yeimy</t>
  </si>
  <si>
    <t>Faizullah</t>
  </si>
  <si>
    <t>Guerlyne</t>
  </si>
  <si>
    <t>Yvette</t>
  </si>
  <si>
    <t>Maisie</t>
  </si>
  <si>
    <t>Tomicka</t>
  </si>
  <si>
    <t>Johny</t>
  </si>
  <si>
    <t>Louise</t>
  </si>
  <si>
    <t>Emely</t>
  </si>
  <si>
    <t>Gemma</t>
  </si>
  <si>
    <t>Liautaud</t>
  </si>
  <si>
    <t>Hovac</t>
  </si>
  <si>
    <t>Obiaba</t>
  </si>
  <si>
    <t>Cecelia</t>
  </si>
  <si>
    <t>Olivia</t>
  </si>
  <si>
    <t>Tanya</t>
  </si>
  <si>
    <t>Beryl</t>
  </si>
  <si>
    <t>Erica</t>
  </si>
  <si>
    <t>Paulette</t>
  </si>
  <si>
    <t>Sandreana</t>
  </si>
  <si>
    <t>Karen</t>
  </si>
  <si>
    <t>Kelcey</t>
  </si>
  <si>
    <t>Ryanna</t>
  </si>
  <si>
    <t>Nedra</t>
  </si>
  <si>
    <t>Khadijah</t>
  </si>
  <si>
    <t>Magdalen</t>
  </si>
  <si>
    <t>Stephanie</t>
  </si>
  <si>
    <t>Melissa</t>
  </si>
  <si>
    <t>Joyce</t>
  </si>
  <si>
    <t>Blanch</t>
  </si>
  <si>
    <t>Arissa</t>
  </si>
  <si>
    <t>Fidelis</t>
  </si>
  <si>
    <t>Ernesto</t>
  </si>
  <si>
    <t>Pearlene</t>
  </si>
  <si>
    <t>Jocelyne</t>
  </si>
  <si>
    <t>Elisa</t>
  </si>
  <si>
    <t>Edward</t>
  </si>
  <si>
    <t>Saul</t>
  </si>
  <si>
    <t>Fossillon</t>
  </si>
  <si>
    <t>Jasmine</t>
  </si>
  <si>
    <t>Nilsa</t>
  </si>
  <si>
    <t>Natalie</t>
  </si>
  <si>
    <t>Jackson</t>
  </si>
  <si>
    <t>Rosa Marie</t>
  </si>
  <si>
    <t>Rudolph</t>
  </si>
  <si>
    <t>Phon</t>
  </si>
  <si>
    <t>Robert</t>
  </si>
  <si>
    <t>Sing Hang</t>
  </si>
  <si>
    <t>Alison</t>
  </si>
  <si>
    <t>Carlton</t>
  </si>
  <si>
    <t>Altagracia</t>
  </si>
  <si>
    <t>Nkrumah</t>
  </si>
  <si>
    <t>Johnie</t>
  </si>
  <si>
    <t>Armando</t>
  </si>
  <si>
    <t>Lateef</t>
  </si>
  <si>
    <t>Westly</t>
  </si>
  <si>
    <t>Donald</t>
  </si>
  <si>
    <t>Gary</t>
  </si>
  <si>
    <t>Amanda</t>
  </si>
  <si>
    <t>Jillian</t>
  </si>
  <si>
    <t>Shakirah</t>
  </si>
  <si>
    <t>Louis</t>
  </si>
  <si>
    <t>Raquel</t>
  </si>
  <si>
    <t>Jennifer</t>
  </si>
  <si>
    <t>Aaron</t>
  </si>
  <si>
    <t>Dianna</t>
  </si>
  <si>
    <t>Sabrena</t>
  </si>
  <si>
    <t>Prestina</t>
  </si>
  <si>
    <t>Leslyn</t>
  </si>
  <si>
    <t>Monisa</t>
  </si>
  <si>
    <t>Natori</t>
  </si>
  <si>
    <t>Morgen</t>
  </si>
  <si>
    <t>Hasna</t>
  </si>
  <si>
    <t>Alfred</t>
  </si>
  <si>
    <t>Paula</t>
  </si>
  <si>
    <t>Kinny</t>
  </si>
  <si>
    <t>Norman</t>
  </si>
  <si>
    <t>Essence</t>
  </si>
  <si>
    <t>Myra</t>
  </si>
  <si>
    <t>Lauren</t>
  </si>
  <si>
    <t>Mamie</t>
  </si>
  <si>
    <t>Christina</t>
  </si>
  <si>
    <t>Moresia</t>
  </si>
  <si>
    <t>Letice</t>
  </si>
  <si>
    <t>Dennis</t>
  </si>
  <si>
    <t>Anne</t>
  </si>
  <si>
    <t>Jelecia</t>
  </si>
  <si>
    <t>Germaine</t>
  </si>
  <si>
    <t>Fernando</t>
  </si>
  <si>
    <t>Terrance</t>
  </si>
  <si>
    <t>Natoya</t>
  </si>
  <si>
    <t>Alphonso</t>
  </si>
  <si>
    <t>Mayai</t>
  </si>
  <si>
    <t>Roger</t>
  </si>
  <si>
    <t>Leonides</t>
  </si>
  <si>
    <t>Davon</t>
  </si>
  <si>
    <t>Sheena</t>
  </si>
  <si>
    <t>Elaine</t>
  </si>
  <si>
    <t>Xinque</t>
  </si>
  <si>
    <t>Vernice</t>
  </si>
  <si>
    <t>Yahaira</t>
  </si>
  <si>
    <t>Tumininu</t>
  </si>
  <si>
    <t>Janette</t>
  </si>
  <si>
    <t>Jonathan</t>
  </si>
  <si>
    <t>Sujeny</t>
  </si>
  <si>
    <t>Oida</t>
  </si>
  <si>
    <t>Shaniyia</t>
  </si>
  <si>
    <t>Chanette</t>
  </si>
  <si>
    <t>Deshaun</t>
  </si>
  <si>
    <t>Alfredo</t>
  </si>
  <si>
    <t>Darchelle</t>
  </si>
  <si>
    <t>Malana</t>
  </si>
  <si>
    <t>Cinthia</t>
  </si>
  <si>
    <t>Letha</t>
  </si>
  <si>
    <t>Bernard</t>
  </si>
  <si>
    <t>Ysabel</t>
  </si>
  <si>
    <t>Angelique</t>
  </si>
  <si>
    <t>Jessie</t>
  </si>
  <si>
    <t>Cathy</t>
  </si>
  <si>
    <t>Russell</t>
  </si>
  <si>
    <t>Diamond</t>
  </si>
  <si>
    <t>Hernando</t>
  </si>
  <si>
    <t>Becky</t>
  </si>
  <si>
    <t>Sandy</t>
  </si>
  <si>
    <t>Eucarina</t>
  </si>
  <si>
    <t>James</t>
  </si>
  <si>
    <t>Phyllis</t>
  </si>
  <si>
    <t>Chekesha</t>
  </si>
  <si>
    <t>Emily</t>
  </si>
  <si>
    <t>Mario</t>
  </si>
  <si>
    <t>Brenda</t>
  </si>
  <si>
    <t>Elena</t>
  </si>
  <si>
    <t>Ousmane</t>
  </si>
  <si>
    <t>Jessica</t>
  </si>
  <si>
    <t>Martiza</t>
  </si>
  <si>
    <t>Brigida</t>
  </si>
  <si>
    <t>Gladys</t>
  </si>
  <si>
    <t>Rosario</t>
  </si>
  <si>
    <t>Belkis</t>
  </si>
  <si>
    <t>Julie</t>
  </si>
  <si>
    <t>Alan</t>
  </si>
  <si>
    <t>Widisaberto</t>
  </si>
  <si>
    <t>Marilyn</t>
  </si>
  <si>
    <t>Tabitha</t>
  </si>
  <si>
    <t>Alexander</t>
  </si>
  <si>
    <t>Cathi</t>
  </si>
  <si>
    <t>Jeremiah</t>
  </si>
  <si>
    <t>Obed</t>
  </si>
  <si>
    <t>Bryan</t>
  </si>
  <si>
    <t>Mohammed</t>
  </si>
  <si>
    <t>S</t>
  </si>
  <si>
    <t>Roberto</t>
  </si>
  <si>
    <t>Farkunda</t>
  </si>
  <si>
    <t>Bassam</t>
  </si>
  <si>
    <t>Daewoo</t>
  </si>
  <si>
    <t>Lilliana</t>
  </si>
  <si>
    <t>Rashawn</t>
  </si>
  <si>
    <t>Lewis</t>
  </si>
  <si>
    <t>Davie</t>
  </si>
  <si>
    <t>Roderick</t>
  </si>
  <si>
    <t>Herbert</t>
  </si>
  <si>
    <t>Clarissa</t>
  </si>
  <si>
    <t>Loida</t>
  </si>
  <si>
    <t>Alina</t>
  </si>
  <si>
    <t>Sherrie</t>
  </si>
  <si>
    <t>Brian</t>
  </si>
  <si>
    <t>Charlene</t>
  </si>
  <si>
    <t>Carloyn</t>
  </si>
  <si>
    <t>Jocelyn</t>
  </si>
  <si>
    <t>Shoshana</t>
  </si>
  <si>
    <t>Tanis</t>
  </si>
  <si>
    <t>Jake</t>
  </si>
  <si>
    <t>April</t>
  </si>
  <si>
    <t>Latania</t>
  </si>
  <si>
    <t>Brandon</t>
  </si>
  <si>
    <t>Monirul</t>
  </si>
  <si>
    <t>Xonana</t>
  </si>
  <si>
    <t>Marea</t>
  </si>
  <si>
    <t>Akheem</t>
  </si>
  <si>
    <t>Iho</t>
  </si>
  <si>
    <t>Shannon</t>
  </si>
  <si>
    <t>Ada</t>
  </si>
  <si>
    <t>Lily</t>
  </si>
  <si>
    <t>Eric</t>
  </si>
  <si>
    <t>Suzanna</t>
  </si>
  <si>
    <t>Zaida</t>
  </si>
  <si>
    <t>Eliyahu</t>
  </si>
  <si>
    <t>Terryann</t>
  </si>
  <si>
    <t>Akemi</t>
  </si>
  <si>
    <t>Ariel</t>
  </si>
  <si>
    <t>Marley</t>
  </si>
  <si>
    <t>Eduardo</t>
  </si>
  <si>
    <t>Othniel</t>
  </si>
  <si>
    <t>Paralee</t>
  </si>
  <si>
    <t>Brooke</t>
  </si>
  <si>
    <t>Susanna</t>
  </si>
  <si>
    <t>Robin</t>
  </si>
  <si>
    <t>Kaitlin</t>
  </si>
  <si>
    <t>William</t>
  </si>
  <si>
    <t>Mars</t>
  </si>
  <si>
    <t>Susana</t>
  </si>
  <si>
    <t>Valerie</t>
  </si>
  <si>
    <t>Chiquana</t>
  </si>
  <si>
    <t>Alvita</t>
  </si>
  <si>
    <t>Dean</t>
  </si>
  <si>
    <t>Annie</t>
  </si>
  <si>
    <t>Darryl</t>
  </si>
  <si>
    <t>Iluminada</t>
  </si>
  <si>
    <t>Serrina</t>
  </si>
  <si>
    <t>Lourdes</t>
  </si>
  <si>
    <t>Delkaris</t>
  </si>
  <si>
    <t>Andres</t>
  </si>
  <si>
    <t>Elvira</t>
  </si>
  <si>
    <t>Brunilda</t>
  </si>
  <si>
    <t>Crystal</t>
  </si>
  <si>
    <t>Adrienne</t>
  </si>
  <si>
    <t>Winifred</t>
  </si>
  <si>
    <t>Jesusa</t>
  </si>
  <si>
    <t>Dedra</t>
  </si>
  <si>
    <t>Courtney</t>
  </si>
  <si>
    <t>Delores</t>
  </si>
  <si>
    <t>Othoniel</t>
  </si>
  <si>
    <t>Wayne</t>
  </si>
  <si>
    <t>Diana</t>
  </si>
  <si>
    <t>Vanderlyn</t>
  </si>
  <si>
    <t>Everton</t>
  </si>
  <si>
    <t>Monica</t>
  </si>
  <si>
    <t>Joel</t>
  </si>
  <si>
    <t>Branden</t>
  </si>
  <si>
    <t>Warren</t>
  </si>
  <si>
    <t>Rogerio</t>
  </si>
  <si>
    <t>Maryeling</t>
  </si>
  <si>
    <t>Giovanni</t>
  </si>
  <si>
    <t>Josephine</t>
  </si>
  <si>
    <t>Emma</t>
  </si>
  <si>
    <t>Tomas</t>
  </si>
  <si>
    <t>Sylvester</t>
  </si>
  <si>
    <t>Elia</t>
  </si>
  <si>
    <t>Stella</t>
  </si>
  <si>
    <t>Nancy</t>
  </si>
  <si>
    <t>Yudalka</t>
  </si>
  <si>
    <t>Camella</t>
  </si>
  <si>
    <t>Adriana</t>
  </si>
  <si>
    <t>Izaida</t>
  </si>
  <si>
    <t>Ghislain</t>
  </si>
  <si>
    <t>Shatasha</t>
  </si>
  <si>
    <t>Domanique</t>
  </si>
  <si>
    <t>Bweela</t>
  </si>
  <si>
    <t>Tajia</t>
  </si>
  <si>
    <t>Mikkia</t>
  </si>
  <si>
    <t>Waldemar</t>
  </si>
  <si>
    <t>Rodolfo</t>
  </si>
  <si>
    <t>Miriam</t>
  </si>
  <si>
    <t>WHITNEY</t>
  </si>
  <si>
    <t>Loana</t>
  </si>
  <si>
    <t>Marcelo</t>
  </si>
  <si>
    <t>Candida</t>
  </si>
  <si>
    <t>Sonya</t>
  </si>
  <si>
    <t>Guillermina</t>
  </si>
  <si>
    <t>Geneva</t>
  </si>
  <si>
    <t>Christine</t>
  </si>
  <si>
    <t>Mayra</t>
  </si>
  <si>
    <t>Mallery</t>
  </si>
  <si>
    <t>Paulino</t>
  </si>
  <si>
    <t>Dorcas</t>
  </si>
  <si>
    <t>Atashia</t>
  </si>
  <si>
    <t>Sharren</t>
  </si>
  <si>
    <t>Efrain</t>
  </si>
  <si>
    <t>Bernardino</t>
  </si>
  <si>
    <t>Frances</t>
  </si>
  <si>
    <t>Everett</t>
  </si>
  <si>
    <t>Howard</t>
  </si>
  <si>
    <t>Teonila</t>
  </si>
  <si>
    <t>Dioris</t>
  </si>
  <si>
    <t>Sheila</t>
  </si>
  <si>
    <t>Lucianne</t>
  </si>
  <si>
    <t>Musah</t>
  </si>
  <si>
    <t>Zoiky</t>
  </si>
  <si>
    <t>Samuel</t>
  </si>
  <si>
    <t>Marcus</t>
  </si>
  <si>
    <t>Joshua</t>
  </si>
  <si>
    <t>Jerome</t>
  </si>
  <si>
    <t>Lucy</t>
  </si>
  <si>
    <t>Shameeka</t>
  </si>
  <si>
    <t>Jahaira</t>
  </si>
  <si>
    <t>Johnnie</t>
  </si>
  <si>
    <t>Malik</t>
  </si>
  <si>
    <t>Gerard</t>
  </si>
  <si>
    <t>Bangally</t>
  </si>
  <si>
    <t>Reginald</t>
  </si>
  <si>
    <t>Edwin</t>
  </si>
  <si>
    <t>Bienvenida</t>
  </si>
  <si>
    <t>Natalya</t>
  </si>
  <si>
    <t>Seon</t>
  </si>
  <si>
    <t>Anila</t>
  </si>
  <si>
    <t>Liza</t>
  </si>
  <si>
    <t>Domg</t>
  </si>
  <si>
    <t>Haydee</t>
  </si>
  <si>
    <t>Jewell</t>
  </si>
  <si>
    <t>Aleida</t>
  </si>
  <si>
    <t>Bernadette</t>
  </si>
  <si>
    <t>Dalia</t>
  </si>
  <si>
    <t>Ray</t>
  </si>
  <si>
    <t>Iris</t>
  </si>
  <si>
    <t>Georgette</t>
  </si>
  <si>
    <t>Gretelle</t>
  </si>
  <si>
    <t>Lara</t>
  </si>
  <si>
    <t>Michel</t>
  </si>
  <si>
    <t>Escarlet</t>
  </si>
  <si>
    <t>Eddie</t>
  </si>
  <si>
    <t>Edith</t>
  </si>
  <si>
    <t>Melius</t>
  </si>
  <si>
    <t>Hyacinth</t>
  </si>
  <si>
    <t>Tracy</t>
  </si>
  <si>
    <t>Ryan</t>
  </si>
  <si>
    <t>Jeanette</t>
  </si>
  <si>
    <t>Efren</t>
  </si>
  <si>
    <t>Rossana</t>
  </si>
  <si>
    <t>Eula</t>
  </si>
  <si>
    <t>Johnathan</t>
  </si>
  <si>
    <t>Nina</t>
  </si>
  <si>
    <t>Shakena</t>
  </si>
  <si>
    <t>Coral</t>
  </si>
  <si>
    <t>Rebecca</t>
  </si>
  <si>
    <t>Ayanna</t>
  </si>
  <si>
    <t>Shiba</t>
  </si>
  <si>
    <t>Roberta</t>
  </si>
  <si>
    <t>Nikitia</t>
  </si>
  <si>
    <t>Carter</t>
  </si>
  <si>
    <t>Selena</t>
  </si>
  <si>
    <t>Mohammad</t>
  </si>
  <si>
    <t>Terry</t>
  </si>
  <si>
    <t>MD</t>
  </si>
  <si>
    <t>Md. Assaduzzaman</t>
  </si>
  <si>
    <t>Chenille</t>
  </si>
  <si>
    <t>Ellison</t>
  </si>
  <si>
    <t>Nathaniel</t>
  </si>
  <si>
    <t>Eveline</t>
  </si>
  <si>
    <t>Steve</t>
  </si>
  <si>
    <t>Jeffrey</t>
  </si>
  <si>
    <t>Lorraine</t>
  </si>
  <si>
    <t>Collette</t>
  </si>
  <si>
    <t>Belva</t>
  </si>
  <si>
    <t>Tamareya</t>
  </si>
  <si>
    <t>Ariminta</t>
  </si>
  <si>
    <t>Diane</t>
  </si>
  <si>
    <t>Cleveland</t>
  </si>
  <si>
    <t>Norris</t>
  </si>
  <si>
    <t>Makuna</t>
  </si>
  <si>
    <t>Shakeya</t>
  </si>
  <si>
    <t>Valeriy</t>
  </si>
  <si>
    <t>Trevor</t>
  </si>
  <si>
    <t>Tonya</t>
  </si>
  <si>
    <t>Timothy</t>
  </si>
  <si>
    <t>Perri</t>
  </si>
  <si>
    <t>Valery</t>
  </si>
  <si>
    <t>Alva</t>
  </si>
  <si>
    <t>Rose</t>
  </si>
  <si>
    <t>Saundra</t>
  </si>
  <si>
    <t>Vincent</t>
  </si>
  <si>
    <t>Laurie</t>
  </si>
  <si>
    <t>Veronica</t>
  </si>
  <si>
    <t>Shakenya</t>
  </si>
  <si>
    <t>Tenae</t>
  </si>
  <si>
    <t>Ella</t>
  </si>
  <si>
    <t>Carline</t>
  </si>
  <si>
    <t>Megnal</t>
  </si>
  <si>
    <t>Leisa</t>
  </si>
  <si>
    <t>Shamima</t>
  </si>
  <si>
    <t>Carol</t>
  </si>
  <si>
    <t>Shunelle</t>
  </si>
  <si>
    <t>Lynette</t>
  </si>
  <si>
    <t>Chauncey</t>
  </si>
  <si>
    <t>Agnes</t>
  </si>
  <si>
    <t>Wilburn</t>
  </si>
  <si>
    <t>Tammie</t>
  </si>
  <si>
    <t>Gregory</t>
  </si>
  <si>
    <t>Danesha</t>
  </si>
  <si>
    <t>Lorna</t>
  </si>
  <si>
    <t>Wakina</t>
  </si>
  <si>
    <t>Eddine</t>
  </si>
  <si>
    <t>Mildred</t>
  </si>
  <si>
    <t>Gail</t>
  </si>
  <si>
    <t>Yesenia</t>
  </si>
  <si>
    <t>Carrie</t>
  </si>
  <si>
    <t>Maureen</t>
  </si>
  <si>
    <t>Deanna</t>
  </si>
  <si>
    <t>Musu</t>
  </si>
  <si>
    <t>Lester</t>
  </si>
  <si>
    <t>Hassan</t>
  </si>
  <si>
    <t>Elizet</t>
  </si>
  <si>
    <t>Abdulai</t>
  </si>
  <si>
    <t>Abdullai</t>
  </si>
  <si>
    <t>Shah</t>
  </si>
  <si>
    <t>Ahmed</t>
  </si>
  <si>
    <t>Duane</t>
  </si>
  <si>
    <t>India</t>
  </si>
  <si>
    <t>Alton</t>
  </si>
  <si>
    <t>Hagie</t>
  </si>
  <si>
    <t>Fatawu</t>
  </si>
  <si>
    <t>Gloribel</t>
  </si>
  <si>
    <t>Ann</t>
  </si>
  <si>
    <t>Felipa</t>
  </si>
  <si>
    <t>Kafele</t>
  </si>
  <si>
    <t>Ramona</t>
  </si>
  <si>
    <t>Gloria</t>
  </si>
  <si>
    <t>Isatu</t>
  </si>
  <si>
    <t>Iyakka</t>
  </si>
  <si>
    <t>Matt</t>
  </si>
  <si>
    <t>Jazmel</t>
  </si>
  <si>
    <t>Daniela</t>
  </si>
  <si>
    <t>Kara</t>
  </si>
  <si>
    <t>Emmett</t>
  </si>
  <si>
    <t>Haja</t>
  </si>
  <si>
    <t>Desery</t>
  </si>
  <si>
    <t>Jimmy</t>
  </si>
  <si>
    <t>Henrietta</t>
  </si>
  <si>
    <t>Donell</t>
  </si>
  <si>
    <t>Julissa</t>
  </si>
  <si>
    <t>Marilenis</t>
  </si>
  <si>
    <t>Buthaynah</t>
  </si>
  <si>
    <t>Ervin</t>
  </si>
  <si>
    <t>Yesica</t>
  </si>
  <si>
    <t>Noah</t>
  </si>
  <si>
    <t>Engels</t>
  </si>
  <si>
    <t>Dorren</t>
  </si>
  <si>
    <t>Gilberto</t>
  </si>
  <si>
    <t>Velvet</t>
  </si>
  <si>
    <t>Corine</t>
  </si>
  <si>
    <t>Madelyn</t>
  </si>
  <si>
    <t>Latroya</t>
  </si>
  <si>
    <t>Zoraida</t>
  </si>
  <si>
    <t>Bienvenido</t>
  </si>
  <si>
    <t>Waidi</t>
  </si>
  <si>
    <t>Michiko</t>
  </si>
  <si>
    <t>Merlyn</t>
  </si>
  <si>
    <t>Sean</t>
  </si>
  <si>
    <t>Edgar</t>
  </si>
  <si>
    <t>Keith</t>
  </si>
  <si>
    <t>Afia</t>
  </si>
  <si>
    <t>Eileen</t>
  </si>
  <si>
    <t>Abigail</t>
  </si>
  <si>
    <t>Christian</t>
  </si>
  <si>
    <t>Taisha</t>
  </si>
  <si>
    <t>Patrice</t>
  </si>
  <si>
    <t>Ymelda</t>
  </si>
  <si>
    <t>Barton</t>
  </si>
  <si>
    <t>Adam</t>
  </si>
  <si>
    <t>Chesevah</t>
  </si>
  <si>
    <t>Herlin</t>
  </si>
  <si>
    <t>Davika</t>
  </si>
  <si>
    <t>Jamilah</t>
  </si>
  <si>
    <t>Jacinto</t>
  </si>
  <si>
    <t>Lakya</t>
  </si>
  <si>
    <t>Hamid</t>
  </si>
  <si>
    <t>Young Tae</t>
  </si>
  <si>
    <t>Susalin</t>
  </si>
  <si>
    <t>Aracelly</t>
  </si>
  <si>
    <t>Clarice</t>
  </si>
  <si>
    <t>Faruk</t>
  </si>
  <si>
    <t>Grace</t>
  </si>
  <si>
    <t>Miklos</t>
  </si>
  <si>
    <t>Marilu</t>
  </si>
  <si>
    <t>Trach</t>
  </si>
  <si>
    <t>Loi Sao</t>
  </si>
  <si>
    <t>Tenisha</t>
  </si>
  <si>
    <t>Choi Haug</t>
  </si>
  <si>
    <t>Qing Hai</t>
  </si>
  <si>
    <t>Glenda</t>
  </si>
  <si>
    <t>Dongqing</t>
  </si>
  <si>
    <t>Loretta</t>
  </si>
  <si>
    <t>Joyette</t>
  </si>
  <si>
    <t>Kevin</t>
  </si>
  <si>
    <t>Norkis</t>
  </si>
  <si>
    <t>Dudley</t>
  </si>
  <si>
    <t>Dolly</t>
  </si>
  <si>
    <t>Tameeka</t>
  </si>
  <si>
    <t>Julius</t>
  </si>
  <si>
    <t>Teddie</t>
  </si>
  <si>
    <t>Kysha</t>
  </si>
  <si>
    <t>Lisbeth</t>
  </si>
  <si>
    <t>Grecia</t>
  </si>
  <si>
    <t>Yoani</t>
  </si>
  <si>
    <t>Eufemia</t>
  </si>
  <si>
    <t>Susan</t>
  </si>
  <si>
    <t>Ellen</t>
  </si>
  <si>
    <t>Rafaelina</t>
  </si>
  <si>
    <t>Marjorie</t>
  </si>
  <si>
    <t>Karl</t>
  </si>
  <si>
    <t>Ashley</t>
  </si>
  <si>
    <t>Teasha</t>
  </si>
  <si>
    <t>Delfina</t>
  </si>
  <si>
    <t>Latoya</t>
  </si>
  <si>
    <t>Raheela</t>
  </si>
  <si>
    <t>Albert</t>
  </si>
  <si>
    <t>Emilia</t>
  </si>
  <si>
    <t>Sollinda</t>
  </si>
  <si>
    <t>Janelle</t>
  </si>
  <si>
    <t>Eduvigis</t>
  </si>
  <si>
    <t>Crisanta</t>
  </si>
  <si>
    <t>Lilliam</t>
  </si>
  <si>
    <t>Barreiro</t>
  </si>
  <si>
    <t>Humberto</t>
  </si>
  <si>
    <t>Khristen</t>
  </si>
  <si>
    <t>Heth</t>
  </si>
  <si>
    <t>Charmine</t>
  </si>
  <si>
    <t>Malika</t>
  </si>
  <si>
    <t>Allison</t>
  </si>
  <si>
    <t>Irene</t>
  </si>
  <si>
    <t>Gema</t>
  </si>
  <si>
    <t>Alida</t>
  </si>
  <si>
    <t>Latif</t>
  </si>
  <si>
    <t>Delroy</t>
  </si>
  <si>
    <t>Marcella</t>
  </si>
  <si>
    <t>Shaunte</t>
  </si>
  <si>
    <t>Dominique</t>
  </si>
  <si>
    <t>Mujahid</t>
  </si>
  <si>
    <t>Engracia</t>
  </si>
  <si>
    <t>Amarilis</t>
  </si>
  <si>
    <t>Amelia</t>
  </si>
  <si>
    <t>Matilde</t>
  </si>
  <si>
    <t>Peggy</t>
  </si>
  <si>
    <t>Francesca</t>
  </si>
  <si>
    <t>Genovera</t>
  </si>
  <si>
    <t>Zulma</t>
  </si>
  <si>
    <t>Noemi</t>
  </si>
  <si>
    <t>Yudania</t>
  </si>
  <si>
    <t>Margaret</t>
  </si>
  <si>
    <t>Willinda</t>
  </si>
  <si>
    <t>Rachel</t>
  </si>
  <si>
    <t>Flerida</t>
  </si>
  <si>
    <t>Kathy</t>
  </si>
  <si>
    <t>Ida</t>
  </si>
  <si>
    <t>Crimilda</t>
  </si>
  <si>
    <t>Danette</t>
  </si>
  <si>
    <t>Aura</t>
  </si>
  <si>
    <t>Christopher</t>
  </si>
  <si>
    <t>Venus</t>
  </si>
  <si>
    <t>Vilma</t>
  </si>
  <si>
    <t>Claudia</t>
  </si>
  <si>
    <t>Myrtle</t>
  </si>
  <si>
    <t>Katty</t>
  </si>
  <si>
    <t>Tyhessia</t>
  </si>
  <si>
    <t>Vicente</t>
  </si>
  <si>
    <t>Sheri</t>
  </si>
  <si>
    <t>Ibrahim</t>
  </si>
  <si>
    <t>Lavinia</t>
  </si>
  <si>
    <t>Cherly</t>
  </si>
  <si>
    <t>Eva</t>
  </si>
  <si>
    <t>Reynaldo</t>
  </si>
  <si>
    <t>Milady</t>
  </si>
  <si>
    <t>Mariana</t>
  </si>
  <si>
    <t>Eudacia</t>
  </si>
  <si>
    <t>Hilda</t>
  </si>
  <si>
    <t>Teodora</t>
  </si>
  <si>
    <t>Riquilin</t>
  </si>
  <si>
    <t>Neri</t>
  </si>
  <si>
    <t>Patric</t>
  </si>
  <si>
    <t>Celiana</t>
  </si>
  <si>
    <t>Diego</t>
  </si>
  <si>
    <t>Zenaida</t>
  </si>
  <si>
    <t>Daniella</t>
  </si>
  <si>
    <t>Nidia</t>
  </si>
  <si>
    <t>Kimberly</t>
  </si>
  <si>
    <t>Shaquana</t>
  </si>
  <si>
    <t>Zobeida</t>
  </si>
  <si>
    <t>Lilia</t>
  </si>
  <si>
    <t>Kathleen</t>
  </si>
  <si>
    <t>Violanda</t>
  </si>
  <si>
    <t>Valencia</t>
  </si>
  <si>
    <t>Abu</t>
  </si>
  <si>
    <t>Trina</t>
  </si>
  <si>
    <t>Cherilyn</t>
  </si>
  <si>
    <t>Shakema</t>
  </si>
  <si>
    <t>Alice</t>
  </si>
  <si>
    <t>Charmaine</t>
  </si>
  <si>
    <t>Todd</t>
  </si>
  <si>
    <t>Aurelia</t>
  </si>
  <si>
    <t>HIRAM</t>
  </si>
  <si>
    <t>Lakisha</t>
  </si>
  <si>
    <t>Charlotte</t>
  </si>
  <si>
    <t>Shu Ling</t>
  </si>
  <si>
    <t>Saabirah</t>
  </si>
  <si>
    <t>Estela</t>
  </si>
  <si>
    <t>Jeannette</t>
  </si>
  <si>
    <t>Dionne</t>
  </si>
  <si>
    <t>Jermaine</t>
  </si>
  <si>
    <t>Shelease</t>
  </si>
  <si>
    <t>Ramon</t>
  </si>
  <si>
    <t>Lalina</t>
  </si>
  <si>
    <t>Jaime</t>
  </si>
  <si>
    <t>Chaztatii</t>
  </si>
  <si>
    <t>Charise</t>
  </si>
  <si>
    <t>Kaileah</t>
  </si>
  <si>
    <t>Keriesa</t>
  </si>
  <si>
    <t>Janith</t>
  </si>
  <si>
    <t>Loriane</t>
  </si>
  <si>
    <t>Walter</t>
  </si>
  <si>
    <t>Mariela</t>
  </si>
  <si>
    <t>Obeb</t>
  </si>
  <si>
    <t>Abir</t>
  </si>
  <si>
    <t>Susie</t>
  </si>
  <si>
    <t>Martin</t>
  </si>
  <si>
    <t>Arbia</t>
  </si>
  <si>
    <t>Nargiza</t>
  </si>
  <si>
    <t>Elsy</t>
  </si>
  <si>
    <t>Miasia</t>
  </si>
  <si>
    <t>Didgeral</t>
  </si>
  <si>
    <t>Dorothea</t>
  </si>
  <si>
    <t>June</t>
  </si>
  <si>
    <t>Shahnaz</t>
  </si>
  <si>
    <t>Angelica</t>
  </si>
  <si>
    <t>Eliana</t>
  </si>
  <si>
    <t>Rosmira</t>
  </si>
  <si>
    <t>Cindy</t>
  </si>
  <si>
    <t>Ruth Ann</t>
  </si>
  <si>
    <t>Salina</t>
  </si>
  <si>
    <t>Janiene</t>
  </si>
  <si>
    <t>Mirbahar</t>
  </si>
  <si>
    <t>Vicky</t>
  </si>
  <si>
    <t>Rosemarie</t>
  </si>
  <si>
    <t>Danamarie</t>
  </si>
  <si>
    <t>Tauhid</t>
  </si>
  <si>
    <t>Ever</t>
  </si>
  <si>
    <t>Elicha</t>
  </si>
  <si>
    <t>Kelvin</t>
  </si>
  <si>
    <t>Ross</t>
  </si>
  <si>
    <t>Hao Ran</t>
  </si>
  <si>
    <t>Magnolia</t>
  </si>
  <si>
    <t>Benito</t>
  </si>
  <si>
    <t>Yacily</t>
  </si>
  <si>
    <t>Hector</t>
  </si>
  <si>
    <t>Savannah</t>
  </si>
  <si>
    <t>Caroline</t>
  </si>
  <si>
    <t>Aimee</t>
  </si>
  <si>
    <t>Josefina</t>
  </si>
  <si>
    <t>Yudelka</t>
  </si>
  <si>
    <t>Jane</t>
  </si>
  <si>
    <t>Lucrecia</t>
  </si>
  <si>
    <t>Rene</t>
  </si>
  <si>
    <t>Carla</t>
  </si>
  <si>
    <t>Alberto</t>
  </si>
  <si>
    <t>Saralyn</t>
  </si>
  <si>
    <t>Evelina</t>
  </si>
  <si>
    <t>Yaribel</t>
  </si>
  <si>
    <t>Hannah</t>
  </si>
  <si>
    <t>Kenny</t>
  </si>
  <si>
    <t>Paul</t>
  </si>
  <si>
    <t>Lidia</t>
  </si>
  <si>
    <t>Leroy</t>
  </si>
  <si>
    <t>Harrison</t>
  </si>
  <si>
    <t>Audrey</t>
  </si>
  <si>
    <t>Tijuanna</t>
  </si>
  <si>
    <t>Joy</t>
  </si>
  <si>
    <t>Damary</t>
  </si>
  <si>
    <t>Darnell</t>
  </si>
  <si>
    <t>Vandella</t>
  </si>
  <si>
    <t>Annmarie</t>
  </si>
  <si>
    <t>Jere</t>
  </si>
  <si>
    <t>Tyrone</t>
  </si>
  <si>
    <t>Darren</t>
  </si>
  <si>
    <t>Alvaro</t>
  </si>
  <si>
    <t>Mirella</t>
  </si>
  <si>
    <t>Nelly</t>
  </si>
  <si>
    <t>Anny</t>
  </si>
  <si>
    <t>Camille</t>
  </si>
  <si>
    <t>Ediltrudis</t>
  </si>
  <si>
    <t>Sergio</t>
  </si>
  <si>
    <t>Jardi</t>
  </si>
  <si>
    <t>Isaac</t>
  </si>
  <si>
    <t>Hunter</t>
  </si>
  <si>
    <t>Yadira</t>
  </si>
  <si>
    <t>Naomi</t>
  </si>
  <si>
    <t>Graciela</t>
  </si>
  <si>
    <t>Cosme</t>
  </si>
  <si>
    <t>Myranda</t>
  </si>
  <si>
    <t>Lurilla</t>
  </si>
  <si>
    <t>Zoila</t>
  </si>
  <si>
    <t>Aleysi</t>
  </si>
  <si>
    <t>Rosalia</t>
  </si>
  <si>
    <t>Modesta</t>
  </si>
  <si>
    <t>Elvida</t>
  </si>
  <si>
    <t>Fatima</t>
  </si>
  <si>
    <t>Pura</t>
  </si>
  <si>
    <t>Raphel</t>
  </si>
  <si>
    <t>Clifford</t>
  </si>
  <si>
    <t>Dannille</t>
  </si>
  <si>
    <t>Edilberto</t>
  </si>
  <si>
    <t>Zhu Ren</t>
  </si>
  <si>
    <t>Rui</t>
  </si>
  <si>
    <t>En</t>
  </si>
  <si>
    <t>Nadine</t>
  </si>
  <si>
    <t>Lorgia</t>
  </si>
  <si>
    <t>Chin</t>
  </si>
  <si>
    <t>Placido</t>
  </si>
  <si>
    <t>Joanna</t>
  </si>
  <si>
    <t>SUE JIN</t>
  </si>
  <si>
    <t>Hernan</t>
  </si>
  <si>
    <t>Raaheela</t>
  </si>
  <si>
    <t>Minghang</t>
  </si>
  <si>
    <t>Il</t>
  </si>
  <si>
    <t>Yoon Mo</t>
  </si>
  <si>
    <t>Young</t>
  </si>
  <si>
    <t>Zhenyang</t>
  </si>
  <si>
    <t>CAROLYN</t>
  </si>
  <si>
    <t>Jum Sim</t>
  </si>
  <si>
    <t>Kyoung Nim</t>
  </si>
  <si>
    <t>Lissette</t>
  </si>
  <si>
    <t>Evelyn</t>
  </si>
  <si>
    <t>Quinto</t>
  </si>
  <si>
    <t>Isidra</t>
  </si>
  <si>
    <t>Noel</t>
  </si>
  <si>
    <t>Clive</t>
  </si>
  <si>
    <t>Wilfredo</t>
  </si>
  <si>
    <t>Evette</t>
  </si>
  <si>
    <t>Pinkrose</t>
  </si>
  <si>
    <t>Phyliss</t>
  </si>
  <si>
    <t>Caridad</t>
  </si>
  <si>
    <t>Vaughn</t>
  </si>
  <si>
    <t>Melvin</t>
  </si>
  <si>
    <t>Catalano</t>
  </si>
  <si>
    <t>Cristian</t>
  </si>
  <si>
    <t>Lee</t>
  </si>
  <si>
    <t>Virgilio</t>
  </si>
  <si>
    <t>Jewel</t>
  </si>
  <si>
    <t>Shawn</t>
  </si>
  <si>
    <t>Myriam</t>
  </si>
  <si>
    <t>Ireen</t>
  </si>
  <si>
    <t>Man Hop</t>
  </si>
  <si>
    <t>Gabriella</t>
  </si>
  <si>
    <t>Sergei</t>
  </si>
  <si>
    <t>Antonia</t>
  </si>
  <si>
    <t>Kristen</t>
  </si>
  <si>
    <t>Bilan</t>
  </si>
  <si>
    <t>Marisa</t>
  </si>
  <si>
    <t>Francilia</t>
  </si>
  <si>
    <t>Floralba</t>
  </si>
  <si>
    <t>Kenia</t>
  </si>
  <si>
    <t>Nemesia</t>
  </si>
  <si>
    <t>Fidel</t>
  </si>
  <si>
    <t>Bishaisth</t>
  </si>
  <si>
    <t>Baboo</t>
  </si>
  <si>
    <t>Felicita</t>
  </si>
  <si>
    <t>Mudasiru</t>
  </si>
  <si>
    <t>YRALDA</t>
  </si>
  <si>
    <t>Yiraldy</t>
  </si>
  <si>
    <t>Ampara</t>
  </si>
  <si>
    <t>Morillo</t>
  </si>
  <si>
    <t>Dolore</t>
  </si>
  <si>
    <t>Antoinette</t>
  </si>
  <si>
    <t>Jennifer Cruz</t>
  </si>
  <si>
    <t>Marisol</t>
  </si>
  <si>
    <t>Socorro</t>
  </si>
  <si>
    <t>Leanice</t>
  </si>
  <si>
    <t>Afrikah</t>
  </si>
  <si>
    <t>Harvey</t>
  </si>
  <si>
    <t>Starquaisa</t>
  </si>
  <si>
    <t>Benanacio</t>
  </si>
  <si>
    <t>Blu</t>
  </si>
  <si>
    <t>Felicia</t>
  </si>
  <si>
    <t>Mesha</t>
  </si>
  <si>
    <t>Daouda</t>
  </si>
  <si>
    <t>Stephen</t>
  </si>
  <si>
    <t>Tania</t>
  </si>
  <si>
    <t>Carlina</t>
  </si>
  <si>
    <t>Prakash</t>
  </si>
  <si>
    <t>Mariam</t>
  </si>
  <si>
    <t>Marsie</t>
  </si>
  <si>
    <t>Demarie</t>
  </si>
  <si>
    <t>Delsia</t>
  </si>
  <si>
    <t>Ketty</t>
  </si>
  <si>
    <t>Ibrahima</t>
  </si>
  <si>
    <t>Winell</t>
  </si>
  <si>
    <t>Omayra</t>
  </si>
  <si>
    <t>Justin</t>
  </si>
  <si>
    <t>Johannie</t>
  </si>
  <si>
    <t>Cristina</t>
  </si>
  <si>
    <t>Lissa</t>
  </si>
  <si>
    <t>Amaury</t>
  </si>
  <si>
    <t>Kwadwo</t>
  </si>
  <si>
    <t>Shavon</t>
  </si>
  <si>
    <t>Maruja</t>
  </si>
  <si>
    <t>Pablo</t>
  </si>
  <si>
    <t>Nemesis</t>
  </si>
  <si>
    <t>Kiley</t>
  </si>
  <si>
    <t>Michaela</t>
  </si>
  <si>
    <t>Syeida</t>
  </si>
  <si>
    <t>Vantasia</t>
  </si>
  <si>
    <t>Delta</t>
  </si>
  <si>
    <t>Geni</t>
  </si>
  <si>
    <t>Claude</t>
  </si>
  <si>
    <t>Janice</t>
  </si>
  <si>
    <t>Edie</t>
  </si>
  <si>
    <t>Fleurida</t>
  </si>
  <si>
    <t>Vladimir</t>
  </si>
  <si>
    <t>Carlena</t>
  </si>
  <si>
    <t>Melba</t>
  </si>
  <si>
    <t>Elonis</t>
  </si>
  <si>
    <t>Gabby</t>
  </si>
  <si>
    <t>Diahann</t>
  </si>
  <si>
    <t>Lila</t>
  </si>
  <si>
    <t>Tedroy</t>
  </si>
  <si>
    <t>Jason</t>
  </si>
  <si>
    <t>Lubin</t>
  </si>
  <si>
    <t>Maryline</t>
  </si>
  <si>
    <t>Imelda</t>
  </si>
  <si>
    <t>Euginia</t>
  </si>
  <si>
    <t>Ridley</t>
  </si>
  <si>
    <t>Marsha</t>
  </si>
  <si>
    <t>Garcia</t>
  </si>
  <si>
    <t>SABRINA</t>
  </si>
  <si>
    <t>Zorro</t>
  </si>
  <si>
    <t>Marta</t>
  </si>
  <si>
    <t>Afiya</t>
  </si>
  <si>
    <t>Rhea</t>
  </si>
  <si>
    <t>Cherese</t>
  </si>
  <si>
    <t>Leonard</t>
  </si>
  <si>
    <t>Tori</t>
  </si>
  <si>
    <t>Anselma</t>
  </si>
  <si>
    <t>Boris</t>
  </si>
  <si>
    <t>Nedia</t>
  </si>
  <si>
    <t>Amalia</t>
  </si>
  <si>
    <t>Mayleen</t>
  </si>
  <si>
    <t>Theodore</t>
  </si>
  <si>
    <t>Tony</t>
  </si>
  <si>
    <t>Tiyanna</t>
  </si>
  <si>
    <t>Ralph</t>
  </si>
  <si>
    <t>Israel</t>
  </si>
  <si>
    <t>Alexandria</t>
  </si>
  <si>
    <t>Kenneth</t>
  </si>
  <si>
    <t>Isheen</t>
  </si>
  <si>
    <t>Jaytee</t>
  </si>
  <si>
    <t>Simone</t>
  </si>
  <si>
    <t>Elana</t>
  </si>
  <si>
    <t>Cassandra</t>
  </si>
  <si>
    <t>Antoine</t>
  </si>
  <si>
    <t>Catherine</t>
  </si>
  <si>
    <t>Marvilin</t>
  </si>
  <si>
    <t>Archie</t>
  </si>
  <si>
    <t>Tshura</t>
  </si>
  <si>
    <t>Fiordaliza</t>
  </si>
  <si>
    <t>Damon</t>
  </si>
  <si>
    <t>Kyianna</t>
  </si>
  <si>
    <t>Faisa</t>
  </si>
  <si>
    <t>Destiny</t>
  </si>
  <si>
    <t>Julien</t>
  </si>
  <si>
    <t>Sultane</t>
  </si>
  <si>
    <t>Lysa</t>
  </si>
  <si>
    <t>Bartola</t>
  </si>
  <si>
    <t>Vernetta</t>
  </si>
  <si>
    <t>Dilenia</t>
  </si>
  <si>
    <t>Laverne</t>
  </si>
  <si>
    <t>Mahranie</t>
  </si>
  <si>
    <t>Charmise</t>
  </si>
  <si>
    <t>Alisha</t>
  </si>
  <si>
    <t>Ganna</t>
  </si>
  <si>
    <t>Gilbert</t>
  </si>
  <si>
    <t>Johanna</t>
  </si>
  <si>
    <t>Joann</t>
  </si>
  <si>
    <t>Wilner</t>
  </si>
  <si>
    <t>Suzette</t>
  </si>
  <si>
    <t>Rafiah</t>
  </si>
  <si>
    <t>Jack</t>
  </si>
  <si>
    <t>Otasowie</t>
  </si>
  <si>
    <t>Diandre</t>
  </si>
  <si>
    <t>Jeanne</t>
  </si>
  <si>
    <t>Myrna</t>
  </si>
  <si>
    <t>Amina</t>
  </si>
  <si>
    <t>Gracemarie</t>
  </si>
  <si>
    <t>Ricarda</t>
  </si>
  <si>
    <t>Mardoqueo</t>
  </si>
  <si>
    <t>Gisela</t>
  </si>
  <si>
    <t>Lorenzo</t>
  </si>
  <si>
    <t>Elina</t>
  </si>
  <si>
    <t>Hope</t>
  </si>
  <si>
    <t>Jhonny</t>
  </si>
  <si>
    <t>Melody</t>
  </si>
  <si>
    <t>Natividad</t>
  </si>
  <si>
    <t>Nucleo</t>
  </si>
  <si>
    <t>Alma</t>
  </si>
  <si>
    <t>Chord Ling</t>
  </si>
  <si>
    <t>Yomaira</t>
  </si>
  <si>
    <t>Suzanne</t>
  </si>
  <si>
    <t>Osei</t>
  </si>
  <si>
    <t>Narcisa</t>
  </si>
  <si>
    <t>Amjad</t>
  </si>
  <si>
    <t>Yiny</t>
  </si>
  <si>
    <t>Michele</t>
  </si>
  <si>
    <t>Nicolette</t>
  </si>
  <si>
    <t>Eddelyn</t>
  </si>
  <si>
    <t>Nila</t>
  </si>
  <si>
    <t>Kyla</t>
  </si>
  <si>
    <t>Gul</t>
  </si>
  <si>
    <t>Jin</t>
  </si>
  <si>
    <t>Yinxiu</t>
  </si>
  <si>
    <t>Gerald</t>
  </si>
  <si>
    <t>Adel</t>
  </si>
  <si>
    <t>Bin</t>
  </si>
  <si>
    <t>Abdou</t>
  </si>
  <si>
    <t>Shamik</t>
  </si>
  <si>
    <t>Nilma</t>
  </si>
  <si>
    <t>Jenneha</t>
  </si>
  <si>
    <t>Rita</t>
  </si>
  <si>
    <t>Primanedga</t>
  </si>
  <si>
    <t>Calvin</t>
  </si>
  <si>
    <t>Geri</t>
  </si>
  <si>
    <t>Josheema</t>
  </si>
  <si>
    <t>Gueye</t>
  </si>
  <si>
    <t>Maribel</t>
  </si>
  <si>
    <t>Luzelbi</t>
  </si>
  <si>
    <t>Charity</t>
  </si>
  <si>
    <t>Eduarda</t>
  </si>
  <si>
    <t>Duanny</t>
  </si>
  <si>
    <t>Tyesha</t>
  </si>
  <si>
    <t>Yovanni</t>
  </si>
  <si>
    <t>Ruben</t>
  </si>
  <si>
    <t>Gladysmir</t>
  </si>
  <si>
    <t>Alba</t>
  </si>
  <si>
    <t>Yara</t>
  </si>
  <si>
    <t>Lena</t>
  </si>
  <si>
    <t>Sidney</t>
  </si>
  <si>
    <t>Fred</t>
  </si>
  <si>
    <t>Ouassa</t>
  </si>
  <si>
    <t>Marcos</t>
  </si>
  <si>
    <t>Lawrence</t>
  </si>
  <si>
    <t>Alnardo</t>
  </si>
  <si>
    <t>Ariana</t>
  </si>
  <si>
    <t>Devi</t>
  </si>
  <si>
    <t>Serrafin</t>
  </si>
  <si>
    <t>Lennie</t>
  </si>
  <si>
    <t>Cappucine</t>
  </si>
  <si>
    <t>Maricela</t>
  </si>
  <si>
    <t>Leonida</t>
  </si>
  <si>
    <t>Malasia</t>
  </si>
  <si>
    <t>Fressali</t>
  </si>
  <si>
    <t>Yojanna</t>
  </si>
  <si>
    <t>Iraida</t>
  </si>
  <si>
    <t>Rosalind</t>
  </si>
  <si>
    <t>Aixa</t>
  </si>
  <si>
    <t>Kofi</t>
  </si>
  <si>
    <t>Juliet</t>
  </si>
  <si>
    <t>Mecca</t>
  </si>
  <si>
    <t>Virgilla</t>
  </si>
  <si>
    <t>Anang</t>
  </si>
  <si>
    <t>Joseph</t>
  </si>
  <si>
    <t>Heeja</t>
  </si>
  <si>
    <t>Tamara</t>
  </si>
  <si>
    <t>Pauline</t>
  </si>
  <si>
    <t>Miguelina</t>
  </si>
  <si>
    <t>Albania</t>
  </si>
  <si>
    <t>Lourita</t>
  </si>
  <si>
    <t>Christin</t>
  </si>
  <si>
    <t>Nairoby</t>
  </si>
  <si>
    <t>Dante</t>
  </si>
  <si>
    <t>Ivo</t>
  </si>
  <si>
    <t>Benita</t>
  </si>
  <si>
    <t>Margareth</t>
  </si>
  <si>
    <t>Darrell</t>
  </si>
  <si>
    <t>Rufus</t>
  </si>
  <si>
    <t>Fabian</t>
  </si>
  <si>
    <t>Moduju</t>
  </si>
  <si>
    <t>Mazie</t>
  </si>
  <si>
    <t>Yvonnia</t>
  </si>
  <si>
    <t>Judy</t>
  </si>
  <si>
    <t>Gwenda</t>
  </si>
  <si>
    <t>Trudy</t>
  </si>
  <si>
    <t>Rukiya</t>
  </si>
  <si>
    <t>Abibatu</t>
  </si>
  <si>
    <t>Kearra</t>
  </si>
  <si>
    <t>Sidi</t>
  </si>
  <si>
    <t>Joi</t>
  </si>
  <si>
    <t>Katie</t>
  </si>
  <si>
    <t>Margo</t>
  </si>
  <si>
    <t>Shaun</t>
  </si>
  <si>
    <t>Renee</t>
  </si>
  <si>
    <t>Rahman</t>
  </si>
  <si>
    <t>Sherifat</t>
  </si>
  <si>
    <t>Lucienne</t>
  </si>
  <si>
    <t>Chinequa</t>
  </si>
  <si>
    <t>Renet</t>
  </si>
  <si>
    <t>Shahera</t>
  </si>
  <si>
    <t>Starsheema</t>
  </si>
  <si>
    <t>Maebell</t>
  </si>
  <si>
    <t>Tranae</t>
  </si>
  <si>
    <t>Sarah</t>
  </si>
  <si>
    <t>Williemae</t>
  </si>
  <si>
    <t>Gwendolyn</t>
  </si>
  <si>
    <t>Deneen</t>
  </si>
  <si>
    <t>Bianca</t>
  </si>
  <si>
    <t>Rolanda</t>
  </si>
  <si>
    <t>Johnnymae</t>
  </si>
  <si>
    <t>Cameyo</t>
  </si>
  <si>
    <t>Raliat</t>
  </si>
  <si>
    <t>Shelley</t>
  </si>
  <si>
    <t>Amoo</t>
  </si>
  <si>
    <t>Sernomia</t>
  </si>
  <si>
    <t>Idayat</t>
  </si>
  <si>
    <t>Domingo</t>
  </si>
  <si>
    <t>Della</t>
  </si>
  <si>
    <t>Harold</t>
  </si>
  <si>
    <t>Almetia</t>
  </si>
  <si>
    <t>Andrew</t>
  </si>
  <si>
    <t>Star</t>
  </si>
  <si>
    <t>Oleen</t>
  </si>
  <si>
    <t>Candyce</t>
  </si>
  <si>
    <t>Brannon</t>
  </si>
  <si>
    <t>Ebony</t>
  </si>
  <si>
    <t>Roc</t>
  </si>
  <si>
    <t>Anderson</t>
  </si>
  <si>
    <t>Arlene</t>
  </si>
  <si>
    <t>Tasliym</t>
  </si>
  <si>
    <t>Sydnee</t>
  </si>
  <si>
    <t>Armanda</t>
  </si>
  <si>
    <t>Zora</t>
  </si>
  <si>
    <t>Maretta</t>
  </si>
  <si>
    <t>Icemae</t>
  </si>
  <si>
    <t>Olayemi</t>
  </si>
  <si>
    <t>Trent</t>
  </si>
  <si>
    <t>Jeannine</t>
  </si>
  <si>
    <t>Janea</t>
  </si>
  <si>
    <t>Angelita</t>
  </si>
  <si>
    <t>Damien</t>
  </si>
  <si>
    <t>Altagrace</t>
  </si>
  <si>
    <t>Terrence</t>
  </si>
  <si>
    <t>Vera</t>
  </si>
  <si>
    <t>Linneth</t>
  </si>
  <si>
    <t>Delia</t>
  </si>
  <si>
    <t>Jill</t>
  </si>
  <si>
    <t>Shernelle</t>
  </si>
  <si>
    <t>Brendan</t>
  </si>
  <si>
    <t>Celestine</t>
  </si>
  <si>
    <t>Madaline</t>
  </si>
  <si>
    <t>Lilith</t>
  </si>
  <si>
    <t>Sadatu</t>
  </si>
  <si>
    <t>Nana</t>
  </si>
  <si>
    <t>Gabino</t>
  </si>
  <si>
    <t>Zulema</t>
  </si>
  <si>
    <t>Roman</t>
  </si>
  <si>
    <t>Mehira</t>
  </si>
  <si>
    <t>Braulia</t>
  </si>
  <si>
    <t>Cristobal</t>
  </si>
  <si>
    <t>Dimas</t>
  </si>
  <si>
    <t>Bernarda</t>
  </si>
  <si>
    <t>Glenys</t>
  </si>
  <si>
    <t>Edna</t>
  </si>
  <si>
    <t>Govchlya</t>
  </si>
  <si>
    <t>Jorinda</t>
  </si>
  <si>
    <t>Dalia Jaqueline</t>
  </si>
  <si>
    <t>Natacha</t>
  </si>
  <si>
    <t>Murris</t>
  </si>
  <si>
    <t>Dania</t>
  </si>
  <si>
    <t>Diogenes</t>
  </si>
  <si>
    <t>Marieme</t>
  </si>
  <si>
    <t>Mariel</t>
  </si>
  <si>
    <t>Eulogia</t>
  </si>
  <si>
    <t>Deana</t>
  </si>
  <si>
    <t>Maha</t>
  </si>
  <si>
    <t>Cardel</t>
  </si>
  <si>
    <t>Keiana</t>
  </si>
  <si>
    <t>Judith</t>
  </si>
  <si>
    <t>Florence</t>
  </si>
  <si>
    <t>Tianna</t>
  </si>
  <si>
    <t>Febrina</t>
  </si>
  <si>
    <t>Eugene</t>
  </si>
  <si>
    <t>Yocelyn</t>
  </si>
  <si>
    <t>Justina</t>
  </si>
  <si>
    <t>Lucindia</t>
  </si>
  <si>
    <t>Letisha</t>
  </si>
  <si>
    <t>Don</t>
  </si>
  <si>
    <t>Sana</t>
  </si>
  <si>
    <t>Geraldina</t>
  </si>
  <si>
    <t>cassandra</t>
  </si>
  <si>
    <t>Helena</t>
  </si>
  <si>
    <t>Nikcole</t>
  </si>
  <si>
    <t>Alaina</t>
  </si>
  <si>
    <t>Charisse</t>
  </si>
  <si>
    <t>Marva</t>
  </si>
  <si>
    <t>Hazel</t>
  </si>
  <si>
    <t>Deyaniris</t>
  </si>
  <si>
    <t>Yannette</t>
  </si>
  <si>
    <t>Johnny</t>
  </si>
  <si>
    <t>Jamie</t>
  </si>
  <si>
    <t>Deline</t>
  </si>
  <si>
    <t>Damaris</t>
  </si>
  <si>
    <t>Tishawna</t>
  </si>
  <si>
    <t>Kanayo</t>
  </si>
  <si>
    <t>Estelle</t>
  </si>
  <si>
    <t>Judelca</t>
  </si>
  <si>
    <t>Molly</t>
  </si>
  <si>
    <t>Kelly</t>
  </si>
  <si>
    <t>Salahuddin</t>
  </si>
  <si>
    <t>Rochell</t>
  </si>
  <si>
    <t>Sherry-Ann</t>
  </si>
  <si>
    <t>Bleuberthol</t>
  </si>
  <si>
    <t>Zondra</t>
  </si>
  <si>
    <t>Isha</t>
  </si>
  <si>
    <t>Nastassja</t>
  </si>
  <si>
    <t>Cherry-Ann</t>
  </si>
  <si>
    <t>Cecily</t>
  </si>
  <si>
    <t>Kenneshea</t>
  </si>
  <si>
    <t>Deonna</t>
  </si>
  <si>
    <t>Pearlina</t>
  </si>
  <si>
    <t>Max</t>
  </si>
  <si>
    <t>Natalia</t>
  </si>
  <si>
    <t>Toby</t>
  </si>
  <si>
    <t>Kafaba</t>
  </si>
  <si>
    <t>Pelagio</t>
  </si>
  <si>
    <t>Rosalba</t>
  </si>
  <si>
    <t>Ephemie</t>
  </si>
  <si>
    <t>Mustafa</t>
  </si>
  <si>
    <t>Rosaria</t>
  </si>
  <si>
    <t>Ed</t>
  </si>
  <si>
    <t>Maude</t>
  </si>
  <si>
    <t>Latrice</t>
  </si>
  <si>
    <t>Sherley</t>
  </si>
  <si>
    <t>Mst. Farida</t>
  </si>
  <si>
    <t>Jamal</t>
  </si>
  <si>
    <t>Aisha</t>
  </si>
  <si>
    <t>Frederick</t>
  </si>
  <si>
    <t>Mylah</t>
  </si>
  <si>
    <t>Ruby</t>
  </si>
  <si>
    <t>Sharif</t>
  </si>
  <si>
    <t>Moyosore</t>
  </si>
  <si>
    <t>Ernie</t>
  </si>
  <si>
    <t>Nurun</t>
  </si>
  <si>
    <t>Vernon</t>
  </si>
  <si>
    <t>Md.</t>
  </si>
  <si>
    <t>In Sun</t>
  </si>
  <si>
    <t>Test</t>
  </si>
  <si>
    <t>Inocencio</t>
  </si>
  <si>
    <t>Afua</t>
  </si>
  <si>
    <t>Hesham</t>
  </si>
  <si>
    <t>Doreen</t>
  </si>
  <si>
    <t>Chaka</t>
  </si>
  <si>
    <t>Vertell</t>
  </si>
  <si>
    <t>Antonai</t>
  </si>
  <si>
    <t>Farah</t>
  </si>
  <si>
    <t>Nellie</t>
  </si>
  <si>
    <t>AYDA</t>
  </si>
  <si>
    <t>Millie</t>
  </si>
  <si>
    <t>Dipsy</t>
  </si>
  <si>
    <t>Claudette</t>
  </si>
  <si>
    <t>Garo</t>
  </si>
  <si>
    <t>Shanika</t>
  </si>
  <si>
    <t>Mallchandra</t>
  </si>
  <si>
    <t>Sakura</t>
  </si>
  <si>
    <t>Abdelaali</t>
  </si>
  <si>
    <t>Mustapha</t>
  </si>
  <si>
    <t>Julianne</t>
  </si>
  <si>
    <t>Gustavo</t>
  </si>
  <si>
    <t>Edisa</t>
  </si>
  <si>
    <t>Devin</t>
  </si>
  <si>
    <t>Zachary</t>
  </si>
  <si>
    <t>Nefertari</t>
  </si>
  <si>
    <t>Darlene</t>
  </si>
  <si>
    <t>Lei</t>
  </si>
  <si>
    <t>Monira</t>
  </si>
  <si>
    <t>MIchelle</t>
  </si>
  <si>
    <t>Lattina</t>
  </si>
  <si>
    <t>Alara</t>
  </si>
  <si>
    <t>Sirilo</t>
  </si>
  <si>
    <t>Mandy</t>
  </si>
  <si>
    <t>Baryse</t>
  </si>
  <si>
    <t>Doretha</t>
  </si>
  <si>
    <t>Timmy</t>
  </si>
  <si>
    <t>Ventesa</t>
  </si>
  <si>
    <t>Rosanna</t>
  </si>
  <si>
    <t>Nathalia</t>
  </si>
  <si>
    <t>Lelar</t>
  </si>
  <si>
    <t>Souleymane</t>
  </si>
  <si>
    <t>Shawnie</t>
  </si>
  <si>
    <t>Saeed</t>
  </si>
  <si>
    <t>Latice</t>
  </si>
  <si>
    <t>Akua</t>
  </si>
  <si>
    <t>Shonniece</t>
  </si>
  <si>
    <t>Adrianne</t>
  </si>
  <si>
    <t>Connie</t>
  </si>
  <si>
    <t>Milly</t>
  </si>
  <si>
    <t>Manisha</t>
  </si>
  <si>
    <t>Wardell</t>
  </si>
  <si>
    <t>Wilmer</t>
  </si>
  <si>
    <t>Samba</t>
  </si>
  <si>
    <t>Dannielle</t>
  </si>
  <si>
    <t>Sanjoy</t>
  </si>
  <si>
    <t>Bertin</t>
  </si>
  <si>
    <t>Chetree</t>
  </si>
  <si>
    <t>Eliane</t>
  </si>
  <si>
    <t>Shaon</t>
  </si>
  <si>
    <t>Latanya</t>
  </si>
  <si>
    <t>Jon</t>
  </si>
  <si>
    <t>Ravi</t>
  </si>
  <si>
    <t>Ronald</t>
  </si>
  <si>
    <t>Desra</t>
  </si>
  <si>
    <t>Bryant</t>
  </si>
  <si>
    <t>Bennie</t>
  </si>
  <si>
    <t>Shakira</t>
  </si>
  <si>
    <t>Eshana</t>
  </si>
  <si>
    <t>Lavern</t>
  </si>
  <si>
    <t>Racquel</t>
  </si>
  <si>
    <t>Fanta</t>
  </si>
  <si>
    <t>Salamata</t>
  </si>
  <si>
    <t>Llyaseni</t>
  </si>
  <si>
    <t>Leoney</t>
  </si>
  <si>
    <t>Aminata</t>
  </si>
  <si>
    <t>Cheik</t>
  </si>
  <si>
    <t>Odette</t>
  </si>
  <si>
    <t>Jokeyda</t>
  </si>
  <si>
    <t>Dandio</t>
  </si>
  <si>
    <t>Dusley</t>
  </si>
  <si>
    <t>Rosalina</t>
  </si>
  <si>
    <t>Livia</t>
  </si>
  <si>
    <t>Rachelle</t>
  </si>
  <si>
    <t>Mariama</t>
  </si>
  <si>
    <t>Esramo</t>
  </si>
  <si>
    <t>Ovidian</t>
  </si>
  <si>
    <t>Arcides</t>
  </si>
  <si>
    <t>Marleny</t>
  </si>
  <si>
    <t>Jervine</t>
  </si>
  <si>
    <t>Ron</t>
  </si>
  <si>
    <t>Mariatou</t>
  </si>
  <si>
    <t>Baka</t>
  </si>
  <si>
    <t>Thomisina</t>
  </si>
  <si>
    <t>Haoua</t>
  </si>
  <si>
    <t>Dalcio</t>
  </si>
  <si>
    <t>Fatou</t>
  </si>
  <si>
    <t>Felix</t>
  </si>
  <si>
    <t>Shanice</t>
  </si>
  <si>
    <t>Stardasha</t>
  </si>
  <si>
    <t>Natsumi</t>
  </si>
  <si>
    <t>Mau Fong</t>
  </si>
  <si>
    <t>Jia Na</t>
  </si>
  <si>
    <t>Shui Jin</t>
  </si>
  <si>
    <t>Hussain</t>
  </si>
  <si>
    <t>Ghislaine</t>
  </si>
  <si>
    <t>Colleen</t>
  </si>
  <si>
    <t>Chastity</t>
  </si>
  <si>
    <t>Salvador</t>
  </si>
  <si>
    <t>Rosilyn</t>
  </si>
  <si>
    <t>Edgardo</t>
  </si>
  <si>
    <t>Josephina</t>
  </si>
  <si>
    <t>Tiffani</t>
  </si>
  <si>
    <t>Meliton</t>
  </si>
  <si>
    <t>Kairy</t>
  </si>
  <si>
    <t>Faith</t>
  </si>
  <si>
    <t>Lizmary</t>
  </si>
  <si>
    <t>Moses</t>
  </si>
  <si>
    <t>Lakeshia</t>
  </si>
  <si>
    <t>Fredman</t>
  </si>
  <si>
    <t>Trelane</t>
  </si>
  <si>
    <t>Stanford</t>
  </si>
  <si>
    <t>Maximo</t>
  </si>
  <si>
    <t>Contrese</t>
  </si>
  <si>
    <t>Jeanty</t>
  </si>
  <si>
    <t>Beth</t>
  </si>
  <si>
    <t>Dorreen</t>
  </si>
  <si>
    <t>Bertho</t>
  </si>
  <si>
    <t>Tanja</t>
  </si>
  <si>
    <t>Kwaku</t>
  </si>
  <si>
    <t>Kendra</t>
  </si>
  <si>
    <t>Alvin</t>
  </si>
  <si>
    <t>Ivelisse</t>
  </si>
  <si>
    <t>Fania</t>
  </si>
  <si>
    <t>Mattie</t>
  </si>
  <si>
    <t>Conchita</t>
  </si>
  <si>
    <t>Lekisha</t>
  </si>
  <si>
    <t>Ernestine</t>
  </si>
  <si>
    <t>Lloyd</t>
  </si>
  <si>
    <t>Bolivar</t>
  </si>
  <si>
    <t>Thelshea</t>
  </si>
  <si>
    <t>Heriberto</t>
  </si>
  <si>
    <t>Abdallah</t>
  </si>
  <si>
    <t>Babacar</t>
  </si>
  <si>
    <t>Aludin</t>
  </si>
  <si>
    <t>Nery</t>
  </si>
  <si>
    <t>Dalmar</t>
  </si>
  <si>
    <t>Alka</t>
  </si>
  <si>
    <t>Kassandra</t>
  </si>
  <si>
    <t>Joachim</t>
  </si>
  <si>
    <t>Alejandro</t>
  </si>
  <si>
    <t>Shanequa</t>
  </si>
  <si>
    <t>Nuria</t>
  </si>
  <si>
    <t>Amadou</t>
  </si>
  <si>
    <t>Yaniris</t>
  </si>
  <si>
    <t>Tanachi</t>
  </si>
  <si>
    <t>Dalmi</t>
  </si>
  <si>
    <t>Stevenson</t>
  </si>
  <si>
    <t>Yajaira</t>
  </si>
  <si>
    <t>Shaka</t>
  </si>
  <si>
    <t>Suheylee</t>
  </si>
  <si>
    <t>Erneticia</t>
  </si>
  <si>
    <t>Emerson</t>
  </si>
  <si>
    <t>Fausto</t>
  </si>
  <si>
    <t>Alsacia</t>
  </si>
  <si>
    <t>ELsa</t>
  </si>
  <si>
    <t>Shamark</t>
  </si>
  <si>
    <t>Felipe</t>
  </si>
  <si>
    <t>Deidre</t>
  </si>
  <si>
    <t>Tamar</t>
  </si>
  <si>
    <t>Marc</t>
  </si>
  <si>
    <t>Belgica</t>
  </si>
  <si>
    <t>Miladys</t>
  </si>
  <si>
    <t>Germania</t>
  </si>
  <si>
    <t>Alyssa</t>
  </si>
  <si>
    <t>Margirita</t>
  </si>
  <si>
    <t>Kieran</t>
  </si>
  <si>
    <t>Mireya</t>
  </si>
  <si>
    <t>Yamit</t>
  </si>
  <si>
    <t>Dirk</t>
  </si>
  <si>
    <t>Ernestina</t>
  </si>
  <si>
    <t>Neris</t>
  </si>
  <si>
    <t>Ydalia</t>
  </si>
  <si>
    <t>Joe</t>
  </si>
  <si>
    <t>Albita</t>
  </si>
  <si>
    <t>Celenia`</t>
  </si>
  <si>
    <t>Ari</t>
  </si>
  <si>
    <t>Richardson</t>
  </si>
  <si>
    <t>Ramira</t>
  </si>
  <si>
    <t>Ilza</t>
  </si>
  <si>
    <t>Ziola</t>
  </si>
  <si>
    <t>Nereyda</t>
  </si>
  <si>
    <t>Sonny</t>
  </si>
  <si>
    <t>Jules</t>
  </si>
  <si>
    <t>Fredrena</t>
  </si>
  <si>
    <t>Sedina</t>
  </si>
  <si>
    <t>Nydia</t>
  </si>
  <si>
    <t>Dara</t>
  </si>
  <si>
    <t>Nathalie</t>
  </si>
  <si>
    <t>Bethsy</t>
  </si>
  <si>
    <t>Takeisha</t>
  </si>
  <si>
    <t>Kerry</t>
  </si>
  <si>
    <t>Selvyn</t>
  </si>
  <si>
    <t>Aldena</t>
  </si>
  <si>
    <t>Byron</t>
  </si>
  <si>
    <t>Halima</t>
  </si>
  <si>
    <t>Roxanne</t>
  </si>
  <si>
    <t>Antonieta</t>
  </si>
  <si>
    <t>Sybil</t>
  </si>
  <si>
    <t>Nija</t>
  </si>
  <si>
    <t>Oneida</t>
  </si>
  <si>
    <t>Marcela</t>
  </si>
  <si>
    <t>Brette</t>
  </si>
  <si>
    <t>Debbie</t>
  </si>
  <si>
    <t>Daina</t>
  </si>
  <si>
    <t>Lola</t>
  </si>
  <si>
    <t>Alpha</t>
  </si>
  <si>
    <t>Waanibe</t>
  </si>
  <si>
    <t>Ramsey</t>
  </si>
  <si>
    <t>Colin</t>
  </si>
  <si>
    <t>Lucita</t>
  </si>
  <si>
    <t>Krystyna</t>
  </si>
  <si>
    <t>Bridgette</t>
  </si>
  <si>
    <t>Marian Valdez</t>
  </si>
  <si>
    <t>Mirian</t>
  </si>
  <si>
    <t>Chaunte</t>
  </si>
  <si>
    <t>Misae</t>
  </si>
  <si>
    <t>Felesha</t>
  </si>
  <si>
    <t>Lovasia</t>
  </si>
  <si>
    <t>Jenaire</t>
  </si>
  <si>
    <t>Latesha</t>
  </si>
  <si>
    <t>Teshawna</t>
  </si>
  <si>
    <t>Shavien</t>
  </si>
  <si>
    <t>Zelda</t>
  </si>
  <si>
    <t>Isi</t>
  </si>
  <si>
    <t>Yarisa</t>
  </si>
  <si>
    <t>Mary Ann</t>
  </si>
  <si>
    <t>Rahtisha</t>
  </si>
  <si>
    <t>Shanikqua</t>
  </si>
  <si>
    <t>Arisleyda</t>
  </si>
  <si>
    <t>Lynn Marie</t>
  </si>
  <si>
    <t>Lupita</t>
  </si>
  <si>
    <t>Leston</t>
  </si>
  <si>
    <t>Britney</t>
  </si>
  <si>
    <t>Chrysanthius</t>
  </si>
  <si>
    <t>Genitha</t>
  </si>
  <si>
    <t>Kamal</t>
  </si>
  <si>
    <t>Karyn</t>
  </si>
  <si>
    <t>Leonardo</t>
  </si>
  <si>
    <t>Carpenter</t>
  </si>
  <si>
    <t>Rodriguez</t>
  </si>
  <si>
    <t>Ye</t>
  </si>
  <si>
    <t>Mbow</t>
  </si>
  <si>
    <t>Ramos</t>
  </si>
  <si>
    <t>Gates</t>
  </si>
  <si>
    <t>Nakamura</t>
  </si>
  <si>
    <t>Girard</t>
  </si>
  <si>
    <t>Santos</t>
  </si>
  <si>
    <t>Diaz</t>
  </si>
  <si>
    <t>Lopez</t>
  </si>
  <si>
    <t>Bowen Nichols</t>
  </si>
  <si>
    <t>Caraballo</t>
  </si>
  <si>
    <t>Guzman</t>
  </si>
  <si>
    <t>De Fran</t>
  </si>
  <si>
    <t>Cramer</t>
  </si>
  <si>
    <t>Cabrera</t>
  </si>
  <si>
    <t>Avelino</t>
  </si>
  <si>
    <t>Reyes Fernandez</t>
  </si>
  <si>
    <t>Sepulveda</t>
  </si>
  <si>
    <t>Portella</t>
  </si>
  <si>
    <t>Newell</t>
  </si>
  <si>
    <t>Amezquita</t>
  </si>
  <si>
    <t>Mims</t>
  </si>
  <si>
    <t>Irizzary</t>
  </si>
  <si>
    <t>Neely</t>
  </si>
  <si>
    <t>Gonzalez</t>
  </si>
  <si>
    <t>Perkins</t>
  </si>
  <si>
    <t>Crucey</t>
  </si>
  <si>
    <t>Campbell</t>
  </si>
  <si>
    <t>Linsalato</t>
  </si>
  <si>
    <t>Boatswain</t>
  </si>
  <si>
    <t>Escoto</t>
  </si>
  <si>
    <t>Floyd</t>
  </si>
  <si>
    <t>Holley</t>
  </si>
  <si>
    <t>Cruz</t>
  </si>
  <si>
    <t>Ortega</t>
  </si>
  <si>
    <t>Smith</t>
  </si>
  <si>
    <t>Hudson</t>
  </si>
  <si>
    <t>Sarak</t>
  </si>
  <si>
    <t>Munoz</t>
  </si>
  <si>
    <t>Elliott</t>
  </si>
  <si>
    <t>Pang</t>
  </si>
  <si>
    <t>Cummings</t>
  </si>
  <si>
    <t>Theme</t>
  </si>
  <si>
    <t>Williams</t>
  </si>
  <si>
    <t>Allen</t>
  </si>
  <si>
    <t>Rice</t>
  </si>
  <si>
    <t>Wellington</t>
  </si>
  <si>
    <t>Baxter</t>
  </si>
  <si>
    <t>Jiggetts</t>
  </si>
  <si>
    <t>Cerio</t>
  </si>
  <si>
    <t>Roach</t>
  </si>
  <si>
    <t>Fothergill</t>
  </si>
  <si>
    <t>Denton</t>
  </si>
  <si>
    <t>Loadholt</t>
  </si>
  <si>
    <t>Abdullah</t>
  </si>
  <si>
    <t>loadholt</t>
  </si>
  <si>
    <t>Aristomene</t>
  </si>
  <si>
    <t>Blondet</t>
  </si>
  <si>
    <t>Deeges</t>
  </si>
  <si>
    <t>Conway</t>
  </si>
  <si>
    <t>Sanchez</t>
  </si>
  <si>
    <t>Guity</t>
  </si>
  <si>
    <t>Caballero</t>
  </si>
  <si>
    <t>Perera</t>
  </si>
  <si>
    <t>Blowe</t>
  </si>
  <si>
    <t>Hilario</t>
  </si>
  <si>
    <t>Bajwa</t>
  </si>
  <si>
    <t>Portilla</t>
  </si>
  <si>
    <t>Satous</t>
  </si>
  <si>
    <t>Saavedra</t>
  </si>
  <si>
    <t>Villalba</t>
  </si>
  <si>
    <t>Fajardo</t>
  </si>
  <si>
    <t>Jang</t>
  </si>
  <si>
    <t>Enriquez</t>
  </si>
  <si>
    <t>Khanam</t>
  </si>
  <si>
    <t>Moya</t>
  </si>
  <si>
    <t>Wilson</t>
  </si>
  <si>
    <t>Serpa</t>
  </si>
  <si>
    <t>Perez</t>
  </si>
  <si>
    <t>Mendoza</t>
  </si>
  <si>
    <t>Cifuentes</t>
  </si>
  <si>
    <t>Kenchen</t>
  </si>
  <si>
    <t>Marshall</t>
  </si>
  <si>
    <t>Carmona</t>
  </si>
  <si>
    <t>Rivera</t>
  </si>
  <si>
    <t>Seye</t>
  </si>
  <si>
    <t>Castro</t>
  </si>
  <si>
    <t>Bonner</t>
  </si>
  <si>
    <t>Estrada</t>
  </si>
  <si>
    <t>Polito</t>
  </si>
  <si>
    <t>Caesar</t>
  </si>
  <si>
    <t>Jacobs</t>
  </si>
  <si>
    <t>Companzano</t>
  </si>
  <si>
    <t>Pesquera</t>
  </si>
  <si>
    <t>Reynolds</t>
  </si>
  <si>
    <t>Bowen</t>
  </si>
  <si>
    <t>Chappell</t>
  </si>
  <si>
    <t>Betances</t>
  </si>
  <si>
    <t>Woody</t>
  </si>
  <si>
    <t>Simmons</t>
  </si>
  <si>
    <t>Gaston</t>
  </si>
  <si>
    <t>Sandoval</t>
  </si>
  <si>
    <t>Genoves</t>
  </si>
  <si>
    <t>Browne</t>
  </si>
  <si>
    <t>Maldonado</t>
  </si>
  <si>
    <t>Ziskind</t>
  </si>
  <si>
    <t>Foster</t>
  </si>
  <si>
    <t>Peralta</t>
  </si>
  <si>
    <t>Deas</t>
  </si>
  <si>
    <t>Coleman</t>
  </si>
  <si>
    <t>Tejada</t>
  </si>
  <si>
    <t>Puello</t>
  </si>
  <si>
    <t>Lugo</t>
  </si>
  <si>
    <t>Kruglova</t>
  </si>
  <si>
    <t>Nunez</t>
  </si>
  <si>
    <t>Camilo</t>
  </si>
  <si>
    <t>Batista</t>
  </si>
  <si>
    <t>Dejesus</t>
  </si>
  <si>
    <t>Chavez</t>
  </si>
  <si>
    <t>Xin</t>
  </si>
  <si>
    <t>Colon</t>
  </si>
  <si>
    <t>Bethea</t>
  </si>
  <si>
    <t>Genao</t>
  </si>
  <si>
    <t>Ojumu</t>
  </si>
  <si>
    <t>Abreu</t>
  </si>
  <si>
    <t>Miranda</t>
  </si>
  <si>
    <t>Herrera</t>
  </si>
  <si>
    <t>Zorrilla</t>
  </si>
  <si>
    <t>Pena</t>
  </si>
  <si>
    <t>Reynoso</t>
  </si>
  <si>
    <t>Andujar</t>
  </si>
  <si>
    <t>Trujillo</t>
  </si>
  <si>
    <t>Schneider</t>
  </si>
  <si>
    <t>Soacha</t>
  </si>
  <si>
    <t>Tolentino</t>
  </si>
  <si>
    <t>Lantigua</t>
  </si>
  <si>
    <t>Moran</t>
  </si>
  <si>
    <t>Vallecillo</t>
  </si>
  <si>
    <t>Portela</t>
  </si>
  <si>
    <t>Fernandez</t>
  </si>
  <si>
    <t>Vega</t>
  </si>
  <si>
    <t>Gil Abreu</t>
  </si>
  <si>
    <t>St. Jean</t>
  </si>
  <si>
    <t>Torres</t>
  </si>
  <si>
    <t>Schaller</t>
  </si>
  <si>
    <t>Grullon Pena</t>
  </si>
  <si>
    <t>Salas</t>
  </si>
  <si>
    <t>Joakim</t>
  </si>
  <si>
    <t>Vazquez</t>
  </si>
  <si>
    <t>Bogdanova</t>
  </si>
  <si>
    <t>Weitzman</t>
  </si>
  <si>
    <t>Guerrero</t>
  </si>
  <si>
    <t>Adams</t>
  </si>
  <si>
    <t>Guillen</t>
  </si>
  <si>
    <t>Jimenez</t>
  </si>
  <si>
    <t>Quiles</t>
  </si>
  <si>
    <t>Alcantara</t>
  </si>
  <si>
    <t>Castillo</t>
  </si>
  <si>
    <t>Almanzar</t>
  </si>
  <si>
    <t>De Leon</t>
  </si>
  <si>
    <t>Minaya</t>
  </si>
  <si>
    <t>Bouchereau</t>
  </si>
  <si>
    <t>Acevedo</t>
  </si>
  <si>
    <t>Grullon</t>
  </si>
  <si>
    <t>Taveras</t>
  </si>
  <si>
    <t>Meetze</t>
  </si>
  <si>
    <t>Bailley</t>
  </si>
  <si>
    <t>Thorn Taber</t>
  </si>
  <si>
    <t>Rojas</t>
  </si>
  <si>
    <t>Johnson</t>
  </si>
  <si>
    <t>Salamone</t>
  </si>
  <si>
    <t>Brujan</t>
  </si>
  <si>
    <t>Pellot</t>
  </si>
  <si>
    <t>Khan</t>
  </si>
  <si>
    <t>Saneaux</t>
  </si>
  <si>
    <t>Parker</t>
  </si>
  <si>
    <t>Arias</t>
  </si>
  <si>
    <t>Bobea</t>
  </si>
  <si>
    <t>Francisquini</t>
  </si>
  <si>
    <t>Bermudez</t>
  </si>
  <si>
    <t>Gomes</t>
  </si>
  <si>
    <t>Alvarez</t>
  </si>
  <si>
    <t>Velez</t>
  </si>
  <si>
    <t>Bland</t>
  </si>
  <si>
    <t>Cordero</t>
  </si>
  <si>
    <t>Callender</t>
  </si>
  <si>
    <t>Seelig</t>
  </si>
  <si>
    <t>Asencio</t>
  </si>
  <si>
    <t>Harris</t>
  </si>
  <si>
    <t>Inciarrano</t>
  </si>
  <si>
    <t>Osman</t>
  </si>
  <si>
    <t>Heslin</t>
  </si>
  <si>
    <t>Kelley</t>
  </si>
  <si>
    <t>Copeland</t>
  </si>
  <si>
    <t>Gay Campbell</t>
  </si>
  <si>
    <t>Gregg</t>
  </si>
  <si>
    <t>Cherry-Donaldson</t>
  </si>
  <si>
    <t>Varbero</t>
  </si>
  <si>
    <t>Amadeo</t>
  </si>
  <si>
    <t>Armstrong</t>
  </si>
  <si>
    <t>Poirier</t>
  </si>
  <si>
    <t>Robinson</t>
  </si>
  <si>
    <t>Romano</t>
  </si>
  <si>
    <t>Ogburn</t>
  </si>
  <si>
    <t>Lala</t>
  </si>
  <si>
    <t>Larossa</t>
  </si>
  <si>
    <t>Belen</t>
  </si>
  <si>
    <t>Butler Colon</t>
  </si>
  <si>
    <t>Statuto</t>
  </si>
  <si>
    <t>Zraick</t>
  </si>
  <si>
    <t>Irizarry</t>
  </si>
  <si>
    <t>Bishop</t>
  </si>
  <si>
    <t>Deleon</t>
  </si>
  <si>
    <t>Ruiz</t>
  </si>
  <si>
    <t>Rossi</t>
  </si>
  <si>
    <t>Khoury</t>
  </si>
  <si>
    <t>Moore</t>
  </si>
  <si>
    <t>Cintron Cosme</t>
  </si>
  <si>
    <t>Atkinson</t>
  </si>
  <si>
    <t>Sonko</t>
  </si>
  <si>
    <t>Medrano</t>
  </si>
  <si>
    <t>Metayer</t>
  </si>
  <si>
    <t>Carvajal</t>
  </si>
  <si>
    <t>Muriel</t>
  </si>
  <si>
    <t>Gomez-Diaz</t>
  </si>
  <si>
    <t>Laboy</t>
  </si>
  <si>
    <t>Davila</t>
  </si>
  <si>
    <t>Serrata</t>
  </si>
  <si>
    <t>Providence</t>
  </si>
  <si>
    <t>York</t>
  </si>
  <si>
    <t>Kunene</t>
  </si>
  <si>
    <t>Yakubov</t>
  </si>
  <si>
    <t>Moultrie</t>
  </si>
  <si>
    <t>Nunez de Arias</t>
  </si>
  <si>
    <t>Byrd</t>
  </si>
  <si>
    <t>Baldwin</t>
  </si>
  <si>
    <t>Espinosa</t>
  </si>
  <si>
    <t>Salcedo</t>
  </si>
  <si>
    <t>Traore</t>
  </si>
  <si>
    <t>De La Cruz Granado</t>
  </si>
  <si>
    <t>Florentino</t>
  </si>
  <si>
    <t>Madera</t>
  </si>
  <si>
    <t>Mellado</t>
  </si>
  <si>
    <t>Nasert</t>
  </si>
  <si>
    <t>Burgos</t>
  </si>
  <si>
    <t>Lora</t>
  </si>
  <si>
    <t>Blue</t>
  </si>
  <si>
    <t>King</t>
  </si>
  <si>
    <t>Davis</t>
  </si>
  <si>
    <t>McCants</t>
  </si>
  <si>
    <t>Luncheon</t>
  </si>
  <si>
    <t>Gaviria</t>
  </si>
  <si>
    <t>Linton</t>
  </si>
  <si>
    <t>Quevedo</t>
  </si>
  <si>
    <t>Cabral</t>
  </si>
  <si>
    <t>Easterlin</t>
  </si>
  <si>
    <t>Pompeu</t>
  </si>
  <si>
    <t>Cattaneo</t>
  </si>
  <si>
    <t>Salome</t>
  </si>
  <si>
    <t>Luciano</t>
  </si>
  <si>
    <t>Lilly</t>
  </si>
  <si>
    <t>Baez</t>
  </si>
  <si>
    <t>Reyes</t>
  </si>
  <si>
    <t>Bassano</t>
  </si>
  <si>
    <t>Zapata</t>
  </si>
  <si>
    <t>Hidalgo</t>
  </si>
  <si>
    <t>Waller</t>
  </si>
  <si>
    <t>Seward</t>
  </si>
  <si>
    <t>Yumor</t>
  </si>
  <si>
    <t>Morris</t>
  </si>
  <si>
    <t>Mendez</t>
  </si>
  <si>
    <t>Pineda</t>
  </si>
  <si>
    <t>Watkins</t>
  </si>
  <si>
    <t>Gregoire</t>
  </si>
  <si>
    <t>Gomez</t>
  </si>
  <si>
    <t>Franco</t>
  </si>
  <si>
    <t>La Salle</t>
  </si>
  <si>
    <t>Vargas</t>
  </si>
  <si>
    <t>McHenry</t>
  </si>
  <si>
    <t>Aquino</t>
  </si>
  <si>
    <t>Sellassie</t>
  </si>
  <si>
    <t>Barnes</t>
  </si>
  <si>
    <t>McLaughlin</t>
  </si>
  <si>
    <t>Segura</t>
  </si>
  <si>
    <t>Morales</t>
  </si>
  <si>
    <t>Douglas</t>
  </si>
  <si>
    <t>Compton</t>
  </si>
  <si>
    <t>Acosta</t>
  </si>
  <si>
    <t>Pastrana</t>
  </si>
  <si>
    <t>Azenabor</t>
  </si>
  <si>
    <t>Martinez</t>
  </si>
  <si>
    <t>Fermin-Pena</t>
  </si>
  <si>
    <t>Hogans</t>
  </si>
  <si>
    <t>Germoso</t>
  </si>
  <si>
    <t>Veras</t>
  </si>
  <si>
    <t>Vidal</t>
  </si>
  <si>
    <t>Weston</t>
  </si>
  <si>
    <t>Napoleon</t>
  </si>
  <si>
    <t>Castro- Escarraman</t>
  </si>
  <si>
    <t>Pimental</t>
  </si>
  <si>
    <t>Lawtone-Bowles</t>
  </si>
  <si>
    <t>Long</t>
  </si>
  <si>
    <t>Hicks</t>
  </si>
  <si>
    <t>Fullard</t>
  </si>
  <si>
    <t>MacNeil</t>
  </si>
  <si>
    <t>De Aza</t>
  </si>
  <si>
    <t>Brathwaite</t>
  </si>
  <si>
    <t>Lliguichuzhca</t>
  </si>
  <si>
    <t>Paredes</t>
  </si>
  <si>
    <t>Hamza</t>
  </si>
  <si>
    <t>Lozada</t>
  </si>
  <si>
    <t>Gibson</t>
  </si>
  <si>
    <t>De La Cruz</t>
  </si>
  <si>
    <t>Peeke</t>
  </si>
  <si>
    <t>Tejeda</t>
  </si>
  <si>
    <t>Bailey</t>
  </si>
  <si>
    <t>Reid</t>
  </si>
  <si>
    <t>Cornell</t>
  </si>
  <si>
    <t>Sotiroff</t>
  </si>
  <si>
    <t>Navarro</t>
  </si>
  <si>
    <t>Boria</t>
  </si>
  <si>
    <t>Donado</t>
  </si>
  <si>
    <t>Murillo</t>
  </si>
  <si>
    <t>Jubinsky</t>
  </si>
  <si>
    <t>Sims</t>
  </si>
  <si>
    <t>Osorio</t>
  </si>
  <si>
    <t>Mitchell</t>
  </si>
  <si>
    <t>Rosell</t>
  </si>
  <si>
    <t>Skinner</t>
  </si>
  <si>
    <t>Aurich</t>
  </si>
  <si>
    <t>Crespo</t>
  </si>
  <si>
    <t>Rosado</t>
  </si>
  <si>
    <t>Peters</t>
  </si>
  <si>
    <t>Calix</t>
  </si>
  <si>
    <t>Baksh</t>
  </si>
  <si>
    <t>McKinney</t>
  </si>
  <si>
    <t>Mojica</t>
  </si>
  <si>
    <t>Langley</t>
  </si>
  <si>
    <t>Whetstone</t>
  </si>
  <si>
    <t>Oguamanam</t>
  </si>
  <si>
    <t>Bello</t>
  </si>
  <si>
    <t>Ram</t>
  </si>
  <si>
    <t>Linares</t>
  </si>
  <si>
    <t>Bowes</t>
  </si>
  <si>
    <t>McKinnon</t>
  </si>
  <si>
    <t>Preciado</t>
  </si>
  <si>
    <t>Prince</t>
  </si>
  <si>
    <t>Costa</t>
  </si>
  <si>
    <t>Hernandez</t>
  </si>
  <si>
    <t>Mullings</t>
  </si>
  <si>
    <t>Robbins</t>
  </si>
  <si>
    <t>Griffith</t>
  </si>
  <si>
    <t>Himidian</t>
  </si>
  <si>
    <t>Ramirez</t>
  </si>
  <si>
    <t>Dingle</t>
  </si>
  <si>
    <t>Hamilton</t>
  </si>
  <si>
    <t>Denis</t>
  </si>
  <si>
    <t>Bibins</t>
  </si>
  <si>
    <t>Brown</t>
  </si>
  <si>
    <t>Knowles</t>
  </si>
  <si>
    <t>Rougier-Marshall</t>
  </si>
  <si>
    <t>Ford Simmons</t>
  </si>
  <si>
    <t>Jones (HO)</t>
  </si>
  <si>
    <t>Jones (NP)</t>
  </si>
  <si>
    <t>Perry</t>
  </si>
  <si>
    <t>McLawrence</t>
  </si>
  <si>
    <t>Chavarria</t>
  </si>
  <si>
    <t>Love</t>
  </si>
  <si>
    <t>Modica</t>
  </si>
  <si>
    <t>Pittman</t>
  </si>
  <si>
    <t>Izepia</t>
  </si>
  <si>
    <t>Francis</t>
  </si>
  <si>
    <t>leonard</t>
  </si>
  <si>
    <t>Brannigan</t>
  </si>
  <si>
    <t>Truick</t>
  </si>
  <si>
    <t>Leavitt</t>
  </si>
  <si>
    <t>Chrisme</t>
  </si>
  <si>
    <t>Bestman</t>
  </si>
  <si>
    <t>Lambert</t>
  </si>
  <si>
    <t>Vielot</t>
  </si>
  <si>
    <t>Black</t>
  </si>
  <si>
    <t>Worthen</t>
  </si>
  <si>
    <t>Hinton</t>
  </si>
  <si>
    <t>McGhee</t>
  </si>
  <si>
    <t>Nazario</t>
  </si>
  <si>
    <t>Fenton</t>
  </si>
  <si>
    <t>Sealy</t>
  </si>
  <si>
    <t>Wynn</t>
  </si>
  <si>
    <t>Gangi</t>
  </si>
  <si>
    <t>Figaro</t>
  </si>
  <si>
    <t>Colinet</t>
  </si>
  <si>
    <t>Almeida</t>
  </si>
  <si>
    <t>Campos</t>
  </si>
  <si>
    <t>Noorata</t>
  </si>
  <si>
    <t>Augustus</t>
  </si>
  <si>
    <t>Hodgson</t>
  </si>
  <si>
    <t>Saint Louis</t>
  </si>
  <si>
    <t>Springer</t>
  </si>
  <si>
    <t>Holder</t>
  </si>
  <si>
    <t>Young-Mark</t>
  </si>
  <si>
    <t>Skeete</t>
  </si>
  <si>
    <t>Ofulue</t>
  </si>
  <si>
    <t>Hawkins</t>
  </si>
  <si>
    <t>Rogers</t>
  </si>
  <si>
    <t>Grayson</t>
  </si>
  <si>
    <t>Robateau</t>
  </si>
  <si>
    <t>Telford</t>
  </si>
  <si>
    <t>Graham</t>
  </si>
  <si>
    <t>Stewart</t>
  </si>
  <si>
    <t>Newkirk</t>
  </si>
  <si>
    <t>Figueroa</t>
  </si>
  <si>
    <t>Adu</t>
  </si>
  <si>
    <t>Chestnut</t>
  </si>
  <si>
    <t>Turner-Matos</t>
  </si>
  <si>
    <t>McDowell-Butts</t>
  </si>
  <si>
    <t>Thompson</t>
  </si>
  <si>
    <t>Edmonds</t>
  </si>
  <si>
    <t>Terris</t>
  </si>
  <si>
    <t>Lucas</t>
  </si>
  <si>
    <t>Oyebade</t>
  </si>
  <si>
    <t>Davidson</t>
  </si>
  <si>
    <t>McDonald</t>
  </si>
  <si>
    <t>Fofana</t>
  </si>
  <si>
    <t>Shaw</t>
  </si>
  <si>
    <t>Ifill</t>
  </si>
  <si>
    <t>Logan</t>
  </si>
  <si>
    <t>Wever</t>
  </si>
  <si>
    <t>Tlatelpa</t>
  </si>
  <si>
    <t>Brewster-Simmons</t>
  </si>
  <si>
    <t>Violani</t>
  </si>
  <si>
    <t>White</t>
  </si>
  <si>
    <t>Sudin</t>
  </si>
  <si>
    <t>Oseid</t>
  </si>
  <si>
    <t>Durandisse</t>
  </si>
  <si>
    <t>Alexandre</t>
  </si>
  <si>
    <t>Quinn</t>
  </si>
  <si>
    <t>Flores</t>
  </si>
  <si>
    <t>Randolph</t>
  </si>
  <si>
    <t>Barreto</t>
  </si>
  <si>
    <t>de Souza-King</t>
  </si>
  <si>
    <t>Munroe</t>
  </si>
  <si>
    <t>Quach</t>
  </si>
  <si>
    <t>Kahan</t>
  </si>
  <si>
    <t>Chan</t>
  </si>
  <si>
    <t>Calise</t>
  </si>
  <si>
    <t>Belgrave</t>
  </si>
  <si>
    <t>Wilkinson</t>
  </si>
  <si>
    <t>Mcknight</t>
  </si>
  <si>
    <t>Smartt</t>
  </si>
  <si>
    <t>Powell</t>
  </si>
  <si>
    <t>DelRio</t>
  </si>
  <si>
    <t>Omatyar</t>
  </si>
  <si>
    <t>Goodwin</t>
  </si>
  <si>
    <t>Pou</t>
  </si>
  <si>
    <t>Baity</t>
  </si>
  <si>
    <t>Jones</t>
  </si>
  <si>
    <t>Washington</t>
  </si>
  <si>
    <t>Lisbon</t>
  </si>
  <si>
    <t>Simon</t>
  </si>
  <si>
    <t>Walker</t>
  </si>
  <si>
    <t>Kennedy</t>
  </si>
  <si>
    <t>Sancya</t>
  </si>
  <si>
    <t>Muller</t>
  </si>
  <si>
    <t>Bromell</t>
  </si>
  <si>
    <t>Baououi</t>
  </si>
  <si>
    <t>Tirado</t>
  </si>
  <si>
    <t>Surgeon</t>
  </si>
  <si>
    <t>Suru</t>
  </si>
  <si>
    <t>Mahon</t>
  </si>
  <si>
    <t>Goode</t>
  </si>
  <si>
    <t>Kemp</t>
  </si>
  <si>
    <t>Stevens</t>
  </si>
  <si>
    <t>Jolley</t>
  </si>
  <si>
    <t>Browne-James</t>
  </si>
  <si>
    <t>McCarter-Yates</t>
  </si>
  <si>
    <t>Respes</t>
  </si>
  <si>
    <t>Defreitas</t>
  </si>
  <si>
    <t>Coletta</t>
  </si>
  <si>
    <t>Brea</t>
  </si>
  <si>
    <t>Chatman</t>
  </si>
  <si>
    <t>Morgan</t>
  </si>
  <si>
    <t>Biggs</t>
  </si>
  <si>
    <t>Altgibers</t>
  </si>
  <si>
    <t>Seabrooks</t>
  </si>
  <si>
    <t>Velasquez</t>
  </si>
  <si>
    <t>DeChabert</t>
  </si>
  <si>
    <t>Carnegie</t>
  </si>
  <si>
    <t>Applewhite</t>
  </si>
  <si>
    <t>Brooks</t>
  </si>
  <si>
    <t>Daux</t>
  </si>
  <si>
    <t>Bernal</t>
  </si>
  <si>
    <t>Adesanya</t>
  </si>
  <si>
    <t>Lamberty</t>
  </si>
  <si>
    <t>Barfield</t>
  </si>
  <si>
    <t>Jarrell</t>
  </si>
  <si>
    <t>Brunson</t>
  </si>
  <si>
    <t>Reese</t>
  </si>
  <si>
    <t>Macias</t>
  </si>
  <si>
    <t>Fraser</t>
  </si>
  <si>
    <t>Hanes</t>
  </si>
  <si>
    <t>Hill</t>
  </si>
  <si>
    <t>Manzanillo</t>
  </si>
  <si>
    <t>Huarneck</t>
  </si>
  <si>
    <t>Blake</t>
  </si>
  <si>
    <t>Del Pilar Cabrera</t>
  </si>
  <si>
    <t>Stephens</t>
  </si>
  <si>
    <t>McCarthy</t>
  </si>
  <si>
    <t>Santana</t>
  </si>
  <si>
    <t>Faison</t>
  </si>
  <si>
    <t>Leon</t>
  </si>
  <si>
    <t>Randall</t>
  </si>
  <si>
    <t>Gonell</t>
  </si>
  <si>
    <t>Bragg</t>
  </si>
  <si>
    <t>Tweel</t>
  </si>
  <si>
    <t>Love Garris</t>
  </si>
  <si>
    <t>Shoup</t>
  </si>
  <si>
    <t>Sanders</t>
  </si>
  <si>
    <t>Robles</t>
  </si>
  <si>
    <t>Diatta</t>
  </si>
  <si>
    <t>Taylor</t>
  </si>
  <si>
    <t>Lindsey</t>
  </si>
  <si>
    <t>Nerys</t>
  </si>
  <si>
    <t>Augustin</t>
  </si>
  <si>
    <t>Urena</t>
  </si>
  <si>
    <t>Valverde</t>
  </si>
  <si>
    <t>Peng</t>
  </si>
  <si>
    <t>Covington</t>
  </si>
  <si>
    <t>Rolon</t>
  </si>
  <si>
    <t>Laird</t>
  </si>
  <si>
    <t>Saquic</t>
  </si>
  <si>
    <t>Mejia</t>
  </si>
  <si>
    <t>Bamaca</t>
  </si>
  <si>
    <t>Hamiduzzaman</t>
  </si>
  <si>
    <t>Zaman</t>
  </si>
  <si>
    <t>Oliveros</t>
  </si>
  <si>
    <t>Otero</t>
  </si>
  <si>
    <t>Sultana</t>
  </si>
  <si>
    <t>Tzul-Pacheco</t>
  </si>
  <si>
    <t>Mozeb</t>
  </si>
  <si>
    <t>Boylan</t>
  </si>
  <si>
    <t>Solomon</t>
  </si>
  <si>
    <t>Obie</t>
  </si>
  <si>
    <t>Caldwell</t>
  </si>
  <si>
    <t>Landis</t>
  </si>
  <si>
    <t>Scott</t>
  </si>
  <si>
    <t>Baker</t>
  </si>
  <si>
    <t>Varaques</t>
  </si>
  <si>
    <t>Andino</t>
  </si>
  <si>
    <t>Ghalib</t>
  </si>
  <si>
    <t>Kenneh</t>
  </si>
  <si>
    <t>Wesley</t>
  </si>
  <si>
    <t>Keyes</t>
  </si>
  <si>
    <t>Zeitler</t>
  </si>
  <si>
    <t>Rosquist</t>
  </si>
  <si>
    <t>Flotteron</t>
  </si>
  <si>
    <t>Bauminger</t>
  </si>
  <si>
    <t>Robillard</t>
  </si>
  <si>
    <t>Rothenberg</t>
  </si>
  <si>
    <t>Qi</t>
  </si>
  <si>
    <t>Horton</t>
  </si>
  <si>
    <t>Barrett</t>
  </si>
  <si>
    <t>Islam</t>
  </si>
  <si>
    <t>Scrubb</t>
  </si>
  <si>
    <t>Pariser</t>
  </si>
  <si>
    <t>Shabazz</t>
  </si>
  <si>
    <t>Taguchi</t>
  </si>
  <si>
    <t>Desmond</t>
  </si>
  <si>
    <t>Obregon</t>
  </si>
  <si>
    <t>Tanzil-Onne</t>
  </si>
  <si>
    <t>Shea</t>
  </si>
  <si>
    <t>Hayardeny</t>
  </si>
  <si>
    <t>Cole</t>
  </si>
  <si>
    <t>Caldero</t>
  </si>
  <si>
    <t>Hays</t>
  </si>
  <si>
    <t>Winkler</t>
  </si>
  <si>
    <t>Pounding</t>
  </si>
  <si>
    <t>Sumler</t>
  </si>
  <si>
    <t>Carbonell</t>
  </si>
  <si>
    <t>Miyamoto</t>
  </si>
  <si>
    <t>Munzer</t>
  </si>
  <si>
    <t>Zeno</t>
  </si>
  <si>
    <t>Leach</t>
  </si>
  <si>
    <t>Osbourne Garlington</t>
  </si>
  <si>
    <t>Nembhard</t>
  </si>
  <si>
    <t>Shaffner</t>
  </si>
  <si>
    <t>Banks</t>
  </si>
  <si>
    <t>Macaldo</t>
  </si>
  <si>
    <t>Cobb</t>
  </si>
  <si>
    <t>Miller</t>
  </si>
  <si>
    <t>Page</t>
  </si>
  <si>
    <t>Osbourne Garlinton</t>
  </si>
  <si>
    <t>Casado</t>
  </si>
  <si>
    <t>Addico</t>
  </si>
  <si>
    <t>Addison</t>
  </si>
  <si>
    <t>Grier</t>
  </si>
  <si>
    <t>Lockett</t>
  </si>
  <si>
    <t>McCain</t>
  </si>
  <si>
    <t>Gibbs</t>
  </si>
  <si>
    <t>Huston</t>
  </si>
  <si>
    <t>Isler</t>
  </si>
  <si>
    <t>Ulloa</t>
  </si>
  <si>
    <t>Warmack</t>
  </si>
  <si>
    <t>Alvarado</t>
  </si>
  <si>
    <t>Delaney</t>
  </si>
  <si>
    <t>Laureano</t>
  </si>
  <si>
    <t>Ocasio</t>
  </si>
  <si>
    <t>Simo</t>
  </si>
  <si>
    <t>Feliciano</t>
  </si>
  <si>
    <t>Bell</t>
  </si>
  <si>
    <t>Canady</t>
  </si>
  <si>
    <t>Arroyo</t>
  </si>
  <si>
    <t>Collins</t>
  </si>
  <si>
    <t>Headrington</t>
  </si>
  <si>
    <t>Sumpter</t>
  </si>
  <si>
    <t>Marrero</t>
  </si>
  <si>
    <t>Curry</t>
  </si>
  <si>
    <t>Sotomayor</t>
  </si>
  <si>
    <t>McClarin</t>
  </si>
  <si>
    <t>Roldan</t>
  </si>
  <si>
    <t>Harmon</t>
  </si>
  <si>
    <t>Eraham</t>
  </si>
  <si>
    <t>Lightle</t>
  </si>
  <si>
    <t>Scullark</t>
  </si>
  <si>
    <t>Dupree</t>
  </si>
  <si>
    <t>Tillman</t>
  </si>
  <si>
    <t>Paula de Garcia</t>
  </si>
  <si>
    <t>Ortiz</t>
  </si>
  <si>
    <t>Nesmith</t>
  </si>
  <si>
    <t>Serrano</t>
  </si>
  <si>
    <t>Carrion</t>
  </si>
  <si>
    <t>Galvan</t>
  </si>
  <si>
    <t>Smalls</t>
  </si>
  <si>
    <t>Cotter</t>
  </si>
  <si>
    <t>Texidor</t>
  </si>
  <si>
    <t>Webster</t>
  </si>
  <si>
    <t>Prater</t>
  </si>
  <si>
    <t>Melendez</t>
  </si>
  <si>
    <t>Rosales</t>
  </si>
  <si>
    <t>Kee</t>
  </si>
  <si>
    <t>McCowin</t>
  </si>
  <si>
    <t>Rodrigues</t>
  </si>
  <si>
    <t>Quezada</t>
  </si>
  <si>
    <t>Vasquez</t>
  </si>
  <si>
    <t>Dominguez</t>
  </si>
  <si>
    <t>Frimpong</t>
  </si>
  <si>
    <t>Estavez</t>
  </si>
  <si>
    <t>Gaines</t>
  </si>
  <si>
    <t>Mials</t>
  </si>
  <si>
    <t>Hough</t>
  </si>
  <si>
    <t>Chung</t>
  </si>
  <si>
    <t>French</t>
  </si>
  <si>
    <t>Perdomo</t>
  </si>
  <si>
    <t>Carrasquillo</t>
  </si>
  <si>
    <t>Robinison</t>
  </si>
  <si>
    <t>Bonneau</t>
  </si>
  <si>
    <t>Fonji</t>
  </si>
  <si>
    <t>Carroll</t>
  </si>
  <si>
    <t>Mays</t>
  </si>
  <si>
    <t>Wright</t>
  </si>
  <si>
    <t>Steptoe</t>
  </si>
  <si>
    <t>Crawford</t>
  </si>
  <si>
    <t>Johns</t>
  </si>
  <si>
    <t>Cato</t>
  </si>
  <si>
    <t>watson</t>
  </si>
  <si>
    <t>Guadelupe</t>
  </si>
  <si>
    <t>DAVIDSON- RHODES</t>
  </si>
  <si>
    <t>Owens</t>
  </si>
  <si>
    <t>Govan</t>
  </si>
  <si>
    <t>Cintron</t>
  </si>
  <si>
    <t>Bassett</t>
  </si>
  <si>
    <t>Burton</t>
  </si>
  <si>
    <t>sanchez</t>
  </si>
  <si>
    <t>Read</t>
  </si>
  <si>
    <t>Morrison</t>
  </si>
  <si>
    <t>Amponsah</t>
  </si>
  <si>
    <t>Lam</t>
  </si>
  <si>
    <t>Heard</t>
  </si>
  <si>
    <t>Cawley</t>
  </si>
  <si>
    <t>Galan</t>
  </si>
  <si>
    <t>Rondon</t>
  </si>
  <si>
    <t>Valeria</t>
  </si>
  <si>
    <t>Pastorello</t>
  </si>
  <si>
    <t>Fuseini</t>
  </si>
  <si>
    <t>Anarffi-Yamoah</t>
  </si>
  <si>
    <t>Estevez</t>
  </si>
  <si>
    <t>Nuralan</t>
  </si>
  <si>
    <t>Wortman</t>
  </si>
  <si>
    <t>Hibbert</t>
  </si>
  <si>
    <t>Hinson</t>
  </si>
  <si>
    <t>Webber</t>
  </si>
  <si>
    <t>Nublett</t>
  </si>
  <si>
    <t>Nieves</t>
  </si>
  <si>
    <t>Vergez</t>
  </si>
  <si>
    <t>Millan</t>
  </si>
  <si>
    <t>Coburn</t>
  </si>
  <si>
    <t>Jefferson</t>
  </si>
  <si>
    <t>Camara</t>
  </si>
  <si>
    <t>Hydara</t>
  </si>
  <si>
    <t>Taylor Toulson</t>
  </si>
  <si>
    <t>Dufflart</t>
  </si>
  <si>
    <t>Blaimayer</t>
  </si>
  <si>
    <t>paez</t>
  </si>
  <si>
    <t>Kotlyarenko</t>
  </si>
  <si>
    <t>Pandya</t>
  </si>
  <si>
    <t>Engesser</t>
  </si>
  <si>
    <t>An</t>
  </si>
  <si>
    <t>Castano</t>
  </si>
  <si>
    <t>Mercer</t>
  </si>
  <si>
    <t>Abrams</t>
  </si>
  <si>
    <t>Harris - Fenton</t>
  </si>
  <si>
    <t>Bramble</t>
  </si>
  <si>
    <t>Colon-Sierra</t>
  </si>
  <si>
    <t>Elvy</t>
  </si>
  <si>
    <t>Hayes</t>
  </si>
  <si>
    <t>Berry</t>
  </si>
  <si>
    <t>Doesserie-Mitchell</t>
  </si>
  <si>
    <t>Phillips</t>
  </si>
  <si>
    <t>Francois</t>
  </si>
  <si>
    <t>Levandov</t>
  </si>
  <si>
    <t>Chase</t>
  </si>
  <si>
    <t>Clarke</t>
  </si>
  <si>
    <t>Matthews</t>
  </si>
  <si>
    <t>Gooding</t>
  </si>
  <si>
    <t>Meracdo</t>
  </si>
  <si>
    <t>Manosalvas</t>
  </si>
  <si>
    <t>Catellanos</t>
  </si>
  <si>
    <t>Feagin</t>
  </si>
  <si>
    <t>Olmo</t>
  </si>
  <si>
    <t>Manoslavas</t>
  </si>
  <si>
    <t>Weber</t>
  </si>
  <si>
    <t>Wheeler</t>
  </si>
  <si>
    <t>Carmel</t>
  </si>
  <si>
    <t>Masako</t>
  </si>
  <si>
    <t>Pacht</t>
  </si>
  <si>
    <t>Levites</t>
  </si>
  <si>
    <t>Isidoro</t>
  </si>
  <si>
    <t>Chaphe</t>
  </si>
  <si>
    <t>Dillman</t>
  </si>
  <si>
    <t>Palaez</t>
  </si>
  <si>
    <t>McShane</t>
  </si>
  <si>
    <t>Hossain</t>
  </si>
  <si>
    <t>Morman</t>
  </si>
  <si>
    <t>KHAN</t>
  </si>
  <si>
    <t>Edwards</t>
  </si>
  <si>
    <t>Samuels</t>
  </si>
  <si>
    <t>Griffin</t>
  </si>
  <si>
    <t>Mason</t>
  </si>
  <si>
    <t>Portes</t>
  </si>
  <si>
    <t>Buntin</t>
  </si>
  <si>
    <t>Kerr</t>
  </si>
  <si>
    <t>Blackman</t>
  </si>
  <si>
    <t>Speer</t>
  </si>
  <si>
    <t>Jemima</t>
  </si>
  <si>
    <t>Holden</t>
  </si>
  <si>
    <t>Fite</t>
  </si>
  <si>
    <t>Walton</t>
  </si>
  <si>
    <t>Loumsby</t>
  </si>
  <si>
    <t>Salzman</t>
  </si>
  <si>
    <t>Seongbae</t>
  </si>
  <si>
    <t>Service</t>
  </si>
  <si>
    <t>DePompo</t>
  </si>
  <si>
    <t>Holman</t>
  </si>
  <si>
    <t>Walsh</t>
  </si>
  <si>
    <t>Waithe</t>
  </si>
  <si>
    <t>Duncan</t>
  </si>
  <si>
    <t>Mtambuzi</t>
  </si>
  <si>
    <t>Witherspoon</t>
  </si>
  <si>
    <t>Boatright</t>
  </si>
  <si>
    <t>Dunkin</t>
  </si>
  <si>
    <t>Wheelock</t>
  </si>
  <si>
    <t>Katzman</t>
  </si>
  <si>
    <t>Baptiste</t>
  </si>
  <si>
    <t>Philbert</t>
  </si>
  <si>
    <t>Charles Garrett</t>
  </si>
  <si>
    <t>Haywood</t>
  </si>
  <si>
    <t>Turner</t>
  </si>
  <si>
    <t>Sharpe</t>
  </si>
  <si>
    <t>Pratt</t>
  </si>
  <si>
    <t>Lowery</t>
  </si>
  <si>
    <t>Gardner</t>
  </si>
  <si>
    <t>Stafford</t>
  </si>
  <si>
    <t>Audige</t>
  </si>
  <si>
    <t>Bain</t>
  </si>
  <si>
    <t>Purvis</t>
  </si>
  <si>
    <t>Bowman</t>
  </si>
  <si>
    <t>Allmond</t>
  </si>
  <si>
    <t>Melville Johnson</t>
  </si>
  <si>
    <t>Toombs</t>
  </si>
  <si>
    <t>Leed</t>
  </si>
  <si>
    <t>Fernandez-McCall</t>
  </si>
  <si>
    <t>Giddings</t>
  </si>
  <si>
    <t>Alleyne</t>
  </si>
  <si>
    <t>Threets</t>
  </si>
  <si>
    <t>Patrong</t>
  </si>
  <si>
    <t>Porter</t>
  </si>
  <si>
    <t>Stalling</t>
  </si>
  <si>
    <t>Fernanders</t>
  </si>
  <si>
    <t>Ward</t>
  </si>
  <si>
    <t>Warnick</t>
  </si>
  <si>
    <t>Lugay</t>
  </si>
  <si>
    <t>Braun</t>
  </si>
  <si>
    <t>Tolbert</t>
  </si>
  <si>
    <t>Medina</t>
  </si>
  <si>
    <t>Tucker</t>
  </si>
  <si>
    <t>Collazo</t>
  </si>
  <si>
    <t>Benu</t>
  </si>
  <si>
    <t>Pearsall</t>
  </si>
  <si>
    <t>Sheen</t>
  </si>
  <si>
    <t>Whitfield</t>
  </si>
  <si>
    <t>Kabba</t>
  </si>
  <si>
    <t>Audain</t>
  </si>
  <si>
    <t>Sallah</t>
  </si>
  <si>
    <t>Haque</t>
  </si>
  <si>
    <t>Gado</t>
  </si>
  <si>
    <t>Carrasco</t>
  </si>
  <si>
    <t>Adames</t>
  </si>
  <si>
    <t>Simaha</t>
  </si>
  <si>
    <t>Cendena</t>
  </si>
  <si>
    <t>Marchena</t>
  </si>
  <si>
    <t>Monegro</t>
  </si>
  <si>
    <t>Ruffin-Robinson</t>
  </si>
  <si>
    <t>Ventura</t>
  </si>
  <si>
    <t>Bangura</t>
  </si>
  <si>
    <t>Sandiford</t>
  </si>
  <si>
    <t>Bond</t>
  </si>
  <si>
    <t>Matoes</t>
  </si>
  <si>
    <t>Lynch</t>
  </si>
  <si>
    <t>Svendsen Jr.</t>
  </si>
  <si>
    <t>Sillah</t>
  </si>
  <si>
    <t>Cain</t>
  </si>
  <si>
    <t>Jordan</t>
  </si>
  <si>
    <t>McKenzie</t>
  </si>
  <si>
    <t>Gyimah</t>
  </si>
  <si>
    <t>Muniz</t>
  </si>
  <si>
    <t>Villalona</t>
  </si>
  <si>
    <t>Paez</t>
  </si>
  <si>
    <t>Bennett</t>
  </si>
  <si>
    <t>Mease</t>
  </si>
  <si>
    <t>Yusuf</t>
  </si>
  <si>
    <t>Romero</t>
  </si>
  <si>
    <t>Polanco</t>
  </si>
  <si>
    <t>Velazquez</t>
  </si>
  <si>
    <t>Bradley</t>
  </si>
  <si>
    <t>Ombongo-Golden</t>
  </si>
  <si>
    <t>Mcgeachy</t>
  </si>
  <si>
    <t>Chaparro</t>
  </si>
  <si>
    <t>Falilatou</t>
  </si>
  <si>
    <t>Brache</t>
  </si>
  <si>
    <t>Burke</t>
  </si>
  <si>
    <t>Shepherd</t>
  </si>
  <si>
    <t>Owusuah</t>
  </si>
  <si>
    <t>Lowe</t>
  </si>
  <si>
    <t>Smiley</t>
  </si>
  <si>
    <t>Marmolejos</t>
  </si>
  <si>
    <t>Gallagher</t>
  </si>
  <si>
    <t>Cheuque</t>
  </si>
  <si>
    <t>Licthmore</t>
  </si>
  <si>
    <t>Sosa</t>
  </si>
  <si>
    <t>Prado</t>
  </si>
  <si>
    <t>Ramdath</t>
  </si>
  <si>
    <t>Rubinstein</t>
  </si>
  <si>
    <t>Huitzil Paleta</t>
  </si>
  <si>
    <t>Dewale</t>
  </si>
  <si>
    <t>Afzali</t>
  </si>
  <si>
    <t>Herrera Avalos</t>
  </si>
  <si>
    <t>Ahamed</t>
  </si>
  <si>
    <t>Upegui</t>
  </si>
  <si>
    <t>Fields</t>
  </si>
  <si>
    <t>Pek</t>
  </si>
  <si>
    <t>Phung</t>
  </si>
  <si>
    <t>Waldman</t>
  </si>
  <si>
    <t>Men</t>
  </si>
  <si>
    <t>Capers</t>
  </si>
  <si>
    <t>Tao</t>
  </si>
  <si>
    <t>Qiu</t>
  </si>
  <si>
    <t>Suazo</t>
  </si>
  <si>
    <t>Huang</t>
  </si>
  <si>
    <t>Rainey</t>
  </si>
  <si>
    <t>Bougouneau</t>
  </si>
  <si>
    <t>Stribling</t>
  </si>
  <si>
    <t>Glenn</t>
  </si>
  <si>
    <t>Ceneus</t>
  </si>
  <si>
    <t>Omadhan</t>
  </si>
  <si>
    <t>Hankerson</t>
  </si>
  <si>
    <t>Freeman</t>
  </si>
  <si>
    <t>Byfield</t>
  </si>
  <si>
    <t>McKelvey</t>
  </si>
  <si>
    <t>Cruz Lopez</t>
  </si>
  <si>
    <t>Caro</t>
  </si>
  <si>
    <t>Lopez Torres</t>
  </si>
  <si>
    <t>Toste</t>
  </si>
  <si>
    <t>Correa</t>
  </si>
  <si>
    <t>Rivas</t>
  </si>
  <si>
    <t>Pops</t>
  </si>
  <si>
    <t>Livermore</t>
  </si>
  <si>
    <t>Scales</t>
  </si>
  <si>
    <t>Willson</t>
  </si>
  <si>
    <t>Escobar</t>
  </si>
  <si>
    <t>Delgado</t>
  </si>
  <si>
    <t>Tariq</t>
  </si>
  <si>
    <t>Familia</t>
  </si>
  <si>
    <t>Falu</t>
  </si>
  <si>
    <t>Pacheco</t>
  </si>
  <si>
    <t>Rollins</t>
  </si>
  <si>
    <t>Almonte</t>
  </si>
  <si>
    <t>Bellber</t>
  </si>
  <si>
    <t>Pimentel</t>
  </si>
  <si>
    <t>Bido</t>
  </si>
  <si>
    <t>Encarnacion</t>
  </si>
  <si>
    <t>Segundo</t>
  </si>
  <si>
    <t>Avecillas</t>
  </si>
  <si>
    <t>Weinstein</t>
  </si>
  <si>
    <t>Maloney</t>
  </si>
  <si>
    <t>Cruz Balbi</t>
  </si>
  <si>
    <t>Warfield</t>
  </si>
  <si>
    <t>Couvertier</t>
  </si>
  <si>
    <t>Marte</t>
  </si>
  <si>
    <t>Romero Castro</t>
  </si>
  <si>
    <t>Garcia Cruz</t>
  </si>
  <si>
    <t>Summers</t>
  </si>
  <si>
    <t>Molina</t>
  </si>
  <si>
    <t>Valle</t>
  </si>
  <si>
    <t>Merino</t>
  </si>
  <si>
    <t>Watt</t>
  </si>
  <si>
    <t>Dixon</t>
  </si>
  <si>
    <t>Cardona</t>
  </si>
  <si>
    <t>Pelegrin</t>
  </si>
  <si>
    <t>Mazara</t>
  </si>
  <si>
    <t>Middleton</t>
  </si>
  <si>
    <t>Skeet</t>
  </si>
  <si>
    <t>Odems</t>
  </si>
  <si>
    <t>De Luna</t>
  </si>
  <si>
    <t>Neville</t>
  </si>
  <si>
    <t>Bee</t>
  </si>
  <si>
    <t>Rowland</t>
  </si>
  <si>
    <t>Checo</t>
  </si>
  <si>
    <t>Vegazo</t>
  </si>
  <si>
    <t>Vanderhorst</t>
  </si>
  <si>
    <t>Duran</t>
  </si>
  <si>
    <t>Vegerano</t>
  </si>
  <si>
    <t>Croom</t>
  </si>
  <si>
    <t>Justiniano</t>
  </si>
  <si>
    <t>Whiten</t>
  </si>
  <si>
    <t>Speller</t>
  </si>
  <si>
    <t>Matos</t>
  </si>
  <si>
    <t>Higgins</t>
  </si>
  <si>
    <t>Estrella</t>
  </si>
  <si>
    <t>Konzelman</t>
  </si>
  <si>
    <t>Otra</t>
  </si>
  <si>
    <t>Gautier</t>
  </si>
  <si>
    <t>Pagan</t>
  </si>
  <si>
    <t>Schaer</t>
  </si>
  <si>
    <t>Gaskin</t>
  </si>
  <si>
    <t>Blanchard</t>
  </si>
  <si>
    <t>Fortuna</t>
  </si>
  <si>
    <t>Gil Poche</t>
  </si>
  <si>
    <t>Frias</t>
  </si>
  <si>
    <t>carlesimo</t>
  </si>
  <si>
    <t>Quinones</t>
  </si>
  <si>
    <t>Evans</t>
  </si>
  <si>
    <t>Kahn</t>
  </si>
  <si>
    <t>Sow</t>
  </si>
  <si>
    <t>Avalo</t>
  </si>
  <si>
    <t>Konate</t>
  </si>
  <si>
    <t>Villegas</t>
  </si>
  <si>
    <t>Luna</t>
  </si>
  <si>
    <t>Ordonez</t>
  </si>
  <si>
    <t>Tavarez</t>
  </si>
  <si>
    <t>Minier</t>
  </si>
  <si>
    <t>De Pena</t>
  </si>
  <si>
    <t>Yearwood</t>
  </si>
  <si>
    <t>Espinal</t>
  </si>
  <si>
    <t>Pacifico</t>
  </si>
  <si>
    <t>Bolanos</t>
  </si>
  <si>
    <t>Del Rosario</t>
  </si>
  <si>
    <t>Midgette</t>
  </si>
  <si>
    <t>Baldayac</t>
  </si>
  <si>
    <t>Cisneros</t>
  </si>
  <si>
    <t>Stein</t>
  </si>
  <si>
    <t>Dotts</t>
  </si>
  <si>
    <t>Koroma</t>
  </si>
  <si>
    <t>Bannister</t>
  </si>
  <si>
    <t>Sajery</t>
  </si>
  <si>
    <t>Fisher</t>
  </si>
  <si>
    <t>Boyko</t>
  </si>
  <si>
    <t>Segal</t>
  </si>
  <si>
    <t>Santini</t>
  </si>
  <si>
    <t>ROMAN</t>
  </si>
  <si>
    <t>Seabrook</t>
  </si>
  <si>
    <t>Dodard</t>
  </si>
  <si>
    <t>Tomala</t>
  </si>
  <si>
    <t>Yang</t>
  </si>
  <si>
    <t>Emanuel</t>
  </si>
  <si>
    <t>Falconi</t>
  </si>
  <si>
    <t>Gray</t>
  </si>
  <si>
    <t>Felton</t>
  </si>
  <si>
    <t>Joa</t>
  </si>
  <si>
    <t>Donaldson</t>
  </si>
  <si>
    <t>Bashar</t>
  </si>
  <si>
    <t>Colasso</t>
  </si>
  <si>
    <t>McLennan</t>
  </si>
  <si>
    <t>Frizzelle</t>
  </si>
  <si>
    <t>Hostos</t>
  </si>
  <si>
    <t>German</t>
  </si>
  <si>
    <t>Steinberg</t>
  </si>
  <si>
    <t>Valentine</t>
  </si>
  <si>
    <t>Nicholson</t>
  </si>
  <si>
    <t>McGreer</t>
  </si>
  <si>
    <t>Willocle</t>
  </si>
  <si>
    <t>Longmore</t>
  </si>
  <si>
    <t>Austin</t>
  </si>
  <si>
    <t>Canjura</t>
  </si>
  <si>
    <t>Spector</t>
  </si>
  <si>
    <t>Eady</t>
  </si>
  <si>
    <t>Ali</t>
  </si>
  <si>
    <t>Dirubba</t>
  </si>
  <si>
    <t>Budnetz</t>
  </si>
  <si>
    <t>Moreno</t>
  </si>
  <si>
    <t>Lemus</t>
  </si>
  <si>
    <t>Yazid</t>
  </si>
  <si>
    <t>Mukhamadieva</t>
  </si>
  <si>
    <t>Pandydiego</t>
  </si>
  <si>
    <t>Tolliver</t>
  </si>
  <si>
    <t>Murray</t>
  </si>
  <si>
    <t>Saylor</t>
  </si>
  <si>
    <t>Coronel</t>
  </si>
  <si>
    <t>Choudhury</t>
  </si>
  <si>
    <t>Ansbro-Saghirashvili</t>
  </si>
  <si>
    <t>Minot</t>
  </si>
  <si>
    <t>Mejia De Espejo</t>
  </si>
  <si>
    <t>Montoya</t>
  </si>
  <si>
    <t>Canton</t>
  </si>
  <si>
    <t>Hogan</t>
  </si>
  <si>
    <t>Billingsley</t>
  </si>
  <si>
    <t>Miller Moore</t>
  </si>
  <si>
    <t>Castaneda</t>
  </si>
  <si>
    <t>Harper</t>
  </si>
  <si>
    <t>Adlam</t>
  </si>
  <si>
    <t>Talukdar</t>
  </si>
  <si>
    <t>Galindo</t>
  </si>
  <si>
    <t>Jenkins</t>
  </si>
  <si>
    <t>Rodgers</t>
  </si>
  <si>
    <t>Sun</t>
  </si>
  <si>
    <t>Ospina</t>
  </si>
  <si>
    <t>Dickey</t>
  </si>
  <si>
    <t>Carbuccia</t>
  </si>
  <si>
    <t>Pichardo</t>
  </si>
  <si>
    <t>Storms</t>
  </si>
  <si>
    <t>Custodio</t>
  </si>
  <si>
    <t>Mena</t>
  </si>
  <si>
    <t>Fuerte</t>
  </si>
  <si>
    <t>Toribio</t>
  </si>
  <si>
    <t>Aleman</t>
  </si>
  <si>
    <t>Tapia</t>
  </si>
  <si>
    <t>D'Orazio</t>
  </si>
  <si>
    <t>Alcindor</t>
  </si>
  <si>
    <t>Baus</t>
  </si>
  <si>
    <t>Pereyra</t>
  </si>
  <si>
    <t>Millerick</t>
  </si>
  <si>
    <t>Garcia Collado</t>
  </si>
  <si>
    <t>Santiesteban</t>
  </si>
  <si>
    <t>Penn</t>
  </si>
  <si>
    <t>Hargrove</t>
  </si>
  <si>
    <t>Payero</t>
  </si>
  <si>
    <t>Caughey</t>
  </si>
  <si>
    <t>Fendley</t>
  </si>
  <si>
    <t>Schiebel</t>
  </si>
  <si>
    <t>Calcano</t>
  </si>
  <si>
    <t>Montes De Oca</t>
  </si>
  <si>
    <t>Rosas</t>
  </si>
  <si>
    <t>Ramos Ceballos</t>
  </si>
  <si>
    <t>Henderson</t>
  </si>
  <si>
    <t>Channa</t>
  </si>
  <si>
    <t>Grant</t>
  </si>
  <si>
    <t>Gatling</t>
  </si>
  <si>
    <t>Worrell</t>
  </si>
  <si>
    <t>McNish</t>
  </si>
  <si>
    <t>Marajh</t>
  </si>
  <si>
    <t>Hustus</t>
  </si>
  <si>
    <t>Commissiong</t>
  </si>
  <si>
    <t>Wade</t>
  </si>
  <si>
    <t>Crevelle</t>
  </si>
  <si>
    <t>Key</t>
  </si>
  <si>
    <t>May</t>
  </si>
  <si>
    <t>Wrisdon</t>
  </si>
  <si>
    <t>Holland Upsher</t>
  </si>
  <si>
    <t>Engelson</t>
  </si>
  <si>
    <t>Jouvert</t>
  </si>
  <si>
    <t>Salaam</t>
  </si>
  <si>
    <t>Pressley</t>
  </si>
  <si>
    <t>Lemson</t>
  </si>
  <si>
    <t>Gillen</t>
  </si>
  <si>
    <t>Porro</t>
  </si>
  <si>
    <t>Arguelles</t>
  </si>
  <si>
    <t>Solis Verdesoto</t>
  </si>
  <si>
    <t>Soskind</t>
  </si>
  <si>
    <t>Berrios</t>
  </si>
  <si>
    <t>Farrar</t>
  </si>
  <si>
    <t>Murphey</t>
  </si>
  <si>
    <t>Caquias Ramos</t>
  </si>
  <si>
    <t>Quispe</t>
  </si>
  <si>
    <t>Steele</t>
  </si>
  <si>
    <t>Valles</t>
  </si>
  <si>
    <t>Chandler Coard</t>
  </si>
  <si>
    <t>Sweets</t>
  </si>
  <si>
    <t>McClucksey</t>
  </si>
  <si>
    <t>Rosas-Mejia</t>
  </si>
  <si>
    <t>De la Rosa</t>
  </si>
  <si>
    <t>Ponce</t>
  </si>
  <si>
    <t>Levine</t>
  </si>
  <si>
    <t>Liriano</t>
  </si>
  <si>
    <t>Richiez</t>
  </si>
  <si>
    <t>Gorham</t>
  </si>
  <si>
    <t>Caban</t>
  </si>
  <si>
    <t>McKellar</t>
  </si>
  <si>
    <t>McNatt</t>
  </si>
  <si>
    <t>Simeon</t>
  </si>
  <si>
    <t>Alston</t>
  </si>
  <si>
    <t>Canales</t>
  </si>
  <si>
    <t>Li</t>
  </si>
  <si>
    <t>Wu</t>
  </si>
  <si>
    <t>Zhang</t>
  </si>
  <si>
    <t>Lovett</t>
  </si>
  <si>
    <t>Muia</t>
  </si>
  <si>
    <t>Rusiecki</t>
  </si>
  <si>
    <t>Payamps</t>
  </si>
  <si>
    <t>Benjumea</t>
  </si>
  <si>
    <t>Ripalda</t>
  </si>
  <si>
    <t>CHOUNG</t>
  </si>
  <si>
    <t>Mosquera</t>
  </si>
  <si>
    <t>Arcentales</t>
  </si>
  <si>
    <t>Zhao</t>
  </si>
  <si>
    <t>Jheong</t>
  </si>
  <si>
    <t>Bensai</t>
  </si>
  <si>
    <t>Fan</t>
  </si>
  <si>
    <t>PICCOLI</t>
  </si>
  <si>
    <t>Delacruz</t>
  </si>
  <si>
    <t>Yim</t>
  </si>
  <si>
    <t>Fong</t>
  </si>
  <si>
    <t>Faini</t>
  </si>
  <si>
    <t>Willis</t>
  </si>
  <si>
    <t>Hatcher</t>
  </si>
  <si>
    <t>Marcano</t>
  </si>
  <si>
    <t>Seymore</t>
  </si>
  <si>
    <t>Billini</t>
  </si>
  <si>
    <t>Spain</t>
  </si>
  <si>
    <t>Salvatore</t>
  </si>
  <si>
    <t>Almestica</t>
  </si>
  <si>
    <t>Mohorn</t>
  </si>
  <si>
    <t>Fripp</t>
  </si>
  <si>
    <t>Musillo</t>
  </si>
  <si>
    <t>Silva</t>
  </si>
  <si>
    <t>Quiroz</t>
  </si>
  <si>
    <t>Nigg</t>
  </si>
  <si>
    <t>Gaumond</t>
  </si>
  <si>
    <t>Rodriguez Rodado</t>
  </si>
  <si>
    <t>Schand</t>
  </si>
  <si>
    <t>Cancel</t>
  </si>
  <si>
    <t>Chavis</t>
  </si>
  <si>
    <t>Cheng</t>
  </si>
  <si>
    <t>Mancuso</t>
  </si>
  <si>
    <t>Mosley</t>
  </si>
  <si>
    <t>Serebriakov</t>
  </si>
  <si>
    <t>Orona</t>
  </si>
  <si>
    <t>Bush</t>
  </si>
  <si>
    <t>Devitt</t>
  </si>
  <si>
    <t>Leibowitz</t>
  </si>
  <si>
    <t>Paraez</t>
  </si>
  <si>
    <t>Gutierrez</t>
  </si>
  <si>
    <t>Poteat</t>
  </si>
  <si>
    <t>Padilla</t>
  </si>
  <si>
    <t>Dunn-Moodie</t>
  </si>
  <si>
    <t>Toussaint</t>
  </si>
  <si>
    <t>Jackman</t>
  </si>
  <si>
    <t>Esquivel</t>
  </si>
  <si>
    <t>Bonilla</t>
  </si>
  <si>
    <t>Casilla</t>
  </si>
  <si>
    <t>Mirla</t>
  </si>
  <si>
    <t>Harryram</t>
  </si>
  <si>
    <t>Singh</t>
  </si>
  <si>
    <t>Berra</t>
  </si>
  <si>
    <t>Ferreria</t>
  </si>
  <si>
    <t>Hussein</t>
  </si>
  <si>
    <t>CRUZ</t>
  </si>
  <si>
    <t>Novas</t>
  </si>
  <si>
    <t>Berkeley</t>
  </si>
  <si>
    <t>Benacio</t>
  </si>
  <si>
    <t>Green</t>
  </si>
  <si>
    <t>Cuadrado</t>
  </si>
  <si>
    <t>Lindo</t>
  </si>
  <si>
    <t>Marti</t>
  </si>
  <si>
    <t>Tiabo</t>
  </si>
  <si>
    <t>Diabate</t>
  </si>
  <si>
    <t>Sebyatika</t>
  </si>
  <si>
    <t>Miner</t>
  </si>
  <si>
    <t>Diaz Quiles</t>
  </si>
  <si>
    <t>Harry</t>
  </si>
  <si>
    <t>Recabarren</t>
  </si>
  <si>
    <t>Sidibe</t>
  </si>
  <si>
    <t>Lantigua-Franco</t>
  </si>
  <si>
    <t>Rijo</t>
  </si>
  <si>
    <t>Oyola</t>
  </si>
  <si>
    <t>Hamer</t>
  </si>
  <si>
    <t>Adega</t>
  </si>
  <si>
    <t>Gonzales</t>
  </si>
  <si>
    <t>Coleman Raybe</t>
  </si>
  <si>
    <t>Marcucci</t>
  </si>
  <si>
    <t>Diallo</t>
  </si>
  <si>
    <t>Pinckney</t>
  </si>
  <si>
    <t>Burdier</t>
  </si>
  <si>
    <t>Linen</t>
  </si>
  <si>
    <t>Madden</t>
  </si>
  <si>
    <t>Battle</t>
  </si>
  <si>
    <t>Teye-Okofo</t>
  </si>
  <si>
    <t>Okomeng</t>
  </si>
  <si>
    <t>Bradshaw</t>
  </si>
  <si>
    <t>Rochez</t>
  </si>
  <si>
    <t>Nicolas</t>
  </si>
  <si>
    <t>Baldera</t>
  </si>
  <si>
    <t>Echenique</t>
  </si>
  <si>
    <t>Monroe</t>
  </si>
  <si>
    <t>Saturnin</t>
  </si>
  <si>
    <t>Nugent</t>
  </si>
  <si>
    <t>Beckles</t>
  </si>
  <si>
    <t>Solis</t>
  </si>
  <si>
    <t>Agard</t>
  </si>
  <si>
    <t>Carver</t>
  </si>
  <si>
    <t>Sharp</t>
  </si>
  <si>
    <t>Hairston</t>
  </si>
  <si>
    <t>Richards</t>
  </si>
  <si>
    <t>Wells</t>
  </si>
  <si>
    <t>Christmas</t>
  </si>
  <si>
    <t>Matty</t>
  </si>
  <si>
    <t>Burrows</t>
  </si>
  <si>
    <t>Dor</t>
  </si>
  <si>
    <t>Pompey</t>
  </si>
  <si>
    <t>Morain</t>
  </si>
  <si>
    <t>Watson</t>
  </si>
  <si>
    <t>SUAREZ</t>
  </si>
  <si>
    <t>Nistor</t>
  </si>
  <si>
    <t>Tanco</t>
  </si>
  <si>
    <t>Goch</t>
  </si>
  <si>
    <t>Blyden</t>
  </si>
  <si>
    <t>Bowe</t>
  </si>
  <si>
    <t>Olabiyi</t>
  </si>
  <si>
    <t>Sayers Joseph</t>
  </si>
  <si>
    <t>Hinkson</t>
  </si>
  <si>
    <t>Lewin</t>
  </si>
  <si>
    <t>Woolford</t>
  </si>
  <si>
    <t>Sancho</t>
  </si>
  <si>
    <t>Cheeks</t>
  </si>
  <si>
    <t>Boddie</t>
  </si>
  <si>
    <t>Cameron</t>
  </si>
  <si>
    <t>Best</t>
  </si>
  <si>
    <t>Spencer</t>
  </si>
  <si>
    <t>Barrionuevo</t>
  </si>
  <si>
    <t>Spurgeon</t>
  </si>
  <si>
    <t>Darby</t>
  </si>
  <si>
    <t>Holmes</t>
  </si>
  <si>
    <t>Sasson</t>
  </si>
  <si>
    <t>Wanko</t>
  </si>
  <si>
    <t>Cousin</t>
  </si>
  <si>
    <t>Stubbs</t>
  </si>
  <si>
    <t>Hiraldo</t>
  </si>
  <si>
    <t>Paula Martinez</t>
  </si>
  <si>
    <t>Patterson</t>
  </si>
  <si>
    <t>Tidwell</t>
  </si>
  <si>
    <t>Kinoo</t>
  </si>
  <si>
    <t>Narcisse</t>
  </si>
  <si>
    <t>Vanible</t>
  </si>
  <si>
    <t>Mickens</t>
  </si>
  <si>
    <t>Sawh</t>
  </si>
  <si>
    <t>Jourdain</t>
  </si>
  <si>
    <t>Alfuqaha</t>
  </si>
  <si>
    <t>DeLuCa</t>
  </si>
  <si>
    <t>Dubresil</t>
  </si>
  <si>
    <t>Olatidoye</t>
  </si>
  <si>
    <t>McNeill</t>
  </si>
  <si>
    <t>Hovey</t>
  </si>
  <si>
    <t>Gual</t>
  </si>
  <si>
    <t>Swain</t>
  </si>
  <si>
    <t>Mascuzzio</t>
  </si>
  <si>
    <t>Ayala</t>
  </si>
  <si>
    <t>Gil</t>
  </si>
  <si>
    <t>Donoso</t>
  </si>
  <si>
    <t>Iturbides</t>
  </si>
  <si>
    <t>Rondon Nunez</t>
  </si>
  <si>
    <t>Tsimaras</t>
  </si>
  <si>
    <t>Blumenthal</t>
  </si>
  <si>
    <t>Saun</t>
  </si>
  <si>
    <t>Aguiar</t>
  </si>
  <si>
    <t>Miles Henry</t>
  </si>
  <si>
    <t>Contreras</t>
  </si>
  <si>
    <t>Cochran</t>
  </si>
  <si>
    <t>Mateo</t>
  </si>
  <si>
    <t>Marizan</t>
  </si>
  <si>
    <t>Cortez</t>
  </si>
  <si>
    <t>D. Chauca</t>
  </si>
  <si>
    <t>Roberts</t>
  </si>
  <si>
    <t>Dattaray</t>
  </si>
  <si>
    <t>Dilone</t>
  </si>
  <si>
    <t>Ma</t>
  </si>
  <si>
    <t>Soriano</t>
  </si>
  <si>
    <t>Schwing</t>
  </si>
  <si>
    <t>Dminguez</t>
  </si>
  <si>
    <t>Cortorreal</t>
  </si>
  <si>
    <t>Boasiako</t>
  </si>
  <si>
    <t>Izquierdo</t>
  </si>
  <si>
    <t>Klapper</t>
  </si>
  <si>
    <t>Qayyem</t>
  </si>
  <si>
    <t>Suarez</t>
  </si>
  <si>
    <t>Pinero</t>
  </si>
  <si>
    <t>Britton</t>
  </si>
  <si>
    <t>Grate</t>
  </si>
  <si>
    <t>Moreau</t>
  </si>
  <si>
    <t>Nolan</t>
  </si>
  <si>
    <t>Dobbelaere</t>
  </si>
  <si>
    <t>Moona</t>
  </si>
  <si>
    <t>Chen</t>
  </si>
  <si>
    <t>Wang</t>
  </si>
  <si>
    <t>Larkin</t>
  </si>
  <si>
    <t>Emam</t>
  </si>
  <si>
    <t>Nixon</t>
  </si>
  <si>
    <t>Jallow</t>
  </si>
  <si>
    <t>Manneh</t>
  </si>
  <si>
    <t>Quiros</t>
  </si>
  <si>
    <t>Cooper</t>
  </si>
  <si>
    <t>Morabito</t>
  </si>
  <si>
    <t>Kerwick</t>
  </si>
  <si>
    <t>Sutherland</t>
  </si>
  <si>
    <t>Pitter</t>
  </si>
  <si>
    <t>Newton</t>
  </si>
  <si>
    <t>Bawuah</t>
  </si>
  <si>
    <t>Alkhassane</t>
  </si>
  <si>
    <t>McNear</t>
  </si>
  <si>
    <t>Silverio</t>
  </si>
  <si>
    <t>Henry</t>
  </si>
  <si>
    <t>Basurto</t>
  </si>
  <si>
    <t>Treitedny</t>
  </si>
  <si>
    <t>Manigault</t>
  </si>
  <si>
    <t>Salaman</t>
  </si>
  <si>
    <t>Meza</t>
  </si>
  <si>
    <t>Canavatchel</t>
  </si>
  <si>
    <t>Parson</t>
  </si>
  <si>
    <t>Plaza</t>
  </si>
  <si>
    <t>Combs</t>
  </si>
  <si>
    <t>Escalante</t>
  </si>
  <si>
    <t>Di Giorno</t>
  </si>
  <si>
    <t>Patrone</t>
  </si>
  <si>
    <t>Colbert</t>
  </si>
  <si>
    <t>Guthridge</t>
  </si>
  <si>
    <t>Harden</t>
  </si>
  <si>
    <t>Laguer</t>
  </si>
  <si>
    <t>Chambers</t>
  </si>
  <si>
    <t>Clark</t>
  </si>
  <si>
    <t>Williamson</t>
  </si>
  <si>
    <t>Mueses</t>
  </si>
  <si>
    <t>Camacho</t>
  </si>
  <si>
    <t>Arouna</t>
  </si>
  <si>
    <t>Parnell</t>
  </si>
  <si>
    <t>Blalock</t>
  </si>
  <si>
    <t>Ashwood</t>
  </si>
  <si>
    <t>Mullins</t>
  </si>
  <si>
    <t>Lam Chang</t>
  </si>
  <si>
    <t>Cahill</t>
  </si>
  <si>
    <t>Apparicio</t>
  </si>
  <si>
    <t>Mejias</t>
  </si>
  <si>
    <t>De Los Santos</t>
  </si>
  <si>
    <t>Wainwright</t>
  </si>
  <si>
    <t>DeLeon</t>
  </si>
  <si>
    <t>Aristy</t>
  </si>
  <si>
    <t>Jose De Garcia</t>
  </si>
  <si>
    <t>Brazell</t>
  </si>
  <si>
    <t>Pujols</t>
  </si>
  <si>
    <t>Asante</t>
  </si>
  <si>
    <t>Waul</t>
  </si>
  <si>
    <t>de Estevez</t>
  </si>
  <si>
    <t>Jamison</t>
  </si>
  <si>
    <t>Handy</t>
  </si>
  <si>
    <t>McKay</t>
  </si>
  <si>
    <t>Tawiah</t>
  </si>
  <si>
    <t>Suber</t>
  </si>
  <si>
    <t>Deaza</t>
  </si>
  <si>
    <t>Velaquez</t>
  </si>
  <si>
    <t>Wray</t>
  </si>
  <si>
    <t>Lebron</t>
  </si>
  <si>
    <t>Soler</t>
  </si>
  <si>
    <t>Shegog</t>
  </si>
  <si>
    <t>Bratton</t>
  </si>
  <si>
    <t>Gordon</t>
  </si>
  <si>
    <t>Orlic</t>
  </si>
  <si>
    <t>Belches</t>
  </si>
  <si>
    <t>Arce</t>
  </si>
  <si>
    <t>Lamar</t>
  </si>
  <si>
    <t>Frye</t>
  </si>
  <si>
    <t>Lilley</t>
  </si>
  <si>
    <t>Booker</t>
  </si>
  <si>
    <t>Adigun</t>
  </si>
  <si>
    <t>Jefferey</t>
  </si>
  <si>
    <t>Mullin</t>
  </si>
  <si>
    <t>Gadsden</t>
  </si>
  <si>
    <t>Belin</t>
  </si>
  <si>
    <t>McIntosh</t>
  </si>
  <si>
    <t>Rowe</t>
  </si>
  <si>
    <t>Foxe</t>
  </si>
  <si>
    <t>Konteh</t>
  </si>
  <si>
    <t>McCullovgh</t>
  </si>
  <si>
    <t>Cockfield</t>
  </si>
  <si>
    <t>McCartney</t>
  </si>
  <si>
    <t>Somorin</t>
  </si>
  <si>
    <t>Durham</t>
  </si>
  <si>
    <t>Lyons</t>
  </si>
  <si>
    <t>Poole</t>
  </si>
  <si>
    <t>McMurtry Somerville</t>
  </si>
  <si>
    <t>Hunte</t>
  </si>
  <si>
    <t>Cotton</t>
  </si>
  <si>
    <t>Peterkin</t>
  </si>
  <si>
    <t>Dawodu</t>
  </si>
  <si>
    <t>Omisola</t>
  </si>
  <si>
    <t>Lombard</t>
  </si>
  <si>
    <t>Franks</t>
  </si>
  <si>
    <t>Fortune</t>
  </si>
  <si>
    <t>Merritt</t>
  </si>
  <si>
    <t>St Louis</t>
  </si>
  <si>
    <t>Daniels</t>
  </si>
  <si>
    <t>Mcrae</t>
  </si>
  <si>
    <t>Vanterpool</t>
  </si>
  <si>
    <t>Pettus</t>
  </si>
  <si>
    <t>Blondell</t>
  </si>
  <si>
    <t>O'Conner Middleton</t>
  </si>
  <si>
    <t>Saunders Burks</t>
  </si>
  <si>
    <t>Locklear</t>
  </si>
  <si>
    <t>Boomer</t>
  </si>
  <si>
    <t>Brinson</t>
  </si>
  <si>
    <t>Buckle</t>
  </si>
  <si>
    <t>Stone</t>
  </si>
  <si>
    <t>Jean-Simon</t>
  </si>
  <si>
    <t>Manning</t>
  </si>
  <si>
    <t>Gras</t>
  </si>
  <si>
    <t>Calabrese</t>
  </si>
  <si>
    <t>Bettis</t>
  </si>
  <si>
    <t>Adeleye</t>
  </si>
  <si>
    <t>Correy</t>
  </si>
  <si>
    <t>Dubois</t>
  </si>
  <si>
    <t>Akinyele</t>
  </si>
  <si>
    <t>Hart</t>
  </si>
  <si>
    <t>Stokes</t>
  </si>
  <si>
    <t>Winston-Orr</t>
  </si>
  <si>
    <t>Roseboro</t>
  </si>
  <si>
    <t>Debnam</t>
  </si>
  <si>
    <t>Lawal</t>
  </si>
  <si>
    <t>Kinsey-Clark</t>
  </si>
  <si>
    <t>Cardenas</t>
  </si>
  <si>
    <t>Furs</t>
  </si>
  <si>
    <t>Yates</t>
  </si>
  <si>
    <t>Mainor</t>
  </si>
  <si>
    <t>Sarvis</t>
  </si>
  <si>
    <t>Fowler</t>
  </si>
  <si>
    <t>Faulk</t>
  </si>
  <si>
    <t>Nwaoha</t>
  </si>
  <si>
    <t>St. Louis</t>
  </si>
  <si>
    <t>Greene</t>
  </si>
  <si>
    <t>Saheed</t>
  </si>
  <si>
    <t>Fadeyi</t>
  </si>
  <si>
    <t>Montalvo</t>
  </si>
  <si>
    <t>Regis</t>
  </si>
  <si>
    <t>Fashionne</t>
  </si>
  <si>
    <t>Magny</t>
  </si>
  <si>
    <t>Kellman</t>
  </si>
  <si>
    <t>Barlon</t>
  </si>
  <si>
    <t>Leitch</t>
  </si>
  <si>
    <t>Corriders</t>
  </si>
  <si>
    <t>Harewood</t>
  </si>
  <si>
    <t>Brewer</t>
  </si>
  <si>
    <t>Hardamon</t>
  </si>
  <si>
    <t>Arnold</t>
  </si>
  <si>
    <t>Downes</t>
  </si>
  <si>
    <t>Abiodun</t>
  </si>
  <si>
    <t>Wise</t>
  </si>
  <si>
    <t>Bates</t>
  </si>
  <si>
    <t>Argentin</t>
  </si>
  <si>
    <t>Vogel</t>
  </si>
  <si>
    <t>Gouraige</t>
  </si>
  <si>
    <t>Buchanan</t>
  </si>
  <si>
    <t>Tempey</t>
  </si>
  <si>
    <t>Golson</t>
  </si>
  <si>
    <t>Aime</t>
  </si>
  <si>
    <t>Burnett</t>
  </si>
  <si>
    <t>Rookwood</t>
  </si>
  <si>
    <t>Bookman</t>
  </si>
  <si>
    <t>Delaine</t>
  </si>
  <si>
    <t>Goodridge</t>
  </si>
  <si>
    <t>Mestizo</t>
  </si>
  <si>
    <t>Andrews</t>
  </si>
  <si>
    <t>Frazier</t>
  </si>
  <si>
    <t>Stephenson</t>
  </si>
  <si>
    <t>Nunes</t>
  </si>
  <si>
    <t>Buckley</t>
  </si>
  <si>
    <t>Van Benschoten</t>
  </si>
  <si>
    <t>Shapiro</t>
  </si>
  <si>
    <t>Vilsaint</t>
  </si>
  <si>
    <t>Jacobsen</t>
  </si>
  <si>
    <t>Cadet</t>
  </si>
  <si>
    <t>Usman</t>
  </si>
  <si>
    <t>Boakye</t>
  </si>
  <si>
    <t>Garcia-Carrazco</t>
  </si>
  <si>
    <t>Adjeyi</t>
  </si>
  <si>
    <t>Modesto</t>
  </si>
  <si>
    <t>Merced</t>
  </si>
  <si>
    <t>Alcequier</t>
  </si>
  <si>
    <t>Pio</t>
  </si>
  <si>
    <t>Benitez</t>
  </si>
  <si>
    <t>Nagaki</t>
  </si>
  <si>
    <t>Vivar</t>
  </si>
  <si>
    <t>Febus</t>
  </si>
  <si>
    <t>Mola</t>
  </si>
  <si>
    <t>Javier</t>
  </si>
  <si>
    <t>Montano</t>
  </si>
  <si>
    <t>Lumchan</t>
  </si>
  <si>
    <t>Silverstein</t>
  </si>
  <si>
    <t>Cuevas Espinoza</t>
  </si>
  <si>
    <t>Mota</t>
  </si>
  <si>
    <t>Gerber</t>
  </si>
  <si>
    <t>Jose Rosado</t>
  </si>
  <si>
    <t>Solano</t>
  </si>
  <si>
    <t>Denehan</t>
  </si>
  <si>
    <t>Galan-Batista</t>
  </si>
  <si>
    <t>Haft</t>
  </si>
  <si>
    <t>Swartzon</t>
  </si>
  <si>
    <t>Wynns</t>
  </si>
  <si>
    <t>Parken</t>
  </si>
  <si>
    <t>Imbert</t>
  </si>
  <si>
    <t>O'Briant</t>
  </si>
  <si>
    <t>Bockman</t>
  </si>
  <si>
    <t>Aponte</t>
  </si>
  <si>
    <t>Collado</t>
  </si>
  <si>
    <t>Beltre</t>
  </si>
  <si>
    <t>Yan</t>
  </si>
  <si>
    <t>Mekki</t>
  </si>
  <si>
    <t>Larson</t>
  </si>
  <si>
    <t>Russo</t>
  </si>
  <si>
    <t>Meeks</t>
  </si>
  <si>
    <t>Varela</t>
  </si>
  <si>
    <t>Korostyshevskiy</t>
  </si>
  <si>
    <t>Fletcher</t>
  </si>
  <si>
    <t>Bracy</t>
  </si>
  <si>
    <t>Quinteros</t>
  </si>
  <si>
    <t>Samura</t>
  </si>
  <si>
    <t>Irizarry-Jacobs</t>
  </si>
  <si>
    <t>Blamo</t>
  </si>
  <si>
    <t>Hafeez</t>
  </si>
  <si>
    <t>Jaffery</t>
  </si>
  <si>
    <t>cline</t>
  </si>
  <si>
    <t>Mendoza-Matthews</t>
  </si>
  <si>
    <t>Dargan</t>
  </si>
  <si>
    <t>Trotman</t>
  </si>
  <si>
    <t>Hazell</t>
  </si>
  <si>
    <t>Hierro</t>
  </si>
  <si>
    <t>Sanguinetti</t>
  </si>
  <si>
    <t>Holliday</t>
  </si>
  <si>
    <t>Gilliam</t>
  </si>
  <si>
    <t>Desormeaux</t>
  </si>
  <si>
    <t>Oliver</t>
  </si>
  <si>
    <t>Colardo</t>
  </si>
  <si>
    <t>Streety</t>
  </si>
  <si>
    <t>Onwuachi</t>
  </si>
  <si>
    <t>Amurrio</t>
  </si>
  <si>
    <t>Cachola</t>
  </si>
  <si>
    <t>Gaton</t>
  </si>
  <si>
    <t>Gervis</t>
  </si>
  <si>
    <t>Woods</t>
  </si>
  <si>
    <t>Jimenez Perez</t>
  </si>
  <si>
    <t>Velastegui</t>
  </si>
  <si>
    <t>Wiggins</t>
  </si>
  <si>
    <t>Collier</t>
  </si>
  <si>
    <t>Murphy</t>
  </si>
  <si>
    <t>Herrington</t>
  </si>
  <si>
    <t>Cumberbatch</t>
  </si>
  <si>
    <t>Dotson</t>
  </si>
  <si>
    <t>Borrero</t>
  </si>
  <si>
    <t>Mayers</t>
  </si>
  <si>
    <t>Rosemond</t>
  </si>
  <si>
    <t>Broadhead</t>
  </si>
  <si>
    <t>Allums</t>
  </si>
  <si>
    <t>Monrose</t>
  </si>
  <si>
    <t>Sawney-Calliste</t>
  </si>
  <si>
    <t>Drayton</t>
  </si>
  <si>
    <t>McQueen</t>
  </si>
  <si>
    <t>Rollgier-Marshall</t>
  </si>
  <si>
    <t>Englander</t>
  </si>
  <si>
    <t>Almaguer</t>
  </si>
  <si>
    <t>Borovikova</t>
  </si>
  <si>
    <t>Gadaou</t>
  </si>
  <si>
    <t>Pitroipa</t>
  </si>
  <si>
    <t>Dematos</t>
  </si>
  <si>
    <t>Clerveau</t>
  </si>
  <si>
    <t>Pardo</t>
  </si>
  <si>
    <t>Bourjonny</t>
  </si>
  <si>
    <t>Mead</t>
  </si>
  <si>
    <t>Palomino</t>
  </si>
  <si>
    <t>Evans Joseph</t>
  </si>
  <si>
    <t>Hamdoun</t>
  </si>
  <si>
    <t>Hamdown</t>
  </si>
  <si>
    <t>Roth</t>
  </si>
  <si>
    <t>Aristyl</t>
  </si>
  <si>
    <t>Blanc</t>
  </si>
  <si>
    <t>Steinmetz</t>
  </si>
  <si>
    <t>Negron</t>
  </si>
  <si>
    <t>Drakes</t>
  </si>
  <si>
    <t>Burgas</t>
  </si>
  <si>
    <t>Bershadsky</t>
  </si>
  <si>
    <t>Yeasmin</t>
  </si>
  <si>
    <t>Mendiola</t>
  </si>
  <si>
    <t>Kirama</t>
  </si>
  <si>
    <t>Nuredin</t>
  </si>
  <si>
    <t>McGrane</t>
  </si>
  <si>
    <t>Fogarthy</t>
  </si>
  <si>
    <t>Balletta</t>
  </si>
  <si>
    <t>Hojilla</t>
  </si>
  <si>
    <t>Cuesta-Guiffre</t>
  </si>
  <si>
    <t>Spielmann</t>
  </si>
  <si>
    <t>Muhammad</t>
  </si>
  <si>
    <t>Chancy</t>
  </si>
  <si>
    <t>Fordham</t>
  </si>
  <si>
    <t>Omolayo</t>
  </si>
  <si>
    <t>Singleton</t>
  </si>
  <si>
    <t>Cox</t>
  </si>
  <si>
    <t>Nahar</t>
  </si>
  <si>
    <t>Pinnock</t>
  </si>
  <si>
    <t>Jahangir Hossain</t>
  </si>
  <si>
    <t>Choe</t>
  </si>
  <si>
    <t>A Test</t>
  </si>
  <si>
    <t>Opare</t>
  </si>
  <si>
    <t>Elharras</t>
  </si>
  <si>
    <t>Pascual</t>
  </si>
  <si>
    <t>Harvel</t>
  </si>
  <si>
    <t>Elvin</t>
  </si>
  <si>
    <t>Fare</t>
  </si>
  <si>
    <t>Strong</t>
  </si>
  <si>
    <t>Nayyar</t>
  </si>
  <si>
    <t>MAYANCELA</t>
  </si>
  <si>
    <t>Fell</t>
  </si>
  <si>
    <t>Sperraza</t>
  </si>
  <si>
    <t>Delgado-Rolon</t>
  </si>
  <si>
    <t>Kreimer</t>
  </si>
  <si>
    <t>Gassama</t>
  </si>
  <si>
    <t>Ohanian</t>
  </si>
  <si>
    <t>McDermott</t>
  </si>
  <si>
    <t>Burney</t>
  </si>
  <si>
    <t>Datt</t>
  </si>
  <si>
    <t>Ewing</t>
  </si>
  <si>
    <t>Touzani</t>
  </si>
  <si>
    <t>Condon</t>
  </si>
  <si>
    <t>Bouatrouss</t>
  </si>
  <si>
    <t>Regula</t>
  </si>
  <si>
    <t>Arocho</t>
  </si>
  <si>
    <t>D'Agenlo</t>
  </si>
  <si>
    <t>Radoncic</t>
  </si>
  <si>
    <t>Nassralla</t>
  </si>
  <si>
    <t>Lozano Soto</t>
  </si>
  <si>
    <t>Harper-Vanrabenswaay</t>
  </si>
  <si>
    <t>Nater</t>
  </si>
  <si>
    <t>Leget</t>
  </si>
  <si>
    <t>Reinoso</t>
  </si>
  <si>
    <t>Butler</t>
  </si>
  <si>
    <t>McCall</t>
  </si>
  <si>
    <t>Brito</t>
  </si>
  <si>
    <t>Varfley</t>
  </si>
  <si>
    <t>Montolio</t>
  </si>
  <si>
    <t>Hewitt</t>
  </si>
  <si>
    <t>Feliz</t>
  </si>
  <si>
    <t>Bah</t>
  </si>
  <si>
    <t>Bowens-Lamar</t>
  </si>
  <si>
    <t>Crenshaw</t>
  </si>
  <si>
    <t>Wofah</t>
  </si>
  <si>
    <t>Peals</t>
  </si>
  <si>
    <t>Koufie</t>
  </si>
  <si>
    <t>Despinosse</t>
  </si>
  <si>
    <t>Yacolino</t>
  </si>
  <si>
    <t>Price</t>
  </si>
  <si>
    <t>Roche</t>
  </si>
  <si>
    <t>Najera</t>
  </si>
  <si>
    <t>Mortimer</t>
  </si>
  <si>
    <t>Yancey</t>
  </si>
  <si>
    <t>Garduno</t>
  </si>
  <si>
    <t>Mungin</t>
  </si>
  <si>
    <t>Laikin</t>
  </si>
  <si>
    <t>Meyer</t>
  </si>
  <si>
    <t>Panora</t>
  </si>
  <si>
    <t>Weigand</t>
  </si>
  <si>
    <t>Blank</t>
  </si>
  <si>
    <t>De Jesus</t>
  </si>
  <si>
    <t>Piper</t>
  </si>
  <si>
    <t>Pappas</t>
  </si>
  <si>
    <t>Bostick</t>
  </si>
  <si>
    <t>Hickson</t>
  </si>
  <si>
    <t>Josephs</t>
  </si>
  <si>
    <t>France</t>
  </si>
  <si>
    <t>Cade</t>
  </si>
  <si>
    <t>Montanaro</t>
  </si>
  <si>
    <t>Hampton</t>
  </si>
  <si>
    <t>Deterville</t>
  </si>
  <si>
    <t>Doumbia</t>
  </si>
  <si>
    <t>Saffore</t>
  </si>
  <si>
    <t>Ouedraogo</t>
  </si>
  <si>
    <t>Jarvis</t>
  </si>
  <si>
    <t>Doumbouya</t>
  </si>
  <si>
    <t>Cervantes</t>
  </si>
  <si>
    <t>Soumahoro</t>
  </si>
  <si>
    <t>Durante</t>
  </si>
  <si>
    <t>Diakite</t>
  </si>
  <si>
    <t>Shelton</t>
  </si>
  <si>
    <t>Hillman</t>
  </si>
  <si>
    <t>Zarsuela</t>
  </si>
  <si>
    <t>Badala</t>
  </si>
  <si>
    <t>Clemons</t>
  </si>
  <si>
    <t>Bueno</t>
  </si>
  <si>
    <t>Yip</t>
  </si>
  <si>
    <t>Jiang</t>
  </si>
  <si>
    <t>Abuzaid</t>
  </si>
  <si>
    <t>Magloire</t>
  </si>
  <si>
    <t>Lino</t>
  </si>
  <si>
    <t>Nurse</t>
  </si>
  <si>
    <t>Dearth</t>
  </si>
  <si>
    <t>Burgess</t>
  </si>
  <si>
    <t>Arellano</t>
  </si>
  <si>
    <t>Charneco</t>
  </si>
  <si>
    <t>Surie Veras</t>
  </si>
  <si>
    <t>Casiano</t>
  </si>
  <si>
    <t>Peacock</t>
  </si>
  <si>
    <t>Rendon</t>
  </si>
  <si>
    <t>Wiscovitch</t>
  </si>
  <si>
    <t>Salgado</t>
  </si>
  <si>
    <t>Polk</t>
  </si>
  <si>
    <t>Parchment</t>
  </si>
  <si>
    <t>Myers</t>
  </si>
  <si>
    <t>Coley</t>
  </si>
  <si>
    <t>Barreau</t>
  </si>
  <si>
    <t>Terranova</t>
  </si>
  <si>
    <t>Oliva</t>
  </si>
  <si>
    <t>Addae</t>
  </si>
  <si>
    <t>Sierra</t>
  </si>
  <si>
    <t>Fontanez</t>
  </si>
  <si>
    <t>Monserrate</t>
  </si>
  <si>
    <t>Guerra</t>
  </si>
  <si>
    <t>Hartzog</t>
  </si>
  <si>
    <t>Wallace</t>
  </si>
  <si>
    <t>Chang</t>
  </si>
  <si>
    <t>Bohannon</t>
  </si>
  <si>
    <t>McCool</t>
  </si>
  <si>
    <t>Vanable</t>
  </si>
  <si>
    <t>Altreche</t>
  </si>
  <si>
    <t>Rollock</t>
  </si>
  <si>
    <t>Zeba</t>
  </si>
  <si>
    <t>Pabon</t>
  </si>
  <si>
    <t>Thiam</t>
  </si>
  <si>
    <t>Ullah</t>
  </si>
  <si>
    <t>Mata</t>
  </si>
  <si>
    <t>Sham</t>
  </si>
  <si>
    <t>Marrone</t>
  </si>
  <si>
    <t>Ferrari</t>
  </si>
  <si>
    <t>Sepuya</t>
  </si>
  <si>
    <t>Blanco</t>
  </si>
  <si>
    <t>Panama</t>
  </si>
  <si>
    <t>Wikstrom</t>
  </si>
  <si>
    <t>Elias</t>
  </si>
  <si>
    <t>Siva</t>
  </si>
  <si>
    <t>Snype</t>
  </si>
  <si>
    <t xml:space="preserve">Ruby </t>
  </si>
  <si>
    <t>Dowell</t>
  </si>
  <si>
    <t>Egunen</t>
  </si>
  <si>
    <t>Tyler</t>
  </si>
  <si>
    <t>Fragoso</t>
  </si>
  <si>
    <t>Levi</t>
  </si>
  <si>
    <t>Wojtylak</t>
  </si>
  <si>
    <t>Chapman</t>
  </si>
  <si>
    <t>Concepcion</t>
  </si>
  <si>
    <t>Echevarria</t>
  </si>
  <si>
    <t>Antigua</t>
  </si>
  <si>
    <t>Zarate</t>
  </si>
  <si>
    <t>Aviles</t>
  </si>
  <si>
    <t>Keene</t>
  </si>
  <si>
    <t>Coello</t>
  </si>
  <si>
    <t>Schrader</t>
  </si>
  <si>
    <t>Leger</t>
  </si>
  <si>
    <t>Inoa</t>
  </si>
  <si>
    <t>Fitzgerald</t>
  </si>
  <si>
    <t>Polo</t>
  </si>
  <si>
    <t>Hinds</t>
  </si>
  <si>
    <t>Lightstone</t>
  </si>
  <si>
    <t>Moorer</t>
  </si>
  <si>
    <t>Willmorth</t>
  </si>
  <si>
    <t>Ferreira</t>
  </si>
  <si>
    <t>West</t>
  </si>
  <si>
    <t>Carlucci</t>
  </si>
  <si>
    <t>Igantovich</t>
  </si>
  <si>
    <t>Alpern Kol</t>
  </si>
  <si>
    <t>Apolinario</t>
  </si>
  <si>
    <t>Pause</t>
  </si>
  <si>
    <t>Mercado</t>
  </si>
  <si>
    <t>Rosavilela</t>
  </si>
  <si>
    <t>D'Arcangelo</t>
  </si>
  <si>
    <t>Dyer</t>
  </si>
  <si>
    <t>McClintock</t>
  </si>
  <si>
    <t>Hiciano</t>
  </si>
  <si>
    <t>Banovich</t>
  </si>
  <si>
    <t>Montero</t>
  </si>
  <si>
    <t>Federgrun</t>
  </si>
  <si>
    <t>Villar</t>
  </si>
  <si>
    <t>Scholl</t>
  </si>
  <si>
    <t>Sylvster</t>
  </si>
  <si>
    <t>Skloot</t>
  </si>
  <si>
    <t>Kusiak Carey</t>
  </si>
  <si>
    <t>Bullod</t>
  </si>
  <si>
    <t>Rivera Mendez</t>
  </si>
  <si>
    <t>Soukamneuth</t>
  </si>
  <si>
    <t>Sykes</t>
  </si>
  <si>
    <t>Gilchrist</t>
  </si>
  <si>
    <t>Daley</t>
  </si>
  <si>
    <t>Walkes</t>
  </si>
  <si>
    <t>Hyndman</t>
  </si>
  <si>
    <t>Bourne</t>
  </si>
  <si>
    <t>Vega-Garcia</t>
  </si>
  <si>
    <t>Saint-Pierre</t>
  </si>
  <si>
    <t>De Rojas</t>
  </si>
  <si>
    <t>Fuller</t>
  </si>
  <si>
    <t>Haynes</t>
  </si>
  <si>
    <t>Whint</t>
  </si>
  <si>
    <t>Salazar</t>
  </si>
  <si>
    <t>Morningstar</t>
  </si>
  <si>
    <t>Shuler</t>
  </si>
  <si>
    <t>Nimmons</t>
  </si>
  <si>
    <t>Haughton</t>
  </si>
  <si>
    <t>Ifield</t>
  </si>
  <si>
    <t>Dickerson</t>
  </si>
  <si>
    <t>Romain</t>
  </si>
  <si>
    <t>Davila-Richards</t>
  </si>
  <si>
    <t>Small</t>
  </si>
  <si>
    <t>Simpson</t>
  </si>
  <si>
    <t>Barry</t>
  </si>
  <si>
    <t>Moody</t>
  </si>
  <si>
    <t>Westbrook</t>
  </si>
  <si>
    <t>Minns</t>
  </si>
  <si>
    <t>Sawyer</t>
  </si>
  <si>
    <t>Paeleus</t>
  </si>
  <si>
    <t>Bozek</t>
  </si>
  <si>
    <t>Mirambeaux</t>
  </si>
  <si>
    <t>Ruddock</t>
  </si>
  <si>
    <t>Wyche</t>
  </si>
  <si>
    <t>Sena</t>
  </si>
  <si>
    <t>Elmore</t>
  </si>
  <si>
    <t>Otho</t>
  </si>
  <si>
    <t>Fagan</t>
  </si>
  <si>
    <t>Triola</t>
  </si>
  <si>
    <t>McColley</t>
  </si>
  <si>
    <t>Hazelton</t>
  </si>
  <si>
    <t>Martinez Guzman</t>
  </si>
  <si>
    <t>Lifshits</t>
  </si>
  <si>
    <t>Mccolley</t>
  </si>
  <si>
    <t>Raines</t>
  </si>
  <si>
    <t>Burrowes</t>
  </si>
  <si>
    <t>McCune</t>
  </si>
  <si>
    <t>Calderon</t>
  </si>
  <si>
    <t>Cupid</t>
  </si>
  <si>
    <t>Maxey</t>
  </si>
  <si>
    <t>Villanueva</t>
  </si>
  <si>
    <t>Mackey</t>
  </si>
  <si>
    <t>Carrington</t>
  </si>
  <si>
    <t>Uddin</t>
  </si>
  <si>
    <t>Sampson</t>
  </si>
  <si>
    <t>Webster-Blair</t>
  </si>
  <si>
    <t>Gossett</t>
  </si>
  <si>
    <t>Crusco</t>
  </si>
  <si>
    <t>d'Agestino</t>
  </si>
  <si>
    <t>Dooley</t>
  </si>
  <si>
    <t>Byrnes</t>
  </si>
  <si>
    <t>549 Isham St</t>
  </si>
  <si>
    <t>215 E 117th St</t>
  </si>
  <si>
    <t>140 Henry St</t>
  </si>
  <si>
    <t>1951 Park Ave</t>
  </si>
  <si>
    <t>420 E 111th St</t>
  </si>
  <si>
    <t>1990 Lexington Ave</t>
  </si>
  <si>
    <t>9 E 124th St</t>
  </si>
  <si>
    <t>67 W 107th St</t>
  </si>
  <si>
    <t>484 E Houston St</t>
  </si>
  <si>
    <t>121 Sherman Ave</t>
  </si>
  <si>
    <t>707 W 171st St</t>
  </si>
  <si>
    <t>57-63  Wadsworth Ter</t>
  </si>
  <si>
    <t>260 Audubon Ave</t>
  </si>
  <si>
    <t>38 Post Ave</t>
  </si>
  <si>
    <t>595 W 207th St</t>
  </si>
  <si>
    <t>5025 Broadway</t>
  </si>
  <si>
    <t>556 W 181st St</t>
  </si>
  <si>
    <t>14 Thayer St</t>
  </si>
  <si>
    <t>655 W 160th St</t>
  </si>
  <si>
    <t>5009 Broadway</t>
  </si>
  <si>
    <t>530 W 122nd st</t>
  </si>
  <si>
    <t>426 E 118th st</t>
  </si>
  <si>
    <t>127 E 107th St</t>
  </si>
  <si>
    <t>129 E 102nd St</t>
  </si>
  <si>
    <t>462 E 115th St</t>
  </si>
  <si>
    <t>114 E 104th St</t>
  </si>
  <si>
    <t>1652 Park Ave</t>
  </si>
  <si>
    <t>855 E 217th St</t>
  </si>
  <si>
    <t>1920 Walton Ave</t>
  </si>
  <si>
    <t>1187 Anderson Ave</t>
  </si>
  <si>
    <t>2108 Ryer Ave</t>
  </si>
  <si>
    <t>1715 Walton Ave</t>
  </si>
  <si>
    <t>229 Columbus Ave</t>
  </si>
  <si>
    <t>319 E 91st St</t>
  </si>
  <si>
    <t>8243 51st Ave</t>
  </si>
  <si>
    <t>333 Beach 32nd St</t>
  </si>
  <si>
    <t>14435 Roosevelt Ave</t>
  </si>
  <si>
    <t>107 Somers St</t>
  </si>
  <si>
    <t>1035 Willmohr St</t>
  </si>
  <si>
    <t>841 Halsey St</t>
  </si>
  <si>
    <t>412 Macon St</t>
  </si>
  <si>
    <t>182 Ralph Ave</t>
  </si>
  <si>
    <t>1068 Winthrop St</t>
  </si>
  <si>
    <t>749 Lafayette Ave</t>
  </si>
  <si>
    <t>216 Rockaway Ave</t>
  </si>
  <si>
    <t>444 Avenue X</t>
  </si>
  <si>
    <t>399 Kosciuszko St</t>
  </si>
  <si>
    <t>403 Kosciuszko St</t>
  </si>
  <si>
    <t>902 Drew St</t>
  </si>
  <si>
    <t>184 Irving Ave</t>
  </si>
  <si>
    <t>895 Mother gaston blvd</t>
  </si>
  <si>
    <t>984 Greene Ave</t>
  </si>
  <si>
    <t>91 Junius St</t>
  </si>
  <si>
    <t>2026 Nostrand Ave</t>
  </si>
  <si>
    <t>506 Decatur St</t>
  </si>
  <si>
    <t>603 Mother Gaston Blvd</t>
  </si>
  <si>
    <t>1003 Willmohr St</t>
  </si>
  <si>
    <t>562 Bainbridge St</t>
  </si>
  <si>
    <t>209 Ralph Ave</t>
  </si>
  <si>
    <t>1096 President St</t>
  </si>
  <si>
    <t>8806 191st St</t>
  </si>
  <si>
    <t>13906 34th Rd</t>
  </si>
  <si>
    <t>13912 34th Rd</t>
  </si>
  <si>
    <t>9728 57th Ave</t>
  </si>
  <si>
    <t>139-06 34th Rd</t>
  </si>
  <si>
    <t>10470 47th Ave</t>
  </si>
  <si>
    <t>3415 Parsons Blvd</t>
  </si>
  <si>
    <t>4309 165th St</t>
  </si>
  <si>
    <t>3629 191st St</t>
  </si>
  <si>
    <t>8903 146th St</t>
  </si>
  <si>
    <t>9150 191st St</t>
  </si>
  <si>
    <t>8645 Saint James Ave</t>
  </si>
  <si>
    <t>1410 New Haven Ave</t>
  </si>
  <si>
    <t>1647 Summerfield St</t>
  </si>
  <si>
    <t>2448 Rockaway Fwy</t>
  </si>
  <si>
    <t>1665 Palmetto St</t>
  </si>
  <si>
    <t>330 E 100th St</t>
  </si>
  <si>
    <t>10 Stanton St</t>
  </si>
  <si>
    <t>1515 Metropolitan Ave</t>
  </si>
  <si>
    <t>10 Kimberly Ln</t>
  </si>
  <si>
    <t>1950 Clove Rd</t>
  </si>
  <si>
    <t>460n Brielle Ave</t>
  </si>
  <si>
    <t>31 Leonard St</t>
  </si>
  <si>
    <t>95 Linden Blvd</t>
  </si>
  <si>
    <t>1401 Hancock St</t>
  </si>
  <si>
    <t>480 E 23rd St</t>
  </si>
  <si>
    <t>2223 Cortelyou Rd</t>
  </si>
  <si>
    <t>10 E 43rd St</t>
  </si>
  <si>
    <t>788 Fox St</t>
  </si>
  <si>
    <t>655 Morris Ave</t>
  </si>
  <si>
    <t>1111 Gerard Ave</t>
  </si>
  <si>
    <t>1892 Andrews Ave</t>
  </si>
  <si>
    <t>1555 Grand Concourse</t>
  </si>
  <si>
    <t>1454 Shakespeare Ave</t>
  </si>
  <si>
    <t>1460 Grand Concourse</t>
  </si>
  <si>
    <t>1020 Walton Ave</t>
  </si>
  <si>
    <t>1764 Anthony Ave</t>
  </si>
  <si>
    <t>272 Sherman ave</t>
  </si>
  <si>
    <t>90 Ellwood St</t>
  </si>
  <si>
    <t>301 W 138TH ST</t>
  </si>
  <si>
    <t>1370 Saint Nicholas Ave</t>
  </si>
  <si>
    <t>267 W 152nd St</t>
  </si>
  <si>
    <t>444 E 82nd St</t>
  </si>
  <si>
    <t>226 W 144th St</t>
  </si>
  <si>
    <t>540 East 183rd Street</t>
  </si>
  <si>
    <t>427 Fort Washington Ave</t>
  </si>
  <si>
    <t>248 Sherman Ave</t>
  </si>
  <si>
    <t>228 Nagle Ave</t>
  </si>
  <si>
    <t>26 Post Ave</t>
  </si>
  <si>
    <t>80 Arden St</t>
  </si>
  <si>
    <t>5008 Broadway</t>
  </si>
  <si>
    <t>531 W 145th St</t>
  </si>
  <si>
    <t>508 W 136th St</t>
  </si>
  <si>
    <t>706 E 11th St</t>
  </si>
  <si>
    <t>117 Sherman Ave</t>
  </si>
  <si>
    <t>115 Hamilton Pl</t>
  </si>
  <si>
    <t>113 Sherman Ave</t>
  </si>
  <si>
    <t>250 Fort Washington Ave</t>
  </si>
  <si>
    <t>1781 Riverside Dr</t>
  </si>
  <si>
    <t>30 Post Ave</t>
  </si>
  <si>
    <t>177 E 117th st</t>
  </si>
  <si>
    <t>546 Isham St</t>
  </si>
  <si>
    <t>577 Isham St</t>
  </si>
  <si>
    <t>182 Nagle Ave</t>
  </si>
  <si>
    <t>570 W 204th St</t>
  </si>
  <si>
    <t>74 Post ave</t>
  </si>
  <si>
    <t>210 Sherman Ave</t>
  </si>
  <si>
    <t>38 Post Avenue</t>
  </si>
  <si>
    <t>1 Bennett Ave</t>
  </si>
  <si>
    <t>208 Nagle Ave</t>
  </si>
  <si>
    <t>165 Nagle Ave</t>
  </si>
  <si>
    <t>104 Vermilyea Ave</t>
  </si>
  <si>
    <t>204 Sherman Ave</t>
  </si>
  <si>
    <t>230 Clinton St</t>
  </si>
  <si>
    <t>3852 10th Ave</t>
  </si>
  <si>
    <t>240 Nagle Ave</t>
  </si>
  <si>
    <t>265 LaFayette St</t>
  </si>
  <si>
    <t>35 Thayer St</t>
  </si>
  <si>
    <t>189 Sherman Ave</t>
  </si>
  <si>
    <t>119 Vermilyea Ave</t>
  </si>
  <si>
    <t>601 W 189th St</t>
  </si>
  <si>
    <t>20 Bogardus Pl</t>
  </si>
  <si>
    <t>656 W 204th St</t>
  </si>
  <si>
    <t>73-83 Vermilyea Avenue</t>
  </si>
  <si>
    <t>449 W 206th St</t>
  </si>
  <si>
    <t>121 Seaman Ave</t>
  </si>
  <si>
    <t>9 Sherman Ave</t>
  </si>
  <si>
    <t>9 Post Ave</t>
  </si>
  <si>
    <t>55 cooper st</t>
  </si>
  <si>
    <t>3856 10th Ave</t>
  </si>
  <si>
    <t>25 Vermilyea Ave</t>
  </si>
  <si>
    <t>73 Vermilyea Ave</t>
  </si>
  <si>
    <t>320 Wadsworth Ave</t>
  </si>
  <si>
    <t>609 W 158th St</t>
  </si>
  <si>
    <t>248 Audubon Ave</t>
  </si>
  <si>
    <t>562 W 189th St</t>
  </si>
  <si>
    <t>526 W 211th St</t>
  </si>
  <si>
    <t>168 Sherman Ave</t>
  </si>
  <si>
    <t>45 Pinehurst Ave</t>
  </si>
  <si>
    <t>22 Post Ave</t>
  </si>
  <si>
    <t>19 Vermilyea Ave</t>
  </si>
  <si>
    <t>34 Post Ave</t>
  </si>
  <si>
    <t>103 Vermilyea Ave</t>
  </si>
  <si>
    <t>33 Indian Rd</t>
  </si>
  <si>
    <t>123 E 129th St</t>
  </si>
  <si>
    <t>336 E 117th St</t>
  </si>
  <si>
    <t>73 Cooper St</t>
  </si>
  <si>
    <t>85 Seaman Ave</t>
  </si>
  <si>
    <t>20 Sherman Ave</t>
  </si>
  <si>
    <t>507 W 186th St</t>
  </si>
  <si>
    <t>200 Haven Ave</t>
  </si>
  <si>
    <t>600 W 218th St</t>
  </si>
  <si>
    <t>16 Arden St</t>
  </si>
  <si>
    <t>40 Thayer St</t>
  </si>
  <si>
    <t>603 Academy St</t>
  </si>
  <si>
    <t>424 W 110th St</t>
  </si>
  <si>
    <t>520 Isham St</t>
  </si>
  <si>
    <t>509 W 212th St</t>
  </si>
  <si>
    <t>111 W 135th St</t>
  </si>
  <si>
    <t>58 E 132nd St</t>
  </si>
  <si>
    <t>601 W 57th St</t>
  </si>
  <si>
    <t>13 E 9th St</t>
  </si>
  <si>
    <t>3505 Broadway</t>
  </si>
  <si>
    <t>141 Park Hill Ave</t>
  </si>
  <si>
    <t>33 Bionia Ave</t>
  </si>
  <si>
    <t>426 Harold Ave</t>
  </si>
  <si>
    <t>19 Slosson Ter</t>
  </si>
  <si>
    <t>165 Saint Marks Pl</t>
  </si>
  <si>
    <t>147 Scribner Ave</t>
  </si>
  <si>
    <t>411 Westervelt Ave</t>
  </si>
  <si>
    <t>16 Vulcan St</t>
  </si>
  <si>
    <t>937 Victory Blvd</t>
  </si>
  <si>
    <t>180 Broad St</t>
  </si>
  <si>
    <t>15 Sandra Ln</t>
  </si>
  <si>
    <t>122 Hamilton Ave</t>
  </si>
  <si>
    <t>42a Courtney Loop</t>
  </si>
  <si>
    <t>232 Otis Ave</t>
  </si>
  <si>
    <t>30 Daniel Low Ter</t>
  </si>
  <si>
    <t>25 Bond St</t>
  </si>
  <si>
    <t>101 Hastings St</t>
  </si>
  <si>
    <t>231 steuben st</t>
  </si>
  <si>
    <t>1515 Selwyn Ave</t>
  </si>
  <si>
    <t>355 E 187th St</t>
  </si>
  <si>
    <t>2243 Ryer Ave</t>
  </si>
  <si>
    <t>2555 Boston Rd</t>
  </si>
  <si>
    <t>2095 Mohegan Ave</t>
  </si>
  <si>
    <t>1752 Walton Ave</t>
  </si>
  <si>
    <t>355 E 187TH ST</t>
  </si>
  <si>
    <t>2182 Davidson Ave</t>
  </si>
  <si>
    <t>1664 Davidson Ave</t>
  </si>
  <si>
    <t>730 Oakland Pl</t>
  </si>
  <si>
    <t>653 Cauldwell Ave</t>
  </si>
  <si>
    <t>1450 Jesup Ave</t>
  </si>
  <si>
    <t>1068 Gerard Ave</t>
  </si>
  <si>
    <t>814 Marcy ave</t>
  </si>
  <si>
    <t>4325 Hunter St</t>
  </si>
  <si>
    <t>9602 57th Ave</t>
  </si>
  <si>
    <t>2111 Southern Blvd</t>
  </si>
  <si>
    <t>901 Walton Ave</t>
  </si>
  <si>
    <t>1535 Undercliff Ave</t>
  </si>
  <si>
    <t>1008 Summit Ave</t>
  </si>
  <si>
    <t>1434 Ogden Ave</t>
  </si>
  <si>
    <t>1765 Townsend Ave</t>
  </si>
  <si>
    <t>1971 Marmion Ave</t>
  </si>
  <si>
    <t>31 Mount Hope Pl # 30</t>
  </si>
  <si>
    <t>200 Rogers Ave</t>
  </si>
  <si>
    <t>1146 President St</t>
  </si>
  <si>
    <t>1604 Bedford Ave</t>
  </si>
  <si>
    <t>45 Twin Pines Dr</t>
  </si>
  <si>
    <t>434 Rogers Ave</t>
  </si>
  <si>
    <t>535 E 142nd St</t>
  </si>
  <si>
    <t>1938 Bronxdale Ave</t>
  </si>
  <si>
    <t>111 15th St</t>
  </si>
  <si>
    <t>9502 Kings Hwy</t>
  </si>
  <si>
    <t>1212 Grand Concourse</t>
  </si>
  <si>
    <t>1777 Grand Concourse</t>
  </si>
  <si>
    <t>1475 Sheridan Ave</t>
  </si>
  <si>
    <t>18 Jabcobus Place</t>
  </si>
  <si>
    <t>825 Boynton Ave</t>
  </si>
  <si>
    <t>820 Boynton Ave</t>
  </si>
  <si>
    <t>2701 Grand Concourse</t>
  </si>
  <si>
    <t>1777 grand concourse</t>
  </si>
  <si>
    <t>875 Boynton Ave</t>
  </si>
  <si>
    <t>1940 Andrews Ave S</t>
  </si>
  <si>
    <t>880 Colgate Ave</t>
  </si>
  <si>
    <t>1035 Anderson Ave</t>
  </si>
  <si>
    <t>563 Cauldwell Ave</t>
  </si>
  <si>
    <t>2205 Creston Ave</t>
  </si>
  <si>
    <t>50 E 168th St</t>
  </si>
  <si>
    <t>820 Colgate Ave</t>
  </si>
  <si>
    <t>2051 Grand Ave</t>
  </si>
  <si>
    <t>1382 Shakespeare Ave</t>
  </si>
  <si>
    <t>1940 Andrews Ave</t>
  </si>
  <si>
    <t>145 W Kingsbridge Rd</t>
  </si>
  <si>
    <t>49 Tapscott St</t>
  </si>
  <si>
    <t>1460 Sterling Pl</t>
  </si>
  <si>
    <t>1074 Eastern Pkwy</t>
  </si>
  <si>
    <t>178 Rockaway PKWY</t>
  </si>
  <si>
    <t>399 Kosciuszko st</t>
  </si>
  <si>
    <t>694 Rockaway Ave</t>
  </si>
  <si>
    <t>1018 Eastern Pkwy</t>
  </si>
  <si>
    <t>178 Rockaway Pkwy</t>
  </si>
  <si>
    <t>899 Montgomery St</t>
  </si>
  <si>
    <t>211 Marion St</t>
  </si>
  <si>
    <t>263 Prospect Park W</t>
  </si>
  <si>
    <t>181 Rockaway Pkwy</t>
  </si>
  <si>
    <t>1150 E 100th St</t>
  </si>
  <si>
    <t>130 Vandalia Ave</t>
  </si>
  <si>
    <t>207 Bainbridge St</t>
  </si>
  <si>
    <t>395 Autumn Ave</t>
  </si>
  <si>
    <t>510 Chauncey st</t>
  </si>
  <si>
    <t>2830 Pitkin Ave</t>
  </si>
  <si>
    <t>336 Elton St</t>
  </si>
  <si>
    <t>285 Bainbridge St</t>
  </si>
  <si>
    <t>2818 38th Ave</t>
  </si>
  <si>
    <t>317 Lefferts Ave</t>
  </si>
  <si>
    <t>1317 E 14th St</t>
  </si>
  <si>
    <t>2505 Bedford Ave</t>
  </si>
  <si>
    <t>2511 Newkirk Ave</t>
  </si>
  <si>
    <t>180 E 18th St</t>
  </si>
  <si>
    <t>115 Ocean Ave</t>
  </si>
  <si>
    <t>4411 Church Ave</t>
  </si>
  <si>
    <t>855 E 19th St</t>
  </si>
  <si>
    <t>571 Sterling Pl</t>
  </si>
  <si>
    <t>300 10th St</t>
  </si>
  <si>
    <t>38 6th Ave</t>
  </si>
  <si>
    <t>310 E 25th St</t>
  </si>
  <si>
    <t>693 Flatbush Ave</t>
  </si>
  <si>
    <t>415 E 16th St</t>
  </si>
  <si>
    <t>217 Van Brunt St</t>
  </si>
  <si>
    <t>293 Martense St</t>
  </si>
  <si>
    <t>410 Eastern Pkwy</t>
  </si>
  <si>
    <t>2015 Foster Ave</t>
  </si>
  <si>
    <t>4600 9th Ave</t>
  </si>
  <si>
    <t>436 49th St</t>
  </si>
  <si>
    <t>1917 Cropsey Ave</t>
  </si>
  <si>
    <t>611 E 76th St</t>
  </si>
  <si>
    <t>109 E 59th St</t>
  </si>
  <si>
    <t>629 E 3rd St</t>
  </si>
  <si>
    <t>251 Mother Gaston Blvd</t>
  </si>
  <si>
    <t>211 W 101st St</t>
  </si>
  <si>
    <t>274 E 93rd St</t>
  </si>
  <si>
    <t>445 Linwood St</t>
  </si>
  <si>
    <t>9427 Kings Hwy</t>
  </si>
  <si>
    <t>455 Linwood St</t>
  </si>
  <si>
    <t>662 Halsey St</t>
  </si>
  <si>
    <t>2239 Creston Ave</t>
  </si>
  <si>
    <t>477 Saratoga Ave</t>
  </si>
  <si>
    <t>715 Riverdale Ave</t>
  </si>
  <si>
    <t>327 Franklin Ave</t>
  </si>
  <si>
    <t>792 Sterling Pl</t>
  </si>
  <si>
    <t>257 Mother Gaston Blvd</t>
  </si>
  <si>
    <t>54 Linden Blvd</t>
  </si>
  <si>
    <t>483 Pacific St</t>
  </si>
  <si>
    <t>1857 Coney Island Ave</t>
  </si>
  <si>
    <t>46 Linden Blvd</t>
  </si>
  <si>
    <t>1129 43rd St</t>
  </si>
  <si>
    <t>471 Hicks St</t>
  </si>
  <si>
    <t>444 State St</t>
  </si>
  <si>
    <t>282 E 35th St</t>
  </si>
  <si>
    <t>3413 Avenue H</t>
  </si>
  <si>
    <t>50 Linden Blvd</t>
  </si>
  <si>
    <t>553 58th St</t>
  </si>
  <si>
    <t>207 Park Pl</t>
  </si>
  <si>
    <t>327 43rd St</t>
  </si>
  <si>
    <t>54 S Elliott Pl</t>
  </si>
  <si>
    <t>485 12th St</t>
  </si>
  <si>
    <t>201 E 18th St</t>
  </si>
  <si>
    <t>68 Fort Greene Pl</t>
  </si>
  <si>
    <t>510 Atlantic Ave</t>
  </si>
  <si>
    <t>211 E 54th St</t>
  </si>
  <si>
    <t>156 Vernon Ave</t>
  </si>
  <si>
    <t>787 E 46th St</t>
  </si>
  <si>
    <t>1319 Newkirk Ave</t>
  </si>
  <si>
    <t>350 E 51st St</t>
  </si>
  <si>
    <t>1546 E 24th St</t>
  </si>
  <si>
    <t>2 Elton St</t>
  </si>
  <si>
    <t>735 Lincoln Ave</t>
  </si>
  <si>
    <t>178 Riverdale Ave</t>
  </si>
  <si>
    <t>433 Halsey St</t>
  </si>
  <si>
    <t>1320 Eastern Pkwy</t>
  </si>
  <si>
    <t>300 Vernon Ave</t>
  </si>
  <si>
    <t>404 Williams Ave</t>
  </si>
  <si>
    <t>176 Mckinley Ave</t>
  </si>
  <si>
    <t>927 Lenox Rd</t>
  </si>
  <si>
    <t>316 Stuyvesant ave</t>
  </si>
  <si>
    <t>867 Saint Marks Ave</t>
  </si>
  <si>
    <t>205 Boerum St</t>
  </si>
  <si>
    <t>1661 Saint Johns Pl</t>
  </si>
  <si>
    <t>774 Rockaway Ave</t>
  </si>
  <si>
    <t>1570 Eastern Pkwy</t>
  </si>
  <si>
    <t>63 Hull St</t>
  </si>
  <si>
    <t>110 Chauncey st</t>
  </si>
  <si>
    <t>414 E 94th St</t>
  </si>
  <si>
    <t>701 Avenue C</t>
  </si>
  <si>
    <t>1805 Pitkin Ave</t>
  </si>
  <si>
    <t>725 Miller Ave</t>
  </si>
  <si>
    <t>482 Riverdale Ave</t>
  </si>
  <si>
    <t>800 Hancock St</t>
  </si>
  <si>
    <t>209 Sumpter St</t>
  </si>
  <si>
    <t>271 67th st</t>
  </si>
  <si>
    <t>110 Rochester Ave</t>
  </si>
  <si>
    <t>1918 Pacific St</t>
  </si>
  <si>
    <t>380 Schenck Ave</t>
  </si>
  <si>
    <t>860 Belmont Ave</t>
  </si>
  <si>
    <t>443 Wyona St</t>
  </si>
  <si>
    <t>2170 Atlantic Ave</t>
  </si>
  <si>
    <t>675 Lincoln Ave</t>
  </si>
  <si>
    <t>1711 Fulton st</t>
  </si>
  <si>
    <t>903 Drew St</t>
  </si>
  <si>
    <t>249 Thomas S Boyland St</t>
  </si>
  <si>
    <t>865 Thomas S Boyland St</t>
  </si>
  <si>
    <t>499 Linwood St</t>
  </si>
  <si>
    <t>757 Pine St</t>
  </si>
  <si>
    <t>1933 Union St</t>
  </si>
  <si>
    <t>1111 Grant Ave</t>
  </si>
  <si>
    <t>1631 Saint Marks Ave</t>
  </si>
  <si>
    <t>295A Bainbridge St</t>
  </si>
  <si>
    <t>430 New Jersey Ave</t>
  </si>
  <si>
    <t>461 Milford St</t>
  </si>
  <si>
    <t>2158 Atlantic Ave</t>
  </si>
  <si>
    <t>2181 Pacific St</t>
  </si>
  <si>
    <t>95 E 18th St</t>
  </si>
  <si>
    <t>35 E 94th St</t>
  </si>
  <si>
    <t>349 Rockaway Pkwy</t>
  </si>
  <si>
    <t>2112 Fulton St</t>
  </si>
  <si>
    <t>226 W Tremont Ave</t>
  </si>
  <si>
    <t>800 Concourse Vlg W</t>
  </si>
  <si>
    <t>1926 Longfellow Ave</t>
  </si>
  <si>
    <t>2103 Honeywell Ave</t>
  </si>
  <si>
    <t>855 East 217th Street</t>
  </si>
  <si>
    <t>2095 Creston Ave</t>
  </si>
  <si>
    <t>381 Sumpter St</t>
  </si>
  <si>
    <t>550 Snediker Ave</t>
  </si>
  <si>
    <t>498 Vermont St</t>
  </si>
  <si>
    <t>167 Newport St</t>
  </si>
  <si>
    <t>74 Eldert st</t>
  </si>
  <si>
    <t>54 Bristol St</t>
  </si>
  <si>
    <t>2181 Strauss St</t>
  </si>
  <si>
    <t>612 Vermont St</t>
  </si>
  <si>
    <t>377 Chauncey St</t>
  </si>
  <si>
    <t>1460 Pennsylvania Ave</t>
  </si>
  <si>
    <t>2187 Strauss St</t>
  </si>
  <si>
    <t>1825 Atlantic Ave</t>
  </si>
  <si>
    <t>1711 Fulton St</t>
  </si>
  <si>
    <t>1843 Atlantic Ave</t>
  </si>
  <si>
    <t>283 Linden St</t>
  </si>
  <si>
    <t>2106 Union St</t>
  </si>
  <si>
    <t>575 Hancock st</t>
  </si>
  <si>
    <t>624 Howard Ave</t>
  </si>
  <si>
    <t>67 Doscher st</t>
  </si>
  <si>
    <t>405 Rockaway Pkwy</t>
  </si>
  <si>
    <t>232 Schenectady Ave</t>
  </si>
  <si>
    <t>719 Chauncey St</t>
  </si>
  <si>
    <t>549 Cleveland St</t>
  </si>
  <si>
    <t>210 W 251st St</t>
  </si>
  <si>
    <t>2526 Bronx Park E</t>
  </si>
  <si>
    <t>1461 Commonwealth Ave</t>
  </si>
  <si>
    <t>124 E 117th St</t>
  </si>
  <si>
    <t>454 E 119th St</t>
  </si>
  <si>
    <t>1954 1st Ave</t>
  </si>
  <si>
    <t>15 W 139th St</t>
  </si>
  <si>
    <t>51 E 129th St # 55</t>
  </si>
  <si>
    <t>2305 2nd Ave</t>
  </si>
  <si>
    <t>1652 Park ave</t>
  </si>
  <si>
    <t>152 E 84th St</t>
  </si>
  <si>
    <t>158 E 119th St</t>
  </si>
  <si>
    <t>309 W 76th St</t>
  </si>
  <si>
    <t>91 E 116th St</t>
  </si>
  <si>
    <t>630 Lenox Ave</t>
  </si>
  <si>
    <t>13 E 124th St</t>
  </si>
  <si>
    <t>164 E 104th St</t>
  </si>
  <si>
    <t>2167 2nd Ave</t>
  </si>
  <si>
    <t>1274 5th Ave</t>
  </si>
  <si>
    <t>340 E 112th St</t>
  </si>
  <si>
    <t>1692 Park Ave</t>
  </si>
  <si>
    <t>104 W 83rd St</t>
  </si>
  <si>
    <t>8806 Parsons Blvd</t>
  </si>
  <si>
    <t>14215 Bascom Ave</t>
  </si>
  <si>
    <t>3354 83rd St</t>
  </si>
  <si>
    <t>8815 168th St</t>
  </si>
  <si>
    <t>8806 Pasons Blvd</t>
  </si>
  <si>
    <t>5433 Metropolitan Ave</t>
  </si>
  <si>
    <t>14011 Ash Ave</t>
  </si>
  <si>
    <t>7313 70th St</t>
  </si>
  <si>
    <t>4011 149th St</t>
  </si>
  <si>
    <t>133 Concord St</t>
  </si>
  <si>
    <t>208 Berriman St</t>
  </si>
  <si>
    <t>280 Etna St</t>
  </si>
  <si>
    <t>2750 W 33rd St</t>
  </si>
  <si>
    <t>417 Pennsylvania Ave</t>
  </si>
  <si>
    <t>675 Decatur St</t>
  </si>
  <si>
    <t>721 Willoughby Ave</t>
  </si>
  <si>
    <t>97 Macon St</t>
  </si>
  <si>
    <t>1092 President St</t>
  </si>
  <si>
    <t>1284 Herkimer St</t>
  </si>
  <si>
    <t>251 E 105th St</t>
  </si>
  <si>
    <t>605 W 42nd St</t>
  </si>
  <si>
    <t>130 E 104th St</t>
  </si>
  <si>
    <t>17 Old Town Rd</t>
  </si>
  <si>
    <t>51 Maple Pkwy</t>
  </si>
  <si>
    <t>240 Park Hill Ave</t>
  </si>
  <si>
    <t>140 Park Hill Ave</t>
  </si>
  <si>
    <t>37 Avon Pl</t>
  </si>
  <si>
    <t>225 Park Hill Ave</t>
  </si>
  <si>
    <t>196 Saint Marys Ave</t>
  </si>
  <si>
    <t>131 Jersey St</t>
  </si>
  <si>
    <t>2099 Forest Ave</t>
  </si>
  <si>
    <t>558 Ralph Ave</t>
  </si>
  <si>
    <t>385 Chestnut St</t>
  </si>
  <si>
    <t>180 Grafton St</t>
  </si>
  <si>
    <t>291 Bainbridge St</t>
  </si>
  <si>
    <t>40 Wyckoff St</t>
  </si>
  <si>
    <t>1118 Winthrop St</t>
  </si>
  <si>
    <t>694 New Lots Ave</t>
  </si>
  <si>
    <t>82 Rockaway Pkwy</t>
  </si>
  <si>
    <t>829 Halsey St</t>
  </si>
  <si>
    <t>149 E 96th St</t>
  </si>
  <si>
    <t>1356 Walton Ave</t>
  </si>
  <si>
    <t>1775 Davidson Ave</t>
  </si>
  <si>
    <t>135 W 176th St</t>
  </si>
  <si>
    <t>1944 Mcgraw Ave</t>
  </si>
  <si>
    <t>1041 Longfellow Ave</t>
  </si>
  <si>
    <t>1240 Walton Ave</t>
  </si>
  <si>
    <t>1501 Undercliff Ave</t>
  </si>
  <si>
    <t>2071 Walton Ave</t>
  </si>
  <si>
    <t>1685 Topping Ave</t>
  </si>
  <si>
    <t>2175 Ryer Ave</t>
  </si>
  <si>
    <t>900 Ogden Ave</t>
  </si>
  <si>
    <t>357 E 193rd St</t>
  </si>
  <si>
    <t>1304 Merriam Ave</t>
  </si>
  <si>
    <t>8 W 169th St</t>
  </si>
  <si>
    <t>2695 Briggs Ave</t>
  </si>
  <si>
    <t>104 Elliot Pl</t>
  </si>
  <si>
    <t>825 Morrison Ave</t>
  </si>
  <si>
    <t>1362 Grand Concourse</t>
  </si>
  <si>
    <t>2323 Walton Ave</t>
  </si>
  <si>
    <t>1118 Intervale Ave</t>
  </si>
  <si>
    <t>1010 Bryant Ave</t>
  </si>
  <si>
    <t>1900 Hennessy Pl</t>
  </si>
  <si>
    <t>1015 E 179th st</t>
  </si>
  <si>
    <t>1730 Taylor Ave</t>
  </si>
  <si>
    <t>941 Rogers Pl</t>
  </si>
  <si>
    <t>20 Richmind Plaza</t>
  </si>
  <si>
    <t>1038 White Plains Rd</t>
  </si>
  <si>
    <t>1520 Sedgwick Ave</t>
  </si>
  <si>
    <t>482 Nostrand Ave</t>
  </si>
  <si>
    <t>1495 Grand Concourse</t>
  </si>
  <si>
    <t>830 Magenta St</t>
  </si>
  <si>
    <t>2028 Morris Ave</t>
  </si>
  <si>
    <t>30 Richman Plz</t>
  </si>
  <si>
    <t>1020 Gerard Ave</t>
  </si>
  <si>
    <t>454 E 148th St</t>
  </si>
  <si>
    <t>831 Bartholdi St</t>
  </si>
  <si>
    <t>2375 Southern Blvd</t>
  </si>
  <si>
    <t>4170 Carpenter Ave</t>
  </si>
  <si>
    <t>Po Box 6399</t>
  </si>
  <si>
    <t>PO Box 661564</t>
  </si>
  <si>
    <t>1184 Walton Ave</t>
  </si>
  <si>
    <t>900 Fox St</t>
  </si>
  <si>
    <t>711a Seagirt Ave</t>
  </si>
  <si>
    <t>156 E 178th St</t>
  </si>
  <si>
    <t>1098 Gerard Ave</t>
  </si>
  <si>
    <t>1157 Intervale Ave</t>
  </si>
  <si>
    <t>3971 Gouverneur Ave</t>
  </si>
  <si>
    <t>2195 Grand Concourse</t>
  </si>
  <si>
    <t>1711 Davidson Ave</t>
  </si>
  <si>
    <t>506 Jackson Ave</t>
  </si>
  <si>
    <t>1721 Grand Ave</t>
  </si>
  <si>
    <t>269 E Burnside Ave</t>
  </si>
  <si>
    <t>921 E 180th St</t>
  </si>
  <si>
    <t>60 E 177th St</t>
  </si>
  <si>
    <t>40 Richman Plz</t>
  </si>
  <si>
    <t>1175 Gerard Ave</t>
  </si>
  <si>
    <t>1235 Grand Concourse</t>
  </si>
  <si>
    <t>2028 Cross Bronx Expy</t>
  </si>
  <si>
    <t>20 W 190th St</t>
  </si>
  <si>
    <t>55 W 100th St</t>
  </si>
  <si>
    <t>1600 Sedgwick Ave</t>
  </si>
  <si>
    <t>595 E 170th St</t>
  </si>
  <si>
    <t>1504 Sheridan Ave</t>
  </si>
  <si>
    <t>3534 Bronx Blvd</t>
  </si>
  <si>
    <t>1632 Undercliff Ave</t>
  </si>
  <si>
    <t>13955 35th Ave</t>
  </si>
  <si>
    <t>11920 Union Tpke</t>
  </si>
  <si>
    <t>4210 colden st</t>
  </si>
  <si>
    <t>7002 Parsons Blvd</t>
  </si>
  <si>
    <t>3618 166th St</t>
  </si>
  <si>
    <t>1523 123rd St</t>
  </si>
  <si>
    <t>1352 Dickens St</t>
  </si>
  <si>
    <t>14308 Roosevelt Ave</t>
  </si>
  <si>
    <t>114 E 97th St</t>
  </si>
  <si>
    <t>1410 York Ave</t>
  </si>
  <si>
    <t>400 W 150th st</t>
  </si>
  <si>
    <t>470 2nd Ave</t>
  </si>
  <si>
    <t>611 Flatbush Ave</t>
  </si>
  <si>
    <t>602 44th St</t>
  </si>
  <si>
    <t>8 Rutland Rd</t>
  </si>
  <si>
    <t>607 Flatbush Ave</t>
  </si>
  <si>
    <t>21 Saint Pauls Ct</t>
  </si>
  <si>
    <t>15 B Dwight Street</t>
  </si>
  <si>
    <t>227 23rd St</t>
  </si>
  <si>
    <t>58 Lewis Ave</t>
  </si>
  <si>
    <t>772 Union St</t>
  </si>
  <si>
    <t>490 Ocean Parkway</t>
  </si>
  <si>
    <t>490 Ocean Pkwy</t>
  </si>
  <si>
    <t>1030 Ocean Ave</t>
  </si>
  <si>
    <t>854 Myrtle Ave</t>
  </si>
  <si>
    <t>1386 Greene Ave</t>
  </si>
  <si>
    <t>902 47th St</t>
  </si>
  <si>
    <t>743 Empire Blvd</t>
  </si>
  <si>
    <t>342 21st St</t>
  </si>
  <si>
    <t>759 46th St</t>
  </si>
  <si>
    <t>230 President St</t>
  </si>
  <si>
    <t>25 Henderson Ave</t>
  </si>
  <si>
    <t>486 Jersey St</t>
  </si>
  <si>
    <t>3071 Park Ave</t>
  </si>
  <si>
    <t>61 Wyckoff Ave</t>
  </si>
  <si>
    <t>3325 Neptune Ave</t>
  </si>
  <si>
    <t>319 3rd St</t>
  </si>
  <si>
    <t>354 E 54th St</t>
  </si>
  <si>
    <t>102 Suffolk St</t>
  </si>
  <si>
    <t>345 E 83rd St</t>
  </si>
  <si>
    <t>312 11th Ave</t>
  </si>
  <si>
    <t>2109 1st Ave</t>
  </si>
  <si>
    <t>165 Sherman Ave</t>
  </si>
  <si>
    <t>4 E 28th St</t>
  </si>
  <si>
    <t>666 W 188th St</t>
  </si>
  <si>
    <t>510 W 55th St</t>
  </si>
  <si>
    <t>1806 1st ave</t>
  </si>
  <si>
    <t>97 Crooke Ave</t>
  </si>
  <si>
    <t>901 franklin ave</t>
  </si>
  <si>
    <t>88-15 168th Street</t>
  </si>
  <si>
    <t>92 Crystal St</t>
  </si>
  <si>
    <t>177 Milford St</t>
  </si>
  <si>
    <t>1004 Hegeman Ave</t>
  </si>
  <si>
    <t>533 Marcy Ave</t>
  </si>
  <si>
    <t>921 Saint Marks Ave</t>
  </si>
  <si>
    <t>31 Aberdeen St</t>
  </si>
  <si>
    <t>878 Euclid Ave</t>
  </si>
  <si>
    <t>385 Prospect Ave</t>
  </si>
  <si>
    <t>690 Bay St</t>
  </si>
  <si>
    <t>209 Broad St</t>
  </si>
  <si>
    <t>160 Park Hill Ave</t>
  </si>
  <si>
    <t>48 Saint Marks Pl</t>
  </si>
  <si>
    <t>101 Daniel Low Ter</t>
  </si>
  <si>
    <t>180 Park Hill Ave</t>
  </si>
  <si>
    <t>2386 Ryer Ave</t>
  </si>
  <si>
    <t>1331 Bay St</t>
  </si>
  <si>
    <t>280 Park Hill Ave</t>
  </si>
  <si>
    <t>350 Vanderbilt Ave</t>
  </si>
  <si>
    <t>217 Thomas S Boyland St</t>
  </si>
  <si>
    <t>536 E 96th St</t>
  </si>
  <si>
    <t>152 Marcus Garvey Blvd</t>
  </si>
  <si>
    <t>1350 Park Pl</t>
  </si>
  <si>
    <t>148 Marcus Garvey Blvd</t>
  </si>
  <si>
    <t>146 Marcus Garvey Blvd</t>
  </si>
  <si>
    <t>72 Richardson St</t>
  </si>
  <si>
    <t>360 E 166th St</t>
  </si>
  <si>
    <t>215 E 164th St</t>
  </si>
  <si>
    <t>1197 Grand Concourse</t>
  </si>
  <si>
    <t>1846 Anthony Ave</t>
  </si>
  <si>
    <t>737 Southern Blvd</t>
  </si>
  <si>
    <t>1895 Morris Ave</t>
  </si>
  <si>
    <t>1505 Grand Concourse</t>
  </si>
  <si>
    <t>1841 Univ Ave</t>
  </si>
  <si>
    <t>1420 Crotona Park E</t>
  </si>
  <si>
    <t>363 E 163rd St</t>
  </si>
  <si>
    <t>945 E 163rd St</t>
  </si>
  <si>
    <t>135 E 149th St</t>
  </si>
  <si>
    <t>1534 Selwyn Ave</t>
  </si>
  <si>
    <t>95 W 162nd St</t>
  </si>
  <si>
    <t>20 E 179th St</t>
  </si>
  <si>
    <t>889 Dawson St</t>
  </si>
  <si>
    <t>2170 Univ Ave</t>
  </si>
  <si>
    <t>370 Morris Ave</t>
  </si>
  <si>
    <t>985 Anderson Ave</t>
  </si>
  <si>
    <t>1950 Andrews Ave</t>
  </si>
  <si>
    <t>1750 Sedgwick Ave</t>
  </si>
  <si>
    <t>1115 Jerome Ave</t>
  </si>
  <si>
    <t>1770 Davidson Ave</t>
  </si>
  <si>
    <t>1771 Monroe Ave</t>
  </si>
  <si>
    <t>1023 Southern Blvd</t>
  </si>
  <si>
    <t>354 E Mosholu Pkwy S</t>
  </si>
  <si>
    <t>124 E 176th St</t>
  </si>
  <si>
    <t>1892 Morris Ave</t>
  </si>
  <si>
    <t>1485 Macombs Rd</t>
  </si>
  <si>
    <t>1254 Sherman Ave</t>
  </si>
  <si>
    <t>315 E 167th St</t>
  </si>
  <si>
    <t>1049 Grand Concourse</t>
  </si>
  <si>
    <t>1170 Walton Ave</t>
  </si>
  <si>
    <t>957 Aldus St</t>
  </si>
  <si>
    <t>10 Richman Plz</t>
  </si>
  <si>
    <t>226 E 203rd St</t>
  </si>
  <si>
    <t>519 E 88th St</t>
  </si>
  <si>
    <t>34 Bogardus Pl</t>
  </si>
  <si>
    <t>436 W 160th St</t>
  </si>
  <si>
    <t>100 Cooper St</t>
  </si>
  <si>
    <t>621 W 189th St</t>
  </si>
  <si>
    <t>34 Hillside Ave</t>
  </si>
  <si>
    <t>2715 Webb ave</t>
  </si>
  <si>
    <t>3817 Dyre Ave</t>
  </si>
  <si>
    <t>468 City Island Ave</t>
  </si>
  <si>
    <t>940 Fox St</t>
  </si>
  <si>
    <t>2695 Heath Ave</t>
  </si>
  <si>
    <t>5929 Queens Blvd</t>
  </si>
  <si>
    <t>11513 111th Ave</t>
  </si>
  <si>
    <t>543 47th Ave</t>
  </si>
  <si>
    <t>14707 N Conduit Ave</t>
  </si>
  <si>
    <t>9416 34th Rd</t>
  </si>
  <si>
    <t>6730 75th St</t>
  </si>
  <si>
    <t>320 Beach 100th St</t>
  </si>
  <si>
    <t>14330 Roosevelt Ave</t>
  </si>
  <si>
    <t>14730 38th Ave</t>
  </si>
  <si>
    <t>4706 49th St</t>
  </si>
  <si>
    <t>329 Beach 70th St</t>
  </si>
  <si>
    <t>4536 49th St</t>
  </si>
  <si>
    <t>4706 48th Ave</t>
  </si>
  <si>
    <t>2919 Lewmay Rd</t>
  </si>
  <si>
    <t>3530 153rd St</t>
  </si>
  <si>
    <t>14445 35th Ave</t>
  </si>
  <si>
    <t>15110 35th Ave</t>
  </si>
  <si>
    <t>3315 28th St</t>
  </si>
  <si>
    <t>5302 Browvale Ln</t>
  </si>
  <si>
    <t>96 Baxter St</t>
  </si>
  <si>
    <t>155 W 81st St</t>
  </si>
  <si>
    <t>1844 Stuart St</t>
  </si>
  <si>
    <t>1366 Ovington Ave</t>
  </si>
  <si>
    <t>33 Henry St</t>
  </si>
  <si>
    <t>552 W 186th St</t>
  </si>
  <si>
    <t>66 Mulberry St</t>
  </si>
  <si>
    <t>112 W 144th St</t>
  </si>
  <si>
    <t>205 Sumpter St</t>
  </si>
  <si>
    <t>397 Troy Ave</t>
  </si>
  <si>
    <t>399 Troy Ave</t>
  </si>
  <si>
    <t>315 Pulaski St</t>
  </si>
  <si>
    <t>967 Sutter Ave</t>
  </si>
  <si>
    <t>71 Pilling St</t>
  </si>
  <si>
    <t>1935 Bergen st</t>
  </si>
  <si>
    <t>395 Troy Ave</t>
  </si>
  <si>
    <t>1935 Bergen St</t>
  </si>
  <si>
    <t>420 W 206th St</t>
  </si>
  <si>
    <t>49 Tapscott St (3B)</t>
  </si>
  <si>
    <t>119 E 102nd St</t>
  </si>
  <si>
    <t>502 W 213th St</t>
  </si>
  <si>
    <t>532 W 145th St</t>
  </si>
  <si>
    <t>175 E 105th St</t>
  </si>
  <si>
    <t>221 E 106th St</t>
  </si>
  <si>
    <t>272 Sherman Ave</t>
  </si>
  <si>
    <t>540 W 145th St</t>
  </si>
  <si>
    <t>220 W 149th St</t>
  </si>
  <si>
    <t>158 E 110th St</t>
  </si>
  <si>
    <t>2999 8th Ave</t>
  </si>
  <si>
    <t>1115 1st Ave</t>
  </si>
  <si>
    <t>601 W 190th St</t>
  </si>
  <si>
    <t>541 Isham St</t>
  </si>
  <si>
    <t>26 E 60th St</t>
  </si>
  <si>
    <t>72 Vermilyea Ave</t>
  </si>
  <si>
    <t>132 Seaman Ave</t>
  </si>
  <si>
    <t>112 E 103rd St</t>
  </si>
  <si>
    <t>22 E 112th St</t>
  </si>
  <si>
    <t>1795 Riverside Dr</t>
  </si>
  <si>
    <t>77 Columbia St</t>
  </si>
  <si>
    <t>685 Academy St</t>
  </si>
  <si>
    <t>167 W 81st St</t>
  </si>
  <si>
    <t>237 E 115th St</t>
  </si>
  <si>
    <t>149 E 118th St</t>
  </si>
  <si>
    <t>561 W 179th St</t>
  </si>
  <si>
    <t>127E 107 St</t>
  </si>
  <si>
    <t>221 Seaman Ave</t>
  </si>
  <si>
    <t>318 E 126th St</t>
  </si>
  <si>
    <t>88 Seaman Ave</t>
  </si>
  <si>
    <t>51 E 97th St</t>
  </si>
  <si>
    <t>20 Seaman Ave</t>
  </si>
  <si>
    <t>566 Vanderbilt Ave</t>
  </si>
  <si>
    <t>505 Rockaway Pkwy</t>
  </si>
  <si>
    <t>3216 Decatur Ave</t>
  </si>
  <si>
    <t>520 Tinton Ave</t>
  </si>
  <si>
    <t>862 Southern Boulevard</t>
  </si>
  <si>
    <t>57-63 wadsworth terrace</t>
  </si>
  <si>
    <t>57-63 Wadsworth Terrace</t>
  </si>
  <si>
    <t>517 W 212th St</t>
  </si>
  <si>
    <t>5763 wadsworth terrace</t>
  </si>
  <si>
    <t>506 W 178th St</t>
  </si>
  <si>
    <t>221 Sherman Ave</t>
  </si>
  <si>
    <t>Po Box 230455</t>
  </si>
  <si>
    <t>966 Saint Nicholas Ave</t>
  </si>
  <si>
    <t>152 Sherman Ave</t>
  </si>
  <si>
    <t>560 W 163rd St</t>
  </si>
  <si>
    <t>513 W 157th St</t>
  </si>
  <si>
    <t>347 E 119th St</t>
  </si>
  <si>
    <t>110 Seaman Ave</t>
  </si>
  <si>
    <t>500 W 213th St</t>
  </si>
  <si>
    <t>4960 Broadway</t>
  </si>
  <si>
    <t>65 Post Ave</t>
  </si>
  <si>
    <t>615 W 183rd St</t>
  </si>
  <si>
    <t>75 Post Ave</t>
  </si>
  <si>
    <t>251 Sherman Ave</t>
  </si>
  <si>
    <t>924 Armstrong Ave</t>
  </si>
  <si>
    <t>228a Jersey St</t>
  </si>
  <si>
    <t>413 Jersey St</t>
  </si>
  <si>
    <t>55 Bowen St</t>
  </si>
  <si>
    <t>260 Park Hill Ave</t>
  </si>
  <si>
    <t>19 Steuben St</t>
  </si>
  <si>
    <t>185 Saint Marks Pl</t>
  </si>
  <si>
    <t>216 Westervelt Ave</t>
  </si>
  <si>
    <t>185 Park Hill Ave</t>
  </si>
  <si>
    <t>700 Victory Blvd</t>
  </si>
  <si>
    <t>2449 33rd St</t>
  </si>
  <si>
    <t>16834 127th Ave</t>
  </si>
  <si>
    <t>3805 Crescent St</t>
  </si>
  <si>
    <t>3433 30th St</t>
  </si>
  <si>
    <t>6570 Booth St</t>
  </si>
  <si>
    <t>3530 94th St</t>
  </si>
  <si>
    <t>1741 Norman St</t>
  </si>
  <si>
    <t>4135 53rd St</t>
  </si>
  <si>
    <t>15048 75th Ave</t>
  </si>
  <si>
    <t>181 Beach 25th St</t>
  </si>
  <si>
    <t>8914 80th St</t>
  </si>
  <si>
    <t>6140 146th St</t>
  </si>
  <si>
    <t>5024 31st Ave</t>
  </si>
  <si>
    <t>9728 76th St</t>
  </si>
  <si>
    <t>6637 53rd Ave</t>
  </si>
  <si>
    <t>8726 175th St</t>
  </si>
  <si>
    <t>10005 37th Ave</t>
  </si>
  <si>
    <t>13020 Inwood St</t>
  </si>
  <si>
    <t>17515 144th Dr</t>
  </si>
  <si>
    <t>9407 75th St</t>
  </si>
  <si>
    <t>1705 Stanhope St</t>
  </si>
  <si>
    <t>8510 148th St</t>
  </si>
  <si>
    <t>3944 24th St</t>
  </si>
  <si>
    <t>4115 50th Ave</t>
  </si>
  <si>
    <t>86 Forbell St</t>
  </si>
  <si>
    <t>312 Sheridan Ave</t>
  </si>
  <si>
    <t>1348 Sheridan Ave</t>
  </si>
  <si>
    <t>1305 Nelson Ave</t>
  </si>
  <si>
    <t>3227 Bainbridge Ave</t>
  </si>
  <si>
    <t>1860 Billingsley Ter</t>
  </si>
  <si>
    <t>1970 Walton Ave</t>
  </si>
  <si>
    <t>949 Ogden Ave</t>
  </si>
  <si>
    <t>2454 Tiebout Ave</t>
  </si>
  <si>
    <t>535 Jackson Ave</t>
  </si>
  <si>
    <t>680 Tinton Ave</t>
  </si>
  <si>
    <t>4382 Furman Ave</t>
  </si>
  <si>
    <t>4769 White Plains Rd</t>
  </si>
  <si>
    <t>478 Herzl St</t>
  </si>
  <si>
    <t>1456 Taylor Ave</t>
  </si>
  <si>
    <t>4535 Park Ave</t>
  </si>
  <si>
    <t>1560 Grand Concourse</t>
  </si>
  <si>
    <t>3133 90th St</t>
  </si>
  <si>
    <t>4746 40th St</t>
  </si>
  <si>
    <t>1415 Mott Ave</t>
  </si>
  <si>
    <t>16606 75th Ave</t>
  </si>
  <si>
    <t>8806 parsons blvd</t>
  </si>
  <si>
    <t>1870 211th St</t>
  </si>
  <si>
    <t>1115 46th Rd</t>
  </si>
  <si>
    <t>16212 95th St</t>
  </si>
  <si>
    <t>6615 Wetherole St</t>
  </si>
  <si>
    <t>5926 48th Ave</t>
  </si>
  <si>
    <t>6336 98th Pl</t>
  </si>
  <si>
    <t>2211 New Haven Ave</t>
  </si>
  <si>
    <t>5149 Almeda Ave</t>
  </si>
  <si>
    <t>5715 Shore Front Pkwy</t>
  </si>
  <si>
    <t>3721 80th St</t>
  </si>
  <si>
    <t>711 Seagirt Avenue</t>
  </si>
  <si>
    <t>8822 Parsons Blvd</t>
  </si>
  <si>
    <t>10436 196th St</t>
  </si>
  <si>
    <t>9730 57th Ave</t>
  </si>
  <si>
    <t>14454 35th Ave</t>
  </si>
  <si>
    <t>1450 Gateway Blvd</t>
  </si>
  <si>
    <t>15516 Cherry Ave</t>
  </si>
  <si>
    <t>146 Beach 59th St</t>
  </si>
  <si>
    <t>1415 Mott Ave Apt 4</t>
  </si>
  <si>
    <t>3551 95th St</t>
  </si>
  <si>
    <t>3519 161st St</t>
  </si>
  <si>
    <t>521 Fort Washington Ave</t>
  </si>
  <si>
    <t>95 Seaman Ave</t>
  </si>
  <si>
    <t>128 Fort Washington Ave</t>
  </si>
  <si>
    <t>501 W 184th St</t>
  </si>
  <si>
    <t>521 W 186th St</t>
  </si>
  <si>
    <t>565 W 181st St</t>
  </si>
  <si>
    <t>89-95 Seaman Avenue</t>
  </si>
  <si>
    <t>89 Seaman Ave</t>
  </si>
  <si>
    <t>125 Sherman Ave</t>
  </si>
  <si>
    <t>501 W 189th St</t>
  </si>
  <si>
    <t>101 Post Ave</t>
  </si>
  <si>
    <t>41 Park Ter W</t>
  </si>
  <si>
    <t>701 W 179th St</t>
  </si>
  <si>
    <t>57 Wadsworth Ter # 63</t>
  </si>
  <si>
    <t>5360 Broadway</t>
  </si>
  <si>
    <t>55 Nagle Ave</t>
  </si>
  <si>
    <t>157 Vermilyea Ave</t>
  </si>
  <si>
    <t>615 W 164th St</t>
  </si>
  <si>
    <t>256 Seaman Ave</t>
  </si>
  <si>
    <t>501 E 87th St</t>
  </si>
  <si>
    <t>3310 Bayview Ave</t>
  </si>
  <si>
    <t>2574 Bedford Ave</t>
  </si>
  <si>
    <t>681 E 181st St</t>
  </si>
  <si>
    <t>1506 Walton Ave</t>
  </si>
  <si>
    <t>2985 Botanical Sq</t>
  </si>
  <si>
    <t>429 Bergen St</t>
  </si>
  <si>
    <t>1004 Montgomery St</t>
  </si>
  <si>
    <t>1004 Montgomery st</t>
  </si>
  <si>
    <t>350 New Lots Ave</t>
  </si>
  <si>
    <t>25 Saint Felix St</t>
  </si>
  <si>
    <t>42 Saint Felix St</t>
  </si>
  <si>
    <t>452 53rd St</t>
  </si>
  <si>
    <t>643 Central Ave</t>
  </si>
  <si>
    <t>2353 Pacific St</t>
  </si>
  <si>
    <t>790 Eldert Ln</t>
  </si>
  <si>
    <t>2092 Dean St</t>
  </si>
  <si>
    <t>636 Louisiana Ave</t>
  </si>
  <si>
    <t>4513 10th Ave</t>
  </si>
  <si>
    <t>284 Cooper St</t>
  </si>
  <si>
    <t>1088 Sutter Ave</t>
  </si>
  <si>
    <t>523 E 108th St</t>
  </si>
  <si>
    <t>1553 Dekalb Ave</t>
  </si>
  <si>
    <t>723 Hancock St</t>
  </si>
  <si>
    <t>4455 Broadway</t>
  </si>
  <si>
    <t>75 Thayer St</t>
  </si>
  <si>
    <t>670 W 193rd St</t>
  </si>
  <si>
    <t>507 W 172nd St</t>
  </si>
  <si>
    <t>260 Audubon ave</t>
  </si>
  <si>
    <t>598 W 191st St</t>
  </si>
  <si>
    <t>64 Vermilyea Ave</t>
  </si>
  <si>
    <t>260 Fort Washington Ave</t>
  </si>
  <si>
    <t>20-26 Bogardus Pl</t>
  </si>
  <si>
    <t>24 Cooper St</t>
  </si>
  <si>
    <t>495 W 186th St</t>
  </si>
  <si>
    <t>481 W 165th St</t>
  </si>
  <si>
    <t>15 Post ave</t>
  </si>
  <si>
    <t>645 W 160th St</t>
  </si>
  <si>
    <t>136 Seaman Ave</t>
  </si>
  <si>
    <t>275 Fort Washington Ave</t>
  </si>
  <si>
    <t>125 Sherman Avenue</t>
  </si>
  <si>
    <t>232 Stuyvesant Ave</t>
  </si>
  <si>
    <t>580 Maple St</t>
  </si>
  <si>
    <t>1490 Dumont Ave</t>
  </si>
  <si>
    <t>221 E 122nd St</t>
  </si>
  <si>
    <t>524 E 119th St</t>
  </si>
  <si>
    <t>34-15 Parsons Blvd</t>
  </si>
  <si>
    <t>3304 143rd St</t>
  </si>
  <si>
    <t>538 Beach 68th st</t>
  </si>
  <si>
    <t>34-15 Parsons B;vd</t>
  </si>
  <si>
    <t>2005 126th St</t>
  </si>
  <si>
    <t>4616 43rd Ave</t>
  </si>
  <si>
    <t>3011 Parsons Blvd</t>
  </si>
  <si>
    <t>2719 44th Dr</t>
  </si>
  <si>
    <t>9213 76th St</t>
  </si>
  <si>
    <t>443 Beach 67th St</t>
  </si>
  <si>
    <t>13317 Sanford Ave</t>
  </si>
  <si>
    <t>459 E 96th St</t>
  </si>
  <si>
    <t>193 Chestnut St</t>
  </si>
  <si>
    <t>274a 9th St</t>
  </si>
  <si>
    <t>203 Hull St</t>
  </si>
  <si>
    <t>2772 PITKIN AVE</t>
  </si>
  <si>
    <t>163 Madison St</t>
  </si>
  <si>
    <t>2 Elton st</t>
  </si>
  <si>
    <t>21 Truxton St</t>
  </si>
  <si>
    <t>230 schenectady ave</t>
  </si>
  <si>
    <t>620 Lenox Ave</t>
  </si>
  <si>
    <t>1680 Madison Ave</t>
  </si>
  <si>
    <t>2253 3rd Ave</t>
  </si>
  <si>
    <t>45 W 139th St</t>
  </si>
  <si>
    <t>244 E 117th St</t>
  </si>
  <si>
    <t>1575 Lexington Ave</t>
  </si>
  <si>
    <t>2038 5th Ave</t>
  </si>
  <si>
    <t>235 E 117th St</t>
  </si>
  <si>
    <t>1624 Madison Ave</t>
  </si>
  <si>
    <t>2085 Lexington Ave</t>
  </si>
  <si>
    <t>122 E 102nd St</t>
  </si>
  <si>
    <t>331 E 109th St</t>
  </si>
  <si>
    <t>100 W 83rd St</t>
  </si>
  <si>
    <t>231 E 117th st</t>
  </si>
  <si>
    <t>231 E 117th St</t>
  </si>
  <si>
    <t>11 E 125th St</t>
  </si>
  <si>
    <t>154 E 106th St</t>
  </si>
  <si>
    <t>1295 5th Ave</t>
  </si>
  <si>
    <t>2816 Jerome Ave</t>
  </si>
  <si>
    <t>530 Exterior St</t>
  </si>
  <si>
    <t>234 8th St</t>
  </si>
  <si>
    <t>1302 Newkirk Ave</t>
  </si>
  <si>
    <t>143 Hull St</t>
  </si>
  <si>
    <t>14420 41st ave</t>
  </si>
  <si>
    <t>4135 149th St</t>
  </si>
  <si>
    <t>19 Mount Hope Pl</t>
  </si>
  <si>
    <t>2001 Morris Ave</t>
  </si>
  <si>
    <t>344 E 148 Street</t>
  </si>
  <si>
    <t>490 E 189th St</t>
  </si>
  <si>
    <t>310 Alexander Ave</t>
  </si>
  <si>
    <t>2075 Creston Ave</t>
  </si>
  <si>
    <t>344 E 148th St</t>
  </si>
  <si>
    <t>901 Walton Avenue</t>
  </si>
  <si>
    <t>120 W 183rd St</t>
  </si>
  <si>
    <t>6685B Broadway</t>
  </si>
  <si>
    <t>2001 Morris Avenue</t>
  </si>
  <si>
    <t>899 Westchester Ave</t>
  </si>
  <si>
    <t>6685 Broadway</t>
  </si>
  <si>
    <t>1191 Boston Rd</t>
  </si>
  <si>
    <t>2022 Benedict Ave</t>
  </si>
  <si>
    <t>643 Thieriot Ave</t>
  </si>
  <si>
    <t>1315 Merriam Ave</t>
  </si>
  <si>
    <t>210 W 262nd St</t>
  </si>
  <si>
    <t>1311 Merriam Ave</t>
  </si>
  <si>
    <t>10 W 182nd St</t>
  </si>
  <si>
    <t>881 Cauldwell Ave</t>
  </si>
  <si>
    <t>99 Marble Hill Ave</t>
  </si>
  <si>
    <t>501 E 161st St</t>
  </si>
  <si>
    <t>1307 Merriam Ave</t>
  </si>
  <si>
    <t>780 Concourse Vlg W</t>
  </si>
  <si>
    <t>1220 Shakespeare Ave</t>
  </si>
  <si>
    <t>1170 Gerard Ave</t>
  </si>
  <si>
    <t>1014 Gerard Ave</t>
  </si>
  <si>
    <t>20 Richman Plz</t>
  </si>
  <si>
    <t>825 Gerard Ave</t>
  </si>
  <si>
    <t>344 E 176th St</t>
  </si>
  <si>
    <t>1180 Anderson Ave</t>
  </si>
  <si>
    <t>1188 Grand Concourse</t>
  </si>
  <si>
    <t>3110 Bainbridge Ave</t>
  </si>
  <si>
    <t>952 Aldus St</t>
  </si>
  <si>
    <t>1211 Southern Blvd</t>
  </si>
  <si>
    <t>1005 E 217th St</t>
  </si>
  <si>
    <t>1520 Sedgwick ave</t>
  </si>
  <si>
    <t>2018 Monterey Ave</t>
  </si>
  <si>
    <t>1520 sedgwick ave</t>
  </si>
  <si>
    <t>2337 Ellis Ave</t>
  </si>
  <si>
    <t>1770 Townsend Ave</t>
  </si>
  <si>
    <t>1195 Anderson Ave</t>
  </si>
  <si>
    <t>304 E 156th St</t>
  </si>
  <si>
    <t>1875 Univ Ave</t>
  </si>
  <si>
    <t>1774 Townsend Ave</t>
  </si>
  <si>
    <t>1580 Thieriot Ave</t>
  </si>
  <si>
    <t>1500 Hoe Ave</t>
  </si>
  <si>
    <t>2264 Grand Ave</t>
  </si>
  <si>
    <t>2065 Creston Ave</t>
  </si>
  <si>
    <t>1515 Macombs Rd</t>
  </si>
  <si>
    <t>2854 Bronx Park E</t>
  </si>
  <si>
    <t>1705 Zerega Ave</t>
  </si>
  <si>
    <t>909 Kelly St</t>
  </si>
  <si>
    <t>1327 Southern Blvd</t>
  </si>
  <si>
    <t>2066 Morris Ave</t>
  </si>
  <si>
    <t>1085 Walton ave</t>
  </si>
  <si>
    <t>1080 Anderson Ave</t>
  </si>
  <si>
    <t>120 Alcott Pl</t>
  </si>
  <si>
    <t>779 Concourse Vlg E</t>
  </si>
  <si>
    <t>1122 Herkimer St</t>
  </si>
  <si>
    <t>433 Rogers Ave</t>
  </si>
  <si>
    <t>753 Macon St</t>
  </si>
  <si>
    <t>257 Marion St</t>
  </si>
  <si>
    <t>2041 E 7th St</t>
  </si>
  <si>
    <t>249 Beach 15th St</t>
  </si>
  <si>
    <t>1074 Eastern PKWY</t>
  </si>
  <si>
    <t>631 E 222nd St</t>
  </si>
  <si>
    <t>996 Hegeman Ave</t>
  </si>
  <si>
    <t>35 covert st</t>
  </si>
  <si>
    <t>890 Flushing Ave</t>
  </si>
  <si>
    <t>624 Riverdale Ave</t>
  </si>
  <si>
    <t>1285 Delmar Loop</t>
  </si>
  <si>
    <t>2024 Bergen St</t>
  </si>
  <si>
    <t>175 Ardsley Loop</t>
  </si>
  <si>
    <t>595 Autumn Ave</t>
  </si>
  <si>
    <t>515 Crescent St</t>
  </si>
  <si>
    <t>765 Lincoln Ave</t>
  </si>
  <si>
    <t>1919 Eastern Pkwy</t>
  </si>
  <si>
    <t>1752 Sterling Pl</t>
  </si>
  <si>
    <t>444 Euclid Ave</t>
  </si>
  <si>
    <t>450 Schenck Ave</t>
  </si>
  <si>
    <t>50 Legion St</t>
  </si>
  <si>
    <t>482 Ridgewood Ave</t>
  </si>
  <si>
    <t>656 Howard Ave</t>
  </si>
  <si>
    <t>486 Glenmore Ave</t>
  </si>
  <si>
    <t>682 Alabama Ave</t>
  </si>
  <si>
    <t>660 E 98th St</t>
  </si>
  <si>
    <t>494 E 95th St</t>
  </si>
  <si>
    <t>542 Bainbridge St</t>
  </si>
  <si>
    <t>409 Saratoga Ave</t>
  </si>
  <si>
    <t>2307 Pitkin Ave</t>
  </si>
  <si>
    <t>25 utica Ave</t>
  </si>
  <si>
    <t>734 Crescent St</t>
  </si>
  <si>
    <t>294 Grove St</t>
  </si>
  <si>
    <t>1360 Eastern Pkwy</t>
  </si>
  <si>
    <t>235 Ralph Ave</t>
  </si>
  <si>
    <t>1390 Greene Ave</t>
  </si>
  <si>
    <t>1120 Loring Ave</t>
  </si>
  <si>
    <t>1677 Saint Johns Pl</t>
  </si>
  <si>
    <t>1147 Sutter Ave</t>
  </si>
  <si>
    <t>600 Van Siclen Ave</t>
  </si>
  <si>
    <t>350 Snediker Ave</t>
  </si>
  <si>
    <t>1465 Geneva Loop</t>
  </si>
  <si>
    <t>412 Thomas S Boyland St</t>
  </si>
  <si>
    <t>117 S 4th St</t>
  </si>
  <si>
    <t>906 Mother Gaston Blvd</t>
  </si>
  <si>
    <t>11245 Sea View Ave</t>
  </si>
  <si>
    <t>1940 Pacific St</t>
  </si>
  <si>
    <t>1254 Decatur St</t>
  </si>
  <si>
    <t>1566 Eastern Pkwy</t>
  </si>
  <si>
    <t>19 E 109th St</t>
  </si>
  <si>
    <t>1639 Saint Marks Ave</t>
  </si>
  <si>
    <t>1036 President St</t>
  </si>
  <si>
    <t>901 Drew St</t>
  </si>
  <si>
    <t>127 E 117th St</t>
  </si>
  <si>
    <t>176 Nagle Ave # 182</t>
  </si>
  <si>
    <t>294 Sumpter St</t>
  </si>
  <si>
    <t>21 E 127th St</t>
  </si>
  <si>
    <t>2078 2nd Ave</t>
  </si>
  <si>
    <t>63 Rockaway Pkwy</t>
  </si>
  <si>
    <t>420 Watkins St</t>
  </si>
  <si>
    <t>1405 5th Ave</t>
  </si>
  <si>
    <t>160 Vermilyea Ave</t>
  </si>
  <si>
    <t>1062 Elton St</t>
  </si>
  <si>
    <t>605 Liberty Ave</t>
  </si>
  <si>
    <t>4 E 107th St</t>
  </si>
  <si>
    <t>351 W 121st St</t>
  </si>
  <si>
    <t>122 E 104th St</t>
  </si>
  <si>
    <t>850 Amsterdam Ave</t>
  </si>
  <si>
    <t>4303 104th St</t>
  </si>
  <si>
    <t>153 Vermilyea Ave</t>
  </si>
  <si>
    <t>135 W 123rd St</t>
  </si>
  <si>
    <t>3424 Gates Pl</t>
  </si>
  <si>
    <t>1114 Morris Ave</t>
  </si>
  <si>
    <t>2112 Starling Ave</t>
  </si>
  <si>
    <t>271 E 150th St</t>
  </si>
  <si>
    <t>225 Neptune Ave</t>
  </si>
  <si>
    <t>1023 Rutland Rd</t>
  </si>
  <si>
    <t>350 65th St</t>
  </si>
  <si>
    <t>219 Sullivan Pl</t>
  </si>
  <si>
    <t>444 Jamaica Ave</t>
  </si>
  <si>
    <t>424 W 48th St</t>
  </si>
  <si>
    <t>82 Marion St</t>
  </si>
  <si>
    <t>64 Herkimer St</t>
  </si>
  <si>
    <t>2151 Morris Ave</t>
  </si>
  <si>
    <t>166 Clove Rd</t>
  </si>
  <si>
    <t>533 Bay St</t>
  </si>
  <si>
    <t>195 Benziger Ave</t>
  </si>
  <si>
    <t>227 Oder Ave</t>
  </si>
  <si>
    <t>273 Saint Marks Pl</t>
  </si>
  <si>
    <t>16 Van Buren St</t>
  </si>
  <si>
    <t>89 Thompson St</t>
  </si>
  <si>
    <t>261 Grantwood Ave</t>
  </si>
  <si>
    <t>7 Navy Pier Ct</t>
  </si>
  <si>
    <t>225 Park HIll Ave</t>
  </si>
  <si>
    <t>15 Taxter Pl</t>
  </si>
  <si>
    <t>63 Post Ave</t>
  </si>
  <si>
    <t>22151 Braddock Ave</t>
  </si>
  <si>
    <t>711 W 180th St</t>
  </si>
  <si>
    <t>152 Sherman Avenue</t>
  </si>
  <si>
    <t>281 Wadsworth Ave</t>
  </si>
  <si>
    <t>519 W 143rd St</t>
  </si>
  <si>
    <t>570 Fort Washington Ave</t>
  </si>
  <si>
    <t>1062 Saint Nicholas Ave</t>
  </si>
  <si>
    <t>545 Edgecombe Ave</t>
  </si>
  <si>
    <t>555 W 173rd St</t>
  </si>
  <si>
    <t>554 W 181st St</t>
  </si>
  <si>
    <t>535 W 151st St</t>
  </si>
  <si>
    <t>367 Madison St</t>
  </si>
  <si>
    <t>620 W 182nd St</t>
  </si>
  <si>
    <t>40 Gouverneur St</t>
  </si>
  <si>
    <t>105 Pinehurst Ave</t>
  </si>
  <si>
    <t>101 sherman ave</t>
  </si>
  <si>
    <t>3445 79th St</t>
  </si>
  <si>
    <t>455 Fort Washington Ave</t>
  </si>
  <si>
    <t>1 Marble Hill Ave</t>
  </si>
  <si>
    <t>565 W 162nd St</t>
  </si>
  <si>
    <t>100 Fort Washington Ave</t>
  </si>
  <si>
    <t>10 Post Ave</t>
  </si>
  <si>
    <t>200 Nagle Ave</t>
  </si>
  <si>
    <t>131 Broome St</t>
  </si>
  <si>
    <t>3736 10th Ave</t>
  </si>
  <si>
    <t>251 Fort Washington Ave</t>
  </si>
  <si>
    <t>580 W 215th St</t>
  </si>
  <si>
    <t>2 Ellwood St</t>
  </si>
  <si>
    <t>610 Academy St</t>
  </si>
  <si>
    <t>2 Seaman Ave</t>
  </si>
  <si>
    <t>631 W 207th St</t>
  </si>
  <si>
    <t>15804 Sanford Ave</t>
  </si>
  <si>
    <t>4237 Union St</t>
  </si>
  <si>
    <t>13643 37th Ave</t>
  </si>
  <si>
    <t>4240 160th St</t>
  </si>
  <si>
    <t>3605 164th St</t>
  </si>
  <si>
    <t>2403 41st St</t>
  </si>
  <si>
    <t>4004 Bowne St</t>
  </si>
  <si>
    <t>1551 Sheridan Ave</t>
  </si>
  <si>
    <t>1590 E 172nd St</t>
  </si>
  <si>
    <t>2226 Loring Pl N</t>
  </si>
  <si>
    <t>1985 Webster Ave</t>
  </si>
  <si>
    <t>172 Van Duzer St</t>
  </si>
  <si>
    <t>180 Parkhill Ave</t>
  </si>
  <si>
    <t>99 Osgood Ave</t>
  </si>
  <si>
    <t>38 West St</t>
  </si>
  <si>
    <t>624 Darlington Ave</t>
  </si>
  <si>
    <t>60 Hamilton Ave</t>
  </si>
  <si>
    <t>691 Gerard Ave</t>
  </si>
  <si>
    <t>990 Anderson Ave</t>
  </si>
  <si>
    <t>1314 Findlay Ave</t>
  </si>
  <si>
    <t>2663 Heath Ave</t>
  </si>
  <si>
    <t>2076 Creston Ave</t>
  </si>
  <si>
    <t>1201 Shakespeare Ave</t>
  </si>
  <si>
    <t>1162 Washington Ave</t>
  </si>
  <si>
    <t>36 Bedford Park Blvd E</t>
  </si>
  <si>
    <t>1711 Morris Ave</t>
  </si>
  <si>
    <t>25 W Tremont Ave</t>
  </si>
  <si>
    <t>6 E 167th St</t>
  </si>
  <si>
    <t>3366 Decatur Ave</t>
  </si>
  <si>
    <t>1160 Cromwell Ave</t>
  </si>
  <si>
    <t>1072 Woodycrest Ave</t>
  </si>
  <si>
    <t>3525 Bainbridge Ave</t>
  </si>
  <si>
    <t>1380 Univ Ave</t>
  </si>
  <si>
    <t>1679 Southern Blvd</t>
  </si>
  <si>
    <t>1685 Monroe Ave</t>
  </si>
  <si>
    <t>1416 Walton Ave</t>
  </si>
  <si>
    <t>1001 Woodycrest Ave</t>
  </si>
  <si>
    <t>1414 Walton Ave</t>
  </si>
  <si>
    <t>1000 Anderson Ave</t>
  </si>
  <si>
    <t>1401 Grand Concourse</t>
  </si>
  <si>
    <t>2922 Grand Concourse</t>
  </si>
  <si>
    <t>1729 Walton Ave</t>
  </si>
  <si>
    <t>2516 Tratman Ave</t>
  </si>
  <si>
    <t>1234 Hoe Ave</t>
  </si>
  <si>
    <t>1060 Anderson Ave</t>
  </si>
  <si>
    <t>1340 Merriam Ave</t>
  </si>
  <si>
    <t>1355 Morris Ave</t>
  </si>
  <si>
    <t>2313 Loring Pl N</t>
  </si>
  <si>
    <t>125 Marcy Pl</t>
  </si>
  <si>
    <t>524 86th Street 4R</t>
  </si>
  <si>
    <t>557 Bradford St</t>
  </si>
  <si>
    <t>2029 Shore Blvd</t>
  </si>
  <si>
    <t>249 Thomas S Boyland st</t>
  </si>
  <si>
    <t>216 Rockaway ave</t>
  </si>
  <si>
    <t>1392 Sterling Pl</t>
  </si>
  <si>
    <t>249 Thomas s Boyland st</t>
  </si>
  <si>
    <t>437 Wyona St</t>
  </si>
  <si>
    <t>125 Schroeders Ave</t>
  </si>
  <si>
    <t>796 Halsey St</t>
  </si>
  <si>
    <t>294 5th Ave</t>
  </si>
  <si>
    <t>662 Decatur St</t>
  </si>
  <si>
    <t>1325 Pennsylvania Ave</t>
  </si>
  <si>
    <t>777 Macdonough St</t>
  </si>
  <si>
    <t>232 E 106th St</t>
  </si>
  <si>
    <t>120 E 19th St</t>
  </si>
  <si>
    <t>271 Hawthorne St</t>
  </si>
  <si>
    <t>2025 Regent Pl</t>
  </si>
  <si>
    <t>600 Ocean Ave</t>
  </si>
  <si>
    <t>568 Pacific St</t>
  </si>
  <si>
    <t>904 Winthrop St</t>
  </si>
  <si>
    <t>130 Lefferts Pl</t>
  </si>
  <si>
    <t>90 Downing St</t>
  </si>
  <si>
    <t>760 Park Ave</t>
  </si>
  <si>
    <t>2010 Newkirk Ave</t>
  </si>
  <si>
    <t>1176 President St</t>
  </si>
  <si>
    <t>358 Saint Johns Pl</t>
  </si>
  <si>
    <t>435 Grand Ave</t>
  </si>
  <si>
    <t>811 Saint Johns Pl</t>
  </si>
  <si>
    <t>425 Grand Ave</t>
  </si>
  <si>
    <t>435 GRAND AVE</t>
  </si>
  <si>
    <t>341 E 19th St</t>
  </si>
  <si>
    <t>105 3rd Ave</t>
  </si>
  <si>
    <t>279 Halsey St</t>
  </si>
  <si>
    <t>210 Clinton Ave</t>
  </si>
  <si>
    <t>380 E 18th St</t>
  </si>
  <si>
    <t>738 Albany Ave</t>
  </si>
  <si>
    <t>258 67th St</t>
  </si>
  <si>
    <t>240 E 18th St</t>
  </si>
  <si>
    <t>789 Saint Marks Ave</t>
  </si>
  <si>
    <t>1339 Bristow St</t>
  </si>
  <si>
    <t>1146 Ogden Ave</t>
  </si>
  <si>
    <t>769 Bryant Ave</t>
  </si>
  <si>
    <t>1233 White Plains Rd</t>
  </si>
  <si>
    <t>35 E Clarke Pl</t>
  </si>
  <si>
    <t>1105 Elder Ave</t>
  </si>
  <si>
    <t>1417 Grand Concourse</t>
  </si>
  <si>
    <t>1064 Ward Ave</t>
  </si>
  <si>
    <t>425 E 153rd St</t>
  </si>
  <si>
    <t>980 Aldus St</t>
  </si>
  <si>
    <t>1453 Walton Ave</t>
  </si>
  <si>
    <t>135 Terrace View Ave</t>
  </si>
  <si>
    <t>129 Sherman Ave</t>
  </si>
  <si>
    <t>25 Cooper St</t>
  </si>
  <si>
    <t>252 Sherman Ave</t>
  </si>
  <si>
    <t>66 Vermilyea Ave</t>
  </si>
  <si>
    <t>603 Isham St</t>
  </si>
  <si>
    <t>220 Audubon Ave</t>
  </si>
  <si>
    <t>11 Fort George Hl</t>
  </si>
  <si>
    <t>48 Post Ave</t>
  </si>
  <si>
    <t>65 Seaman Ave</t>
  </si>
  <si>
    <t>601 W 156th St</t>
  </si>
  <si>
    <t>60 Thayer St</t>
  </si>
  <si>
    <t>199 Sherman Ave</t>
  </si>
  <si>
    <t>436 Fort Washington Ave</t>
  </si>
  <si>
    <t>321 Edgecombe Ave</t>
  </si>
  <si>
    <t>502 W 151st St</t>
  </si>
  <si>
    <t>360 Cabrini Blvd</t>
  </si>
  <si>
    <t>500 W 176th St</t>
  </si>
  <si>
    <t>252 Sherman ave</t>
  </si>
  <si>
    <t>140 Riverside dr</t>
  </si>
  <si>
    <t>4530 Broadway</t>
  </si>
  <si>
    <t>580 Academy St</t>
  </si>
  <si>
    <t>90 Laurel Hill Ter</t>
  </si>
  <si>
    <t>254 Seaman Ave</t>
  </si>
  <si>
    <t>521 Isham St</t>
  </si>
  <si>
    <t>519 W 157th St</t>
  </si>
  <si>
    <t>4861 Broadway</t>
  </si>
  <si>
    <t>9121 195th St</t>
  </si>
  <si>
    <t>14218 60th Ave</t>
  </si>
  <si>
    <t>3215 34th St</t>
  </si>
  <si>
    <t>171 Clinton Ave</t>
  </si>
  <si>
    <t>14 Court St</t>
  </si>
  <si>
    <t>76 Swan St</t>
  </si>
  <si>
    <t>388 Van Duzer St</t>
  </si>
  <si>
    <t>124 Pelican Cir</t>
  </si>
  <si>
    <t>776 Van Duzer St</t>
  </si>
  <si>
    <t>83 Crescent Ave</t>
  </si>
  <si>
    <t>111 Laurel Ave</t>
  </si>
  <si>
    <t>299 Union Ave</t>
  </si>
  <si>
    <t>5 Slosson Ter</t>
  </si>
  <si>
    <t>25 Prospect Ave</t>
  </si>
  <si>
    <t>14 Spartan Ave</t>
  </si>
  <si>
    <t>2 Carroll Pl</t>
  </si>
  <si>
    <t>1371 Clove Rd</t>
  </si>
  <si>
    <t>35 Sheridan Ave</t>
  </si>
  <si>
    <t>392 Rockaway Pkwy</t>
  </si>
  <si>
    <t>296A Marion St</t>
  </si>
  <si>
    <t>604 Sutter Ave</t>
  </si>
  <si>
    <t>344 Marion st</t>
  </si>
  <si>
    <t>63 E 95th St</t>
  </si>
  <si>
    <t>363 Grand Ave</t>
  </si>
  <si>
    <t>3405 Neptune Ave</t>
  </si>
  <si>
    <t>363 grand ave</t>
  </si>
  <si>
    <t>485 17th St</t>
  </si>
  <si>
    <t>511 Amsterdam Ave</t>
  </si>
  <si>
    <t>106 E 116th St</t>
  </si>
  <si>
    <t>509 Amsterdam Ave</t>
  </si>
  <si>
    <t>119 E 100th St</t>
  </si>
  <si>
    <t>423 E 115th St</t>
  </si>
  <si>
    <t>111 E 100th St</t>
  </si>
  <si>
    <t>163 E 106th St</t>
  </si>
  <si>
    <t>250 Beach 15th St</t>
  </si>
  <si>
    <t>165 Woltz Ave, Upper Floor</t>
  </si>
  <si>
    <t>85 Bristol St</t>
  </si>
  <si>
    <t>108 Norwood Ave</t>
  </si>
  <si>
    <t>663 Howard Ave</t>
  </si>
  <si>
    <t>434 Warwick St</t>
  </si>
  <si>
    <t>P.O. Box 840</t>
  </si>
  <si>
    <t>140 Ralph Ave</t>
  </si>
  <si>
    <t>1342 Sterling Pl</t>
  </si>
  <si>
    <t>466 Marcy Ave</t>
  </si>
  <si>
    <t>2263 64th St</t>
  </si>
  <si>
    <t>115 Marcy Pl</t>
  </si>
  <si>
    <t>631 E 220th St</t>
  </si>
  <si>
    <t>2440 Walton Ave</t>
  </si>
  <si>
    <t>2141 Holland Ave</t>
  </si>
  <si>
    <t>800 Grand Concourse</t>
  </si>
  <si>
    <t>751 Gerard Ave</t>
  </si>
  <si>
    <t>790 Grand Concourse</t>
  </si>
  <si>
    <t>30 3rd St</t>
  </si>
  <si>
    <t>1049 Montgomery St</t>
  </si>
  <si>
    <t>1140 President St</t>
  </si>
  <si>
    <t>1675 Lincoln Pl</t>
  </si>
  <si>
    <t>1086 President St</t>
  </si>
  <si>
    <t>100 Pulaski St</t>
  </si>
  <si>
    <t>169 Washington Park</t>
  </si>
  <si>
    <t>1901 Dorchester Rd</t>
  </si>
  <si>
    <t>468 Gates Ave</t>
  </si>
  <si>
    <t>53 Bushwick Ave</t>
  </si>
  <si>
    <t>98 Linden Blvd</t>
  </si>
  <si>
    <t>628 E 17th St</t>
  </si>
  <si>
    <t>1798 Bedford Ave</t>
  </si>
  <si>
    <t>648 Kings Hwy</t>
  </si>
  <si>
    <t>421 Union St</t>
  </si>
  <si>
    <t>205 Montrose Ave</t>
  </si>
  <si>
    <t>140 17th St</t>
  </si>
  <si>
    <t>25 E 21st St</t>
  </si>
  <si>
    <t>538 E 21st St</t>
  </si>
  <si>
    <t>1417 70th St</t>
  </si>
  <si>
    <t>840 E 8th St</t>
  </si>
  <si>
    <t>505 Mcdonald Ave</t>
  </si>
  <si>
    <t>9830 57th Ave</t>
  </si>
  <si>
    <t>723 125th St</t>
  </si>
  <si>
    <t>97-20 57th Avenue</t>
  </si>
  <si>
    <t>3114 42nd St</t>
  </si>
  <si>
    <t>1711 Himrod St</t>
  </si>
  <si>
    <t>9832 57th Ave</t>
  </si>
  <si>
    <t>4146 68th St</t>
  </si>
  <si>
    <t>9456 46th Ave</t>
  </si>
  <si>
    <t>3239 107th St</t>
  </si>
  <si>
    <t>150 50th Ave</t>
  </si>
  <si>
    <t>24559 148th Dr</t>
  </si>
  <si>
    <t>15119 34th Ave</t>
  </si>
  <si>
    <t>9823 Horace Harding Expy</t>
  </si>
  <si>
    <t>9838 57th Ave</t>
  </si>
  <si>
    <t>436 Beach 64th St</t>
  </si>
  <si>
    <t>2501 Oceancrest Blvd</t>
  </si>
  <si>
    <t>631 Beach 9th St</t>
  </si>
  <si>
    <t>2543 Beach Channel Dr</t>
  </si>
  <si>
    <t>120 Beach 19th St</t>
  </si>
  <si>
    <t>155a Beach 27th St</t>
  </si>
  <si>
    <t>3633 169th St</t>
  </si>
  <si>
    <t>1420 Gateway Blvd</t>
  </si>
  <si>
    <t>9840 57th Ave</t>
  </si>
  <si>
    <t>1815 Everdell Ave</t>
  </si>
  <si>
    <t>88-15 168th St</t>
  </si>
  <si>
    <t>555 14th Street</t>
  </si>
  <si>
    <t>9720 57th Ave</t>
  </si>
  <si>
    <t>9608 57th Ave</t>
  </si>
  <si>
    <t>2518 Seagirt Ave</t>
  </si>
  <si>
    <t>10934 221st St</t>
  </si>
  <si>
    <t>14649 107th Ave</t>
  </si>
  <si>
    <t>8355 Austin St</t>
  </si>
  <si>
    <t>1011 Neilson St</t>
  </si>
  <si>
    <t>167 Beach 60th St</t>
  </si>
  <si>
    <t>14217 130th Ave</t>
  </si>
  <si>
    <t>105 Beach 56th Pl</t>
  </si>
  <si>
    <t>7250 153rd St</t>
  </si>
  <si>
    <t>3406 45th St</t>
  </si>
  <si>
    <t>10721 Jamaica Ave</t>
  </si>
  <si>
    <t>24115 86th Ave</t>
  </si>
  <si>
    <t>1704 Madison St</t>
  </si>
  <si>
    <t>516 47th Rd</t>
  </si>
  <si>
    <t>711D Seagrit Avenue</t>
  </si>
  <si>
    <t>16611 144th Dr</t>
  </si>
  <si>
    <t>46-10 Crane St</t>
  </si>
  <si>
    <t>3230 93rd St</t>
  </si>
  <si>
    <t>2017 Cornaga Ave</t>
  </si>
  <si>
    <t>14710 105th Ave</t>
  </si>
  <si>
    <t>3353 82nd St</t>
  </si>
  <si>
    <t>3421 37th St</t>
  </si>
  <si>
    <t>20214 Hollis Ave</t>
  </si>
  <si>
    <t>11714 Van Wyck Expy</t>
  </si>
  <si>
    <t>10147 95th St</t>
  </si>
  <si>
    <t>640 Beach 69th St</t>
  </si>
  <si>
    <t>13720 45th Ave</t>
  </si>
  <si>
    <t>141 Beach 56th Pl</t>
  </si>
  <si>
    <t>13425 Maple Ave</t>
  </si>
  <si>
    <t>1703 Putnam Ave</t>
  </si>
  <si>
    <t>14403 Barclay Ave</t>
  </si>
  <si>
    <t>4049 167th St</t>
  </si>
  <si>
    <t>888 Grand Concourse</t>
  </si>
  <si>
    <t>941 Hoe Ave</t>
  </si>
  <si>
    <t>2101 Creston Ave</t>
  </si>
  <si>
    <t>325 E 194th St</t>
  </si>
  <si>
    <t>1269 Grand Concourse</t>
  </si>
  <si>
    <t>1015 Gerard Ave</t>
  </si>
  <si>
    <t>950 Jennings St</t>
  </si>
  <si>
    <t>1075 Nelson Ave 6B</t>
  </si>
  <si>
    <t>1415 Bristow St</t>
  </si>
  <si>
    <t>1847 Univ Ave</t>
  </si>
  <si>
    <t>4567 W. Tremont Avenue</t>
  </si>
  <si>
    <t>1191 Anderson Ave</t>
  </si>
  <si>
    <t>915 Kelly St</t>
  </si>
  <si>
    <t>1204 Shakespeare Ave</t>
  </si>
  <si>
    <t>1571 Fulton Ave</t>
  </si>
  <si>
    <t>461 Wales Ave</t>
  </si>
  <si>
    <t>1039 Simpson St</t>
  </si>
  <si>
    <t>1652 Popham Ave</t>
  </si>
  <si>
    <t>735 E 182nd St</t>
  </si>
  <si>
    <t>2670 Bainbridge Ave</t>
  </si>
  <si>
    <t>1716 Nereid Ave</t>
  </si>
  <si>
    <t>101 W 165th St</t>
  </si>
  <si>
    <t>255 E.138 Street</t>
  </si>
  <si>
    <t>1907 Southern Blvd</t>
  </si>
  <si>
    <t>1447 doris st</t>
  </si>
  <si>
    <t>1165 Gerard Ave</t>
  </si>
  <si>
    <t>2192 Dean St</t>
  </si>
  <si>
    <t>284 Eastern Pkwy</t>
  </si>
  <si>
    <t>106 Gerry St</t>
  </si>
  <si>
    <t>662 6th Ave</t>
  </si>
  <si>
    <t>356 Arlington Ave</t>
  </si>
  <si>
    <t>1646 Union St</t>
  </si>
  <si>
    <t>5002 3rd Ave</t>
  </si>
  <si>
    <t>23 Tessa Ct</t>
  </si>
  <si>
    <t>19 Parade Pl</t>
  </si>
  <si>
    <t>400 Clinton Ave</t>
  </si>
  <si>
    <t>274A 9th St</t>
  </si>
  <si>
    <t>1401 Elm Ave</t>
  </si>
  <si>
    <t>191 Orchard St</t>
  </si>
  <si>
    <t>231 Edgecome Avenue</t>
  </si>
  <si>
    <t>601 West 149th Street 54</t>
  </si>
  <si>
    <t>521-523 West 180th Street</t>
  </si>
  <si>
    <t>4 W 121st St</t>
  </si>
  <si>
    <t>212 Saint Nicholas Ave</t>
  </si>
  <si>
    <t>250 W 146th St</t>
  </si>
  <si>
    <t>645 Prospect Ave</t>
  </si>
  <si>
    <t>3035 Wallace Ave</t>
  </si>
  <si>
    <t>558 W 164th St</t>
  </si>
  <si>
    <t>30 E 95th St</t>
  </si>
  <si>
    <t>364 W 18th St</t>
  </si>
  <si>
    <t>166 W 118th St</t>
  </si>
  <si>
    <t>211 Riverdale Ave</t>
  </si>
  <si>
    <t>671 Decatur St</t>
  </si>
  <si>
    <t>73 E 96th St</t>
  </si>
  <si>
    <t>1342 Bushwick Ave</t>
  </si>
  <si>
    <t>970 Belmont Ave</t>
  </si>
  <si>
    <t>538 Bainbridge St</t>
  </si>
  <si>
    <t>1918 Strauss St</t>
  </si>
  <si>
    <t>515 Hinsdale ST</t>
  </si>
  <si>
    <t>180 Bainbridge st</t>
  </si>
  <si>
    <t>60A Bainbridge St</t>
  </si>
  <si>
    <t>639 Eastern Pkwy</t>
  </si>
  <si>
    <t>1060 Sheridan ave</t>
  </si>
  <si>
    <t>866 E 178th St</t>
  </si>
  <si>
    <t>1060 Sheridan Ave</t>
  </si>
  <si>
    <t>1230 woodycrest Ave</t>
  </si>
  <si>
    <t>2995 Botanical Sq</t>
  </si>
  <si>
    <t>1325 Lafayette Ave</t>
  </si>
  <si>
    <t>190 W 170th St</t>
  </si>
  <si>
    <t>1541 Williamsbridge Rd</t>
  </si>
  <si>
    <t>950 Aldus St</t>
  </si>
  <si>
    <t>1600 Metropolitan Ave</t>
  </si>
  <si>
    <t>1060 Sheridan Avenue</t>
  </si>
  <si>
    <t>1060 sheridan ave</t>
  </si>
  <si>
    <t>454 E 179th St</t>
  </si>
  <si>
    <t>58 Orchard St</t>
  </si>
  <si>
    <t>38 W 31st St</t>
  </si>
  <si>
    <t>78 Havemeyer St Apt 4</t>
  </si>
  <si>
    <t>19715 91st Rd</t>
  </si>
  <si>
    <t>7218 Almeda Ave</t>
  </si>
  <si>
    <t>14719 230th St</t>
  </si>
  <si>
    <t>2416 38th Ave</t>
  </si>
  <si>
    <t>132 17th St</t>
  </si>
  <si>
    <t>745 E 242nd St</t>
  </si>
  <si>
    <t>1821 Univ Ave</t>
  </si>
  <si>
    <t>1812 Palisade Pl</t>
  </si>
  <si>
    <t>2076 Creston Ave # 2078</t>
  </si>
  <si>
    <t>69 W Burnside Ave</t>
  </si>
  <si>
    <t>739 E 242nd St</t>
  </si>
  <si>
    <t>1115 Anderson Ave</t>
  </si>
  <si>
    <t>2771 Marion Avenue</t>
  </si>
  <si>
    <t>1652 Univ Ave</t>
  </si>
  <si>
    <t>1155 Grand Concourse</t>
  </si>
  <si>
    <t>1230 Woodycrest Ave</t>
  </si>
  <si>
    <t>1482 Montgomery Ave</t>
  </si>
  <si>
    <t>2787 Briggs Ave</t>
  </si>
  <si>
    <t>92 Van Cortlandt Park S</t>
  </si>
  <si>
    <t>3536 Hull Ave</t>
  </si>
  <si>
    <t>2100 Tiebout Ave</t>
  </si>
  <si>
    <t>803 E 182nd St</t>
  </si>
  <si>
    <t>1480 Popham Ave</t>
  </si>
  <si>
    <t>660 Nereid Ave</t>
  </si>
  <si>
    <t>2115 Honeywell Ave</t>
  </si>
  <si>
    <t>2238 Morris Ave</t>
  </si>
  <si>
    <t>1630 Macombs Rd</t>
  </si>
  <si>
    <t>165 E 179th St</t>
  </si>
  <si>
    <t>1070 Ogden Ave</t>
  </si>
  <si>
    <t>12 E 177th St</t>
  </si>
  <si>
    <t>817 Union Ave</t>
  </si>
  <si>
    <t>1466 Beach Ave</t>
  </si>
  <si>
    <t>2244 Morris Ave</t>
  </si>
  <si>
    <t>2776 Valentine Ave</t>
  </si>
  <si>
    <t>1870 Crotona Ave</t>
  </si>
  <si>
    <t>2322 Loring Pl N</t>
  </si>
  <si>
    <t>1026 E 180th St</t>
  </si>
  <si>
    <t>987 Grant Ave</t>
  </si>
  <si>
    <t>1442 Boston Rd</t>
  </si>
  <si>
    <t>2155 Grand Concourse</t>
  </si>
  <si>
    <t>2083 Creston Ave</t>
  </si>
  <si>
    <t>1238 Simpson St</t>
  </si>
  <si>
    <t>751 Walton Ave</t>
  </si>
  <si>
    <t>735 E 242nd St</t>
  </si>
  <si>
    <t>1696 Vyse Ave</t>
  </si>
  <si>
    <t>851 E 163rd St</t>
  </si>
  <si>
    <t>1330 Intervale Ave</t>
  </si>
  <si>
    <t>1717 Walton Ave</t>
  </si>
  <si>
    <t>1967 Marmion Ave</t>
  </si>
  <si>
    <t>135 W 175th St</t>
  </si>
  <si>
    <t>1210 Woodycrest Ave</t>
  </si>
  <si>
    <t>1610 Sedgwick Ave</t>
  </si>
  <si>
    <t>110 E 176th St</t>
  </si>
  <si>
    <t>1585 Townsend Ave</t>
  </si>
  <si>
    <t>1920 Osbourne Pl</t>
  </si>
  <si>
    <t>1208 Franklin Ave</t>
  </si>
  <si>
    <t>215 W 101st St</t>
  </si>
  <si>
    <t>117 E 130th St</t>
  </si>
  <si>
    <t>131 BROOME ST</t>
  </si>
  <si>
    <t>516 W 167th St</t>
  </si>
  <si>
    <t>530 W 136th St</t>
  </si>
  <si>
    <t>33 Post Ave</t>
  </si>
  <si>
    <t>200 E 65th Street</t>
  </si>
  <si>
    <t>2483 W 16th St</t>
  </si>
  <si>
    <t>1700 Grand Concourse</t>
  </si>
  <si>
    <t>880 Tinton Ave</t>
  </si>
  <si>
    <t>1221 Sheridan Ave</t>
  </si>
  <si>
    <t>2543 Decatur Ave</t>
  </si>
  <si>
    <t>951 Hoe Ave</t>
  </si>
  <si>
    <t>333 E 181st St</t>
  </si>
  <si>
    <t>1221 Vyse Ave</t>
  </si>
  <si>
    <t>2060 Anthony Ave</t>
  </si>
  <si>
    <t>793 Fairmount Pl</t>
  </si>
  <si>
    <t>1804 Harrison Ave</t>
  </si>
  <si>
    <t>458 E 143rd St</t>
  </si>
  <si>
    <t>4754 Richardson Ave</t>
  </si>
  <si>
    <t>1779 Southern BLVD</t>
  </si>
  <si>
    <t>1409 Prospect Ave</t>
  </si>
  <si>
    <t>133 Elliot Pl</t>
  </si>
  <si>
    <t>150 W 179th St</t>
  </si>
  <si>
    <t>1551 Sheridan Avenue</t>
  </si>
  <si>
    <t>15 Jacobus Pl</t>
  </si>
  <si>
    <t>89 W Tremont Ave</t>
  </si>
  <si>
    <t>1454 Grand Concourse</t>
  </si>
  <si>
    <t>558 E 191st St</t>
  </si>
  <si>
    <t>150 W 179th Street</t>
  </si>
  <si>
    <t>815 Gerard Ave</t>
  </si>
  <si>
    <t>45 E Mosholu Pkwy N</t>
  </si>
  <si>
    <t>1818 Anthony Ave</t>
  </si>
  <si>
    <t>420 Soundview Ave</t>
  </si>
  <si>
    <t>31 Post Ave</t>
  </si>
  <si>
    <t>547 W 160th St</t>
  </si>
  <si>
    <t>425 W 160th St</t>
  </si>
  <si>
    <t>650 W 173rd St</t>
  </si>
  <si>
    <t>25 Post Ave</t>
  </si>
  <si>
    <t>545 W 162nd St</t>
  </si>
  <si>
    <t>530 Isham St</t>
  </si>
  <si>
    <t>656 W 162nd St</t>
  </si>
  <si>
    <t>25-31 Post Avenue</t>
  </si>
  <si>
    <t>25-31 Post Ave</t>
  </si>
  <si>
    <t>609 W 196th St</t>
  </si>
  <si>
    <t>530 W 178th St</t>
  </si>
  <si>
    <t>1090 Saint Nicholas Ave</t>
  </si>
  <si>
    <t>559 W 156th St</t>
  </si>
  <si>
    <t>803 W 180th St</t>
  </si>
  <si>
    <t>658 W 188th St</t>
  </si>
  <si>
    <t>252 Sherman Aveue</t>
  </si>
  <si>
    <t>511 W 172nd St</t>
  </si>
  <si>
    <t>229 Seaman Ave</t>
  </si>
  <si>
    <t>15 Post Ave</t>
  </si>
  <si>
    <t>546 Isham st</t>
  </si>
  <si>
    <t>70 S Elliott Pl</t>
  </si>
  <si>
    <t>198 Clarkson Ave</t>
  </si>
  <si>
    <t>585 E 21st St</t>
  </si>
  <si>
    <t>1030 Carroll St</t>
  </si>
  <si>
    <t>702 44th St</t>
  </si>
  <si>
    <t>285 Schenectady Ave</t>
  </si>
  <si>
    <t>1 Saint Pauls Ct</t>
  </si>
  <si>
    <t>1406 New York Ave</t>
  </si>
  <si>
    <t>9325 Fort Hamilton Pkwy</t>
  </si>
  <si>
    <t>297 Lenox RD</t>
  </si>
  <si>
    <t>1827 Nostrand Ave</t>
  </si>
  <si>
    <t>2860 Ocean Ave</t>
  </si>
  <si>
    <t>9315 Fort Hamilton Pkwy</t>
  </si>
  <si>
    <t>1412 New York Ave</t>
  </si>
  <si>
    <t>560 W 160th St</t>
  </si>
  <si>
    <t>468 W 140th St</t>
  </si>
  <si>
    <t>3333 Broadway</t>
  </si>
  <si>
    <t>513 E 13th St</t>
  </si>
  <si>
    <t>171 Morningside Ave</t>
  </si>
  <si>
    <t>25 W 128th st</t>
  </si>
  <si>
    <t>81 Columbia St</t>
  </si>
  <si>
    <t>110 W End Ave</t>
  </si>
  <si>
    <t>481 Williams Ave</t>
  </si>
  <si>
    <t>131 Eldert St</t>
  </si>
  <si>
    <t>675 Lincoln ave</t>
  </si>
  <si>
    <t>333 Milford St</t>
  </si>
  <si>
    <t>1967 Bergen St</t>
  </si>
  <si>
    <t>1677 Prospect PL</t>
  </si>
  <si>
    <t>760 Eldert Ln</t>
  </si>
  <si>
    <t>272 Pennsylvania Ave</t>
  </si>
  <si>
    <t>47 Montauk Ave</t>
  </si>
  <si>
    <t>869 Van Siclen Ave</t>
  </si>
  <si>
    <t>801 Glenmore Ave</t>
  </si>
  <si>
    <t>385 Lewis Ave</t>
  </si>
  <si>
    <t>858 Blake Ave</t>
  </si>
  <si>
    <t>387 Shepherd Ave</t>
  </si>
  <si>
    <t>922 E 15th St</t>
  </si>
  <si>
    <t>383 Lewis Ave</t>
  </si>
  <si>
    <t>1920 Union St</t>
  </si>
  <si>
    <t>556 Thomas S Boyland St</t>
  </si>
  <si>
    <t>1613 Eastern Pkwy</t>
  </si>
  <si>
    <t>248 Bainbridge st</t>
  </si>
  <si>
    <t>36 Euclid Ave</t>
  </si>
  <si>
    <t>902 Drew st</t>
  </si>
  <si>
    <t>765 Lincon Ave</t>
  </si>
  <si>
    <t>524 Vandalia Ave</t>
  </si>
  <si>
    <t>1305 Delmar Loope</t>
  </si>
  <si>
    <t>430 Saratoga Ave</t>
  </si>
  <si>
    <t>704 Elton St</t>
  </si>
  <si>
    <t>398 Crescent St</t>
  </si>
  <si>
    <t>1756 Park Pl</t>
  </si>
  <si>
    <t>321 Milford St</t>
  </si>
  <si>
    <t>364 Stuyvesant Ave</t>
  </si>
  <si>
    <t>396 Saratoga Ave</t>
  </si>
  <si>
    <t>1049 Glenmore Ave</t>
  </si>
  <si>
    <t>1070 E New York Ave</t>
  </si>
  <si>
    <t>177 Sheffield Ave</t>
  </si>
  <si>
    <t>330 Macdougal St</t>
  </si>
  <si>
    <t>179 Riverdale Ave</t>
  </si>
  <si>
    <t>737 Liberty Ave</t>
  </si>
  <si>
    <t>10 Park Ter E</t>
  </si>
  <si>
    <t>775 Riverside Dr</t>
  </si>
  <si>
    <t>860 Riverside Dr</t>
  </si>
  <si>
    <t>Bsmt</t>
  </si>
  <si>
    <t>29H</t>
  </si>
  <si>
    <t>4G</t>
  </si>
  <si>
    <t>3H</t>
  </si>
  <si>
    <t>2B</t>
  </si>
  <si>
    <t>17E</t>
  </si>
  <si>
    <t>4C</t>
  </si>
  <si>
    <t>1F</t>
  </si>
  <si>
    <t>5G</t>
  </si>
  <si>
    <t>1D</t>
  </si>
  <si>
    <t>1K</t>
  </si>
  <si>
    <t>1C</t>
  </si>
  <si>
    <t>3A</t>
  </si>
  <si>
    <t>3F</t>
  </si>
  <si>
    <t>2C</t>
  </si>
  <si>
    <t>2M</t>
  </si>
  <si>
    <t>4B</t>
  </si>
  <si>
    <t>B2</t>
  </si>
  <si>
    <t>4A</t>
  </si>
  <si>
    <t>2F</t>
  </si>
  <si>
    <t>2E</t>
  </si>
  <si>
    <t>1E</t>
  </si>
  <si>
    <t>5B</t>
  </si>
  <si>
    <t>2A</t>
  </si>
  <si>
    <t>2D</t>
  </si>
  <si>
    <t>2R</t>
  </si>
  <si>
    <t>FL 2</t>
  </si>
  <si>
    <t>18M</t>
  </si>
  <si>
    <t>B1</t>
  </si>
  <si>
    <t>1R</t>
  </si>
  <si>
    <t>9C</t>
  </si>
  <si>
    <t>3R</t>
  </si>
  <si>
    <t>1A</t>
  </si>
  <si>
    <t>15 A</t>
  </si>
  <si>
    <t>#3A</t>
  </si>
  <si>
    <t>1B</t>
  </si>
  <si>
    <t>3B</t>
  </si>
  <si>
    <t>3L</t>
  </si>
  <si>
    <t>8A</t>
  </si>
  <si>
    <t>3C</t>
  </si>
  <si>
    <t>1st Floor</t>
  </si>
  <si>
    <t>D1</t>
  </si>
  <si>
    <t>C3</t>
  </si>
  <si>
    <t>8L</t>
  </si>
  <si>
    <t>A6</t>
  </si>
  <si>
    <t>2nd fl</t>
  </si>
  <si>
    <t>B5</t>
  </si>
  <si>
    <t>5D</t>
  </si>
  <si>
    <t>1G</t>
  </si>
  <si>
    <t>E2</t>
  </si>
  <si>
    <t>2H</t>
  </si>
  <si>
    <t>A2</t>
  </si>
  <si>
    <t>A1</t>
  </si>
  <si>
    <t>1y</t>
  </si>
  <si>
    <t>R510</t>
  </si>
  <si>
    <t>#7-D</t>
  </si>
  <si>
    <t>9K</t>
  </si>
  <si>
    <t>bsmnt</t>
  </si>
  <si>
    <t>Apt. 2-L</t>
  </si>
  <si>
    <t>MC</t>
  </si>
  <si>
    <t>115E</t>
  </si>
  <si>
    <t>53B</t>
  </si>
  <si>
    <t>14B</t>
  </si>
  <si>
    <t>2nd floor</t>
  </si>
  <si>
    <t>24B</t>
  </si>
  <si>
    <t>3D</t>
  </si>
  <si>
    <t>4K</t>
  </si>
  <si>
    <t>5A</t>
  </si>
  <si>
    <t>14A</t>
  </si>
  <si>
    <t>6Z</t>
  </si>
  <si>
    <t>2I</t>
  </si>
  <si>
    <t>A-7</t>
  </si>
  <si>
    <t>6I</t>
  </si>
  <si>
    <t>8E</t>
  </si>
  <si>
    <t>19S</t>
  </si>
  <si>
    <t>19H</t>
  </si>
  <si>
    <t>5C</t>
  </si>
  <si>
    <t>A3</t>
  </si>
  <si>
    <t>6E</t>
  </si>
  <si>
    <t>6A</t>
  </si>
  <si>
    <t>20J</t>
  </si>
  <si>
    <t>2L</t>
  </si>
  <si>
    <t>6k</t>
  </si>
  <si>
    <t>44A</t>
  </si>
  <si>
    <t>3G</t>
  </si>
  <si>
    <t>2G</t>
  </si>
  <si>
    <t>11F</t>
  </si>
  <si>
    <t>8B</t>
  </si>
  <si>
    <t>9J</t>
  </si>
  <si>
    <t>22C</t>
  </si>
  <si>
    <t>4F</t>
  </si>
  <si>
    <t>3M</t>
  </si>
  <si>
    <t>B</t>
  </si>
  <si>
    <t>B24</t>
  </si>
  <si>
    <t>3E</t>
  </si>
  <si>
    <t>4i</t>
  </si>
  <si>
    <t>5E</t>
  </si>
  <si>
    <t>Apt 33</t>
  </si>
  <si>
    <t>5H</t>
  </si>
  <si>
    <t>Apt. B2A</t>
  </si>
  <si>
    <t>6D</t>
  </si>
  <si>
    <t>4E</t>
  </si>
  <si>
    <t>3J</t>
  </si>
  <si>
    <t>C</t>
  </si>
  <si>
    <t>C2</t>
  </si>
  <si>
    <t>C17</t>
  </si>
  <si>
    <t>4H</t>
  </si>
  <si>
    <t>22G</t>
  </si>
  <si>
    <t>K</t>
  </si>
  <si>
    <t>5f</t>
  </si>
  <si>
    <t>22J</t>
  </si>
  <si>
    <t>#2</t>
  </si>
  <si>
    <t>Basement</t>
  </si>
  <si>
    <t>7J</t>
  </si>
  <si>
    <t>Apt. 2</t>
  </si>
  <si>
    <t>1st floor</t>
  </si>
  <si>
    <t>1st</t>
  </si>
  <si>
    <t>22A</t>
  </si>
  <si>
    <t>EE</t>
  </si>
  <si>
    <t>5P</t>
  </si>
  <si>
    <t>H41</t>
  </si>
  <si>
    <t>CC</t>
  </si>
  <si>
    <t>ST1</t>
  </si>
  <si>
    <t>GG</t>
  </si>
  <si>
    <t>4J</t>
  </si>
  <si>
    <t>12-A</t>
  </si>
  <si>
    <t>2J</t>
  </si>
  <si>
    <t>A32</t>
  </si>
  <si>
    <t>G21</t>
  </si>
  <si>
    <t>G-32</t>
  </si>
  <si>
    <t>H43</t>
  </si>
  <si>
    <t>FF</t>
  </si>
  <si>
    <t>AA</t>
  </si>
  <si>
    <t>7B</t>
  </si>
  <si>
    <t>3L-3G</t>
  </si>
  <si>
    <t>1205W</t>
  </si>
  <si>
    <t>10J</t>
  </si>
  <si>
    <t>20 H</t>
  </si>
  <si>
    <t>F41</t>
  </si>
  <si>
    <t>4 B</t>
  </si>
  <si>
    <t>5Q</t>
  </si>
  <si>
    <t>8F</t>
  </si>
  <si>
    <t>6P</t>
  </si>
  <si>
    <t>Apt. B34</t>
  </si>
  <si>
    <t>#5</t>
  </si>
  <si>
    <t>#4A</t>
  </si>
  <si>
    <t>#1</t>
  </si>
  <si>
    <t>#4</t>
  </si>
  <si>
    <t>12E</t>
  </si>
  <si>
    <t>6M</t>
  </si>
  <si>
    <t>1H</t>
  </si>
  <si>
    <t>10F</t>
  </si>
  <si>
    <t>14H</t>
  </si>
  <si>
    <t>5N</t>
  </si>
  <si>
    <t>14K</t>
  </si>
  <si>
    <t>9B</t>
  </si>
  <si>
    <t>1M</t>
  </si>
  <si>
    <t>12H</t>
  </si>
  <si>
    <t>11J</t>
  </si>
  <si>
    <t>11L</t>
  </si>
  <si>
    <t>7M</t>
  </si>
  <si>
    <t>5L</t>
  </si>
  <si>
    <t>7A</t>
  </si>
  <si>
    <t>2N</t>
  </si>
  <si>
    <t>6L</t>
  </si>
  <si>
    <t>7L</t>
  </si>
  <si>
    <t>8I</t>
  </si>
  <si>
    <t>11C</t>
  </si>
  <si>
    <t>5I</t>
  </si>
  <si>
    <t>B4</t>
  </si>
  <si>
    <t>9L</t>
  </si>
  <si>
    <t>9F</t>
  </si>
  <si>
    <t>4D</t>
  </si>
  <si>
    <t>18H</t>
  </si>
  <si>
    <t>11S</t>
  </si>
  <si>
    <t>10G</t>
  </si>
  <si>
    <t>10H</t>
  </si>
  <si>
    <t>8K</t>
  </si>
  <si>
    <t>10N</t>
  </si>
  <si>
    <t>8H</t>
  </si>
  <si>
    <t>10M</t>
  </si>
  <si>
    <t>12K</t>
  </si>
  <si>
    <t>1-D</t>
  </si>
  <si>
    <t>4I</t>
  </si>
  <si>
    <t>6H</t>
  </si>
  <si>
    <t>12F</t>
  </si>
  <si>
    <t>13G</t>
  </si>
  <si>
    <t>18B</t>
  </si>
  <si>
    <t>C8</t>
  </si>
  <si>
    <t>11B</t>
  </si>
  <si>
    <t>1J</t>
  </si>
  <si>
    <t>17M</t>
  </si>
  <si>
    <t>5R</t>
  </si>
  <si>
    <t>7R</t>
  </si>
  <si>
    <t>6G</t>
  </si>
  <si>
    <t>6K</t>
  </si>
  <si>
    <t>11R</t>
  </si>
  <si>
    <t>7G</t>
  </si>
  <si>
    <t>12L</t>
  </si>
  <si>
    <t>9i</t>
  </si>
  <si>
    <t>11M</t>
  </si>
  <si>
    <t>14J</t>
  </si>
  <si>
    <t>7F</t>
  </si>
  <si>
    <t>10S</t>
  </si>
  <si>
    <t>10K</t>
  </si>
  <si>
    <t>9M</t>
  </si>
  <si>
    <t>10E</t>
  </si>
  <si>
    <t>C6</t>
  </si>
  <si>
    <t>6B</t>
  </si>
  <si>
    <t>5K</t>
  </si>
  <si>
    <t>6C</t>
  </si>
  <si>
    <t>9S</t>
  </si>
  <si>
    <t>8C</t>
  </si>
  <si>
    <t>1I</t>
  </si>
  <si>
    <t>F3</t>
  </si>
  <si>
    <t>17G</t>
  </si>
  <si>
    <t>11K</t>
  </si>
  <si>
    <t>6F</t>
  </si>
  <si>
    <t>14L</t>
  </si>
  <si>
    <t>4L</t>
  </si>
  <si>
    <t>1-L</t>
  </si>
  <si>
    <t>C7</t>
  </si>
  <si>
    <t>C4</t>
  </si>
  <si>
    <t>7H</t>
  </si>
  <si>
    <t>E-12</t>
  </si>
  <si>
    <t>1c</t>
  </si>
  <si>
    <t>2-M</t>
  </si>
  <si>
    <t>5F</t>
  </si>
  <si>
    <t>E4</t>
  </si>
  <si>
    <t>4-M</t>
  </si>
  <si>
    <t>E30</t>
  </si>
  <si>
    <t>1b</t>
  </si>
  <si>
    <t>3c</t>
  </si>
  <si>
    <t>FL 3</t>
  </si>
  <si>
    <t>Room 3</t>
  </si>
  <si>
    <t>5T</t>
  </si>
  <si>
    <t>1L</t>
  </si>
  <si>
    <t>3r</t>
  </si>
  <si>
    <t>7V</t>
  </si>
  <si>
    <t>4R</t>
  </si>
  <si>
    <t>k</t>
  </si>
  <si>
    <t>C1</t>
  </si>
  <si>
    <t>Apt 4R</t>
  </si>
  <si>
    <t>3rd</t>
  </si>
  <si>
    <t>16A</t>
  </si>
  <si>
    <t>2nd Fl</t>
  </si>
  <si>
    <t>6R</t>
  </si>
  <si>
    <t>1st FL</t>
  </si>
  <si>
    <t>2b</t>
  </si>
  <si>
    <t>6yy</t>
  </si>
  <si>
    <t>A10</t>
  </si>
  <si>
    <t>Apt 2L</t>
  </si>
  <si>
    <t>#1F</t>
  </si>
  <si>
    <t>2nd Floor</t>
  </si>
  <si>
    <t>22H</t>
  </si>
  <si>
    <t>Apt 3A</t>
  </si>
  <si>
    <t>B2Cl</t>
  </si>
  <si>
    <t>A4</t>
  </si>
  <si>
    <t>18G</t>
  </si>
  <si>
    <t>2X</t>
  </si>
  <si>
    <t>1st Fl</t>
  </si>
  <si>
    <t>D2</t>
  </si>
  <si>
    <t>1 Rm 2</t>
  </si>
  <si>
    <t>13P</t>
  </si>
  <si>
    <t>11P</t>
  </si>
  <si>
    <t>6J</t>
  </si>
  <si>
    <t>5J</t>
  </si>
  <si>
    <t>4RE</t>
  </si>
  <si>
    <t>7K</t>
  </si>
  <si>
    <t>C02</t>
  </si>
  <si>
    <t>Bsmnt</t>
  </si>
  <si>
    <t>A04</t>
  </si>
  <si>
    <t>E42</t>
  </si>
  <si>
    <t>2r</t>
  </si>
  <si>
    <t>B9</t>
  </si>
  <si>
    <t>!</t>
  </si>
  <si>
    <t>6N</t>
  </si>
  <si>
    <t>15G</t>
  </si>
  <si>
    <t>2K</t>
  </si>
  <si>
    <t>6U</t>
  </si>
  <si>
    <t>4U</t>
  </si>
  <si>
    <t>3P</t>
  </si>
  <si>
    <t>PBH</t>
  </si>
  <si>
    <t>3I</t>
  </si>
  <si>
    <t>PHD</t>
  </si>
  <si>
    <t>7D</t>
  </si>
  <si>
    <t>10A</t>
  </si>
  <si>
    <t>19 D</t>
  </si>
  <si>
    <t>25E</t>
  </si>
  <si>
    <t>21 G</t>
  </si>
  <si>
    <t>17A</t>
  </si>
  <si>
    <t>Apt 5E</t>
  </si>
  <si>
    <t>23 A</t>
  </si>
  <si>
    <t>24A</t>
  </si>
  <si>
    <t>12 F</t>
  </si>
  <si>
    <t>17 GI</t>
  </si>
  <si>
    <t>10I</t>
  </si>
  <si>
    <t>12 C</t>
  </si>
  <si>
    <t>18 H</t>
  </si>
  <si>
    <t>7E</t>
  </si>
  <si>
    <t>13 E</t>
  </si>
  <si>
    <t>21 E</t>
  </si>
  <si>
    <t>28F</t>
  </si>
  <si>
    <t>28E</t>
  </si>
  <si>
    <t>30F</t>
  </si>
  <si>
    <t>25 A</t>
  </si>
  <si>
    <t>17 F</t>
  </si>
  <si>
    <t>11G</t>
  </si>
  <si>
    <t>28G</t>
  </si>
  <si>
    <t>18 C</t>
  </si>
  <si>
    <t>17 H</t>
  </si>
  <si>
    <t>12 A</t>
  </si>
  <si>
    <t>F8</t>
  </si>
  <si>
    <t>Apt 1D</t>
  </si>
  <si>
    <t>7C</t>
  </si>
  <si>
    <t>29F</t>
  </si>
  <si>
    <t>17H</t>
  </si>
  <si>
    <t>9I</t>
  </si>
  <si>
    <t>16 H</t>
  </si>
  <si>
    <t>9H</t>
  </si>
  <si>
    <t>31 D</t>
  </si>
  <si>
    <t>24E</t>
  </si>
  <si>
    <t>18 B</t>
  </si>
  <si>
    <t>2W</t>
  </si>
  <si>
    <t>34J</t>
  </si>
  <si>
    <t>6-D</t>
  </si>
  <si>
    <t>24D</t>
  </si>
  <si>
    <t>2-S</t>
  </si>
  <si>
    <t>Apt. 6L</t>
  </si>
  <si>
    <t>3-U</t>
  </si>
  <si>
    <t>2-G</t>
  </si>
  <si>
    <t>32B</t>
  </si>
  <si>
    <t>A5</t>
  </si>
  <si>
    <t>2-R</t>
  </si>
  <si>
    <t>Apt. 6E</t>
  </si>
  <si>
    <t>5-H</t>
  </si>
  <si>
    <t>1-F</t>
  </si>
  <si>
    <t>6-B</t>
  </si>
  <si>
    <t>26F</t>
  </si>
  <si>
    <t>16H</t>
  </si>
  <si>
    <t>S51</t>
  </si>
  <si>
    <t>Apt. 511</t>
  </si>
  <si>
    <t>Apt. 3B</t>
  </si>
  <si>
    <t>D6</t>
  </si>
  <si>
    <t>4-H</t>
  </si>
  <si>
    <t>4e</t>
  </si>
  <si>
    <t>3-CAs per</t>
  </si>
  <si>
    <t>5-J</t>
  </si>
  <si>
    <t>E3A1</t>
  </si>
  <si>
    <t>10C</t>
  </si>
  <si>
    <t>3K</t>
  </si>
  <si>
    <t>15B</t>
  </si>
  <si>
    <t>LA4</t>
  </si>
  <si>
    <t>13B</t>
  </si>
  <si>
    <t>4 D</t>
  </si>
  <si>
    <t>4d</t>
  </si>
  <si>
    <t>B3</t>
  </si>
  <si>
    <t>A31</t>
  </si>
  <si>
    <t>#2E</t>
  </si>
  <si>
    <t>1-R</t>
  </si>
  <si>
    <t>2-B</t>
  </si>
  <si>
    <t>apt 6 O</t>
  </si>
  <si>
    <t>Apt. 1B</t>
  </si>
  <si>
    <t>1T</t>
  </si>
  <si>
    <t>#5C1</t>
  </si>
  <si>
    <t>D9</t>
  </si>
  <si>
    <t>F2</t>
  </si>
  <si>
    <t>C30</t>
  </si>
  <si>
    <t>6d</t>
  </si>
  <si>
    <t>B8</t>
  </si>
  <si>
    <t>B14</t>
  </si>
  <si>
    <t>8D</t>
  </si>
  <si>
    <t>C10</t>
  </si>
  <si>
    <t>#4C</t>
  </si>
  <si>
    <t>C15</t>
  </si>
  <si>
    <t>C12</t>
  </si>
  <si>
    <t>E8</t>
  </si>
  <si>
    <t>1i</t>
  </si>
  <si>
    <t>A12</t>
  </si>
  <si>
    <t>1st Fl.</t>
  </si>
  <si>
    <t>E14</t>
  </si>
  <si>
    <t>F5</t>
  </si>
  <si>
    <t>5/3L</t>
  </si>
  <si>
    <t>2U</t>
  </si>
  <si>
    <t>5-E</t>
  </si>
  <si>
    <t>6-L</t>
  </si>
  <si>
    <t>4-K</t>
  </si>
  <si>
    <t>BT</t>
  </si>
  <si>
    <t>BC</t>
  </si>
  <si>
    <t>2EF</t>
  </si>
  <si>
    <t>4h</t>
  </si>
  <si>
    <t>5i</t>
  </si>
  <si>
    <t>1-H</t>
  </si>
  <si>
    <t>6-G</t>
  </si>
  <si>
    <t>2-D</t>
  </si>
  <si>
    <t>1-T</t>
  </si>
  <si>
    <t>3-F</t>
  </si>
  <si>
    <t>Apt 2C</t>
  </si>
  <si>
    <t>4S</t>
  </si>
  <si>
    <t>Apt. 4C</t>
  </si>
  <si>
    <t>3 D</t>
  </si>
  <si>
    <t>30c</t>
  </si>
  <si>
    <t>1-G</t>
  </si>
  <si>
    <t>16C</t>
  </si>
  <si>
    <t>1st Floor (back)</t>
  </si>
  <si>
    <t>B6</t>
  </si>
  <si>
    <t>1st fl</t>
  </si>
  <si>
    <t>14N</t>
  </si>
  <si>
    <t>3rd Floor</t>
  </si>
  <si>
    <t>D3</t>
  </si>
  <si>
    <t>5M</t>
  </si>
  <si>
    <t>0J</t>
  </si>
  <si>
    <t>18A</t>
  </si>
  <si>
    <t>4b</t>
  </si>
  <si>
    <t>23B</t>
  </si>
  <si>
    <t>3b</t>
  </si>
  <si>
    <t>16N</t>
  </si>
  <si>
    <t>F14</t>
  </si>
  <si>
    <t>5c</t>
  </si>
  <si>
    <t>c3</t>
  </si>
  <si>
    <t>18S</t>
  </si>
  <si>
    <t>4a</t>
  </si>
  <si>
    <t>Apt 309</t>
  </si>
  <si>
    <t>2d</t>
  </si>
  <si>
    <t>5 D</t>
  </si>
  <si>
    <t>21A</t>
  </si>
  <si>
    <t>2-2</t>
  </si>
  <si>
    <t>11H</t>
  </si>
  <si>
    <t>1U</t>
  </si>
  <si>
    <t>4W</t>
  </si>
  <si>
    <t>3 E</t>
  </si>
  <si>
    <t>11D</t>
  </si>
  <si>
    <t>1405W</t>
  </si>
  <si>
    <t>Floor 1</t>
  </si>
  <si>
    <t>Unit 1</t>
  </si>
  <si>
    <t>1416W</t>
  </si>
  <si>
    <t>Floor 2</t>
  </si>
  <si>
    <t>Apt.6G</t>
  </si>
  <si>
    <t>6O</t>
  </si>
  <si>
    <t>Apt 3K</t>
  </si>
  <si>
    <t>12D</t>
  </si>
  <si>
    <t>2a</t>
  </si>
  <si>
    <t>Apt. 1E</t>
  </si>
  <si>
    <t>2 floor</t>
  </si>
  <si>
    <t>1g</t>
  </si>
  <si>
    <t>B11</t>
  </si>
  <si>
    <t>G2</t>
  </si>
  <si>
    <t>Apt 6E</t>
  </si>
  <si>
    <t>19B</t>
  </si>
  <si>
    <t>3a</t>
  </si>
  <si>
    <t>R607</t>
  </si>
  <si>
    <t>9D</t>
  </si>
  <si>
    <t>5d</t>
  </si>
  <si>
    <t>4g</t>
  </si>
  <si>
    <t>R602</t>
  </si>
  <si>
    <t>A8</t>
  </si>
  <si>
    <t>1f</t>
  </si>
  <si>
    <t>D12</t>
  </si>
  <si>
    <t>B7</t>
  </si>
  <si>
    <t>A15</t>
  </si>
  <si>
    <t>4f</t>
  </si>
  <si>
    <t>3k</t>
  </si>
  <si>
    <t>2RE</t>
  </si>
  <si>
    <t>E</t>
  </si>
  <si>
    <t>Apt A</t>
  </si>
  <si>
    <t>D</t>
  </si>
  <si>
    <t>Apt. 1G</t>
  </si>
  <si>
    <t>41A</t>
  </si>
  <si>
    <t>apt 4</t>
  </si>
  <si>
    <t>4-B</t>
  </si>
  <si>
    <t>3f</t>
  </si>
  <si>
    <t>2l</t>
  </si>
  <si>
    <t>D7</t>
  </si>
  <si>
    <t>E6</t>
  </si>
  <si>
    <t>C9</t>
  </si>
  <si>
    <t>4P</t>
  </si>
  <si>
    <t>Apt A4</t>
  </si>
  <si>
    <t>27D</t>
  </si>
  <si>
    <t>28B</t>
  </si>
  <si>
    <t>27F</t>
  </si>
  <si>
    <t>15H</t>
  </si>
  <si>
    <t>26B</t>
  </si>
  <si>
    <t>20C</t>
  </si>
  <si>
    <t>19G</t>
  </si>
  <si>
    <t>26G</t>
  </si>
  <si>
    <t>13D</t>
  </si>
  <si>
    <t>20F</t>
  </si>
  <si>
    <t>2 Room 2A</t>
  </si>
  <si>
    <t>6GG</t>
  </si>
  <si>
    <t>2GG</t>
  </si>
  <si>
    <t>4LL</t>
  </si>
  <si>
    <t>5DD</t>
  </si>
  <si>
    <t>5BB</t>
  </si>
  <si>
    <t>2P</t>
  </si>
  <si>
    <t>5LL</t>
  </si>
  <si>
    <t>7DD</t>
  </si>
  <si>
    <t>7P</t>
  </si>
  <si>
    <t>7O</t>
  </si>
  <si>
    <t>Apt 6O</t>
  </si>
  <si>
    <t>12 E</t>
  </si>
  <si>
    <t>3HH</t>
  </si>
  <si>
    <t>2LL</t>
  </si>
  <si>
    <t>1N</t>
  </si>
  <si>
    <t>3rd fl</t>
  </si>
  <si>
    <t>1-B</t>
  </si>
  <si>
    <t>14S</t>
  </si>
  <si>
    <t>5S</t>
  </si>
  <si>
    <t>15A</t>
  </si>
  <si>
    <t>1-C</t>
  </si>
  <si>
    <t>1-A</t>
  </si>
  <si>
    <t>2DE</t>
  </si>
  <si>
    <t>20A</t>
  </si>
  <si>
    <t>3AN</t>
  </si>
  <si>
    <t>N52</t>
  </si>
  <si>
    <t>C-1</t>
  </si>
  <si>
    <t>17K</t>
  </si>
  <si>
    <t>2f</t>
  </si>
  <si>
    <t>C5</t>
  </si>
  <si>
    <t>BSMT</t>
  </si>
  <si>
    <t>C-4</t>
  </si>
  <si>
    <t>16B</t>
  </si>
  <si>
    <t>E1</t>
  </si>
  <si>
    <t>D4</t>
  </si>
  <si>
    <t>E5</t>
  </si>
  <si>
    <t>6EN</t>
  </si>
  <si>
    <t>12G</t>
  </si>
  <si>
    <t>1-E</t>
  </si>
  <si>
    <t>Apt 605</t>
  </si>
  <si>
    <t>S3</t>
  </si>
  <si>
    <t>20B</t>
  </si>
  <si>
    <t>D-1</t>
  </si>
  <si>
    <t>Apt 2</t>
  </si>
  <si>
    <t>Apt. #3</t>
  </si>
  <si>
    <t>L310</t>
  </si>
  <si>
    <t>#8C</t>
  </si>
  <si>
    <t>11-B</t>
  </si>
  <si>
    <t>Apt 5</t>
  </si>
  <si>
    <t>12A</t>
  </si>
  <si>
    <t>14C</t>
  </si>
  <si>
    <t>2nd FL</t>
  </si>
  <si>
    <t>BL</t>
  </si>
  <si>
    <t>Apt 6A</t>
  </si>
  <si>
    <t>A9B</t>
  </si>
  <si>
    <t>3rd FL</t>
  </si>
  <si>
    <t>Apt 7H</t>
  </si>
  <si>
    <t>13A</t>
  </si>
  <si>
    <t>3-R</t>
  </si>
  <si>
    <t>#6F</t>
  </si>
  <si>
    <t>3-L</t>
  </si>
  <si>
    <t>Second Floor</t>
  </si>
  <si>
    <t>5x</t>
  </si>
  <si>
    <t>apt 2</t>
  </si>
  <si>
    <t>Apt. 1</t>
  </si>
  <si>
    <t>C16</t>
  </si>
  <si>
    <t>74B</t>
  </si>
  <si>
    <t>I</t>
  </si>
  <si>
    <t>25B</t>
  </si>
  <si>
    <t>Room 10</t>
  </si>
  <si>
    <t>5W</t>
  </si>
  <si>
    <t>2 G</t>
  </si>
  <si>
    <t>23C</t>
  </si>
  <si>
    <t>5O</t>
  </si>
  <si>
    <t>34-A</t>
  </si>
  <si>
    <t>1-I</t>
  </si>
  <si>
    <t>4-D</t>
  </si>
  <si>
    <t>4-g</t>
  </si>
  <si>
    <t>8M</t>
  </si>
  <si>
    <t>3-A</t>
  </si>
  <si>
    <t>5-A</t>
  </si>
  <si>
    <t>24-D</t>
  </si>
  <si>
    <t>2-C</t>
  </si>
  <si>
    <t>15F</t>
  </si>
  <si>
    <t>8O</t>
  </si>
  <si>
    <t>4-G</t>
  </si>
  <si>
    <t>WCD</t>
  </si>
  <si>
    <t>F22</t>
  </si>
  <si>
    <t>5-F</t>
  </si>
  <si>
    <t>A-23</t>
  </si>
  <si>
    <t>5-B</t>
  </si>
  <si>
    <t>1-N</t>
  </si>
  <si>
    <t>D5</t>
  </si>
  <si>
    <t>3Q</t>
  </si>
  <si>
    <t>4-A</t>
  </si>
  <si>
    <t>2-E</t>
  </si>
  <si>
    <t>4-F</t>
  </si>
  <si>
    <t>16K</t>
  </si>
  <si>
    <t>19R</t>
  </si>
  <si>
    <t>17C</t>
  </si>
  <si>
    <t>23E</t>
  </si>
  <si>
    <t>8R</t>
  </si>
  <si>
    <t>3-0</t>
  </si>
  <si>
    <t>24C</t>
  </si>
  <si>
    <t>19E</t>
  </si>
  <si>
    <t>21B</t>
  </si>
  <si>
    <t>21K</t>
  </si>
  <si>
    <t>14 K</t>
  </si>
  <si>
    <t>17B</t>
  </si>
  <si>
    <t>21C</t>
  </si>
  <si>
    <t>20D</t>
  </si>
  <si>
    <t>18N</t>
  </si>
  <si>
    <t>22P</t>
  </si>
  <si>
    <t>11A</t>
  </si>
  <si>
    <t>19N</t>
  </si>
  <si>
    <t>21M</t>
  </si>
  <si>
    <t>14D</t>
  </si>
  <si>
    <t>19F</t>
  </si>
  <si>
    <t>8-O</t>
  </si>
  <si>
    <t>17R</t>
  </si>
  <si>
    <t>20-0</t>
  </si>
  <si>
    <t>24P</t>
  </si>
  <si>
    <t>4N</t>
  </si>
  <si>
    <t>23M</t>
  </si>
  <si>
    <t>19A</t>
  </si>
  <si>
    <t>21J</t>
  </si>
  <si>
    <t>19C</t>
  </si>
  <si>
    <t>16L</t>
  </si>
  <si>
    <t>16-0</t>
  </si>
  <si>
    <t>21F</t>
  </si>
  <si>
    <t>23L</t>
  </si>
  <si>
    <t>12P</t>
  </si>
  <si>
    <t>23G</t>
  </si>
  <si>
    <t>22L</t>
  </si>
  <si>
    <t>10-O</t>
  </si>
  <si>
    <t>4-O</t>
  </si>
  <si>
    <t>18J</t>
  </si>
  <si>
    <t>18C</t>
  </si>
  <si>
    <t>9G</t>
  </si>
  <si>
    <t>1/2</t>
  </si>
  <si>
    <t>12-0</t>
  </si>
  <si>
    <t>17N</t>
  </si>
  <si>
    <t>16E</t>
  </si>
  <si>
    <t>19M</t>
  </si>
  <si>
    <t>22F</t>
  </si>
  <si>
    <t>11E</t>
  </si>
  <si>
    <t>16G</t>
  </si>
  <si>
    <t>9O</t>
  </si>
  <si>
    <t>8P</t>
  </si>
  <si>
    <t>10D</t>
  </si>
  <si>
    <t>20H</t>
  </si>
  <si>
    <t>16M</t>
  </si>
  <si>
    <t>1st floor apt 3</t>
  </si>
  <si>
    <t>1h</t>
  </si>
  <si>
    <t>3l</t>
  </si>
  <si>
    <t>5-G</t>
  </si>
  <si>
    <t>3-E</t>
  </si>
  <si>
    <t>#17A</t>
  </si>
  <si>
    <t>3AS</t>
  </si>
  <si>
    <t>30A</t>
  </si>
  <si>
    <t>12B</t>
  </si>
  <si>
    <t>5X</t>
  </si>
  <si>
    <t>bment</t>
  </si>
  <si>
    <t>4T</t>
  </si>
  <si>
    <t>G</t>
  </si>
  <si>
    <t>1e</t>
  </si>
  <si>
    <t>6W</t>
  </si>
  <si>
    <t>314W</t>
  </si>
  <si>
    <t>3T</t>
  </si>
  <si>
    <t>1st Fllor</t>
  </si>
  <si>
    <t>C101</t>
  </si>
  <si>
    <t>3rd floor</t>
  </si>
  <si>
    <t>6g</t>
  </si>
  <si>
    <t>2nd Fl.</t>
  </si>
  <si>
    <t>Ground floor</t>
  </si>
  <si>
    <t>15D</t>
  </si>
  <si>
    <t>APT. 537</t>
  </si>
  <si>
    <t>Apt3B</t>
  </si>
  <si>
    <t>3S</t>
  </si>
  <si>
    <t>D312</t>
  </si>
  <si>
    <t>Apt;. 2E</t>
  </si>
  <si>
    <t>19L</t>
  </si>
  <si>
    <t>23K</t>
  </si>
  <si>
    <t>2-0</t>
  </si>
  <si>
    <t>22K</t>
  </si>
  <si>
    <t>6CN</t>
  </si>
  <si>
    <t>4M</t>
  </si>
  <si>
    <t>2-A</t>
  </si>
  <si>
    <t>60C</t>
  </si>
  <si>
    <t>N15</t>
  </si>
  <si>
    <t>A35</t>
  </si>
  <si>
    <t>PH</t>
  </si>
  <si>
    <t>42C</t>
  </si>
  <si>
    <t>11-0</t>
  </si>
  <si>
    <t>15L</t>
  </si>
  <si>
    <t>Fist Fl</t>
  </si>
  <si>
    <t>18O</t>
  </si>
  <si>
    <t>Apt 7R</t>
  </si>
  <si>
    <t>11DD</t>
  </si>
  <si>
    <t>8N</t>
  </si>
  <si>
    <t>14E</t>
  </si>
  <si>
    <t>apt #2</t>
  </si>
  <si>
    <t>R411</t>
  </si>
  <si>
    <t>9P</t>
  </si>
  <si>
    <t>2nd</t>
  </si>
  <si>
    <t>1FL</t>
  </si>
  <si>
    <t>B41</t>
  </si>
  <si>
    <t>Apt 1L</t>
  </si>
  <si>
    <t>2 FL</t>
  </si>
  <si>
    <t>E22</t>
  </si>
  <si>
    <t>D809</t>
  </si>
  <si>
    <t>Apt 2G</t>
  </si>
  <si>
    <t>Apt 5G</t>
  </si>
  <si>
    <t>B31</t>
  </si>
  <si>
    <t>2nd Fl Rm C</t>
  </si>
  <si>
    <t>Apt. #5-B</t>
  </si>
  <si>
    <t>2F Old unit; New Unit will be Apt 1</t>
  </si>
  <si>
    <t>F6</t>
  </si>
  <si>
    <t>10L</t>
  </si>
  <si>
    <t>Apt 203</t>
  </si>
  <si>
    <t>1H, LEFT SIDE</t>
  </si>
  <si>
    <t>2T</t>
  </si>
  <si>
    <t>4Q</t>
  </si>
  <si>
    <t>2 Fl</t>
  </si>
  <si>
    <t>#B52</t>
  </si>
  <si>
    <t>5-0</t>
  </si>
  <si>
    <t>5h</t>
  </si>
  <si>
    <t>Apt. 1D</t>
  </si>
  <si>
    <t>Apt 216</t>
  </si>
  <si>
    <t>9E</t>
  </si>
  <si>
    <t>Apt.24D</t>
  </si>
  <si>
    <t>15S</t>
  </si>
  <si>
    <t>Apt 5T</t>
  </si>
  <si>
    <t>apt. 26</t>
  </si>
  <si>
    <t>6S</t>
  </si>
  <si>
    <t>B55</t>
  </si>
  <si>
    <t>B45</t>
  </si>
  <si>
    <t>Apt. 2B</t>
  </si>
  <si>
    <t>E-3</t>
  </si>
  <si>
    <t>L3</t>
  </si>
  <si>
    <t>15C</t>
  </si>
  <si>
    <t>44B</t>
  </si>
  <si>
    <t>4 I</t>
  </si>
  <si>
    <t>Apt. 1C</t>
  </si>
  <si>
    <t>3N</t>
  </si>
  <si>
    <t>51B</t>
  </si>
  <si>
    <t>42A</t>
  </si>
  <si>
    <t>33B</t>
  </si>
  <si>
    <t>41B</t>
  </si>
  <si>
    <t>1Q</t>
  </si>
  <si>
    <t>apt 34</t>
  </si>
  <si>
    <t>1AA</t>
  </si>
  <si>
    <t>52A</t>
  </si>
  <si>
    <t>32b</t>
  </si>
  <si>
    <t>5AA</t>
  </si>
  <si>
    <t>32A</t>
  </si>
  <si>
    <t>A</t>
  </si>
  <si>
    <t>22B</t>
  </si>
  <si>
    <t>4th floor arrear</t>
  </si>
  <si>
    <t>Apt 3B</t>
  </si>
  <si>
    <t>4-C</t>
  </si>
  <si>
    <t>D-5C</t>
  </si>
  <si>
    <t>2-F</t>
  </si>
  <si>
    <t>2-L</t>
  </si>
  <si>
    <t>6-A</t>
  </si>
  <si>
    <t># 2B</t>
  </si>
  <si>
    <t>6-J</t>
  </si>
  <si>
    <t>6-K</t>
  </si>
  <si>
    <t>2-H</t>
  </si>
  <si>
    <t>6i</t>
  </si>
  <si>
    <t>4-J</t>
  </si>
  <si>
    <t>C6D</t>
  </si>
  <si>
    <t>3-D</t>
  </si>
  <si>
    <t>2-J</t>
  </si>
  <si>
    <t>E11A</t>
  </si>
  <si>
    <t>#6A</t>
  </si>
  <si>
    <t>15M</t>
  </si>
  <si>
    <t>Apt 4D</t>
  </si>
  <si>
    <t>3 R</t>
  </si>
  <si>
    <t>17L</t>
  </si>
  <si>
    <t>New York</t>
  </si>
  <si>
    <t>Bronx</t>
  </si>
  <si>
    <t>Elmhurst</t>
  </si>
  <si>
    <t>Far Rockaway</t>
  </si>
  <si>
    <t>Flushing</t>
  </si>
  <si>
    <t>Brooklyn</t>
  </si>
  <si>
    <t>Hollis</t>
  </si>
  <si>
    <t>Corona</t>
  </si>
  <si>
    <t>Jamaica</t>
  </si>
  <si>
    <t>Ridgewood</t>
  </si>
  <si>
    <t>Staten Island</t>
  </si>
  <si>
    <t>NEW YORK</t>
  </si>
  <si>
    <t>Long Island City</t>
  </si>
  <si>
    <t>Long Is City</t>
  </si>
  <si>
    <t>Jackson Heights</t>
  </si>
  <si>
    <t>Jackson Hts</t>
  </si>
  <si>
    <t>Glendale</t>
  </si>
  <si>
    <t>brooklyn</t>
  </si>
  <si>
    <t>Kew Gardens</t>
  </si>
  <si>
    <t>Fresh Meadows</t>
  </si>
  <si>
    <t>College Point</t>
  </si>
  <si>
    <t>Woodside</t>
  </si>
  <si>
    <t>South Ozone Park</t>
  </si>
  <si>
    <t>Middle Village</t>
  </si>
  <si>
    <t>Rockaway Park</t>
  </si>
  <si>
    <t>Arverne</t>
  </si>
  <si>
    <t>Astoria</t>
  </si>
  <si>
    <t>Little Neck</t>
  </si>
  <si>
    <t>New york</t>
  </si>
  <si>
    <t>Rego Park</t>
  </si>
  <si>
    <t>Woodhaven</t>
  </si>
  <si>
    <t>Ozone Park</t>
  </si>
  <si>
    <t>Maspeth</t>
  </si>
  <si>
    <t>Sunnyside</t>
  </si>
  <si>
    <t>East Elmhurst</t>
  </si>
  <si>
    <t>Bayside</t>
  </si>
  <si>
    <t>Howard Beach</t>
  </si>
  <si>
    <t>Saint Albans</t>
  </si>
  <si>
    <t>BROOKLYN</t>
  </si>
  <si>
    <t>Mahopac Falls</t>
  </si>
  <si>
    <t>Queens Village</t>
  </si>
  <si>
    <t>Buffalo</t>
  </si>
  <si>
    <t>BronxBrooklyn</t>
  </si>
  <si>
    <t>Rosedale</t>
  </si>
  <si>
    <t>Richmond Hill</t>
  </si>
  <si>
    <t>Bellerose</t>
  </si>
  <si>
    <t>S Ozone Park</t>
  </si>
  <si>
    <t>A - Counsel and Advice</t>
  </si>
  <si>
    <t>B - Limited Action (Brief Service)</t>
  </si>
  <si>
    <t>IA - Uncontested Court Decision</t>
  </si>
  <si>
    <t>G - Negotiated Settlement with Litigation</t>
  </si>
  <si>
    <t>H - Administrative Agency Decision</t>
  </si>
  <si>
    <t>F - Negotiated Settlement w/out Litigation</t>
  </si>
  <si>
    <t>L - Extensive Service (not resulting in Settlement of Court or Administrative Action)</t>
  </si>
  <si>
    <t>IB - Contested Court Decision</t>
  </si>
  <si>
    <t>3308 Anti-Eviction and SRO Legal Services (formerly known as “HPD” Contracts)</t>
  </si>
  <si>
    <t>3018 Tenant Rights Coalition (TRC)</t>
  </si>
  <si>
    <t>3311 Anti-Eviction and SRO Legal Services (formerly "HPD")</t>
  </si>
  <si>
    <t>5556 Robin Hood-Foreclosure and Housing</t>
  </si>
  <si>
    <t>5221 SSUSA-Single Stop USA</t>
  </si>
  <si>
    <t>3306 Anti-Eviction and SRO Legal Services (formerly known as “HPD” Contracts)</t>
  </si>
  <si>
    <t>3307 Anti Eviction and SRO Legal Services (formerly "HPD")</t>
  </si>
  <si>
    <t>5269 H. Van Ameringen Foundation</t>
  </si>
  <si>
    <t>4302 PHS- ADV-Client Advocacy</t>
  </si>
  <si>
    <t>3401 DFTA - Services Program for the Elderly</t>
  </si>
  <si>
    <t>3312 Housing Preservation Initiative (HPI)</t>
  </si>
  <si>
    <t>3311 Anti-Eviction and SRO Legal Services (formerly "HPD"), 5556 Robin Hood-Foreclosure and Housing</t>
  </si>
  <si>
    <t>3308 Anti-Eviction and SRO Legal Services (formerly known as “HPD” Contracts), 5227 RH VJP (Veterans Justice Project)</t>
  </si>
  <si>
    <t>63 Private Landlord/Tenant</t>
  </si>
  <si>
    <t>69 Other Housing</t>
  </si>
  <si>
    <t>64 Public Housing</t>
  </si>
  <si>
    <t>79 Other Income Maintenence</t>
  </si>
  <si>
    <t>61 Federally Subsidized Housing</t>
  </si>
  <si>
    <t>01 Bankruptcy/Debtor Relief</t>
  </si>
  <si>
    <t>71 TANF</t>
  </si>
  <si>
    <t>66 Housing Discrimination</t>
  </si>
  <si>
    <t>67 Mortgage Foreclosures (Not Predatory Lending/Practices)</t>
  </si>
  <si>
    <t>62 Homeownership/Real Property (Not Foreclosure)</t>
  </si>
  <si>
    <t>99 Other Miscellaneous</t>
  </si>
  <si>
    <t>09 Other Consumer/Finance</t>
  </si>
  <si>
    <t>02 Collect/Repo/Def/Garnsh</t>
  </si>
  <si>
    <t>39 Other Family</t>
  </si>
  <si>
    <t>85 Civil Rights</t>
  </si>
  <si>
    <t>05/12/1983</t>
  </si>
  <si>
    <t>07/31/1976</t>
  </si>
  <si>
    <t>08/04/1960</t>
  </si>
  <si>
    <t>03/22/1962</t>
  </si>
  <si>
    <t>01/10/1947</t>
  </si>
  <si>
    <t>12/24/1964</t>
  </si>
  <si>
    <t>07/08/1968</t>
  </si>
  <si>
    <t>08/14/1955</t>
  </si>
  <si>
    <t>04/07/1986</t>
  </si>
  <si>
    <t>06/15/1952</t>
  </si>
  <si>
    <t>09/09/1962</t>
  </si>
  <si>
    <t>03/21/1955</t>
  </si>
  <si>
    <t>10/10/1942</t>
  </si>
  <si>
    <t>09/21/1965</t>
  </si>
  <si>
    <t>07/03/1935</t>
  </si>
  <si>
    <t>11/05/1940</t>
  </si>
  <si>
    <t>03/08/1955</t>
  </si>
  <si>
    <t>06/17/1953</t>
  </si>
  <si>
    <t>04/28/1949</t>
  </si>
  <si>
    <t>12/09/1960</t>
  </si>
  <si>
    <t>07/10/1960</t>
  </si>
  <si>
    <t>06/03/1941</t>
  </si>
  <si>
    <t>08/22/1963</t>
  </si>
  <si>
    <t>08/14/1964</t>
  </si>
  <si>
    <t>06/02/1987</t>
  </si>
  <si>
    <t>09/05/1967</t>
  </si>
  <si>
    <t>01/22/1976</t>
  </si>
  <si>
    <t>08/07/1975</t>
  </si>
  <si>
    <t>08/18/1982</t>
  </si>
  <si>
    <t>01/01/1976</t>
  </si>
  <si>
    <t>01/11/1960</t>
  </si>
  <si>
    <t>04/27/1975</t>
  </si>
  <si>
    <t>09/09/1965</t>
  </si>
  <si>
    <t>03/20/1976</t>
  </si>
  <si>
    <t>03/19/1971</t>
  </si>
  <si>
    <t>07/01/1958</t>
  </si>
  <si>
    <t>07/18/1960</t>
  </si>
  <si>
    <t>12/23/1987</t>
  </si>
  <si>
    <t>02/28/1963</t>
  </si>
  <si>
    <t>01/24/1971</t>
  </si>
  <si>
    <t>08/01/1967</t>
  </si>
  <si>
    <t>01/16/1939</t>
  </si>
  <si>
    <t>06/01/1969</t>
  </si>
  <si>
    <t>08/02/1963</t>
  </si>
  <si>
    <t>08/18/1955</t>
  </si>
  <si>
    <t>11/04/1980</t>
  </si>
  <si>
    <t>07/23/1961</t>
  </si>
  <si>
    <t>07/10/1970</t>
  </si>
  <si>
    <t>10/23/1954</t>
  </si>
  <si>
    <t>05/21/1959</t>
  </si>
  <si>
    <t>01/28/1987</t>
  </si>
  <si>
    <t>03/21/1976</t>
  </si>
  <si>
    <t>02/16/1955</t>
  </si>
  <si>
    <t>11/19/1980</t>
  </si>
  <si>
    <t>02/21/1952</t>
  </si>
  <si>
    <t>07/11/1961</t>
  </si>
  <si>
    <t>06/11/1961</t>
  </si>
  <si>
    <t>01/10/1976</t>
  </si>
  <si>
    <t>03/04/1993</t>
  </si>
  <si>
    <t>12/26/1970</t>
  </si>
  <si>
    <t>05/23/1956</t>
  </si>
  <si>
    <t>06/11/1966</t>
  </si>
  <si>
    <t>10/06/1986</t>
  </si>
  <si>
    <t>06/15/1961</t>
  </si>
  <si>
    <t>01/01/1977</t>
  </si>
  <si>
    <t>04/15/1945</t>
  </si>
  <si>
    <t>12/23/1980</t>
  </si>
  <si>
    <t>08/30/1967</t>
  </si>
  <si>
    <t>08/22/1965</t>
  </si>
  <si>
    <t>10/02/1995</t>
  </si>
  <si>
    <t>04/07/1983</t>
  </si>
  <si>
    <t>06/08/1944</t>
  </si>
  <si>
    <t>07/19/1982</t>
  </si>
  <si>
    <t>02/28/1961</t>
  </si>
  <si>
    <t>07/31/1932</t>
  </si>
  <si>
    <t>09/28/1971</t>
  </si>
  <si>
    <t>05/18/1963</t>
  </si>
  <si>
    <t>05/18/1977</t>
  </si>
  <si>
    <t>01/01/1964</t>
  </si>
  <si>
    <t>09/25/1955</t>
  </si>
  <si>
    <t>03/27/1971</t>
  </si>
  <si>
    <t>12/04/1964</t>
  </si>
  <si>
    <t>01/01/1986</t>
  </si>
  <si>
    <t>09/24/1964</t>
  </si>
  <si>
    <t>11/26/1962</t>
  </si>
  <si>
    <t>01/01/1943</t>
  </si>
  <si>
    <t>06/21/1942</t>
  </si>
  <si>
    <t>02/01/1951</t>
  </si>
  <si>
    <t>09/03/1952</t>
  </si>
  <si>
    <t>09/06/1980</t>
  </si>
  <si>
    <t>06/29/1962</t>
  </si>
  <si>
    <t>01/12/1970</t>
  </si>
  <si>
    <t>02/25/1987</t>
  </si>
  <si>
    <t>06/19/1969</t>
  </si>
  <si>
    <t>01/03/1967</t>
  </si>
  <si>
    <t>06/24/1995</t>
  </si>
  <si>
    <t>03/17/1987</t>
  </si>
  <si>
    <t>09/07/1955</t>
  </si>
  <si>
    <t>12/10/1991</t>
  </si>
  <si>
    <t>12/06/1946</t>
  </si>
  <si>
    <t>08/27/1961</t>
  </si>
  <si>
    <t>05/04/1962</t>
  </si>
  <si>
    <t>12/24/1956</t>
  </si>
  <si>
    <t>02/25/1974</t>
  </si>
  <si>
    <t>01/07/1979</t>
  </si>
  <si>
    <t>10/09/1933</t>
  </si>
  <si>
    <t>10/31/1968</t>
  </si>
  <si>
    <t>07/02/1971</t>
  </si>
  <si>
    <t>10/23/1953</t>
  </si>
  <si>
    <t>11/13/1957</t>
  </si>
  <si>
    <t>09/26/1955</t>
  </si>
  <si>
    <t>02/16/1975</t>
  </si>
  <si>
    <t>11/15/1965</t>
  </si>
  <si>
    <t>01/27/1956</t>
  </si>
  <si>
    <t>03/10/1951</t>
  </si>
  <si>
    <t>07/26/1937</t>
  </si>
  <si>
    <t>02/17/1969</t>
  </si>
  <si>
    <t>11/01/1969</t>
  </si>
  <si>
    <t>06/30/1970</t>
  </si>
  <si>
    <t>08/16/1958</t>
  </si>
  <si>
    <t>06/19/1978</t>
  </si>
  <si>
    <t>10/26/1980</t>
  </si>
  <si>
    <t>09/21/1958</t>
  </si>
  <si>
    <t>06/16/1954</t>
  </si>
  <si>
    <t>06/23/1972</t>
  </si>
  <si>
    <t>02/12/1969</t>
  </si>
  <si>
    <t>08/24/1958</t>
  </si>
  <si>
    <t>06/25/1977</t>
  </si>
  <si>
    <t>09/15/1942</t>
  </si>
  <si>
    <t>09/15/1964</t>
  </si>
  <si>
    <t>12/31/1970</t>
  </si>
  <si>
    <t>06/25/1950</t>
  </si>
  <si>
    <t>01/17/1950</t>
  </si>
  <si>
    <t>05/18/1976</t>
  </si>
  <si>
    <t>09/20/1935</t>
  </si>
  <si>
    <t>09/22/1937</t>
  </si>
  <si>
    <t>01/08/1949</t>
  </si>
  <si>
    <t>09/07/1981</t>
  </si>
  <si>
    <t>01/01/1987</t>
  </si>
  <si>
    <t>05/13/1950</t>
  </si>
  <si>
    <t>07/07/1979</t>
  </si>
  <si>
    <t>02/03/1956</t>
  </si>
  <si>
    <t>05/27/1980</t>
  </si>
  <si>
    <t>11/21/1939</t>
  </si>
  <si>
    <t>06/20/1964</t>
  </si>
  <si>
    <t>02/02/1962</t>
  </si>
  <si>
    <t>07/19/1966</t>
  </si>
  <si>
    <t>09/21/1953</t>
  </si>
  <si>
    <t>06/06/1965</t>
  </si>
  <si>
    <t>01/18/1958</t>
  </si>
  <si>
    <t>05/22/1962</t>
  </si>
  <si>
    <t>09/08/1935</t>
  </si>
  <si>
    <t>08/12/1974</t>
  </si>
  <si>
    <t>04/24/1950</t>
  </si>
  <si>
    <t>03/21/1962</t>
  </si>
  <si>
    <t>11/23/1964</t>
  </si>
  <si>
    <t>11/21/1970</t>
  </si>
  <si>
    <t>01/10/1966</t>
  </si>
  <si>
    <t>12/30/1960</t>
  </si>
  <si>
    <t>08/12/1934</t>
  </si>
  <si>
    <t>01/19/1962</t>
  </si>
  <si>
    <t>01/29/1964</t>
  </si>
  <si>
    <t>06/30/1957</t>
  </si>
  <si>
    <t>07/21/1953</t>
  </si>
  <si>
    <t>08/10/1957</t>
  </si>
  <si>
    <t>12/03/1954</t>
  </si>
  <si>
    <t>04/14/1967</t>
  </si>
  <si>
    <t>09/24/1971</t>
  </si>
  <si>
    <t>02/07/1985</t>
  </si>
  <si>
    <t>09/24/1980</t>
  </si>
  <si>
    <t>06/10/1954</t>
  </si>
  <si>
    <t>07/13/1956</t>
  </si>
  <si>
    <t>02/10/1987</t>
  </si>
  <si>
    <t>12/25/1944</t>
  </si>
  <si>
    <t>01/03/1948</t>
  </si>
  <si>
    <t>01/19/1936</t>
  </si>
  <si>
    <t>08/21/1954</t>
  </si>
  <si>
    <t>03/18/1944</t>
  </si>
  <si>
    <t>12/17/1991</t>
  </si>
  <si>
    <t>01/10/1950</t>
  </si>
  <si>
    <t>05/24/2012</t>
  </si>
  <si>
    <t>08/26/1945</t>
  </si>
  <si>
    <t>03/13/1930</t>
  </si>
  <si>
    <t>01/25/1965</t>
  </si>
  <si>
    <t>11/07/1932</t>
  </si>
  <si>
    <t>03/02/1957</t>
  </si>
  <si>
    <t>06/01/1981</t>
  </si>
  <si>
    <t>06/10/1962</t>
  </si>
  <si>
    <t>01/02/1944</t>
  </si>
  <si>
    <t>07/11/1944</t>
  </si>
  <si>
    <t>05/05/1986</t>
  </si>
  <si>
    <t>05/30/1955</t>
  </si>
  <si>
    <t>07/15/1951</t>
  </si>
  <si>
    <t>12/07/1956</t>
  </si>
  <si>
    <t>01/26/1944</t>
  </si>
  <si>
    <t>12/03/1960</t>
  </si>
  <si>
    <t>09/19/1973</t>
  </si>
  <si>
    <t>11/20/1941</t>
  </si>
  <si>
    <t>12/11/1932</t>
  </si>
  <si>
    <t>08/02/1973</t>
  </si>
  <si>
    <t>03/25/1975</t>
  </si>
  <si>
    <t>03/24/1995</t>
  </si>
  <si>
    <t>07/24/1939</t>
  </si>
  <si>
    <t>11/28/1961</t>
  </si>
  <si>
    <t>07/01/1955</t>
  </si>
  <si>
    <t>06/27/1963</t>
  </si>
  <si>
    <t>01/10/1973</t>
  </si>
  <si>
    <t>02/03/1970</t>
  </si>
  <si>
    <t>04/17/1955</t>
  </si>
  <si>
    <t>11/26/1970</t>
  </si>
  <si>
    <t>02/15/1979</t>
  </si>
  <si>
    <t>03/11/1935</t>
  </si>
  <si>
    <t>06/04/1984</t>
  </si>
  <si>
    <t>01/29/1945</t>
  </si>
  <si>
    <t>11/05/1969</t>
  </si>
  <si>
    <t>02/11/1985</t>
  </si>
  <si>
    <t>11/02/1944</t>
  </si>
  <si>
    <t>12/18/1980</t>
  </si>
  <si>
    <t>05/01/1964</t>
  </si>
  <si>
    <t>11/09/1941</t>
  </si>
  <si>
    <t>11/21/1923</t>
  </si>
  <si>
    <t>04/10/1958</t>
  </si>
  <si>
    <t>11/06/1964</t>
  </si>
  <si>
    <t>07/19/1981</t>
  </si>
  <si>
    <t>11/17/1968</t>
  </si>
  <si>
    <t>10/26/1982</t>
  </si>
  <si>
    <t>02/22/1948</t>
  </si>
  <si>
    <t>10/16/1930</t>
  </si>
  <si>
    <t>12/02/1970</t>
  </si>
  <si>
    <t>09/04/1966</t>
  </si>
  <si>
    <t>10/01/1978</t>
  </si>
  <si>
    <t>05/22/1963</t>
  </si>
  <si>
    <t>08/17/1975</t>
  </si>
  <si>
    <t>09/15/1984</t>
  </si>
  <si>
    <t>02/12/1982</t>
  </si>
  <si>
    <t>03/09/1979</t>
  </si>
  <si>
    <t>05/15/1989</t>
  </si>
  <si>
    <t>07/06/1948</t>
  </si>
  <si>
    <t>01/11/1991</t>
  </si>
  <si>
    <t>10/21/1965</t>
  </si>
  <si>
    <t>01/23/1962</t>
  </si>
  <si>
    <t>06/11/1957</t>
  </si>
  <si>
    <t>05/27/1977</t>
  </si>
  <si>
    <t>05/07/1943</t>
  </si>
  <si>
    <t>12/21/1982</t>
  </si>
  <si>
    <t>05/03/1979</t>
  </si>
  <si>
    <t>08/26/1969</t>
  </si>
  <si>
    <t>01/01/1971</t>
  </si>
  <si>
    <t>10/03/1958</t>
  </si>
  <si>
    <t>08/11/1939</t>
  </si>
  <si>
    <t>06/24/1957</t>
  </si>
  <si>
    <t>01/16/1960</t>
  </si>
  <si>
    <t>11/25/1975</t>
  </si>
  <si>
    <t>08/14/1949</t>
  </si>
  <si>
    <t>02/13/1966</t>
  </si>
  <si>
    <t>11/10/1969</t>
  </si>
  <si>
    <t>10/19/1941</t>
  </si>
  <si>
    <t>10/10/1993</t>
  </si>
  <si>
    <t>09/19/1971</t>
  </si>
  <si>
    <t>08/04/1982</t>
  </si>
  <si>
    <t>12/07/1976</t>
  </si>
  <si>
    <t>05/13/1976</t>
  </si>
  <si>
    <t>06/06/1992</t>
  </si>
  <si>
    <t>01/04/1970</t>
  </si>
  <si>
    <t>07/01/1982</t>
  </si>
  <si>
    <t>10/29/1934</t>
  </si>
  <si>
    <t>02/25/1967</t>
  </si>
  <si>
    <t>11/13/1952</t>
  </si>
  <si>
    <t>01/01/1960</t>
  </si>
  <si>
    <t>04/26/1976</t>
  </si>
  <si>
    <t>07/10/1974</t>
  </si>
  <si>
    <t>11/30/1978</t>
  </si>
  <si>
    <t>04/02/1967</t>
  </si>
  <si>
    <t>04/13/1972</t>
  </si>
  <si>
    <t>02/21/1960</t>
  </si>
  <si>
    <t>05/27/1984</t>
  </si>
  <si>
    <t>10/22/1984</t>
  </si>
  <si>
    <t>06/14/1961</t>
  </si>
  <si>
    <t>09/27/1962</t>
  </si>
  <si>
    <t>05/30/1981</t>
  </si>
  <si>
    <t>11/16/1936</t>
  </si>
  <si>
    <t>03/25/1973</t>
  </si>
  <si>
    <t>05/08/1972</t>
  </si>
  <si>
    <t>09/21/1966</t>
  </si>
  <si>
    <t>01/01/1938</t>
  </si>
  <si>
    <t>03/19/1953</t>
  </si>
  <si>
    <t>06/03/1956</t>
  </si>
  <si>
    <t>04/05/1958</t>
  </si>
  <si>
    <t>11/18/1985</t>
  </si>
  <si>
    <t>11/01/1971</t>
  </si>
  <si>
    <t>04/18/1948</t>
  </si>
  <si>
    <t>08/28/1970</t>
  </si>
  <si>
    <t>10/12/1979</t>
  </si>
  <si>
    <t>01/09/1988</t>
  </si>
  <si>
    <t>10/06/1981</t>
  </si>
  <si>
    <t>12/24/1989</t>
  </si>
  <si>
    <t>12/23/1962</t>
  </si>
  <si>
    <t>02/15/1959</t>
  </si>
  <si>
    <t>08/18/1978</t>
  </si>
  <si>
    <t>07/25/1947</t>
  </si>
  <si>
    <t>06/27/1984</t>
  </si>
  <si>
    <t>02/28/1978</t>
  </si>
  <si>
    <t>12/02/1958</t>
  </si>
  <si>
    <t>03/24/1989</t>
  </si>
  <si>
    <t>06/28/1964</t>
  </si>
  <si>
    <t>09/12/1947</t>
  </si>
  <si>
    <t>09/07/1953</t>
  </si>
  <si>
    <t>01/08/1956</t>
  </si>
  <si>
    <t>07/17/1974</t>
  </si>
  <si>
    <t>08/20/1963</t>
  </si>
  <si>
    <t>06/02/1965</t>
  </si>
  <si>
    <t>10/11/1961</t>
  </si>
  <si>
    <t>03/15/1963</t>
  </si>
  <si>
    <t>09/11/1947</t>
  </si>
  <si>
    <t>01/31/1942</t>
  </si>
  <si>
    <t>04/08/1976</t>
  </si>
  <si>
    <t>05/12/1987</t>
  </si>
  <si>
    <t>12/25/1938</t>
  </si>
  <si>
    <t>02/27/1957</t>
  </si>
  <si>
    <t>06/30/1974</t>
  </si>
  <si>
    <t>01/04/1948</t>
  </si>
  <si>
    <t>04/08/1944</t>
  </si>
  <si>
    <t>07/30/1994</t>
  </si>
  <si>
    <t>05/07/1940</t>
  </si>
  <si>
    <t>01/01/1983</t>
  </si>
  <si>
    <t>04/29/1948</t>
  </si>
  <si>
    <t>06/04/1954</t>
  </si>
  <si>
    <t>07/09/1968</t>
  </si>
  <si>
    <t>12/17/1946</t>
  </si>
  <si>
    <t>02/27/1982</t>
  </si>
  <si>
    <t>02/26/1981</t>
  </si>
  <si>
    <t>10/19/1965</t>
  </si>
  <si>
    <t>03/22/1971</t>
  </si>
  <si>
    <t>02/23/1959</t>
  </si>
  <si>
    <t>07/09/1939</t>
  </si>
  <si>
    <t>02/09/1952</t>
  </si>
  <si>
    <t>03/19/1955</t>
  </si>
  <si>
    <t>07/10/1953</t>
  </si>
  <si>
    <t>11/28/1973</t>
  </si>
  <si>
    <t>03/19/1956</t>
  </si>
  <si>
    <t>03/01/1951</t>
  </si>
  <si>
    <t>03/11/1950</t>
  </si>
  <si>
    <t>02/03/1958</t>
  </si>
  <si>
    <t>03/14/1972</t>
  </si>
  <si>
    <t>06/09/1945</t>
  </si>
  <si>
    <t>10/27/1971</t>
  </si>
  <si>
    <t>05/04/1965</t>
  </si>
  <si>
    <t>01/24/1979</t>
  </si>
  <si>
    <t>02/13/1934</t>
  </si>
  <si>
    <t>10/30/1952</t>
  </si>
  <si>
    <t>03/30/1956</t>
  </si>
  <si>
    <t>05/19/1962</t>
  </si>
  <si>
    <t>01/10/1952</t>
  </si>
  <si>
    <t>08/21/1984</t>
  </si>
  <si>
    <t>09/11/1954</t>
  </si>
  <si>
    <t>12/25/1935</t>
  </si>
  <si>
    <t>12/07/1970</t>
  </si>
  <si>
    <t>07/10/1984</t>
  </si>
  <si>
    <t>09/13/1964</t>
  </si>
  <si>
    <t>10/05/1978</t>
  </si>
  <si>
    <t>08/17/1956</t>
  </si>
  <si>
    <t>01/15/1943</t>
  </si>
  <si>
    <t>12/31/1960</t>
  </si>
  <si>
    <t>03/02/1936</t>
  </si>
  <si>
    <t>12/26/1952</t>
  </si>
  <si>
    <t>04/27/1974</t>
  </si>
  <si>
    <t>11/07/1964</t>
  </si>
  <si>
    <t>05/14/1933</t>
  </si>
  <si>
    <t>08/18/1964</t>
  </si>
  <si>
    <t>05/12/1970</t>
  </si>
  <si>
    <t>07/21/1949</t>
  </si>
  <si>
    <t>10/21/1988</t>
  </si>
  <si>
    <t>11/15/1944</t>
  </si>
  <si>
    <t>08/01/1953</t>
  </si>
  <si>
    <t>05/31/1970</t>
  </si>
  <si>
    <t>11/23/1977</t>
  </si>
  <si>
    <t>08/20/1964</t>
  </si>
  <si>
    <t>08/06/1980</t>
  </si>
  <si>
    <t>08/18/1973</t>
  </si>
  <si>
    <t>09/28/1959</t>
  </si>
  <si>
    <t>01/21/1965</t>
  </si>
  <si>
    <t>07/26/1964</t>
  </si>
  <si>
    <t>12/04/1971</t>
  </si>
  <si>
    <t>05/17/1957</t>
  </si>
  <si>
    <t>08/06/1988</t>
  </si>
  <si>
    <t>08/26/1966</t>
  </si>
  <si>
    <t>01/04/1946</t>
  </si>
  <si>
    <t>04/11/1961</t>
  </si>
  <si>
    <t>05/06/1976</t>
  </si>
  <si>
    <t>09/18/1971</t>
  </si>
  <si>
    <t>06/25/1970</t>
  </si>
  <si>
    <t>12/14/1961</t>
  </si>
  <si>
    <t>01/30/1956</t>
  </si>
  <si>
    <t>12/01/1950</t>
  </si>
  <si>
    <t>11/15/1949</t>
  </si>
  <si>
    <t>09/18/1979</t>
  </si>
  <si>
    <t>12/08/1981</t>
  </si>
  <si>
    <t>03/18/1936</t>
  </si>
  <si>
    <t>04/05/1946</t>
  </si>
  <si>
    <t>07/07/1957</t>
  </si>
  <si>
    <t>10/27/1984</t>
  </si>
  <si>
    <t>07/13/1952</t>
  </si>
  <si>
    <t>01/01/1981</t>
  </si>
  <si>
    <t>01/20/1982</t>
  </si>
  <si>
    <t>02/13/1967</t>
  </si>
  <si>
    <t>03/28/1969</t>
  </si>
  <si>
    <t>03/08/1949</t>
  </si>
  <si>
    <t>02/24/1974</t>
  </si>
  <si>
    <t>12/27/1977</t>
  </si>
  <si>
    <t>09/14/1940</t>
  </si>
  <si>
    <t>03/19/1947</t>
  </si>
  <si>
    <t>12/08/1944</t>
  </si>
  <si>
    <t>04/21/1944</t>
  </si>
  <si>
    <t>03/29/1984</t>
  </si>
  <si>
    <t>12/20/1943</t>
  </si>
  <si>
    <t>06/02/1963</t>
  </si>
  <si>
    <t>08/11/1941</t>
  </si>
  <si>
    <t>07/09/1955</t>
  </si>
  <si>
    <t>01/15/1957</t>
  </si>
  <si>
    <t>06/04/1952</t>
  </si>
  <si>
    <t>01/28/1949</t>
  </si>
  <si>
    <t>06/07/1946</t>
  </si>
  <si>
    <t>11/20/1969</t>
  </si>
  <si>
    <t>06/04/1953</t>
  </si>
  <si>
    <t>05/04/1957</t>
  </si>
  <si>
    <t>04/25/1956</t>
  </si>
  <si>
    <t>09/15/1957</t>
  </si>
  <si>
    <t>02/15/1957</t>
  </si>
  <si>
    <t>10/25/1954</t>
  </si>
  <si>
    <t>08/12/1956</t>
  </si>
  <si>
    <t>08/04/1950</t>
  </si>
  <si>
    <t>04/08/1979</t>
  </si>
  <si>
    <t>01/28/1938</t>
  </si>
  <si>
    <t>05/17/1942</t>
  </si>
  <si>
    <t>04/25/1967</t>
  </si>
  <si>
    <t>01/13/1952</t>
  </si>
  <si>
    <t>03/31/1961</t>
  </si>
  <si>
    <t>05/03/1980</t>
  </si>
  <si>
    <t>02/19/1978</t>
  </si>
  <si>
    <t>07/13/1962</t>
  </si>
  <si>
    <t>07/05/1964</t>
  </si>
  <si>
    <t>04/30/1941</t>
  </si>
  <si>
    <t>08/02/1945</t>
  </si>
  <si>
    <t>09/29/1960</t>
  </si>
  <si>
    <t>11/04/1970</t>
  </si>
  <si>
    <t>07/04/1945</t>
  </si>
  <si>
    <t>02/12/1974</t>
  </si>
  <si>
    <t>12/25/1950</t>
  </si>
  <si>
    <t>05/18/1971</t>
  </si>
  <si>
    <t>01/10/1960</t>
  </si>
  <si>
    <t>05/17/1967</t>
  </si>
  <si>
    <t>03/28/1949</t>
  </si>
  <si>
    <t>07/27/1954</t>
  </si>
  <si>
    <t>11/04/1951</t>
  </si>
  <si>
    <t>07/27/1978</t>
  </si>
  <si>
    <t>06/14/1955</t>
  </si>
  <si>
    <t>04/23/1985</t>
  </si>
  <si>
    <t>08/01/1991</t>
  </si>
  <si>
    <t>11/18/1965</t>
  </si>
  <si>
    <t>05/04/1990</t>
  </si>
  <si>
    <t>09/05/1971</t>
  </si>
  <si>
    <t>12/03/1946</t>
  </si>
  <si>
    <t>01/01/1966</t>
  </si>
  <si>
    <t>01/09/1975</t>
  </si>
  <si>
    <t>03/15/1982</t>
  </si>
  <si>
    <t>01/31/1987</t>
  </si>
  <si>
    <t>02/23/1985</t>
  </si>
  <si>
    <t>07/16/1978</t>
  </si>
  <si>
    <t>01/18/1947</t>
  </si>
  <si>
    <t>11/06/1961</t>
  </si>
  <si>
    <t>06/27/1967</t>
  </si>
  <si>
    <t>01/02/1981</t>
  </si>
  <si>
    <t>03/28/1948</t>
  </si>
  <si>
    <t>11/05/1948</t>
  </si>
  <si>
    <t>06/08/1958</t>
  </si>
  <si>
    <t>11/01/1994</t>
  </si>
  <si>
    <t>10/05/1966</t>
  </si>
  <si>
    <t>03/11/1941</t>
  </si>
  <si>
    <t>01/01/1945</t>
  </si>
  <si>
    <t>10/18/1988</t>
  </si>
  <si>
    <t>03/20/1943</t>
  </si>
  <si>
    <t>01/08/1963</t>
  </si>
  <si>
    <t>09/21/1945</t>
  </si>
  <si>
    <t>01/20/1956</t>
  </si>
  <si>
    <t>05/24/1994</t>
  </si>
  <si>
    <t>06/11/1967</t>
  </si>
  <si>
    <t>04/02/1985</t>
  </si>
  <si>
    <t>11/24/1960</t>
  </si>
  <si>
    <t>07/25/1966</t>
  </si>
  <si>
    <t>12/24/1976</t>
  </si>
  <si>
    <t>08/15/1963</t>
  </si>
  <si>
    <t>09/16/1939</t>
  </si>
  <si>
    <t>11/13/1947</t>
  </si>
  <si>
    <t>10/08/1981</t>
  </si>
  <si>
    <t>05/03/1986</t>
  </si>
  <si>
    <t>04/19/1953</t>
  </si>
  <si>
    <t>03/28/1986</t>
  </si>
  <si>
    <t>09/06/1989</t>
  </si>
  <si>
    <t>06/11/1971</t>
  </si>
  <si>
    <t>06/10/1982</t>
  </si>
  <si>
    <t>10/23/1962</t>
  </si>
  <si>
    <t>09/10/1968</t>
  </si>
  <si>
    <t>08/09/1975</t>
  </si>
  <si>
    <t>07/21/1984</t>
  </si>
  <si>
    <t>03/02/1974</t>
  </si>
  <si>
    <t>08/05/1956</t>
  </si>
  <si>
    <t>06/11/1975</t>
  </si>
  <si>
    <t>11/22/1976</t>
  </si>
  <si>
    <t>05/25/1928</t>
  </si>
  <si>
    <t>07/15/1980</t>
  </si>
  <si>
    <t>10/29/1943</t>
  </si>
  <si>
    <t>11/12/1956</t>
  </si>
  <si>
    <t>04/14/1945</t>
  </si>
  <si>
    <t>06/08/1960</t>
  </si>
  <si>
    <t>12/20/1948</t>
  </si>
  <si>
    <t>03/04/1999</t>
  </si>
  <si>
    <t>03/06/1970</t>
  </si>
  <si>
    <t>12/10/1946</t>
  </si>
  <si>
    <t>10/05/1980</t>
  </si>
  <si>
    <t>09/29/1968</t>
  </si>
  <si>
    <t>01/01/1979</t>
  </si>
  <si>
    <t>01/16/1976</t>
  </si>
  <si>
    <t>04/02/1970</t>
  </si>
  <si>
    <t>01/13/1979</t>
  </si>
  <si>
    <t>01/31/1951</t>
  </si>
  <si>
    <t>08/19/1953</t>
  </si>
  <si>
    <t>12/29/1962</t>
  </si>
  <si>
    <t>12/07/1974</t>
  </si>
  <si>
    <t>09/04/1968</t>
  </si>
  <si>
    <t>03/31/1948</t>
  </si>
  <si>
    <t>01/22/1956</t>
  </si>
  <si>
    <t>03/29/1990</t>
  </si>
  <si>
    <t>03/11/1960</t>
  </si>
  <si>
    <t>04/28/1946</t>
  </si>
  <si>
    <t>05/26/1960</t>
  </si>
  <si>
    <t>06/21/1961</t>
  </si>
  <si>
    <t>02/20/1956</t>
  </si>
  <si>
    <t>07/18/1972</t>
  </si>
  <si>
    <t>06/19/1965</t>
  </si>
  <si>
    <t>11/17/1943</t>
  </si>
  <si>
    <t>03/02/1937</t>
  </si>
  <si>
    <t>04/28/1979</t>
  </si>
  <si>
    <t>03/25/1958</t>
  </si>
  <si>
    <t>12/22/1983</t>
  </si>
  <si>
    <t>11/24/1970</t>
  </si>
  <si>
    <t>04/16/1959</t>
  </si>
  <si>
    <t>05/10/1971</t>
  </si>
  <si>
    <t>07/25/1979</t>
  </si>
  <si>
    <t>07/19/1969</t>
  </si>
  <si>
    <t>03/08/1993</t>
  </si>
  <si>
    <t>05/12/1976</t>
  </si>
  <si>
    <t>11/29/1993</t>
  </si>
  <si>
    <t>03/13/1960</t>
  </si>
  <si>
    <t>09/09/1966</t>
  </si>
  <si>
    <t>12/16/1946</t>
  </si>
  <si>
    <t>12/27/1960</t>
  </si>
  <si>
    <t>03/29/1974</t>
  </si>
  <si>
    <t>11/29/1979</t>
  </si>
  <si>
    <t>12/01/1969</t>
  </si>
  <si>
    <t>04/19/1950</t>
  </si>
  <si>
    <t>09/14/1965</t>
  </si>
  <si>
    <t>01/16/1979</t>
  </si>
  <si>
    <t>02/23/1995</t>
  </si>
  <si>
    <t>11/09/1993</t>
  </si>
  <si>
    <t>06/07/1956</t>
  </si>
  <si>
    <t>09/29/1963</t>
  </si>
  <si>
    <t>11/07/1956</t>
  </si>
  <si>
    <t>05/13/1949</t>
  </si>
  <si>
    <t>01/10/1972</t>
  </si>
  <si>
    <t>05/24/1969</t>
  </si>
  <si>
    <t>07/04/1966</t>
  </si>
  <si>
    <t>07/13/1983</t>
  </si>
  <si>
    <t>12/17/1960</t>
  </si>
  <si>
    <t>09/02/1941</t>
  </si>
  <si>
    <t>05/07/1946</t>
  </si>
  <si>
    <t>01/01/1958</t>
  </si>
  <si>
    <t>10/19/1973</t>
  </si>
  <si>
    <t>11/25/1968</t>
  </si>
  <si>
    <t>05/10/1990</t>
  </si>
  <si>
    <t>06/27/1966</t>
  </si>
  <si>
    <t>12/26/1938</t>
  </si>
  <si>
    <t>10/20/1949</t>
  </si>
  <si>
    <t>09/05/1962</t>
  </si>
  <si>
    <t>03/07/1958</t>
  </si>
  <si>
    <t>10/15/1957</t>
  </si>
  <si>
    <t>03/21/1954</t>
  </si>
  <si>
    <t>12/22/1967</t>
  </si>
  <si>
    <t>07/01/1964</t>
  </si>
  <si>
    <t>05/13/1975</t>
  </si>
  <si>
    <t>04/30/1968</t>
  </si>
  <si>
    <t>09/03/1965</t>
  </si>
  <si>
    <t>08/29/1974</t>
  </si>
  <si>
    <t>02/02/1982</t>
  </si>
  <si>
    <t>09/19/1919</t>
  </si>
  <si>
    <t>08/08/1972</t>
  </si>
  <si>
    <t>12/06/1964</t>
  </si>
  <si>
    <t>07/12/1952</t>
  </si>
  <si>
    <t>01/07/1967</t>
  </si>
  <si>
    <t>07/25/1982</t>
  </si>
  <si>
    <t>04/15/1957</t>
  </si>
  <si>
    <t>08/04/1971</t>
  </si>
  <si>
    <t>09/02/1971</t>
  </si>
  <si>
    <t>12/31/1961</t>
  </si>
  <si>
    <t>06/26/1968</t>
  </si>
  <si>
    <t>04/14/1996</t>
  </si>
  <si>
    <t>11/16/1959</t>
  </si>
  <si>
    <t>04/15/1965</t>
  </si>
  <si>
    <t>06/26/1978</t>
  </si>
  <si>
    <t>03/30/1933</t>
  </si>
  <si>
    <t>05/26/1985</t>
  </si>
  <si>
    <t>09/06/1968</t>
  </si>
  <si>
    <t>10/29/1981</t>
  </si>
  <si>
    <t>11/16/1984</t>
  </si>
  <si>
    <t>12/14/1959</t>
  </si>
  <si>
    <t>10/25/1964</t>
  </si>
  <si>
    <t>08/31/1976</t>
  </si>
  <si>
    <t>10/13/1972</t>
  </si>
  <si>
    <t>12/11/1965</t>
  </si>
  <si>
    <t>09/26/1989</t>
  </si>
  <si>
    <t>02/09/1984</t>
  </si>
  <si>
    <t>10/03/1963</t>
  </si>
  <si>
    <t>03/14/1957</t>
  </si>
  <si>
    <t>04/09/1992</t>
  </si>
  <si>
    <t>09/03/1972</t>
  </si>
  <si>
    <t>02/19/1959</t>
  </si>
  <si>
    <t>03/08/1997</t>
  </si>
  <si>
    <t>03/17/1982</t>
  </si>
  <si>
    <t>05/05/1959</t>
  </si>
  <si>
    <t>11/25/1951</t>
  </si>
  <si>
    <t>08/02/1978</t>
  </si>
  <si>
    <t>09/05/1997</t>
  </si>
  <si>
    <t>11/08/1974</t>
  </si>
  <si>
    <t>07/15/1961</t>
  </si>
  <si>
    <t>01/10/1988</t>
  </si>
  <si>
    <t>10/11/1950</t>
  </si>
  <si>
    <t>11/04/1984</t>
  </si>
  <si>
    <t>06/17/1977</t>
  </si>
  <si>
    <t>02/01/1990</t>
  </si>
  <si>
    <t>01/28/1985</t>
  </si>
  <si>
    <t>06/01/1953</t>
  </si>
  <si>
    <t>07/27/1967</t>
  </si>
  <si>
    <t>07/10/1961</t>
  </si>
  <si>
    <t>06/09/1970</t>
  </si>
  <si>
    <t>11/27/1988</t>
  </si>
  <si>
    <t>12/08/1973</t>
  </si>
  <si>
    <t>12/08/1960</t>
  </si>
  <si>
    <t>04/20/1969</t>
  </si>
  <si>
    <t>03/17/1966</t>
  </si>
  <si>
    <t>05/09/1967</t>
  </si>
  <si>
    <t>02/10/1986</t>
  </si>
  <si>
    <t>12/18/1974</t>
  </si>
  <si>
    <t>10/05/1951</t>
  </si>
  <si>
    <t>03/09/1987</t>
  </si>
  <si>
    <t>02/15/1940</t>
  </si>
  <si>
    <t>12/18/1975</t>
  </si>
  <si>
    <t>03/07/1957</t>
  </si>
  <si>
    <t>04/02/1968</t>
  </si>
  <si>
    <t>09/05/1982</t>
  </si>
  <si>
    <t>12/28/1982</t>
  </si>
  <si>
    <t>03/29/1947</t>
  </si>
  <si>
    <t>06/25/1984</t>
  </si>
  <si>
    <t>06/22/1967</t>
  </si>
  <si>
    <t>06/11/1980</t>
  </si>
  <si>
    <t>04/04/1967</t>
  </si>
  <si>
    <t>09/29/1985</t>
  </si>
  <si>
    <t>05/25/1986</t>
  </si>
  <si>
    <t>12/31/1980</t>
  </si>
  <si>
    <t>01/18/1976</t>
  </si>
  <si>
    <t>11/03/1968</t>
  </si>
  <si>
    <t>12/04/1953</t>
  </si>
  <si>
    <t>08/13/1985</t>
  </si>
  <si>
    <t>05/09/1983</t>
  </si>
  <si>
    <t>09/08/1977</t>
  </si>
  <si>
    <t>06/22/1966</t>
  </si>
  <si>
    <t>02/18/1968</t>
  </si>
  <si>
    <t>01/22/1983</t>
  </si>
  <si>
    <t>06/10/1970</t>
  </si>
  <si>
    <t>06/14/1977</t>
  </si>
  <si>
    <t>12/13/1964</t>
  </si>
  <si>
    <t>03/12/1967</t>
  </si>
  <si>
    <t>05/20/1948</t>
  </si>
  <si>
    <t>09/07/1990</t>
  </si>
  <si>
    <t>07/05/1961</t>
  </si>
  <si>
    <t>09/15/1960</t>
  </si>
  <si>
    <t>06/15/1955</t>
  </si>
  <si>
    <t>01/13/1969</t>
  </si>
  <si>
    <t>01/09/1946</t>
  </si>
  <si>
    <t>09/22/1973</t>
  </si>
  <si>
    <t>05/09/1961</t>
  </si>
  <si>
    <t>10/01/1957</t>
  </si>
  <si>
    <t>01/18/1956</t>
  </si>
  <si>
    <t>07/04/1988</t>
  </si>
  <si>
    <t>03/21/1974</t>
  </si>
  <si>
    <t>04/21/1961</t>
  </si>
  <si>
    <t>12/14/1954</t>
  </si>
  <si>
    <t>07/19/1962</t>
  </si>
  <si>
    <t>07/01/1978</t>
  </si>
  <si>
    <t>10/22/1987</t>
  </si>
  <si>
    <t>08/26/1957</t>
  </si>
  <si>
    <t>05/23/1980</t>
  </si>
  <si>
    <t>04/06/1943</t>
  </si>
  <si>
    <t>10/23/1974</t>
  </si>
  <si>
    <t>08/31/1983</t>
  </si>
  <si>
    <t>03/16/1986</t>
  </si>
  <si>
    <t>11/18/1943</t>
  </si>
  <si>
    <t>10/30/1977</t>
  </si>
  <si>
    <t>08/31/1968</t>
  </si>
  <si>
    <t>08/18/1945</t>
  </si>
  <si>
    <t>03/27/1952</t>
  </si>
  <si>
    <t>05/29/1988</t>
  </si>
  <si>
    <t>09/04/1944</t>
  </si>
  <si>
    <t>10/09/1942</t>
  </si>
  <si>
    <t>03/28/1980</t>
  </si>
  <si>
    <t>04/27/1970</t>
  </si>
  <si>
    <t>08/07/1969</t>
  </si>
  <si>
    <t>12/24/1961</t>
  </si>
  <si>
    <t>07/23/1977</t>
  </si>
  <si>
    <t>01/15/1981</t>
  </si>
  <si>
    <t>12/05/1978</t>
  </si>
  <si>
    <t>10/09/1961</t>
  </si>
  <si>
    <t>01/02/1958</t>
  </si>
  <si>
    <t>08/17/1992</t>
  </si>
  <si>
    <t>02/25/1946</t>
  </si>
  <si>
    <t>06/17/1994</t>
  </si>
  <si>
    <t>02/20/1943</t>
  </si>
  <si>
    <t>05/11/1994</t>
  </si>
  <si>
    <t>02/15/1945</t>
  </si>
  <si>
    <t>01/18/1957</t>
  </si>
  <si>
    <t>01/20/1984</t>
  </si>
  <si>
    <t>01/12/1974</t>
  </si>
  <si>
    <t>01/01/1968</t>
  </si>
  <si>
    <t>10/01/1967</t>
  </si>
  <si>
    <t>06/22/1968</t>
  </si>
  <si>
    <t>06/24/1963</t>
  </si>
  <si>
    <t>02/01/1955</t>
  </si>
  <si>
    <t>09/16/1974</t>
  </si>
  <si>
    <t>10/04/1987</t>
  </si>
  <si>
    <t>03/04/1954</t>
  </si>
  <si>
    <t>09/20/1966</t>
  </si>
  <si>
    <t>06/04/1956</t>
  </si>
  <si>
    <t>06/22/1963</t>
  </si>
  <si>
    <t>09/15/1973</t>
  </si>
  <si>
    <t>11/20/1994</t>
  </si>
  <si>
    <t>04/06/1965</t>
  </si>
  <si>
    <t>02/03/1969</t>
  </si>
  <si>
    <t>10/19/1954</t>
  </si>
  <si>
    <t>04/22/1966</t>
  </si>
  <si>
    <t>01/30/1958</t>
  </si>
  <si>
    <t>04/02/1981</t>
  </si>
  <si>
    <t>12/01/1995</t>
  </si>
  <si>
    <t>12/20/1960</t>
  </si>
  <si>
    <t>08/03/1988</t>
  </si>
  <si>
    <t>12/26/1966</t>
  </si>
  <si>
    <t>11/06/1977</t>
  </si>
  <si>
    <t>02/11/1978</t>
  </si>
  <si>
    <t>03/06/1977</t>
  </si>
  <si>
    <t>01/07/1982</t>
  </si>
  <si>
    <t>08/10/1980</t>
  </si>
  <si>
    <t>06/10/1956</t>
  </si>
  <si>
    <t>06/12/1945</t>
  </si>
  <si>
    <t>05/17/1979</t>
  </si>
  <si>
    <t>06/11/1978</t>
  </si>
  <si>
    <t>12/29/1988</t>
  </si>
  <si>
    <t>04/13/1994</t>
  </si>
  <si>
    <t>04/01/1993</t>
  </si>
  <si>
    <t>01/30/1985</t>
  </si>
  <si>
    <t>01/15/1948</t>
  </si>
  <si>
    <t>05/05/1983</t>
  </si>
  <si>
    <t>07/18/1992</t>
  </si>
  <si>
    <t>12/15/1978</t>
  </si>
  <si>
    <t>08/11/1949</t>
  </si>
  <si>
    <t>04/13/1982</t>
  </si>
  <si>
    <t>06/22/1979</t>
  </si>
  <si>
    <t>07/07/1989</t>
  </si>
  <si>
    <t>12/27/1963</t>
  </si>
  <si>
    <t>08/30/1957</t>
  </si>
  <si>
    <t>01/10/1989</t>
  </si>
  <si>
    <t>09/19/1990</t>
  </si>
  <si>
    <t>03/06/1991</t>
  </si>
  <si>
    <t>04/25/1929</t>
  </si>
  <si>
    <t>12/30/1988</t>
  </si>
  <si>
    <t>08/22/1987</t>
  </si>
  <si>
    <t>10/09/1994</t>
  </si>
  <si>
    <t>09/23/1975</t>
  </si>
  <si>
    <t>05/05/1979</t>
  </si>
  <si>
    <t>01/01/1978</t>
  </si>
  <si>
    <t>04/06/1970</t>
  </si>
  <si>
    <t>11/30/1982</t>
  </si>
  <si>
    <t>04/06/1978</t>
  </si>
  <si>
    <t>06/26/1988</t>
  </si>
  <si>
    <t>05/27/1989</t>
  </si>
  <si>
    <t>07/01/1961</t>
  </si>
  <si>
    <t>02/14/1979</t>
  </si>
  <si>
    <t>09/21/1933</t>
  </si>
  <si>
    <t>11/09/1982</t>
  </si>
  <si>
    <t>11/29/1977</t>
  </si>
  <si>
    <t>01/23/1991</t>
  </si>
  <si>
    <t>02/08/1982</t>
  </si>
  <si>
    <t>03/15/1984</t>
  </si>
  <si>
    <t>03/02/1987</t>
  </si>
  <si>
    <t>12/23/1963</t>
  </si>
  <si>
    <t>05/05/1991</t>
  </si>
  <si>
    <t>07/01/1962</t>
  </si>
  <si>
    <t>07/26/1976</t>
  </si>
  <si>
    <t>03/29/1961</t>
  </si>
  <si>
    <t>02/20/1971</t>
  </si>
  <si>
    <t>11/08/1965</t>
  </si>
  <si>
    <t>09/30/1940</t>
  </si>
  <si>
    <t>08/30/1956</t>
  </si>
  <si>
    <t>03/08/1938</t>
  </si>
  <si>
    <t>07/02/1979</t>
  </si>
  <si>
    <t>07/04/1964</t>
  </si>
  <si>
    <t>02/01/1980</t>
  </si>
  <si>
    <t>11/27/1989</t>
  </si>
  <si>
    <t>06/27/1948</t>
  </si>
  <si>
    <t>03/11/1964</t>
  </si>
  <si>
    <t>10/01/1952</t>
  </si>
  <si>
    <t>08/03/1958</t>
  </si>
  <si>
    <t>12/03/1964</t>
  </si>
  <si>
    <t>11/29/1941</t>
  </si>
  <si>
    <t>06/19/1956</t>
  </si>
  <si>
    <t>01/07/1947</t>
  </si>
  <si>
    <t>03/31/1979</t>
  </si>
  <si>
    <t>03/25/1971</t>
  </si>
  <si>
    <t>03/31/1965</t>
  </si>
  <si>
    <t>02/02/1981</t>
  </si>
  <si>
    <t>05/12/1959</t>
  </si>
  <si>
    <t>10/05/1976</t>
  </si>
  <si>
    <t>10/02/1941</t>
  </si>
  <si>
    <t>06/02/1962</t>
  </si>
  <si>
    <t>07/27/1966</t>
  </si>
  <si>
    <t>09/28/1965</t>
  </si>
  <si>
    <t>06/07/1987</t>
  </si>
  <si>
    <t>06/17/1972</t>
  </si>
  <si>
    <t>08/02/1953</t>
  </si>
  <si>
    <t>10/03/1962</t>
  </si>
  <si>
    <t>05/23/1946</t>
  </si>
  <si>
    <t>06/30/1948</t>
  </si>
  <si>
    <t>02/22/1949</t>
  </si>
  <si>
    <t>09/25/1951</t>
  </si>
  <si>
    <t>06/12/1960</t>
  </si>
  <si>
    <t>04/24/1931</t>
  </si>
  <si>
    <t>06/20/1984</t>
  </si>
  <si>
    <t>11/15/1954</t>
  </si>
  <si>
    <t>04/01/1948</t>
  </si>
  <si>
    <t>01/21/1967</t>
  </si>
  <si>
    <t>09/30/1949</t>
  </si>
  <si>
    <t>09/09/1968</t>
  </si>
  <si>
    <t>02/25/1964</t>
  </si>
  <si>
    <t>09/03/1977</t>
  </si>
  <si>
    <t>02/16/1986</t>
  </si>
  <si>
    <t>01/15/1953</t>
  </si>
  <si>
    <t>07/14/1984</t>
  </si>
  <si>
    <t>12/24/1968</t>
  </si>
  <si>
    <t>06/29/1968</t>
  </si>
  <si>
    <t>12/21/1956</t>
  </si>
  <si>
    <t>05/14/1971</t>
  </si>
  <si>
    <t>12/22/1964</t>
  </si>
  <si>
    <t>12/17/1963</t>
  </si>
  <si>
    <t>10/17/1981</t>
  </si>
  <si>
    <t>05/23/1944</t>
  </si>
  <si>
    <t>12/10/1983</t>
  </si>
  <si>
    <t>07/19/1964</t>
  </si>
  <si>
    <t>07/15/1957</t>
  </si>
  <si>
    <t>06/28/1993</t>
  </si>
  <si>
    <t>06/05/1952</t>
  </si>
  <si>
    <t>01/21/1969</t>
  </si>
  <si>
    <t>07/16/1968</t>
  </si>
  <si>
    <t>05/03/1962</t>
  </si>
  <si>
    <t>11/16/1955</t>
  </si>
  <si>
    <t>08/10/1994</t>
  </si>
  <si>
    <t>04/25/1969</t>
  </si>
  <si>
    <t>01/01/1984</t>
  </si>
  <si>
    <t>02/12/1956</t>
  </si>
  <si>
    <t>04/10/1976</t>
  </si>
  <si>
    <t>03/02/1982</t>
  </si>
  <si>
    <t>07/17/1962</t>
  </si>
  <si>
    <t>11/11/1961</t>
  </si>
  <si>
    <t>05/07/1966</t>
  </si>
  <si>
    <t>02/08/1966</t>
  </si>
  <si>
    <t>12/12/1966</t>
  </si>
  <si>
    <t>04/27/1963</t>
  </si>
  <si>
    <t>07/13/1967</t>
  </si>
  <si>
    <t>06/05/1979</t>
  </si>
  <si>
    <t>09/30/1963</t>
  </si>
  <si>
    <t>10/30/1937</t>
  </si>
  <si>
    <t>01/19/1942</t>
  </si>
  <si>
    <t>07/11/1966</t>
  </si>
  <si>
    <t>03/08/1979</t>
  </si>
  <si>
    <t>06/09/1958</t>
  </si>
  <si>
    <t>04/07/1963</t>
  </si>
  <si>
    <t>12/17/1982</t>
  </si>
  <si>
    <t>07/04/1943</t>
  </si>
  <si>
    <t>10/10/1976</t>
  </si>
  <si>
    <t>03/07/1977</t>
  </si>
  <si>
    <t>06/22/1954</t>
  </si>
  <si>
    <t>11/18/1987</t>
  </si>
  <si>
    <t>04/08/1993</t>
  </si>
  <si>
    <t>02/21/1975</t>
  </si>
  <si>
    <t>02/02/1970</t>
  </si>
  <si>
    <t>06/20/1957</t>
  </si>
  <si>
    <t>07/12/1951</t>
  </si>
  <si>
    <t>10/09/1987</t>
  </si>
  <si>
    <t>02/11/1972</t>
  </si>
  <si>
    <t>07/25/1971</t>
  </si>
  <si>
    <t>09/18/1940</t>
  </si>
  <si>
    <t>03/18/1971</t>
  </si>
  <si>
    <t>09/01/1982</t>
  </si>
  <si>
    <t>07/13/1993</t>
  </si>
  <si>
    <t>12/13/1956</t>
  </si>
  <si>
    <t>03/03/1957</t>
  </si>
  <si>
    <t>09/07/1947</t>
  </si>
  <si>
    <t>12/08/1986</t>
  </si>
  <si>
    <t>11/11/1939</t>
  </si>
  <si>
    <t>10/19/1966</t>
  </si>
  <si>
    <t>07/06/1955</t>
  </si>
  <si>
    <t>01/18/1982</t>
  </si>
  <si>
    <t>01/06/1953</t>
  </si>
  <si>
    <t>09/22/1946</t>
  </si>
  <si>
    <t>05/24/1989</t>
  </si>
  <si>
    <t>02/04/1957</t>
  </si>
  <si>
    <t>06/22/1936</t>
  </si>
  <si>
    <t>02/23/1961</t>
  </si>
  <si>
    <t>12/26/1963</t>
  </si>
  <si>
    <t>10/24/1951</t>
  </si>
  <si>
    <t>08/07/1949</t>
  </si>
  <si>
    <t>11/27/1966</t>
  </si>
  <si>
    <t>06/18/1977</t>
  </si>
  <si>
    <t>01/26/1985</t>
  </si>
  <si>
    <t>12/10/1955</t>
  </si>
  <si>
    <t>01/30/1957</t>
  </si>
  <si>
    <t>06/11/1956</t>
  </si>
  <si>
    <t>07/28/1963</t>
  </si>
  <si>
    <t>05/24/1984</t>
  </si>
  <si>
    <t>03/24/1958</t>
  </si>
  <si>
    <t>01/25/1943</t>
  </si>
  <si>
    <t>08/23/1962</t>
  </si>
  <si>
    <t>11/15/1955</t>
  </si>
  <si>
    <t>11/01/1988</t>
  </si>
  <si>
    <t>08/06/1950</t>
  </si>
  <si>
    <t>07/27/1977</t>
  </si>
  <si>
    <t>11/01/1976</t>
  </si>
  <si>
    <t>07/05/1984</t>
  </si>
  <si>
    <t>07/27/1960</t>
  </si>
  <si>
    <t>07/25/1951</t>
  </si>
  <si>
    <t>07/29/1948</t>
  </si>
  <si>
    <t>04/14/1962</t>
  </si>
  <si>
    <t>04/30/1952</t>
  </si>
  <si>
    <t>06/27/1969</t>
  </si>
  <si>
    <t>08/11/1951</t>
  </si>
  <si>
    <t>04/09/1984</t>
  </si>
  <si>
    <t>07/24/1966</t>
  </si>
  <si>
    <t>11/29/1957</t>
  </si>
  <si>
    <t>11/04/1953</t>
  </si>
  <si>
    <t>08/05/1965</t>
  </si>
  <si>
    <t>08/17/1982</t>
  </si>
  <si>
    <t>07/08/1959</t>
  </si>
  <si>
    <t>11/02/1964</t>
  </si>
  <si>
    <t>02/15/1982</t>
  </si>
  <si>
    <t>04/15/1968</t>
  </si>
  <si>
    <t>10/18/1965</t>
  </si>
  <si>
    <t>10/09/1954</t>
  </si>
  <si>
    <t>06/20/1960</t>
  </si>
  <si>
    <t>01/10/1995</t>
  </si>
  <si>
    <t>05/06/1971</t>
  </si>
  <si>
    <t>01/26/1954</t>
  </si>
  <si>
    <t>07/20/1973</t>
  </si>
  <si>
    <t>11/23/1968</t>
  </si>
  <si>
    <t>10/20/1952</t>
  </si>
  <si>
    <t>12/31/1973</t>
  </si>
  <si>
    <t>07/08/1958</t>
  </si>
  <si>
    <t>05/27/1975</t>
  </si>
  <si>
    <t>01/05/1952</t>
  </si>
  <si>
    <t>10/27/1950</t>
  </si>
  <si>
    <t>03/16/1967</t>
  </si>
  <si>
    <t>10/02/1979</t>
  </si>
  <si>
    <t>09/03/1964</t>
  </si>
  <si>
    <t>07/19/1958</t>
  </si>
  <si>
    <t>09/16/1953</t>
  </si>
  <si>
    <t>05/10/1933</t>
  </si>
  <si>
    <t>11/27/1981</t>
  </si>
  <si>
    <t>06/06/1968</t>
  </si>
  <si>
    <t>01/25/1945</t>
  </si>
  <si>
    <t>03/06/1956</t>
  </si>
  <si>
    <t>06/10/1965</t>
  </si>
  <si>
    <t>07/28/1955</t>
  </si>
  <si>
    <t>11/21/1954</t>
  </si>
  <si>
    <t>02/03/1964</t>
  </si>
  <si>
    <t>04/04/1954</t>
  </si>
  <si>
    <t>12/11/1938</t>
  </si>
  <si>
    <t>10/26/1969</t>
  </si>
  <si>
    <t>08/20/1957</t>
  </si>
  <si>
    <t>03/22/1972</t>
  </si>
  <si>
    <t>08/11/1980</t>
  </si>
  <si>
    <t>06/14/1965</t>
  </si>
  <si>
    <t>07/24/1945</t>
  </si>
  <si>
    <t>02/23/1952</t>
  </si>
  <si>
    <t>06/10/1984</t>
  </si>
  <si>
    <t>01/01/1955</t>
  </si>
  <si>
    <t>04/19/1987</t>
  </si>
  <si>
    <t>12/28/1973</t>
  </si>
  <si>
    <t>01/17/1959</t>
  </si>
  <si>
    <t>11/01/1968</t>
  </si>
  <si>
    <t>09/09/1949</t>
  </si>
  <si>
    <t>09/22/1957</t>
  </si>
  <si>
    <t>02/25/1977</t>
  </si>
  <si>
    <t>11/10/1981</t>
  </si>
  <si>
    <t>05/28/1962</t>
  </si>
  <si>
    <t>07/20/1962</t>
  </si>
  <si>
    <t>01/09/1995</t>
  </si>
  <si>
    <t>12/21/1967</t>
  </si>
  <si>
    <t>06/03/1987</t>
  </si>
  <si>
    <t>03/26/1936</t>
  </si>
  <si>
    <t>12/17/1969</t>
  </si>
  <si>
    <t>06/11/1986</t>
  </si>
  <si>
    <t>11/18/1989</t>
  </si>
  <si>
    <t>12/29/1966</t>
  </si>
  <si>
    <t>07/23/1986</t>
  </si>
  <si>
    <t>08/07/1983</t>
  </si>
  <si>
    <t>05/29/1986</t>
  </si>
  <si>
    <t>03/24/1966</t>
  </si>
  <si>
    <t>05/27/1993</t>
  </si>
  <si>
    <t>07/07/1982</t>
  </si>
  <si>
    <t>11/17/1982</t>
  </si>
  <si>
    <t>10/27/1974</t>
  </si>
  <si>
    <t>09/10/1974</t>
  </si>
  <si>
    <t>01/09/1973</t>
  </si>
  <si>
    <t>05/10/1957</t>
  </si>
  <si>
    <t>06/15/1987</t>
  </si>
  <si>
    <t>02/10/1950</t>
  </si>
  <si>
    <t>06/13/1977</t>
  </si>
  <si>
    <t>06/21/1977</t>
  </si>
  <si>
    <t>01/02/1957</t>
  </si>
  <si>
    <t>07/21/1964</t>
  </si>
  <si>
    <t>09/05/1958</t>
  </si>
  <si>
    <t>04/16/1962</t>
  </si>
  <si>
    <t>02/18/1972</t>
  </si>
  <si>
    <t>09/08/1980</t>
  </si>
  <si>
    <t>04/01/1958</t>
  </si>
  <si>
    <t>03/11/1979</t>
  </si>
  <si>
    <t>05/11/1959</t>
  </si>
  <si>
    <t>04/20/1964</t>
  </si>
  <si>
    <t>12/02/1953</t>
  </si>
  <si>
    <t>03/03/1958</t>
  </si>
  <si>
    <t>04/04/1965</t>
  </si>
  <si>
    <t>04/08/1982</t>
  </si>
  <si>
    <t>03/24/1949</t>
  </si>
  <si>
    <t>05/18/1959</t>
  </si>
  <si>
    <t>07/29/1966</t>
  </si>
  <si>
    <t>03/31/1986</t>
  </si>
  <si>
    <t>05/23/1957</t>
  </si>
  <si>
    <t>09/17/1962</t>
  </si>
  <si>
    <t>06/08/1965</t>
  </si>
  <si>
    <t>02/17/1963</t>
  </si>
  <si>
    <t>08/06/1947</t>
  </si>
  <si>
    <t>06/20/1981</t>
  </si>
  <si>
    <t>06/03/1953</t>
  </si>
  <si>
    <t>08/04/1946</t>
  </si>
  <si>
    <t>06/03/1982</t>
  </si>
  <si>
    <t>07/01/1968</t>
  </si>
  <si>
    <t>09/25/1978</t>
  </si>
  <si>
    <t>03/14/1966</t>
  </si>
  <si>
    <t>02/02/1952</t>
  </si>
  <si>
    <t>06/17/1978</t>
  </si>
  <si>
    <t>07/20/1961</t>
  </si>
  <si>
    <t>11/03/1986</t>
  </si>
  <si>
    <t>08/11/1967</t>
  </si>
  <si>
    <t>04/04/1959</t>
  </si>
  <si>
    <t>08/01/1966</t>
  </si>
  <si>
    <t>10/02/1956</t>
  </si>
  <si>
    <t>07/10/1992</t>
  </si>
  <si>
    <t>02/08/1978</t>
  </si>
  <si>
    <t>01/30/1983</t>
  </si>
  <si>
    <t>10/08/1967</t>
  </si>
  <si>
    <t>06/15/1946</t>
  </si>
  <si>
    <t>03/11/1951</t>
  </si>
  <si>
    <t>10/04/1958</t>
  </si>
  <si>
    <t>03/20/1945</t>
  </si>
  <si>
    <t>06/10/1939</t>
  </si>
  <si>
    <t>12/24/1954</t>
  </si>
  <si>
    <t>08/09/1955</t>
  </si>
  <si>
    <t>08/22/1978</t>
  </si>
  <si>
    <t>01/23/1937</t>
  </si>
  <si>
    <t>11/03/1966</t>
  </si>
  <si>
    <t>01/18/1941</t>
  </si>
  <si>
    <t>09/29/1954</t>
  </si>
  <si>
    <t>11/08/1988</t>
  </si>
  <si>
    <t>12/03/1956</t>
  </si>
  <si>
    <t>03/20/1968</t>
  </si>
  <si>
    <t>09/06/1960</t>
  </si>
  <si>
    <t>12/09/1964</t>
  </si>
  <si>
    <t>06/29/1981</t>
  </si>
  <si>
    <t>10/12/1984</t>
  </si>
  <si>
    <t>01/22/1960</t>
  </si>
  <si>
    <t>07/23/1963</t>
  </si>
  <si>
    <t>10/25/1965</t>
  </si>
  <si>
    <t>02/21/1963</t>
  </si>
  <si>
    <t>10/20/1962</t>
  </si>
  <si>
    <t>07/14/1954</t>
  </si>
  <si>
    <t>03/06/1959</t>
  </si>
  <si>
    <t>02/20/1987</t>
  </si>
  <si>
    <t>12/08/1943</t>
  </si>
  <si>
    <t>12/12/1969</t>
  </si>
  <si>
    <t>09/03/1983</t>
  </si>
  <si>
    <t>06/22/1947</t>
  </si>
  <si>
    <t>06/20/1977</t>
  </si>
  <si>
    <t>08/31/1962</t>
  </si>
  <si>
    <t>05/30/1946</t>
  </si>
  <si>
    <t>08/28/1957</t>
  </si>
  <si>
    <t>05/14/1964</t>
  </si>
  <si>
    <t>06/26/1948</t>
  </si>
  <si>
    <t>05/16/1962</t>
  </si>
  <si>
    <t>10/26/1957</t>
  </si>
  <si>
    <t>07/22/1986</t>
  </si>
  <si>
    <t>07/16/1977</t>
  </si>
  <si>
    <t>01/22/1993</t>
  </si>
  <si>
    <t>03/01/1972</t>
  </si>
  <si>
    <t>09/28/1970</t>
  </si>
  <si>
    <t>09/28/1956</t>
  </si>
  <si>
    <t>04/10/1954</t>
  </si>
  <si>
    <t>04/25/1943</t>
  </si>
  <si>
    <t>04/09/1967</t>
  </si>
  <si>
    <t>07/24/1963</t>
  </si>
  <si>
    <t>08/05/1974</t>
  </si>
  <si>
    <t>12/18/1963</t>
  </si>
  <si>
    <t>09/01/1949</t>
  </si>
  <si>
    <t>07/15/1940</t>
  </si>
  <si>
    <t>02/27/1963</t>
  </si>
  <si>
    <t>09/10/1957</t>
  </si>
  <si>
    <t>08/20/1978</t>
  </si>
  <si>
    <t>02/16/1958</t>
  </si>
  <si>
    <t>11/28/1958</t>
  </si>
  <si>
    <t>03/05/1972</t>
  </si>
  <si>
    <t>04/24/1964</t>
  </si>
  <si>
    <t>01/01/1996</t>
  </si>
  <si>
    <t>11/10/1974</t>
  </si>
  <si>
    <t>07/18/1962</t>
  </si>
  <si>
    <t>12/13/1957</t>
  </si>
  <si>
    <t>11/08/1976</t>
  </si>
  <si>
    <t>12/27/1987</t>
  </si>
  <si>
    <t>11/06/1941</t>
  </si>
  <si>
    <t>08/27/1970</t>
  </si>
  <si>
    <t>07/23/1969</t>
  </si>
  <si>
    <t>10/10/1969</t>
  </si>
  <si>
    <t>04/28/1931</t>
  </si>
  <si>
    <t>08/25/1962</t>
  </si>
  <si>
    <t>07/13/1945</t>
  </si>
  <si>
    <t>11/28/1978</t>
  </si>
  <si>
    <t>05/01/1949</t>
  </si>
  <si>
    <t>03/23/1988</t>
  </si>
  <si>
    <t>12/01/1957</t>
  </si>
  <si>
    <t>03/28/1989</t>
  </si>
  <si>
    <t>03/06/1990</t>
  </si>
  <si>
    <t>12/25/1957</t>
  </si>
  <si>
    <t>01/12/1954</t>
  </si>
  <si>
    <t>01/09/1983</t>
  </si>
  <si>
    <t>12/19/1982</t>
  </si>
  <si>
    <t>03/15/1965</t>
  </si>
  <si>
    <t>08/20/1999</t>
  </si>
  <si>
    <t>08/14/1981</t>
  </si>
  <si>
    <t>03/28/1970</t>
  </si>
  <si>
    <t>06/03/1968</t>
  </si>
  <si>
    <t>03/06/1957</t>
  </si>
  <si>
    <t>06/05/1965</t>
  </si>
  <si>
    <t>08/01/1970</t>
  </si>
  <si>
    <t>03/05/1964</t>
  </si>
  <si>
    <t>12/30/1945</t>
  </si>
  <si>
    <t>10/29/1973</t>
  </si>
  <si>
    <t>01/01/1972</t>
  </si>
  <si>
    <t>11/13/1979</t>
  </si>
  <si>
    <t>10/25/1984</t>
  </si>
  <si>
    <t>03/08/1981</t>
  </si>
  <si>
    <t>09/14/1974</t>
  </si>
  <si>
    <t>03/17/1970</t>
  </si>
  <si>
    <t>02/22/1981</t>
  </si>
  <si>
    <t>03/21/1950</t>
  </si>
  <si>
    <t>05/09/1977</t>
  </si>
  <si>
    <t>05/06/1989</t>
  </si>
  <si>
    <t>05/26/1980</t>
  </si>
  <si>
    <t>05/10/1944</t>
  </si>
  <si>
    <t>04/27/1972</t>
  </si>
  <si>
    <t>09/21/1987</t>
  </si>
  <si>
    <t>08/26/1963</t>
  </si>
  <si>
    <t>12/27/1961</t>
  </si>
  <si>
    <t>06/15/1948</t>
  </si>
  <si>
    <t>12/03/1971</t>
  </si>
  <si>
    <t>03/18/1945</t>
  </si>
  <si>
    <t>06/14/1960</t>
  </si>
  <si>
    <t>07/12/1977</t>
  </si>
  <si>
    <t>12/16/1978</t>
  </si>
  <si>
    <t>05/23/1983</t>
  </si>
  <si>
    <t>01/09/1987</t>
  </si>
  <si>
    <t>09/12/1980</t>
  </si>
  <si>
    <t>04/19/1991</t>
  </si>
  <si>
    <t>04/09/1968</t>
  </si>
  <si>
    <t>05/31/1947</t>
  </si>
  <si>
    <t>12/11/1952</t>
  </si>
  <si>
    <t>06/14/1949</t>
  </si>
  <si>
    <t>11/01/1954</t>
  </si>
  <si>
    <t>06/12/1958</t>
  </si>
  <si>
    <t>01/02/1984</t>
  </si>
  <si>
    <t>11/03/1967</t>
  </si>
  <si>
    <t>04/06/1958</t>
  </si>
  <si>
    <t>08/25/1967</t>
  </si>
  <si>
    <t>02/25/1962</t>
  </si>
  <si>
    <t>08/25/1959</t>
  </si>
  <si>
    <t>02/27/1961</t>
  </si>
  <si>
    <t>04/20/1965</t>
  </si>
  <si>
    <t>06/06/1986</t>
  </si>
  <si>
    <t>09/17/1979</t>
  </si>
  <si>
    <t>09/03/1970</t>
  </si>
  <si>
    <t>01/09/1955</t>
  </si>
  <si>
    <t>10/04/1972</t>
  </si>
  <si>
    <t>02/20/1962</t>
  </si>
  <si>
    <t>01/18/1972</t>
  </si>
  <si>
    <t>04/09/1988</t>
  </si>
  <si>
    <t>03/21/1957</t>
  </si>
  <si>
    <t>03/17/1975</t>
  </si>
  <si>
    <t>02/10/1969</t>
  </si>
  <si>
    <t>09/29/1959</t>
  </si>
  <si>
    <t>02/25/1981</t>
  </si>
  <si>
    <t>10/26/1972</t>
  </si>
  <si>
    <t>08/05/1972</t>
  </si>
  <si>
    <t>03/14/1971</t>
  </si>
  <si>
    <t>03/09/1993</t>
  </si>
  <si>
    <t>08/17/1974</t>
  </si>
  <si>
    <t>11/19/1962</t>
  </si>
  <si>
    <t>03/26/1982</t>
  </si>
  <si>
    <t>09/02/1960</t>
  </si>
  <si>
    <t>03/25/1954</t>
  </si>
  <si>
    <t>12/15/1960</t>
  </si>
  <si>
    <t>03/04/1958</t>
  </si>
  <si>
    <t>12/31/1976</t>
  </si>
  <si>
    <t>07/13/1959</t>
  </si>
  <si>
    <t>10/08/1956</t>
  </si>
  <si>
    <t>09/11/1965</t>
  </si>
  <si>
    <t>06/04/1967</t>
  </si>
  <si>
    <t>03/03/1965</t>
  </si>
  <si>
    <t>03/12/1987</t>
  </si>
  <si>
    <t>05/27/1953</t>
  </si>
  <si>
    <t>08/06/1992</t>
  </si>
  <si>
    <t>03/10/1937</t>
  </si>
  <si>
    <t>10/28/1974</t>
  </si>
  <si>
    <t>10/09/1945</t>
  </si>
  <si>
    <t>08/29/1959</t>
  </si>
  <si>
    <t>08/15/1989</t>
  </si>
  <si>
    <t>11/22/1946</t>
  </si>
  <si>
    <t>05/10/1956</t>
  </si>
  <si>
    <t>05/16/1969</t>
  </si>
  <si>
    <t>02/22/1973</t>
  </si>
  <si>
    <t>08/10/1951</t>
  </si>
  <si>
    <t>10/20/1927</t>
  </si>
  <si>
    <t>02/02/1963</t>
  </si>
  <si>
    <t>03/17/1961</t>
  </si>
  <si>
    <t>12/03/1979</t>
  </si>
  <si>
    <t>01/01/1954</t>
  </si>
  <si>
    <t>07/04/1949</t>
  </si>
  <si>
    <t>04/07/1970</t>
  </si>
  <si>
    <t>10/29/1972</t>
  </si>
  <si>
    <t>08/29/1957</t>
  </si>
  <si>
    <t>08/11/1972</t>
  </si>
  <si>
    <t>02/24/1983</t>
  </si>
  <si>
    <t>07/07/1960</t>
  </si>
  <si>
    <t>04/13/1989</t>
  </si>
  <si>
    <t>01/09/1956</t>
  </si>
  <si>
    <t>04/15/1982</t>
  </si>
  <si>
    <t>01/14/1980</t>
  </si>
  <si>
    <t>11/23/1989</t>
  </si>
  <si>
    <t>01/15/1969</t>
  </si>
  <si>
    <t>05/14/1990</t>
  </si>
  <si>
    <t>05/11/1992</t>
  </si>
  <si>
    <t>10/13/1991</t>
  </si>
  <si>
    <t>01/01/1950</t>
  </si>
  <si>
    <t>03/26/1964</t>
  </si>
  <si>
    <t>06/28/1965</t>
  </si>
  <si>
    <t>05/10/1938</t>
  </si>
  <si>
    <t>05/03/1965</t>
  </si>
  <si>
    <t>09/13/1963</t>
  </si>
  <si>
    <t>08/10/1982</t>
  </si>
  <si>
    <t>01/25/1959</t>
  </si>
  <si>
    <t>08/20/1950</t>
  </si>
  <si>
    <t>06/10/1952</t>
  </si>
  <si>
    <t>10/14/1951</t>
  </si>
  <si>
    <t>11/07/1952</t>
  </si>
  <si>
    <t>09/18/1978</t>
  </si>
  <si>
    <t>10/12/1943</t>
  </si>
  <si>
    <t>07/06/1992</t>
  </si>
  <si>
    <t>09/08/1989</t>
  </si>
  <si>
    <t>10/19/1972</t>
  </si>
  <si>
    <t>12/26/1951</t>
  </si>
  <si>
    <t>02/23/1986</t>
  </si>
  <si>
    <t>02/25/1960</t>
  </si>
  <si>
    <t>12/11/1971</t>
  </si>
  <si>
    <t>03/19/1936</t>
  </si>
  <si>
    <t>02/06/1965</t>
  </si>
  <si>
    <t>07/11/1982</t>
  </si>
  <si>
    <t>10/18/1950</t>
  </si>
  <si>
    <t>10/04/1944</t>
  </si>
  <si>
    <t>03/15/1956</t>
  </si>
  <si>
    <t>04/15/1974</t>
  </si>
  <si>
    <t>09/17/1971</t>
  </si>
  <si>
    <t>10/05/1965</t>
  </si>
  <si>
    <t>08/01/1972</t>
  </si>
  <si>
    <t>03/20/1965</t>
  </si>
  <si>
    <t>01/08/1969</t>
  </si>
  <si>
    <t>08/12/1980</t>
  </si>
  <si>
    <t>11/22/1978</t>
  </si>
  <si>
    <t>07/04/1959</t>
  </si>
  <si>
    <t>04/08/1957</t>
  </si>
  <si>
    <t>01/01/1951</t>
  </si>
  <si>
    <t>03/24/1970</t>
  </si>
  <si>
    <t>07/31/1961</t>
  </si>
  <si>
    <t>05/02/1936</t>
  </si>
  <si>
    <t>12/27/1965</t>
  </si>
  <si>
    <t>10/21/1966</t>
  </si>
  <si>
    <t>12/02/1976</t>
  </si>
  <si>
    <t>09/12/1985</t>
  </si>
  <si>
    <t>12/09/1970</t>
  </si>
  <si>
    <t>08/18/1948</t>
  </si>
  <si>
    <t>10/17/1984</t>
  </si>
  <si>
    <t>07/03/1974</t>
  </si>
  <si>
    <t>10/30/1943</t>
  </si>
  <si>
    <t>09/05/1947</t>
  </si>
  <si>
    <t>01/18/1971</t>
  </si>
  <si>
    <t>03/01/1975</t>
  </si>
  <si>
    <t>11/07/1953</t>
  </si>
  <si>
    <t>04/25/1984</t>
  </si>
  <si>
    <t>03/08/1950</t>
  </si>
  <si>
    <t>04/23/1959</t>
  </si>
  <si>
    <t>02/01/1979</t>
  </si>
  <si>
    <t>05/24/1980</t>
  </si>
  <si>
    <t>01/28/1966</t>
  </si>
  <si>
    <t>05/21/1955</t>
  </si>
  <si>
    <t>12/01/1987</t>
  </si>
  <si>
    <t>06/14/1958</t>
  </si>
  <si>
    <t>05/04/1955</t>
  </si>
  <si>
    <t>08/18/1980</t>
  </si>
  <si>
    <t>06/02/1976</t>
  </si>
  <si>
    <t>11/08/1959</t>
  </si>
  <si>
    <t>09/01/1966</t>
  </si>
  <si>
    <t>04/14/1956</t>
  </si>
  <si>
    <t>03/05/1957</t>
  </si>
  <si>
    <t>09/07/1975</t>
  </si>
  <si>
    <t>03/14/1954</t>
  </si>
  <si>
    <t>06/01/1967</t>
  </si>
  <si>
    <t>09/10/1981</t>
  </si>
  <si>
    <t>08/19/1939</t>
  </si>
  <si>
    <t>03/21/1965</t>
  </si>
  <si>
    <t>12/28/1951</t>
  </si>
  <si>
    <t>03/06/1965</t>
  </si>
  <si>
    <t>12/13/1962</t>
  </si>
  <si>
    <t>04/14/1975</t>
  </si>
  <si>
    <t>08/02/1934</t>
  </si>
  <si>
    <t>02/10/1963</t>
  </si>
  <si>
    <t>10/18/1978</t>
  </si>
  <si>
    <t>04/10/1972</t>
  </si>
  <si>
    <t>12/20/1967</t>
  </si>
  <si>
    <t>02/28/1977</t>
  </si>
  <si>
    <t>08/27/1964</t>
  </si>
  <si>
    <t>05/11/1973</t>
  </si>
  <si>
    <t>05/19/1947</t>
  </si>
  <si>
    <t>09/16/1970</t>
  </si>
  <si>
    <t>10/30/1955</t>
  </si>
  <si>
    <t>10/22/1930</t>
  </si>
  <si>
    <t>08/20/1947</t>
  </si>
  <si>
    <t>10/08/1962</t>
  </si>
  <si>
    <t>04/19/1957</t>
  </si>
  <si>
    <t>11/05/1975</t>
  </si>
  <si>
    <t>07/13/1982</t>
  </si>
  <si>
    <t>10/13/1941</t>
  </si>
  <si>
    <t>03/11/1954</t>
  </si>
  <si>
    <t>05/28/1953</t>
  </si>
  <si>
    <t>08/11/1958</t>
  </si>
  <si>
    <t>08/03/1968</t>
  </si>
  <si>
    <t>01/27/1975</t>
  </si>
  <si>
    <t>02/18/1936</t>
  </si>
  <si>
    <t>01/06/1967</t>
  </si>
  <si>
    <t>12/29/1947</t>
  </si>
  <si>
    <t>07/29/1977</t>
  </si>
  <si>
    <t>04/05/1959</t>
  </si>
  <si>
    <t>12/03/1962</t>
  </si>
  <si>
    <t>04/01/1952</t>
  </si>
  <si>
    <t>04/06/1979</t>
  </si>
  <si>
    <t>10/19/1944</t>
  </si>
  <si>
    <t>02/19/1977</t>
  </si>
  <si>
    <t>05/02/1972</t>
  </si>
  <si>
    <t>02/13/1971</t>
  </si>
  <si>
    <t>05/24/1977</t>
  </si>
  <si>
    <t>09/17/1977</t>
  </si>
  <si>
    <t>10/05/1968</t>
  </si>
  <si>
    <t>01/22/1965</t>
  </si>
  <si>
    <t>12/22/1929</t>
  </si>
  <si>
    <t>07/09/1964</t>
  </si>
  <si>
    <t>07/27/1955</t>
  </si>
  <si>
    <t>01/04/1947</t>
  </si>
  <si>
    <t>02/20/1957</t>
  </si>
  <si>
    <t>01/12/1964</t>
  </si>
  <si>
    <t>02/07/1997</t>
  </si>
  <si>
    <t>05/25/1971</t>
  </si>
  <si>
    <t>06/02/1947</t>
  </si>
  <si>
    <t>04/06/1981</t>
  </si>
  <si>
    <t>04/13/1965</t>
  </si>
  <si>
    <t>08/07/1955</t>
  </si>
  <si>
    <t>09/25/1961</t>
  </si>
  <si>
    <t>11/19/1960</t>
  </si>
  <si>
    <t>07/13/1954</t>
  </si>
  <si>
    <t>09/03/1976</t>
  </si>
  <si>
    <t>01/05/1995</t>
  </si>
  <si>
    <t>05/30/1951</t>
  </si>
  <si>
    <t>01/17/1966</t>
  </si>
  <si>
    <t>09/16/1958</t>
  </si>
  <si>
    <t>10/14/1975</t>
  </si>
  <si>
    <t>03/24/1957</t>
  </si>
  <si>
    <t>06/06/1977</t>
  </si>
  <si>
    <t>01/26/1926</t>
  </si>
  <si>
    <t>05/17/1947</t>
  </si>
  <si>
    <t>01/31/1968</t>
  </si>
  <si>
    <t>02/02/1972</t>
  </si>
  <si>
    <t>12/28/1954</t>
  </si>
  <si>
    <t>06/08/1956</t>
  </si>
  <si>
    <t>03/17/1960</t>
  </si>
  <si>
    <t>01/01/1962</t>
  </si>
  <si>
    <t>11/07/1976</t>
  </si>
  <si>
    <t>12/16/1961</t>
  </si>
  <si>
    <t>01/29/1968</t>
  </si>
  <si>
    <t>10/17/1968</t>
  </si>
  <si>
    <t>12/24/1925</t>
  </si>
  <si>
    <t>01/03/1952</t>
  </si>
  <si>
    <t>02/15/1953</t>
  </si>
  <si>
    <t>12/18/1936</t>
  </si>
  <si>
    <t>08/15/1956</t>
  </si>
  <si>
    <t>04/26/1987</t>
  </si>
  <si>
    <t>08/10/1978</t>
  </si>
  <si>
    <t>11/23/1985</t>
  </si>
  <si>
    <t>04/26/1951</t>
  </si>
  <si>
    <t>01/01/1934</t>
  </si>
  <si>
    <t>10/23/1942</t>
  </si>
  <si>
    <t>12/15/1964</t>
  </si>
  <si>
    <t>12/13/1971</t>
  </si>
  <si>
    <t>12/03/1973</t>
  </si>
  <si>
    <t>05/02/1971</t>
  </si>
  <si>
    <t>10/10/1971</t>
  </si>
  <si>
    <t>01/10/1953</t>
  </si>
  <si>
    <t>10/15/1962</t>
  </si>
  <si>
    <t>08/15/1945</t>
  </si>
  <si>
    <t>08/09/1966</t>
  </si>
  <si>
    <t>01/23/1983</t>
  </si>
  <si>
    <t>11/02/1950</t>
  </si>
  <si>
    <t>07/24/1981</t>
  </si>
  <si>
    <t>07/28/1969</t>
  </si>
  <si>
    <t>12/07/1991</t>
  </si>
  <si>
    <t>12/13/1984</t>
  </si>
  <si>
    <t>03/08/1962</t>
  </si>
  <si>
    <t>05/27/1956</t>
  </si>
  <si>
    <t>10/26/1959</t>
  </si>
  <si>
    <t>12/21/1952</t>
  </si>
  <si>
    <t>09/20/1954</t>
  </si>
  <si>
    <t>07/06/1977</t>
  </si>
  <si>
    <t>06/08/1977</t>
  </si>
  <si>
    <t>04/12/1963</t>
  </si>
  <si>
    <t>12/02/1962</t>
  </si>
  <si>
    <t>12/26/1967</t>
  </si>
  <si>
    <t>02/05/1982</t>
  </si>
  <si>
    <t>05/23/1978</t>
  </si>
  <si>
    <t>01/05/1978</t>
  </si>
  <si>
    <t>04/28/1974</t>
  </si>
  <si>
    <t>01/19/1985</t>
  </si>
  <si>
    <t>01/08/1981</t>
  </si>
  <si>
    <t>05/01/1969</t>
  </si>
  <si>
    <t>05/25/1973</t>
  </si>
  <si>
    <t>09/12/1995</t>
  </si>
  <si>
    <t>08/16/1987</t>
  </si>
  <si>
    <t>05/22/1992</t>
  </si>
  <si>
    <t>11/21/1962</t>
  </si>
  <si>
    <t>04/15/1987</t>
  </si>
  <si>
    <t>06/02/1982</t>
  </si>
  <si>
    <t>06/21/1990</t>
  </si>
  <si>
    <t>08/13/1967</t>
  </si>
  <si>
    <t>07/22/1948</t>
  </si>
  <si>
    <t>05/27/1976</t>
  </si>
  <si>
    <t>11/29/1972</t>
  </si>
  <si>
    <t>09/28/1990</t>
  </si>
  <si>
    <t>04/16/1946</t>
  </si>
  <si>
    <t>03/17/1967</t>
  </si>
  <si>
    <t>09/12/1961</t>
  </si>
  <si>
    <t>10/12/1932</t>
  </si>
  <si>
    <t>02/17/1959</t>
  </si>
  <si>
    <t>03/21/1975</t>
  </si>
  <si>
    <t>05/19/1957</t>
  </si>
  <si>
    <t>06/24/1938</t>
  </si>
  <si>
    <t>12/26/1973</t>
  </si>
  <si>
    <t>02/28/1957</t>
  </si>
  <si>
    <t>10/31/1969</t>
  </si>
  <si>
    <t>10/08/1983</t>
  </si>
  <si>
    <t>03/19/1960</t>
  </si>
  <si>
    <t>07/27/1985</t>
  </si>
  <si>
    <t>04/23/1990</t>
  </si>
  <si>
    <t>09/24/1970</t>
  </si>
  <si>
    <t>11/18/1971</t>
  </si>
  <si>
    <t>06/30/1960</t>
  </si>
  <si>
    <t>01/15/1946</t>
  </si>
  <si>
    <t>01/20/1973</t>
  </si>
  <si>
    <t>01/03/1958</t>
  </si>
  <si>
    <t>08/02/1975</t>
  </si>
  <si>
    <t>12/10/1954</t>
  </si>
  <si>
    <t>11/02/1962</t>
  </si>
  <si>
    <t>07/07/1972</t>
  </si>
  <si>
    <t>11/28/1964</t>
  </si>
  <si>
    <t>10/30/1960</t>
  </si>
  <si>
    <t>09/30/1957</t>
  </si>
  <si>
    <t>10/30/1950</t>
  </si>
  <si>
    <t>11/06/1978</t>
  </si>
  <si>
    <t>11/24/1942</t>
  </si>
  <si>
    <t>08/08/1954</t>
  </si>
  <si>
    <t>11/20/1950</t>
  </si>
  <si>
    <t>05/20/1987</t>
  </si>
  <si>
    <t>08/07/1989</t>
  </si>
  <si>
    <t>07/08/1986</t>
  </si>
  <si>
    <t>03/12/1990</t>
  </si>
  <si>
    <t>05/31/1977</t>
  </si>
  <si>
    <t>08/23/1965</t>
  </si>
  <si>
    <t>09/16/1965</t>
  </si>
  <si>
    <t>05/08/1961</t>
  </si>
  <si>
    <t>12/07/1965</t>
  </si>
  <si>
    <t>03/04/1968</t>
  </si>
  <si>
    <t>05/23/1945</t>
  </si>
  <si>
    <t>09/18/1975</t>
  </si>
  <si>
    <t>03/17/1978</t>
  </si>
  <si>
    <t>03/11/1988</t>
  </si>
  <si>
    <t>09/03/1938</t>
  </si>
  <si>
    <t>05/05/1949</t>
  </si>
  <si>
    <t>12/12/1975</t>
  </si>
  <si>
    <t>02/10/1957</t>
  </si>
  <si>
    <t>10/08/1959</t>
  </si>
  <si>
    <t>01/15/1984</t>
  </si>
  <si>
    <t>10/04/1973</t>
  </si>
  <si>
    <t>02/06/1971</t>
  </si>
  <si>
    <t>01/20/1955</t>
  </si>
  <si>
    <t>08/20/1967</t>
  </si>
  <si>
    <t>08/04/1964</t>
  </si>
  <si>
    <t>02/01/1985</t>
  </si>
  <si>
    <t>06/17/1970</t>
  </si>
  <si>
    <t>05/25/1964</t>
  </si>
  <si>
    <t>03/08/1952</t>
  </si>
  <si>
    <t>04/27/1950</t>
  </si>
  <si>
    <t>04/30/1939</t>
  </si>
  <si>
    <t>08/23/1936</t>
  </si>
  <si>
    <t>03/11/1991</t>
  </si>
  <si>
    <t>04/16/1996</t>
  </si>
  <si>
    <t>09/23/1959</t>
  </si>
  <si>
    <t>12/14/1948</t>
  </si>
  <si>
    <t>12/12/1972</t>
  </si>
  <si>
    <t>07/03/1956</t>
  </si>
  <si>
    <t>05/02/1960</t>
  </si>
  <si>
    <t>01/06/1968</t>
  </si>
  <si>
    <t>12/17/1975</t>
  </si>
  <si>
    <t>03/23/1960</t>
  </si>
  <si>
    <t>01/05/1954</t>
  </si>
  <si>
    <t>08/15/1970</t>
  </si>
  <si>
    <t>08/08/1955</t>
  </si>
  <si>
    <t>12/29/1920</t>
  </si>
  <si>
    <t>08/24/1954</t>
  </si>
  <si>
    <t>07/30/1949</t>
  </si>
  <si>
    <t>08/12/1928</t>
  </si>
  <si>
    <t>02/16/1992</t>
  </si>
  <si>
    <t>07/10/1978</t>
  </si>
  <si>
    <t>01/17/1996</t>
  </si>
  <si>
    <t>03/24/1969</t>
  </si>
  <si>
    <t>04/23/1944</t>
  </si>
  <si>
    <t>07/20/1990</t>
  </si>
  <si>
    <t>05/15/1961</t>
  </si>
  <si>
    <t>03/10/1984</t>
  </si>
  <si>
    <t>02/05/1956</t>
  </si>
  <si>
    <t>04/22/1969</t>
  </si>
  <si>
    <t>03/07/1940</t>
  </si>
  <si>
    <t>08/01/1959</t>
  </si>
  <si>
    <t>05/16/1952</t>
  </si>
  <si>
    <t>08/15/1948</t>
  </si>
  <si>
    <t>09/17/1981</t>
  </si>
  <si>
    <t>10/04/1957</t>
  </si>
  <si>
    <t>01/24/1974</t>
  </si>
  <si>
    <t>06/14/1947</t>
  </si>
  <si>
    <t>11/25/1944</t>
  </si>
  <si>
    <t>06/23/1974</t>
  </si>
  <si>
    <t>09/22/1969</t>
  </si>
  <si>
    <t>08/07/1950</t>
  </si>
  <si>
    <t>09/12/1981</t>
  </si>
  <si>
    <t>09/22/1964</t>
  </si>
  <si>
    <t>06/14/1976</t>
  </si>
  <si>
    <t>08/31/1978</t>
  </si>
  <si>
    <t>06/07/1957</t>
  </si>
  <si>
    <t>12/19/2011</t>
  </si>
  <si>
    <t>02/11/1962</t>
  </si>
  <si>
    <t>08/11/1968</t>
  </si>
  <si>
    <t>12/14/1956</t>
  </si>
  <si>
    <t>01/13/1959</t>
  </si>
  <si>
    <t>03/26/1956</t>
  </si>
  <si>
    <t>03/25/1960</t>
  </si>
  <si>
    <t>09/30/1958</t>
  </si>
  <si>
    <t>09/30/1975</t>
  </si>
  <si>
    <t>10/08/1958</t>
  </si>
  <si>
    <t>05/10/1950</t>
  </si>
  <si>
    <t>11/23/1942</t>
  </si>
  <si>
    <t>04/14/1971</t>
  </si>
  <si>
    <t>12/01/1994</t>
  </si>
  <si>
    <t>08/13/1952</t>
  </si>
  <si>
    <t>11/19/1988</t>
  </si>
  <si>
    <t>09/01/1957</t>
  </si>
  <si>
    <t>08/03/1965</t>
  </si>
  <si>
    <t>09/08/1960</t>
  </si>
  <si>
    <t>01/25/1963</t>
  </si>
  <si>
    <t>10/01/1961</t>
  </si>
  <si>
    <t>02/08/1970</t>
  </si>
  <si>
    <t>03/02/1978</t>
  </si>
  <si>
    <t>02/15/1948</t>
  </si>
  <si>
    <t>02/01/1966</t>
  </si>
  <si>
    <t>09/26/1940</t>
  </si>
  <si>
    <t>05/07/1965</t>
  </si>
  <si>
    <t>02/17/1981</t>
  </si>
  <si>
    <t>02/23/1967</t>
  </si>
  <si>
    <t>05/02/1947</t>
  </si>
  <si>
    <t>02/15/1962</t>
  </si>
  <si>
    <t>04/14/1976</t>
  </si>
  <si>
    <t>09/23/1986</t>
  </si>
  <si>
    <t>07/04/1970</t>
  </si>
  <si>
    <t>02/01/1965</t>
  </si>
  <si>
    <t>09/24/1969</t>
  </si>
  <si>
    <t>06/13/1947</t>
  </si>
  <si>
    <t>10/14/1927</t>
  </si>
  <si>
    <t>06/04/1964</t>
  </si>
  <si>
    <t>09/27/1957</t>
  </si>
  <si>
    <t>03/31/1964</t>
  </si>
  <si>
    <t>04/23/1964</t>
  </si>
  <si>
    <t>12/08/1936</t>
  </si>
  <si>
    <t>10/30/1954</t>
  </si>
  <si>
    <t>03/02/1941</t>
  </si>
  <si>
    <t>05/01/1941</t>
  </si>
  <si>
    <t>02/05/1997</t>
  </si>
  <si>
    <t>06/22/1952</t>
  </si>
  <si>
    <t>05/21/1979</t>
  </si>
  <si>
    <t>09/09/1940</t>
  </si>
  <si>
    <t>12/17/1956</t>
  </si>
  <si>
    <t>10/30/1978</t>
  </si>
  <si>
    <t>10/10/1973</t>
  </si>
  <si>
    <t>07/20/1992</t>
  </si>
  <si>
    <t>02/22/1947</t>
  </si>
  <si>
    <t>09/10/1969</t>
  </si>
  <si>
    <t>09/24/1938</t>
  </si>
  <si>
    <t>01/19/1995</t>
  </si>
  <si>
    <t>02/14/1987</t>
  </si>
  <si>
    <t>05/10/1931</t>
  </si>
  <si>
    <t>05/22/1929</t>
  </si>
  <si>
    <t>03/28/1945</t>
  </si>
  <si>
    <t>03/08/1944</t>
  </si>
  <si>
    <t>03/11/1980</t>
  </si>
  <si>
    <t>06/06/1940</t>
  </si>
  <si>
    <t>05/22/1972</t>
  </si>
  <si>
    <t>09/27/1949</t>
  </si>
  <si>
    <t>08/07/1992</t>
  </si>
  <si>
    <t>12/05/1949</t>
  </si>
  <si>
    <t>05/17/1930</t>
  </si>
  <si>
    <t>03/17/1969</t>
  </si>
  <si>
    <t>02/05/1955</t>
  </si>
  <si>
    <t>08/18/1974</t>
  </si>
  <si>
    <t>11/15/1969</t>
  </si>
  <si>
    <t>06/02/1977</t>
  </si>
  <si>
    <t>10/01/1981</t>
  </si>
  <si>
    <t>08/29/1945</t>
  </si>
  <si>
    <t>11/10/1970</t>
  </si>
  <si>
    <t>07/20/1953</t>
  </si>
  <si>
    <t>09/08/1991</t>
  </si>
  <si>
    <t>10/18/1984</t>
  </si>
  <si>
    <t>05/21/1980</t>
  </si>
  <si>
    <t>12/05/1967</t>
  </si>
  <si>
    <t>06/26/1969</t>
  </si>
  <si>
    <t>12/23/1969</t>
  </si>
  <si>
    <t>03/18/1988</t>
  </si>
  <si>
    <t>06/17/1966</t>
  </si>
  <si>
    <t>11/27/1977</t>
  </si>
  <si>
    <t>11/11/1962</t>
  </si>
  <si>
    <t>12/29/1946</t>
  </si>
  <si>
    <t>09/30/1965</t>
  </si>
  <si>
    <t>01/01/1970</t>
  </si>
  <si>
    <t>05/21/1987</t>
  </si>
  <si>
    <t>02/27/1950</t>
  </si>
  <si>
    <t>07/03/1951</t>
  </si>
  <si>
    <t>02/24/1966</t>
  </si>
  <si>
    <t>07/30/1971</t>
  </si>
  <si>
    <t>12/15/1963</t>
  </si>
  <si>
    <t>12/16/1973</t>
  </si>
  <si>
    <t>11/13/1984</t>
  </si>
  <si>
    <t>04/10/1962</t>
  </si>
  <si>
    <t>10/12/1972</t>
  </si>
  <si>
    <t>07/28/1934</t>
  </si>
  <si>
    <t>10/07/1958</t>
  </si>
  <si>
    <t>07/19/1955</t>
  </si>
  <si>
    <t>11/05/1960</t>
  </si>
  <si>
    <t>03/29/1980</t>
  </si>
  <si>
    <t>03/30/1967</t>
  </si>
  <si>
    <t>03/20/1993</t>
  </si>
  <si>
    <t>09/08/1970</t>
  </si>
  <si>
    <t>02/25/1995</t>
  </si>
  <si>
    <t>12/17/1977</t>
  </si>
  <si>
    <t>02/25/1955</t>
  </si>
  <si>
    <t>07/26/1942</t>
  </si>
  <si>
    <t>04/11/1982</t>
  </si>
  <si>
    <t>02/05/1940</t>
  </si>
  <si>
    <t>06/08/1979</t>
  </si>
  <si>
    <t>07/17/1953</t>
  </si>
  <si>
    <t>12/17/1979</t>
  </si>
  <si>
    <t>06/22/1949</t>
  </si>
  <si>
    <t>07/08/1938</t>
  </si>
  <si>
    <t>12/26/1983</t>
  </si>
  <si>
    <t>05/21/1970</t>
  </si>
  <si>
    <t>09/13/1952</t>
  </si>
  <si>
    <t>06/28/1962</t>
  </si>
  <si>
    <t>10/28/1950</t>
  </si>
  <si>
    <t>03/11/1962</t>
  </si>
  <si>
    <t>05/16/1944</t>
  </si>
  <si>
    <t>08/24/1936</t>
  </si>
  <si>
    <t>11/01/1943</t>
  </si>
  <si>
    <t>11/16/1931</t>
  </si>
  <si>
    <t>10/29/1970</t>
  </si>
  <si>
    <t>12/25/1979</t>
  </si>
  <si>
    <t>05/26/1956</t>
  </si>
  <si>
    <t>01/09/1941</t>
  </si>
  <si>
    <t>09/10/1963</t>
  </si>
  <si>
    <t>11/27/1972</t>
  </si>
  <si>
    <t>11/09/1961</t>
  </si>
  <si>
    <t>12/03/1981</t>
  </si>
  <si>
    <t>02/03/1993</t>
  </si>
  <si>
    <t>11/03/1984</t>
  </si>
  <si>
    <t>09/12/1983</t>
  </si>
  <si>
    <t>11/20/1951</t>
  </si>
  <si>
    <t>10/17/1992</t>
  </si>
  <si>
    <t>09/20/1980</t>
  </si>
  <si>
    <t>07/31/1970</t>
  </si>
  <si>
    <t>09/23/1963</t>
  </si>
  <si>
    <t>07/23/1976</t>
  </si>
  <si>
    <t>04/23/1981</t>
  </si>
  <si>
    <t>03/27/1963</t>
  </si>
  <si>
    <t>10/31/1975</t>
  </si>
  <si>
    <t>05/01/1996</t>
  </si>
  <si>
    <t>08/16/1967</t>
  </si>
  <si>
    <t>06/14/1975</t>
  </si>
  <si>
    <t>05/20/1995</t>
  </si>
  <si>
    <t>10/22/1935</t>
  </si>
  <si>
    <t>01/15/1937</t>
  </si>
  <si>
    <t>04/06/1990</t>
  </si>
  <si>
    <t>04/29/1963</t>
  </si>
  <si>
    <t>09/08/1987</t>
  </si>
  <si>
    <t>11/25/1970</t>
  </si>
  <si>
    <t>05/10/1995</t>
  </si>
  <si>
    <t>04/09/1987</t>
  </si>
  <si>
    <t>12/11/1956</t>
  </si>
  <si>
    <t>09/13/1981</t>
  </si>
  <si>
    <t>12/23/1947</t>
  </si>
  <si>
    <t>07/04/1968</t>
  </si>
  <si>
    <t>07/20/1984</t>
  </si>
  <si>
    <t>07/13/2019</t>
  </si>
  <si>
    <t>12/19/1998</t>
  </si>
  <si>
    <t>05/18/1983</t>
  </si>
  <si>
    <t>09/09/1979</t>
  </si>
  <si>
    <t>04/26/1989</t>
  </si>
  <si>
    <t>09/19/1978</t>
  </si>
  <si>
    <t>04/13/1946</t>
  </si>
  <si>
    <t>12/23/1956</t>
  </si>
  <si>
    <t>01/27/1963</t>
  </si>
  <si>
    <t>09/12/1987</t>
  </si>
  <si>
    <t>04/17/1977</t>
  </si>
  <si>
    <t>01/01/1975</t>
  </si>
  <si>
    <t>10/29/1986</t>
  </si>
  <si>
    <t>10/16/1986</t>
  </si>
  <si>
    <t>02/10/1964</t>
  </si>
  <si>
    <t>10/14/1959</t>
  </si>
  <si>
    <t>11/01/1952</t>
  </si>
  <si>
    <t>02/28/1953</t>
  </si>
  <si>
    <t>02/07/1961</t>
  </si>
  <si>
    <t>02/17/1949</t>
  </si>
  <si>
    <t>03/03/1949</t>
  </si>
  <si>
    <t>06/05/1954</t>
  </si>
  <si>
    <t>01/20/1950</t>
  </si>
  <si>
    <t>01/05/1946</t>
  </si>
  <si>
    <t>11/26/1982</t>
  </si>
  <si>
    <t>03/23/1983</t>
  </si>
  <si>
    <t>07/11/1989</t>
  </si>
  <si>
    <t>11/27/1958</t>
  </si>
  <si>
    <t>12/15/1977</t>
  </si>
  <si>
    <t>12/31/1981</t>
  </si>
  <si>
    <t>11/18/1963</t>
  </si>
  <si>
    <t>10/14/1961</t>
  </si>
  <si>
    <t>01/25/1990</t>
  </si>
  <si>
    <t>05/25/1975</t>
  </si>
  <si>
    <t>01/23/1956</t>
  </si>
  <si>
    <t>03/26/1974</t>
  </si>
  <si>
    <t>08/15/1959</t>
  </si>
  <si>
    <t>11/24/1997</t>
  </si>
  <si>
    <t>06/05/1953</t>
  </si>
  <si>
    <t>07/03/1995</t>
  </si>
  <si>
    <t>01/08/1958</t>
  </si>
  <si>
    <t>06/27/1986</t>
  </si>
  <si>
    <t>05/18/1940</t>
  </si>
  <si>
    <t>06/03/1965</t>
  </si>
  <si>
    <t>08/13/1968</t>
  </si>
  <si>
    <t>03/02/1963</t>
  </si>
  <si>
    <t>03/08/1976</t>
  </si>
  <si>
    <t>08/23/1949</t>
  </si>
  <si>
    <t>06/30/1961</t>
  </si>
  <si>
    <t>03/01/1990</t>
  </si>
  <si>
    <t>05/07/1979</t>
  </si>
  <si>
    <t>12/23/1960</t>
  </si>
  <si>
    <t>01/15/1976</t>
  </si>
  <si>
    <t>08/06/1985</t>
  </si>
  <si>
    <t>09/24/1972</t>
  </si>
  <si>
    <t>08/25/1982</t>
  </si>
  <si>
    <t>04/24/1970</t>
  </si>
  <si>
    <t>09/20/1964</t>
  </si>
  <si>
    <t>06/18/1949</t>
  </si>
  <si>
    <t>12/26/1982</t>
  </si>
  <si>
    <t>05/22/1966</t>
  </si>
  <si>
    <t>06/26/1945</t>
  </si>
  <si>
    <t>04/29/1959</t>
  </si>
  <si>
    <t>08/26/1948</t>
  </si>
  <si>
    <t>11/29/1948</t>
  </si>
  <si>
    <t>07/27/1948</t>
  </si>
  <si>
    <t>07/27/1995</t>
  </si>
  <si>
    <t>09/24/1959</t>
  </si>
  <si>
    <t>04/07/1972</t>
  </si>
  <si>
    <t>05/08/1983</t>
  </si>
  <si>
    <t>09/27/1976</t>
  </si>
  <si>
    <t>09/10/1955</t>
  </si>
  <si>
    <t>09/01/1968</t>
  </si>
  <si>
    <t>01/02/1965</t>
  </si>
  <si>
    <t>03/15/1977</t>
  </si>
  <si>
    <t>01/03/1983</t>
  </si>
  <si>
    <t>12/03/1972</t>
  </si>
  <si>
    <t>06/30/1994</t>
  </si>
  <si>
    <t>06/05/1962</t>
  </si>
  <si>
    <t>07/01/1952</t>
  </si>
  <si>
    <t>11/18/1982</t>
  </si>
  <si>
    <t>11/15/1937</t>
  </si>
  <si>
    <t>06/10/1922</t>
  </si>
  <si>
    <t>07/24/1976</t>
  </si>
  <si>
    <t>05/24/1959</t>
  </si>
  <si>
    <t>08/09/1976</t>
  </si>
  <si>
    <t>10/16/1968</t>
  </si>
  <si>
    <t>09/19/1980</t>
  </si>
  <si>
    <t>07/15/1975</t>
  </si>
  <si>
    <t>06/01/1984</t>
  </si>
  <si>
    <t>08/12/1987</t>
  </si>
  <si>
    <t>12/12/1954</t>
  </si>
  <si>
    <t>02/25/1979</t>
  </si>
  <si>
    <t>11/29/2006</t>
  </si>
  <si>
    <t>09/04/1958</t>
  </si>
  <si>
    <t>05/28/1961</t>
  </si>
  <si>
    <t>05/08/1962</t>
  </si>
  <si>
    <t>11/29/1988</t>
  </si>
  <si>
    <t>04/03/1984</t>
  </si>
  <si>
    <t>09/09/1967</t>
  </si>
  <si>
    <t>08/31/1956</t>
  </si>
  <si>
    <t>04/25/1957</t>
  </si>
  <si>
    <t>07/27/1984</t>
  </si>
  <si>
    <t>09/20/1991</t>
  </si>
  <si>
    <t>06/21/1959</t>
  </si>
  <si>
    <t>08/07/1997</t>
  </si>
  <si>
    <t>03/04/1938</t>
  </si>
  <si>
    <t>09/26/1954</t>
  </si>
  <si>
    <t>05/27/1972</t>
  </si>
  <si>
    <t>08/06/1983</t>
  </si>
  <si>
    <t>09/01/1980</t>
  </si>
  <si>
    <t>03/07/1966</t>
  </si>
  <si>
    <t>07/01/1965</t>
  </si>
  <si>
    <t>07/15/1981</t>
  </si>
  <si>
    <t>07/10/1972</t>
  </si>
  <si>
    <t>06/25/1978</t>
  </si>
  <si>
    <t>12/28/1984</t>
  </si>
  <si>
    <t>01/09/1977</t>
  </si>
  <si>
    <t>10/16/1967</t>
  </si>
  <si>
    <t>11/25/1965</t>
  </si>
  <si>
    <t>12/11/1960</t>
  </si>
  <si>
    <t>01/19/1965</t>
  </si>
  <si>
    <t>12/08/1961</t>
  </si>
  <si>
    <t>06/18/1981</t>
  </si>
  <si>
    <t>04/22/1968</t>
  </si>
  <si>
    <t>10/25/1996</t>
  </si>
  <si>
    <t>06/07/1944</t>
  </si>
  <si>
    <t>10/14/1952</t>
  </si>
  <si>
    <t>02/26/1965</t>
  </si>
  <si>
    <t>05/08/1960</t>
  </si>
  <si>
    <t>02/28/1951</t>
  </si>
  <si>
    <t>01/02/1941</t>
  </si>
  <si>
    <t>10/13/1933</t>
  </si>
  <si>
    <t>11/19/1973</t>
  </si>
  <si>
    <t>07/16/1947</t>
  </si>
  <si>
    <t>06/19/1968</t>
  </si>
  <si>
    <t>04/03/1962</t>
  </si>
  <si>
    <t>11/21/1965</t>
  </si>
  <si>
    <t>05/02/1982</t>
  </si>
  <si>
    <t>04/24/1975</t>
  </si>
  <si>
    <t>08/08/1985</t>
  </si>
  <si>
    <t>04/30/1985</t>
  </si>
  <si>
    <t>07/30/1956</t>
  </si>
  <si>
    <t>07/20/1981</t>
  </si>
  <si>
    <t>10/28/1959</t>
  </si>
  <si>
    <t>02/03/1941</t>
  </si>
  <si>
    <t>10/10/1961</t>
  </si>
  <si>
    <t>03/22/1961</t>
  </si>
  <si>
    <t>08/21/1978</t>
  </si>
  <si>
    <t>03/13/1941</t>
  </si>
  <si>
    <t>05/03/1960</t>
  </si>
  <si>
    <t>06/09/1968</t>
  </si>
  <si>
    <t>10/10/1957</t>
  </si>
  <si>
    <t>04/08/1962</t>
  </si>
  <si>
    <t>05/05/1974</t>
  </si>
  <si>
    <t>09/02/1961</t>
  </si>
  <si>
    <t>06/09/1969</t>
  </si>
  <si>
    <t>12/07/1959</t>
  </si>
  <si>
    <t>12/03/1963</t>
  </si>
  <si>
    <t>02/14/1965</t>
  </si>
  <si>
    <t>08/24/1944</t>
  </si>
  <si>
    <t>08/06/1960</t>
  </si>
  <si>
    <t>12/28/1943</t>
  </si>
  <si>
    <t>11/27/1976</t>
  </si>
  <si>
    <t>04/21/1986</t>
  </si>
  <si>
    <t>07/27/1964</t>
  </si>
  <si>
    <t>06/11/1958</t>
  </si>
  <si>
    <t>04/19/1995</t>
  </si>
  <si>
    <t>01/26/1981</t>
  </si>
  <si>
    <t>06/21/1979</t>
  </si>
  <si>
    <t>12/15/1991</t>
  </si>
  <si>
    <t>04/10/1967</t>
  </si>
  <si>
    <t>08/31/1957</t>
  </si>
  <si>
    <t>02/05/1980</t>
  </si>
  <si>
    <t>09/19/1967</t>
  </si>
  <si>
    <t>09/20/1989</t>
  </si>
  <si>
    <t>05/18/1987</t>
  </si>
  <si>
    <t>07/18/1979</t>
  </si>
  <si>
    <t>10/16/1991</t>
  </si>
  <si>
    <t>02/08/1967</t>
  </si>
  <si>
    <t>10/15/1983</t>
  </si>
  <si>
    <t>01/27/1980</t>
  </si>
  <si>
    <t>12/03/1982</t>
  </si>
  <si>
    <t>04/17/1963</t>
  </si>
  <si>
    <t>03/06/1950</t>
  </si>
  <si>
    <t>04/17/1960</t>
  </si>
  <si>
    <t>09/30/1974</t>
  </si>
  <si>
    <t>08/13/1975</t>
  </si>
  <si>
    <t>02/21/1993</t>
  </si>
  <si>
    <t>11/04/1948</t>
  </si>
  <si>
    <t>11/15/1981</t>
  </si>
  <si>
    <t>06/13/1973</t>
  </si>
  <si>
    <t>09/25/1952</t>
  </si>
  <si>
    <t>07/01/1994</t>
  </si>
  <si>
    <t>06/25/1956</t>
  </si>
  <si>
    <t>10/19/1977</t>
  </si>
  <si>
    <t>09/21/1978</t>
  </si>
  <si>
    <t>03/17/1995</t>
  </si>
  <si>
    <t>07/27/1943</t>
  </si>
  <si>
    <t>07/06/1949</t>
  </si>
  <si>
    <t>04/04/1963</t>
  </si>
  <si>
    <t>10/24/1964</t>
  </si>
  <si>
    <t>12/31/1951</t>
  </si>
  <si>
    <t>11/06/1983</t>
  </si>
  <si>
    <t>11/19/1977</t>
  </si>
  <si>
    <t>09/25/1956</t>
  </si>
  <si>
    <t>09/15/1955</t>
  </si>
  <si>
    <t>01/21/1959</t>
  </si>
  <si>
    <t>06/09/1976</t>
  </si>
  <si>
    <t>10/08/1947</t>
  </si>
  <si>
    <t>05/17/1990</t>
  </si>
  <si>
    <t>08/20/1988</t>
  </si>
  <si>
    <t>03/15/1958</t>
  </si>
  <si>
    <t>04/30/1975</t>
  </si>
  <si>
    <t>09/06/1969</t>
  </si>
  <si>
    <t>10/17/1974</t>
  </si>
  <si>
    <t>06/13/1956</t>
  </si>
  <si>
    <t>06/26/1977</t>
  </si>
  <si>
    <t>07/18/1974</t>
  </si>
  <si>
    <t>04/03/1957</t>
  </si>
  <si>
    <t>01/08/1980</t>
  </si>
  <si>
    <t>07/03/1958</t>
  </si>
  <si>
    <t>04/15/1954</t>
  </si>
  <si>
    <t>07/14/1969</t>
  </si>
  <si>
    <t>07/25/1969</t>
  </si>
  <si>
    <t>02/08/1972</t>
  </si>
  <si>
    <t>10/14/1960</t>
  </si>
  <si>
    <t>03/15/1948</t>
  </si>
  <si>
    <t>05/01/1992</t>
  </si>
  <si>
    <t>01/05/1971</t>
  </si>
  <si>
    <t>01/16/1972</t>
  </si>
  <si>
    <t>04/05/1977</t>
  </si>
  <si>
    <t>04/03/1972</t>
  </si>
  <si>
    <t>02/22/1985</t>
  </si>
  <si>
    <t>01/16/1962</t>
  </si>
  <si>
    <t>04/09/1960</t>
  </si>
  <si>
    <t>04/24/1946</t>
  </si>
  <si>
    <t>11/27/1950</t>
  </si>
  <si>
    <t>08/11/1942</t>
  </si>
  <si>
    <t>02/06/1946</t>
  </si>
  <si>
    <t>11/18/1941</t>
  </si>
  <si>
    <t>07/30/1968</t>
  </si>
  <si>
    <t>05/02/1941</t>
  </si>
  <si>
    <t>11/29/1942</t>
  </si>
  <si>
    <t>06/02/1955</t>
  </si>
  <si>
    <t>09/17/1950</t>
  </si>
  <si>
    <t>01/27/1962</t>
  </si>
  <si>
    <t>12/21/1977</t>
  </si>
  <si>
    <t>07/18/1989</t>
  </si>
  <si>
    <t>08/23/1948</t>
  </si>
  <si>
    <t>05/07/1978</t>
  </si>
  <si>
    <t>08/12/1963</t>
  </si>
  <si>
    <t>11/16/1993</t>
  </si>
  <si>
    <t>09/09/1948</t>
  </si>
  <si>
    <t>09/11/1977</t>
  </si>
  <si>
    <t>01/05/1977</t>
  </si>
  <si>
    <t>03/14/1955</t>
  </si>
  <si>
    <t>01/02/1949</t>
  </si>
  <si>
    <t>12/12/1953</t>
  </si>
  <si>
    <t>01/25/1978</t>
  </si>
  <si>
    <t>10/20/1993</t>
  </si>
  <si>
    <t>01/16/1968</t>
  </si>
  <si>
    <t>01/02/1954</t>
  </si>
  <si>
    <t>09/21/1960</t>
  </si>
  <si>
    <t>09/22/1963</t>
  </si>
  <si>
    <t>03/27/1969</t>
  </si>
  <si>
    <t>12/30/1958</t>
  </si>
  <si>
    <t>12/01/1959</t>
  </si>
  <si>
    <t>08/14/1982</t>
  </si>
  <si>
    <t>01/10/1992</t>
  </si>
  <si>
    <t>09/04/1986</t>
  </si>
  <si>
    <t>10/26/1945</t>
  </si>
  <si>
    <t>02/09/1958</t>
  </si>
  <si>
    <t>02/25/1975</t>
  </si>
  <si>
    <t>05/01/1967</t>
  </si>
  <si>
    <t>03/10/1982</t>
  </si>
  <si>
    <t>08/10/1973</t>
  </si>
  <si>
    <t>12/30/1959</t>
  </si>
  <si>
    <t>10/31/1934</t>
  </si>
  <si>
    <t>08/14/1954</t>
  </si>
  <si>
    <t>06/05/1966</t>
  </si>
  <si>
    <t>05/29/1991</t>
  </si>
  <si>
    <t>06/16/1976</t>
  </si>
  <si>
    <t>10/18/1956</t>
  </si>
  <si>
    <t>08/23/1975</t>
  </si>
  <si>
    <t>09/25/1995</t>
  </si>
  <si>
    <t>04/12/1966</t>
  </si>
  <si>
    <t>12/24/1966</t>
  </si>
  <si>
    <t>03/07/1955</t>
  </si>
  <si>
    <t>11/24/1937</t>
  </si>
  <si>
    <t>04/21/1956</t>
  </si>
  <si>
    <t>03/20/1963</t>
  </si>
  <si>
    <t>05/09/1958</t>
  </si>
  <si>
    <t>04/15/1963</t>
  </si>
  <si>
    <t>01/19/1941</t>
  </si>
  <si>
    <t>09/20/1963</t>
  </si>
  <si>
    <t>06/16/1972</t>
  </si>
  <si>
    <t>07/14/1976</t>
  </si>
  <si>
    <t>04/25/1964</t>
  </si>
  <si>
    <t>05/19/1966</t>
  </si>
  <si>
    <t>01/22/1961</t>
  </si>
  <si>
    <t>12/15/1985</t>
  </si>
  <si>
    <t>03/27/1965</t>
  </si>
  <si>
    <t>02/14/1961</t>
  </si>
  <si>
    <t>02/07/1996</t>
  </si>
  <si>
    <t>05/20/1994</t>
  </si>
  <si>
    <t>02/18/1981</t>
  </si>
  <si>
    <t>12/03/1965</t>
  </si>
  <si>
    <t>09/01/1988</t>
  </si>
  <si>
    <t>09/20/1979</t>
  </si>
  <si>
    <t>07/30/1966</t>
  </si>
  <si>
    <t>08/24/1976</t>
  </si>
  <si>
    <t>05/11/1964</t>
  </si>
  <si>
    <t>03/11/1959</t>
  </si>
  <si>
    <t>03/18/1967</t>
  </si>
  <si>
    <t>02/12/1965</t>
  </si>
  <si>
    <t>04/09/1952</t>
  </si>
  <si>
    <t>08/20/1992</t>
  </si>
  <si>
    <t>03/30/1937</t>
  </si>
  <si>
    <t>09/11/1981</t>
  </si>
  <si>
    <t>09/10/1989</t>
  </si>
  <si>
    <t>11/10/1976</t>
  </si>
  <si>
    <t>03/08/1957</t>
  </si>
  <si>
    <t>09/20/1957</t>
  </si>
  <si>
    <t>11/01/1963</t>
  </si>
  <si>
    <t>08/10/1995</t>
  </si>
  <si>
    <t>09/06/1952</t>
  </si>
  <si>
    <t>06/17/1949</t>
  </si>
  <si>
    <t>06/02/1964</t>
  </si>
  <si>
    <t>09/02/1948</t>
  </si>
  <si>
    <t>08/28/1953</t>
  </si>
  <si>
    <t>12/02/1943</t>
  </si>
  <si>
    <t>04/01/1959</t>
  </si>
  <si>
    <t>03/16/1953</t>
  </si>
  <si>
    <t>10/28/1951</t>
  </si>
  <si>
    <t>10/26/1977</t>
  </si>
  <si>
    <t>10/01/1968</t>
  </si>
  <si>
    <t>03/01/1948</t>
  </si>
  <si>
    <t>03/30/1982</t>
  </si>
  <si>
    <t>03/20/1971</t>
  </si>
  <si>
    <t>01/17/1956</t>
  </si>
  <si>
    <t>08/16/1981</t>
  </si>
  <si>
    <t>03/14/1964</t>
  </si>
  <si>
    <t>10/24/1962</t>
  </si>
  <si>
    <t>11/07/1982</t>
  </si>
  <si>
    <t>06/21/1976</t>
  </si>
  <si>
    <t>05/23/1955</t>
  </si>
  <si>
    <t>11/16/1973</t>
  </si>
  <si>
    <t>05/19/1971</t>
  </si>
  <si>
    <t>01/12/1983</t>
  </si>
  <si>
    <t>05/30/1983</t>
  </si>
  <si>
    <t>07/19/1942</t>
  </si>
  <si>
    <t>11/20/1980</t>
  </si>
  <si>
    <t>05/20/1979</t>
  </si>
  <si>
    <t>11/21/1957</t>
  </si>
  <si>
    <t>09/19/1949</t>
  </si>
  <si>
    <t>10/20/1951</t>
  </si>
  <si>
    <t>07/06/1980</t>
  </si>
  <si>
    <t>07/24/1971</t>
  </si>
  <si>
    <t>02/04/1961</t>
  </si>
  <si>
    <t>10/29/1959</t>
  </si>
  <si>
    <t>02/21/1984</t>
  </si>
  <si>
    <t>08/06/1984</t>
  </si>
  <si>
    <t>06/29/1952</t>
  </si>
  <si>
    <t>04/22/1950</t>
  </si>
  <si>
    <t>06/13/1955</t>
  </si>
  <si>
    <t>06/16/1952</t>
  </si>
  <si>
    <t>05/21/1935</t>
  </si>
  <si>
    <t>03/29/1955</t>
  </si>
  <si>
    <t>05/22/1957</t>
  </si>
  <si>
    <t>07/01/1979</t>
  </si>
  <si>
    <t>05/23/1963</t>
  </si>
  <si>
    <t>01/14/1963</t>
  </si>
  <si>
    <t>11/25/1950</t>
  </si>
  <si>
    <t>12/12/1952</t>
  </si>
  <si>
    <t>07/09/1957</t>
  </si>
  <si>
    <t>12/30/1942</t>
  </si>
  <si>
    <t>07/02/1968</t>
  </si>
  <si>
    <t>05/23/1994</t>
  </si>
  <si>
    <t>11/02/1985</t>
  </si>
  <si>
    <t>08/17/1985</t>
  </si>
  <si>
    <t>05/28/2002</t>
  </si>
  <si>
    <t>11/22/1932</t>
  </si>
  <si>
    <t>04/08/1981</t>
  </si>
  <si>
    <t>03/24/1951</t>
  </si>
  <si>
    <t>04/02/1962</t>
  </si>
  <si>
    <t>05/08/1953</t>
  </si>
  <si>
    <t>06/03/1980</t>
  </si>
  <si>
    <t>08/22/1964</t>
  </si>
  <si>
    <t>03/13/1973</t>
  </si>
  <si>
    <t>02/09/1962</t>
  </si>
  <si>
    <t>04/09/1937</t>
  </si>
  <si>
    <t>11/11/1959</t>
  </si>
  <si>
    <t>08/27/1962</t>
  </si>
  <si>
    <t>07/26/1962</t>
  </si>
  <si>
    <t>07/15/1978</t>
  </si>
  <si>
    <t>02/20/1963</t>
  </si>
  <si>
    <t>07/16/1966</t>
  </si>
  <si>
    <t>10/30/1974</t>
  </si>
  <si>
    <t>03/22/1948</t>
  </si>
  <si>
    <t>09/11/1989</t>
  </si>
  <si>
    <t>03/05/1961</t>
  </si>
  <si>
    <t>06/09/1979</t>
  </si>
  <si>
    <t>11/28/1954</t>
  </si>
  <si>
    <t>03/04/1982</t>
  </si>
  <si>
    <t>09/04/1965</t>
  </si>
  <si>
    <t>09/22/1976</t>
  </si>
  <si>
    <t>01/12/1957</t>
  </si>
  <si>
    <t>08/29/1980</t>
  </si>
  <si>
    <t>07/16/1958</t>
  </si>
  <si>
    <t>11/27/1962</t>
  </si>
  <si>
    <t>06/10/1976</t>
  </si>
  <si>
    <t>03/26/1961</t>
  </si>
  <si>
    <t>04/20/1986</t>
  </si>
  <si>
    <t>10/11/1972</t>
  </si>
  <si>
    <t>06/23/1973</t>
  </si>
  <si>
    <t>03/30/1940</t>
  </si>
  <si>
    <t>09/21/1949</t>
  </si>
  <si>
    <t>09/12/1979</t>
  </si>
  <si>
    <t>05/14/1931</t>
  </si>
  <si>
    <t>06/18/1965</t>
  </si>
  <si>
    <t>04/19/1988</t>
  </si>
  <si>
    <t>10/19/1969</t>
  </si>
  <si>
    <t>03/11/1943</t>
  </si>
  <si>
    <t>06/19/1952</t>
  </si>
  <si>
    <t>12/27/1954</t>
  </si>
  <si>
    <t>09/26/1971</t>
  </si>
  <si>
    <t>04/30/1959</t>
  </si>
  <si>
    <t>04/11/1965</t>
  </si>
  <si>
    <t>02/16/1939</t>
  </si>
  <si>
    <t>09/04/1977</t>
  </si>
  <si>
    <t>11/21/1947</t>
  </si>
  <si>
    <t>08/24/1950</t>
  </si>
  <si>
    <t>06/12/1995</t>
  </si>
  <si>
    <t>10/14/1963</t>
  </si>
  <si>
    <t>08/11/1974</t>
  </si>
  <si>
    <t>07/20/1946</t>
  </si>
  <si>
    <t>09/07/1951</t>
  </si>
  <si>
    <t>06/07/1955</t>
  </si>
  <si>
    <t>06/25/1955</t>
  </si>
  <si>
    <t>08/31/1940</t>
  </si>
  <si>
    <t>12/27/1959</t>
  </si>
  <si>
    <t>07/10/1976</t>
  </si>
  <si>
    <t>02/05/1952</t>
  </si>
  <si>
    <t>05/06/1958</t>
  </si>
  <si>
    <t>05/14/1954</t>
  </si>
  <si>
    <t>08/30/1944</t>
  </si>
  <si>
    <t>10/18/1976</t>
  </si>
  <si>
    <t>02/12/1970</t>
  </si>
  <si>
    <t>12/10/1972</t>
  </si>
  <si>
    <t>09/26/1933</t>
  </si>
  <si>
    <t>07/09/1962</t>
  </si>
  <si>
    <t>10/06/1946</t>
  </si>
  <si>
    <t>12/22/1982</t>
  </si>
  <si>
    <t>03/23/1951</t>
  </si>
  <si>
    <t>08/04/1942</t>
  </si>
  <si>
    <t>03/12/1946</t>
  </si>
  <si>
    <t>05/08/1954</t>
  </si>
  <si>
    <t>12/05/1963</t>
  </si>
  <si>
    <t>09/01/1967</t>
  </si>
  <si>
    <t>10/29/1969</t>
  </si>
  <si>
    <t>05/16/1970</t>
  </si>
  <si>
    <t>11/25/1973</t>
  </si>
  <si>
    <t>10/10/1948</t>
  </si>
  <si>
    <t>09/05/1979</t>
  </si>
  <si>
    <t>10/25/1974</t>
  </si>
  <si>
    <t>12/26/1957</t>
  </si>
  <si>
    <t>12/13/1955</t>
  </si>
  <si>
    <t>01/19/1967</t>
  </si>
  <si>
    <t>08/28/1979</t>
  </si>
  <si>
    <t>08/13/1947</t>
  </si>
  <si>
    <t>01/23/1971</t>
  </si>
  <si>
    <t>01/23/1940</t>
  </si>
  <si>
    <t>12/22/1948</t>
  </si>
  <si>
    <t>04/11/1977</t>
  </si>
  <si>
    <t>10/13/1958</t>
  </si>
  <si>
    <t>07/13/1972</t>
  </si>
  <si>
    <t>04/22/1951</t>
  </si>
  <si>
    <t>07/05/1968</t>
  </si>
  <si>
    <t>03/06/1953</t>
  </si>
  <si>
    <t>07/19/1984</t>
  </si>
  <si>
    <t>03/06/1942</t>
  </si>
  <si>
    <t>12/19/1967</t>
  </si>
  <si>
    <t>12/30/1950</t>
  </si>
  <si>
    <t>01/24/1992</t>
  </si>
  <si>
    <t>06/09/1935</t>
  </si>
  <si>
    <t>06/02/1948</t>
  </si>
  <si>
    <t>08/13/1983</t>
  </si>
  <si>
    <t>01/15/1956</t>
  </si>
  <si>
    <t>02/28/1985</t>
  </si>
  <si>
    <t>09/09/1984</t>
  </si>
  <si>
    <t>07/03/1986</t>
  </si>
  <si>
    <t>07/03/1973</t>
  </si>
  <si>
    <t>04/17/1990</t>
  </si>
  <si>
    <t>02/19/1964</t>
  </si>
  <si>
    <t>01/07/1960</t>
  </si>
  <si>
    <t>10/14/1962</t>
  </si>
  <si>
    <t>08/07/1963</t>
  </si>
  <si>
    <t>12/20/1962</t>
  </si>
  <si>
    <t>04/23/1965</t>
  </si>
  <si>
    <t>07/28/1975</t>
  </si>
  <si>
    <t>07/19/1959</t>
  </si>
  <si>
    <t>10/02/1953</t>
  </si>
  <si>
    <t>05/07/1972</t>
  </si>
  <si>
    <t>02/08/1959</t>
  </si>
  <si>
    <t>11/18/1979</t>
  </si>
  <si>
    <t>06/27/1944</t>
  </si>
  <si>
    <t>06/17/1963</t>
  </si>
  <si>
    <t>01/19/1955</t>
  </si>
  <si>
    <t>11/29/1963</t>
  </si>
  <si>
    <t>12/13/1949</t>
  </si>
  <si>
    <t>04/02/1958</t>
  </si>
  <si>
    <t>09/16/1941</t>
  </si>
  <si>
    <t>10/30/1963</t>
  </si>
  <si>
    <t>06/17/1941</t>
  </si>
  <si>
    <t>02/28/1954</t>
  </si>
  <si>
    <t>02/08/1962</t>
  </si>
  <si>
    <t>12/24/1947</t>
  </si>
  <si>
    <t>10/22/1952</t>
  </si>
  <si>
    <t>02/01/1952</t>
  </si>
  <si>
    <t>09/17/1972</t>
  </si>
  <si>
    <t>08/19/1945</t>
  </si>
  <si>
    <t>09/02/1997</t>
  </si>
  <si>
    <t>02/12/1977</t>
  </si>
  <si>
    <t>05/31/1982</t>
  </si>
  <si>
    <t>10/25/1975</t>
  </si>
  <si>
    <t>12/26/1946</t>
  </si>
  <si>
    <t>05/14/1975</t>
  </si>
  <si>
    <t>10/26/1955</t>
  </si>
  <si>
    <t>12/14/1979</t>
  </si>
  <si>
    <t>07/22/1950</t>
  </si>
  <si>
    <t>07/13/1953</t>
  </si>
  <si>
    <t>10/11/1954</t>
  </si>
  <si>
    <t>05/03/1945</t>
  </si>
  <si>
    <t>02/24/1942</t>
  </si>
  <si>
    <t>09/24/1986</t>
  </si>
  <si>
    <t>04/07/1945</t>
  </si>
  <si>
    <t>02/20/1977</t>
  </si>
  <si>
    <t>06/10/1958</t>
  </si>
  <si>
    <t>12/20/1946</t>
  </si>
  <si>
    <t>05/22/1953</t>
  </si>
  <si>
    <t>04/07/1995</t>
  </si>
  <si>
    <t>12/30/1963</t>
  </si>
  <si>
    <t>09/07/1937</t>
  </si>
  <si>
    <t>09/22/1942</t>
  </si>
  <si>
    <t>04/19/1972</t>
  </si>
  <si>
    <t>02/03/1977</t>
  </si>
  <si>
    <t>09/17/1961</t>
  </si>
  <si>
    <t>11/09/1980</t>
  </si>
  <si>
    <t>05/01/1954</t>
  </si>
  <si>
    <t>05/09/1989</t>
  </si>
  <si>
    <t>02/21/1941</t>
  </si>
  <si>
    <t>04/15/1930</t>
  </si>
  <si>
    <t>04/13/1962</t>
  </si>
  <si>
    <t>07/31/1963</t>
  </si>
  <si>
    <t>01/25/1988</t>
  </si>
  <si>
    <t>11/15/1975</t>
  </si>
  <si>
    <t>10/02/1961</t>
  </si>
  <si>
    <t>05/11/1953</t>
  </si>
  <si>
    <t>10/30/1929</t>
  </si>
  <si>
    <t>12/30/1923</t>
  </si>
  <si>
    <t>09/13/1955</t>
  </si>
  <si>
    <t>07/30/1962</t>
  </si>
  <si>
    <t>01/26/1971</t>
  </si>
  <si>
    <t>06/10/1947</t>
  </si>
  <si>
    <t>09/11/1962</t>
  </si>
  <si>
    <t>10/07/1966</t>
  </si>
  <si>
    <t>02/06/1947</t>
  </si>
  <si>
    <t>05/11/1979</t>
  </si>
  <si>
    <t>11/02/1961</t>
  </si>
  <si>
    <t>06/06/1950</t>
  </si>
  <si>
    <t>04/06/1988</t>
  </si>
  <si>
    <t>12/14/1960</t>
  </si>
  <si>
    <t>04/26/1962</t>
  </si>
  <si>
    <t>02/19/1980</t>
  </si>
  <si>
    <t>01/01/1974</t>
  </si>
  <si>
    <t>04/29/1976</t>
  </si>
  <si>
    <t>12/23/1968</t>
  </si>
  <si>
    <t>08/30/1952</t>
  </si>
  <si>
    <t>09/26/1959</t>
  </si>
  <si>
    <t>06/27/1951</t>
  </si>
  <si>
    <t>06/05/1950</t>
  </si>
  <si>
    <t>12/06/1966</t>
  </si>
  <si>
    <t>09/06/1951</t>
  </si>
  <si>
    <t>02/04/1968</t>
  </si>
  <si>
    <t>06/24/1974</t>
  </si>
  <si>
    <t>08/08/1938</t>
  </si>
  <si>
    <t>09/30/1960</t>
  </si>
  <si>
    <t>07/01/1949</t>
  </si>
  <si>
    <t>05/20/1967</t>
  </si>
  <si>
    <t>05/02/1950</t>
  </si>
  <si>
    <t>04/11/1962</t>
  </si>
  <si>
    <t>04/05/1961</t>
  </si>
  <si>
    <t>06/19/1987</t>
  </si>
  <si>
    <t>02/06/1970</t>
  </si>
  <si>
    <t>04/13/1934</t>
  </si>
  <si>
    <t>09/19/1958</t>
  </si>
  <si>
    <t>02/28/1945</t>
  </si>
  <si>
    <t>01/01/1959</t>
  </si>
  <si>
    <t>04/25/1975</t>
  </si>
  <si>
    <t>07/12/1949</t>
  </si>
  <si>
    <t>12/04/1973</t>
  </si>
  <si>
    <t>06/24/1954</t>
  </si>
  <si>
    <t>10/11/1951</t>
  </si>
  <si>
    <t>07/02/1954</t>
  </si>
  <si>
    <t>07/14/1966</t>
  </si>
  <si>
    <t>03/18/1929</t>
  </si>
  <si>
    <t>06/29/1974</t>
  </si>
  <si>
    <t>12/31/1955</t>
  </si>
  <si>
    <t>03/25/1947</t>
  </si>
  <si>
    <t>09/22/1958</t>
  </si>
  <si>
    <t>11/30/1941</t>
  </si>
  <si>
    <t>05/26/1946</t>
  </si>
  <si>
    <t>08/10/1962</t>
  </si>
  <si>
    <t>06/13/1938</t>
  </si>
  <si>
    <t>05/14/1976</t>
  </si>
  <si>
    <t>09/24/1937</t>
  </si>
  <si>
    <t>09/04/1954</t>
  </si>
  <si>
    <t>01/03/1972</t>
  </si>
  <si>
    <t>09/03/1961</t>
  </si>
  <si>
    <t>04/11/1959</t>
  </si>
  <si>
    <t>04/16/1967</t>
  </si>
  <si>
    <t>12/29/1979</t>
  </si>
  <si>
    <t>08/03/1987</t>
  </si>
  <si>
    <t>05/05/1953</t>
  </si>
  <si>
    <t>11/21/1944</t>
  </si>
  <si>
    <t>05/25/1958</t>
  </si>
  <si>
    <t>01/17/1963</t>
  </si>
  <si>
    <t>05/13/1961</t>
  </si>
  <si>
    <t>12/24/1930</t>
  </si>
  <si>
    <t>12/15/1974</t>
  </si>
  <si>
    <t>08/01/1943</t>
  </si>
  <si>
    <t>10/02/1955</t>
  </si>
  <si>
    <t>03/30/1960</t>
  </si>
  <si>
    <t>12/15/1942</t>
  </si>
  <si>
    <t>05/18/1956</t>
  </si>
  <si>
    <t>09/26/1943</t>
  </si>
  <si>
    <t>08/10/1977</t>
  </si>
  <si>
    <t>03/17/1962</t>
  </si>
  <si>
    <t>10/10/1986</t>
  </si>
  <si>
    <t>09/13/1962</t>
  </si>
  <si>
    <t>03/16/1948</t>
  </si>
  <si>
    <t>10/30/1962</t>
  </si>
  <si>
    <t>07/26/1978</t>
  </si>
  <si>
    <t>09/21/1962</t>
  </si>
  <si>
    <t>10/29/1966</t>
  </si>
  <si>
    <t>12/31/1953</t>
  </si>
  <si>
    <t>07/18/1975</t>
  </si>
  <si>
    <t>06/10/1943</t>
  </si>
  <si>
    <t>09/25/1966</t>
  </si>
  <si>
    <t>06/12/1952</t>
  </si>
  <si>
    <t>06/01/1987</t>
  </si>
  <si>
    <t>07/07/1932</t>
  </si>
  <si>
    <t>02/01/1962</t>
  </si>
  <si>
    <t>04/23/1996</t>
  </si>
  <si>
    <t>02/25/1989</t>
  </si>
  <si>
    <t>12/29/1986</t>
  </si>
  <si>
    <t>02/01/1945</t>
  </si>
  <si>
    <t>09/01/1940</t>
  </si>
  <si>
    <t>02/17/1968</t>
  </si>
  <si>
    <t>07/28/1978</t>
  </si>
  <si>
    <t>08/10/1981</t>
  </si>
  <si>
    <t>05/17/1995</t>
  </si>
  <si>
    <t>04/01/1981</t>
  </si>
  <si>
    <t>12/14/1981</t>
  </si>
  <si>
    <t>04/02/1982</t>
  </si>
  <si>
    <t>06/07/1945</t>
  </si>
  <si>
    <t>01/12/1981</t>
  </si>
  <si>
    <t>05/09/1990</t>
  </si>
  <si>
    <t>02/08/1971</t>
  </si>
  <si>
    <t>06/27/1960</t>
  </si>
  <si>
    <t>05/26/1961</t>
  </si>
  <si>
    <t>04/03/1952</t>
  </si>
  <si>
    <t>05/01/1942</t>
  </si>
  <si>
    <t>04/17/1988</t>
  </si>
  <si>
    <t>12/09/1988</t>
  </si>
  <si>
    <t>06/09/1951</t>
  </si>
  <si>
    <t>04/11/1968</t>
  </si>
  <si>
    <t>03/05/1966</t>
  </si>
  <si>
    <t>08/09/1961</t>
  </si>
  <si>
    <t>01/09/1978</t>
  </si>
  <si>
    <t>07/28/1951</t>
  </si>
  <si>
    <t>08/27/1967</t>
  </si>
  <si>
    <t>06/04/1985</t>
  </si>
  <si>
    <t>10/02/1980</t>
  </si>
  <si>
    <t>04/21/1966</t>
  </si>
  <si>
    <t>12/16/1970</t>
  </si>
  <si>
    <t>07/22/1953</t>
  </si>
  <si>
    <t>12/01/1981</t>
  </si>
  <si>
    <t>06/27/1970</t>
  </si>
  <si>
    <t>02/25/1991</t>
  </si>
  <si>
    <t>08/04/1958</t>
  </si>
  <si>
    <t>10/26/1978</t>
  </si>
  <si>
    <t>08/10/1942</t>
  </si>
  <si>
    <t>01/03/1979</t>
  </si>
  <si>
    <t>12/14/1978</t>
  </si>
  <si>
    <t>12/08/1970</t>
  </si>
  <si>
    <t>06/23/1959</t>
  </si>
  <si>
    <t>02/13/1947</t>
  </si>
  <si>
    <t>01/21/1948</t>
  </si>
  <si>
    <t>08/25/1952</t>
  </si>
  <si>
    <t>01/27/1974</t>
  </si>
  <si>
    <t>05/27/1970</t>
  </si>
  <si>
    <t>03/24/1962</t>
  </si>
  <si>
    <t>06/14/1986</t>
  </si>
  <si>
    <t>08/15/1968</t>
  </si>
  <si>
    <t>06/20/1970</t>
  </si>
  <si>
    <t>01/19/1988</t>
  </si>
  <si>
    <t>12/02/1965</t>
  </si>
  <si>
    <t>08/15/1996</t>
  </si>
  <si>
    <t>12/31/1966</t>
  </si>
  <si>
    <t>08/03/1972</t>
  </si>
  <si>
    <t>05/31/1948</t>
  </si>
  <si>
    <t>10/20/1961</t>
  </si>
  <si>
    <t>10/12/1986</t>
  </si>
  <si>
    <t>04/11/1969</t>
  </si>
  <si>
    <t>06/21/1966</t>
  </si>
  <si>
    <t>04/23/1968</t>
  </si>
  <si>
    <t>07/07/1955</t>
  </si>
  <si>
    <t>12/31/1963</t>
  </si>
  <si>
    <t>10/13/1952</t>
  </si>
  <si>
    <t>09/13/1941</t>
  </si>
  <si>
    <t>04/15/1950</t>
  </si>
  <si>
    <t>11/02/1976</t>
  </si>
  <si>
    <t>05/30/1969</t>
  </si>
  <si>
    <t>11/26/1977</t>
  </si>
  <si>
    <t>06/03/1958</t>
  </si>
  <si>
    <t>04/10/1951</t>
  </si>
  <si>
    <t>08/04/1955</t>
  </si>
  <si>
    <t>04/02/1974</t>
  </si>
  <si>
    <t>12/19/1958</t>
  </si>
  <si>
    <t>10/28/1957</t>
  </si>
  <si>
    <t>12/22/1943</t>
  </si>
  <si>
    <t>04/30/1947</t>
  </si>
  <si>
    <t>01/05/1963</t>
  </si>
  <si>
    <t>08/03/1939</t>
  </si>
  <si>
    <t>05/07/1959</t>
  </si>
  <si>
    <t>01/01/1969</t>
  </si>
  <si>
    <t>01/01/1961</t>
  </si>
  <si>
    <t>12/04/1952</t>
  </si>
  <si>
    <t>06/08/1968</t>
  </si>
  <si>
    <t>10/05/1956</t>
  </si>
  <si>
    <t>04/03/1982</t>
  </si>
  <si>
    <t>11/09/1977</t>
  </si>
  <si>
    <t>10/06/1970</t>
  </si>
  <si>
    <t>12/28/1941</t>
  </si>
  <si>
    <t>06/06/1978</t>
  </si>
  <si>
    <t>03/31/1985</t>
  </si>
  <si>
    <t>03/28/1973</t>
  </si>
  <si>
    <t>02/08/1992</t>
  </si>
  <si>
    <t>04/02/1971</t>
  </si>
  <si>
    <t>10/20/1968</t>
  </si>
  <si>
    <t>01/14/1953</t>
  </si>
  <si>
    <t>01/28/1961</t>
  </si>
  <si>
    <t>11/08/1977</t>
  </si>
  <si>
    <t>08/12/1937</t>
  </si>
  <si>
    <t>06/21/1972</t>
  </si>
  <si>
    <t>10/22/1949</t>
  </si>
  <si>
    <t>01/12/1975</t>
  </si>
  <si>
    <t>05/26/1972</t>
  </si>
  <si>
    <t>09/15/1963</t>
  </si>
  <si>
    <t>12/13/1945</t>
  </si>
  <si>
    <t>07/31/1972</t>
  </si>
  <si>
    <t>10/18/1955</t>
  </si>
  <si>
    <t>06/01/1938</t>
  </si>
  <si>
    <t>12/23/1977</t>
  </si>
  <si>
    <t>04/03/1996</t>
  </si>
  <si>
    <t>04/02/1993</t>
  </si>
  <si>
    <t>12/24/1988</t>
  </si>
  <si>
    <t>05/13/1985</t>
  </si>
  <si>
    <t>11/28/1986</t>
  </si>
  <si>
    <t>01/12/1969</t>
  </si>
  <si>
    <t>02/26/1962</t>
  </si>
  <si>
    <t>11/04/1968</t>
  </si>
  <si>
    <t>04/21/1934</t>
  </si>
  <si>
    <t>08/19/1961</t>
  </si>
  <si>
    <t>05/15/1975</t>
  </si>
  <si>
    <t>01/02/1939</t>
  </si>
  <si>
    <t>08/08/1946</t>
  </si>
  <si>
    <t>01/11/1954</t>
  </si>
  <si>
    <t>09/06/1967</t>
  </si>
  <si>
    <t>03/25/1984</t>
  </si>
  <si>
    <t>07/08/1983</t>
  </si>
  <si>
    <t>06/01/1963</t>
  </si>
  <si>
    <t>07/25/1977</t>
  </si>
  <si>
    <t>12/29/1984</t>
  </si>
  <si>
    <t>02/10/1941</t>
  </si>
  <si>
    <t>07/23/1978</t>
  </si>
  <si>
    <t>06/15/1954</t>
  </si>
  <si>
    <t>10/02/1972</t>
  </si>
  <si>
    <t>03/23/1973</t>
  </si>
  <si>
    <t>03/24/1975</t>
  </si>
  <si>
    <t>07/21/1988</t>
  </si>
  <si>
    <t>11/09/1972</t>
  </si>
  <si>
    <t>05/26/1965</t>
  </si>
  <si>
    <t>10/11/1959</t>
  </si>
  <si>
    <t>05/08/1971</t>
  </si>
  <si>
    <t>12/31/1964</t>
  </si>
  <si>
    <t>12/13/1975</t>
  </si>
  <si>
    <t>04/23/1967</t>
  </si>
  <si>
    <t>04/10/1987</t>
  </si>
  <si>
    <t>03/30/1992</t>
  </si>
  <si>
    <t>04/13/1975</t>
  </si>
  <si>
    <t>01/23/1992</t>
  </si>
  <si>
    <t>05/24/1979</t>
  </si>
  <si>
    <t>08/01/1971</t>
  </si>
  <si>
    <t>12/11/1940</t>
  </si>
  <si>
    <t>11/05/1991</t>
  </si>
  <si>
    <t>11/17/1986</t>
  </si>
  <si>
    <t>09/18/1989</t>
  </si>
  <si>
    <t>10/07/1974</t>
  </si>
  <si>
    <t>10/30/1956</t>
  </si>
  <si>
    <t>12/05/1946</t>
  </si>
  <si>
    <t>05/29/1962</t>
  </si>
  <si>
    <t>11/18/1984</t>
  </si>
  <si>
    <t>06/13/1942</t>
  </si>
  <si>
    <t>10/24/1983</t>
  </si>
  <si>
    <t>10/20/1954</t>
  </si>
  <si>
    <t>04/08/1942</t>
  </si>
  <si>
    <t>02/19/1970</t>
  </si>
  <si>
    <t>05/04/1953</t>
  </si>
  <si>
    <t>01/06/1977</t>
  </si>
  <si>
    <t>12/23/1959</t>
  </si>
  <si>
    <t>10/30/1983</t>
  </si>
  <si>
    <t>11/07/1970</t>
  </si>
  <si>
    <t>02/11/1951</t>
  </si>
  <si>
    <t>03/25/1980</t>
  </si>
  <si>
    <t>11/28/1968</t>
  </si>
  <si>
    <t>04/14/1966</t>
  </si>
  <si>
    <t>03/22/1959</t>
  </si>
  <si>
    <t>09/08/1996</t>
  </si>
  <si>
    <t>09/04/1963</t>
  </si>
  <si>
    <t>05/14/1991</t>
  </si>
  <si>
    <t>09/23/1981</t>
  </si>
  <si>
    <t>04/05/1972</t>
  </si>
  <si>
    <t>08/30/1976</t>
  </si>
  <si>
    <t>08/14/1992</t>
  </si>
  <si>
    <t>05/02/1969</t>
  </si>
  <si>
    <t>04/03/1965</t>
  </si>
  <si>
    <t>05/15/1954</t>
  </si>
  <si>
    <t>08/31/1963</t>
  </si>
  <si>
    <t>01/18/1994</t>
  </si>
  <si>
    <t>12/11/1970</t>
  </si>
  <si>
    <t>10/13/1988</t>
  </si>
  <si>
    <t>01/18/1980</t>
  </si>
  <si>
    <t>04/27/1958</t>
  </si>
  <si>
    <t>03/11/1984</t>
  </si>
  <si>
    <t>08/13/1974</t>
  </si>
  <si>
    <t>03/13/1934</t>
  </si>
  <si>
    <t>09/02/1968</t>
  </si>
  <si>
    <t>05/10/1927</t>
  </si>
  <si>
    <t>03/01/1987</t>
  </si>
  <si>
    <t>10/17/1961</t>
  </si>
  <si>
    <t>03/15/1955</t>
  </si>
  <si>
    <t>02/12/1967</t>
  </si>
  <si>
    <t>11/09/1953</t>
  </si>
  <si>
    <t>03/05/1952</t>
  </si>
  <si>
    <t>08/18/1967</t>
  </si>
  <si>
    <t>09/08/1973</t>
  </si>
  <si>
    <t>04/06/1942</t>
  </si>
  <si>
    <t>03/15/1959</t>
  </si>
  <si>
    <t>08/14/1983</t>
  </si>
  <si>
    <t>05/21/1951</t>
  </si>
  <si>
    <t>11/17/1936</t>
  </si>
  <si>
    <t>08/16/1964</t>
  </si>
  <si>
    <t>10/10/1949</t>
  </si>
  <si>
    <t>01/27/1984</t>
  </si>
  <si>
    <t>11/02/1942</t>
  </si>
  <si>
    <t>10/08/1977</t>
  </si>
  <si>
    <t>05/22/1978</t>
  </si>
  <si>
    <t>07/06/1947</t>
  </si>
  <si>
    <t>05/14/1967</t>
  </si>
  <si>
    <t>04/13/1966</t>
  </si>
  <si>
    <t>01/31/1971</t>
  </si>
  <si>
    <t>04/11/1951</t>
  </si>
  <si>
    <t>02/14/1940</t>
  </si>
  <si>
    <t>12/31/1990</t>
  </si>
  <si>
    <t>05/08/1959</t>
  </si>
  <si>
    <t>05/26/1967</t>
  </si>
  <si>
    <t>12/20/1940</t>
  </si>
  <si>
    <t>10/28/1975</t>
  </si>
  <si>
    <t>08/14/1988</t>
  </si>
  <si>
    <t>04/22/1938</t>
  </si>
  <si>
    <t>10/26/1979</t>
  </si>
  <si>
    <t>10/04/1996</t>
  </si>
  <si>
    <t>02/28/1960</t>
  </si>
  <si>
    <t>08/19/1984</t>
  </si>
  <si>
    <t>11/17/1983</t>
  </si>
  <si>
    <t>07/01/1971</t>
  </si>
  <si>
    <t>12/10/1958</t>
  </si>
  <si>
    <t>01/02/1972</t>
  </si>
  <si>
    <t>04/27/1961</t>
  </si>
  <si>
    <t>04/15/1976</t>
  </si>
  <si>
    <t>01/29/1982</t>
  </si>
  <si>
    <t>08/26/1989</t>
  </si>
  <si>
    <t>07/24/1949</t>
  </si>
  <si>
    <t>07/10/2001</t>
  </si>
  <si>
    <t>03/26/1978</t>
  </si>
  <si>
    <t>08/19/1960</t>
  </si>
  <si>
    <t>02/21/1983</t>
  </si>
  <si>
    <t>12/07/1953</t>
  </si>
  <si>
    <t>04/23/2009</t>
  </si>
  <si>
    <t>04/06/1971</t>
  </si>
  <si>
    <t>12/25/1962</t>
  </si>
  <si>
    <t>06/06/1967</t>
  </si>
  <si>
    <t>04/26/1953</t>
  </si>
  <si>
    <t>02/26/1992</t>
  </si>
  <si>
    <t>07/05/1975</t>
  </si>
  <si>
    <t>05/15/1965</t>
  </si>
  <si>
    <t>12/20/1979</t>
  </si>
  <si>
    <t>02/05/1959</t>
  </si>
  <si>
    <t>11/11/1970</t>
  </si>
  <si>
    <t>11/14/1953</t>
  </si>
  <si>
    <t>03/09/1983</t>
  </si>
  <si>
    <t>05/18/1954</t>
  </si>
  <si>
    <t>02/04/1980</t>
  </si>
  <si>
    <t>12/11/1955</t>
  </si>
  <si>
    <t>11/26/1951</t>
  </si>
  <si>
    <t>01/20/1959</t>
  </si>
  <si>
    <t>11/06/1980</t>
  </si>
  <si>
    <t>05/13/1959</t>
  </si>
  <si>
    <t>03/22/1977</t>
  </si>
  <si>
    <t>01/10/1956</t>
  </si>
  <si>
    <t>05/01/1963</t>
  </si>
  <si>
    <t>05/09/1981</t>
  </si>
  <si>
    <t>04/24/1967</t>
  </si>
  <si>
    <t>07/09/1984</t>
  </si>
  <si>
    <t>09/26/1992</t>
  </si>
  <si>
    <t>12/27/1991</t>
  </si>
  <si>
    <t>09/02/1991</t>
  </si>
  <si>
    <t>04/19/1958</t>
  </si>
  <si>
    <t>03/08/1964</t>
  </si>
  <si>
    <t>06/14/1935</t>
  </si>
  <si>
    <t>11/11/1989</t>
  </si>
  <si>
    <t>03/23/1978</t>
  </si>
  <si>
    <t>05/25/1968</t>
  </si>
  <si>
    <t>03/21/1953</t>
  </si>
  <si>
    <t>07/20/1963</t>
  </si>
  <si>
    <t>06/16/1969</t>
  </si>
  <si>
    <t>05/27/1962</t>
  </si>
  <si>
    <t>12/28/1968</t>
  </si>
  <si>
    <t>12/29/1993</t>
  </si>
  <si>
    <t>09/12/1991</t>
  </si>
  <si>
    <t>07/29/1982</t>
  </si>
  <si>
    <t>03/08/1961</t>
  </si>
  <si>
    <t>02/21/1956</t>
  </si>
  <si>
    <t>08/13/1937</t>
  </si>
  <si>
    <t>08/17/1990</t>
  </si>
  <si>
    <t>07/11/1960</t>
  </si>
  <si>
    <t>03/10/1981</t>
  </si>
  <si>
    <t>03/28/1983</t>
  </si>
  <si>
    <t>03/18/1966</t>
  </si>
  <si>
    <t>05/28/1975</t>
  </si>
  <si>
    <t>10/24/1961</t>
  </si>
  <si>
    <t>05/20/1959</t>
  </si>
  <si>
    <t>07/12/1974</t>
  </si>
  <si>
    <t>03/30/1980</t>
  </si>
  <si>
    <t>12/30/1971</t>
  </si>
  <si>
    <t>01/26/1939</t>
  </si>
  <si>
    <t>07/13/1990</t>
  </si>
  <si>
    <t>09/19/1984</t>
  </si>
  <si>
    <t>02/16/1991</t>
  </si>
  <si>
    <t>03/06/1961</t>
  </si>
  <si>
    <t>10/03/1965</t>
  </si>
  <si>
    <t>08/09/1970</t>
  </si>
  <si>
    <t>10/31/1950</t>
  </si>
  <si>
    <t>09/18/1960</t>
  </si>
  <si>
    <t>08/10/1979</t>
  </si>
  <si>
    <t>11/29/1950</t>
  </si>
  <si>
    <t>07/23/1938</t>
  </si>
  <si>
    <t>01/04/1967</t>
  </si>
  <si>
    <t>09/26/1953</t>
  </si>
  <si>
    <t>04/05/1980</t>
  </si>
  <si>
    <t>12/24/1955</t>
  </si>
  <si>
    <t>12/01/1978</t>
  </si>
  <si>
    <t>04/16/1970</t>
  </si>
  <si>
    <t>02/19/1944</t>
  </si>
  <si>
    <t>07/05/1978</t>
  </si>
  <si>
    <t>01/19/1984</t>
  </si>
  <si>
    <t>01/23/1970</t>
  </si>
  <si>
    <t>09/18/1965</t>
  </si>
  <si>
    <t>08/02/1958</t>
  </si>
  <si>
    <t>07/25/1960</t>
  </si>
  <si>
    <t>11/19/1981</t>
  </si>
  <si>
    <t>01/30/1978</t>
  </si>
  <si>
    <t>06/02/1973</t>
  </si>
  <si>
    <t>11/07/1949</t>
  </si>
  <si>
    <t>11/16/1965</t>
  </si>
  <si>
    <t>12/17/1970</t>
  </si>
  <si>
    <t>10/18/1948</t>
  </si>
  <si>
    <t>01/29/1973</t>
  </si>
  <si>
    <t>07/07/1986</t>
  </si>
  <si>
    <t>11/25/1982</t>
  </si>
  <si>
    <t>04/29/1974</t>
  </si>
  <si>
    <t>05/10/1981</t>
  </si>
  <si>
    <t>08/10/1956</t>
  </si>
  <si>
    <t>02/28/1962</t>
  </si>
  <si>
    <t>04/29/1961</t>
  </si>
  <si>
    <t>12/14/1972</t>
  </si>
  <si>
    <t>02/03/1959</t>
  </si>
  <si>
    <t>07/20/1986</t>
  </si>
  <si>
    <t>09/25/1971</t>
  </si>
  <si>
    <t>01/15/1952</t>
  </si>
  <si>
    <t>11/16/1950</t>
  </si>
  <si>
    <t>01/20/1944</t>
  </si>
  <si>
    <t>11/15/1973</t>
  </si>
  <si>
    <t>09/15/1948</t>
  </si>
  <si>
    <t>07/18/1950</t>
  </si>
  <si>
    <t>04/22/1953</t>
  </si>
  <si>
    <t>05/31/1951</t>
  </si>
  <si>
    <t>11/10/1989</t>
  </si>
  <si>
    <t>12/13/1969</t>
  </si>
  <si>
    <t>03/08/1947</t>
  </si>
  <si>
    <t>01/02/1964</t>
  </si>
  <si>
    <t>07/19/1968</t>
  </si>
  <si>
    <t>06/07/1951</t>
  </si>
  <si>
    <t>03/25/1957</t>
  </si>
  <si>
    <t>03/11/1958</t>
  </si>
  <si>
    <t>03/09/1970</t>
  </si>
  <si>
    <t>12/11/1969</t>
  </si>
  <si>
    <t>06/29/1979</t>
  </si>
  <si>
    <t>07/25/1968</t>
  </si>
  <si>
    <t>01/02/1960</t>
  </si>
  <si>
    <t>01/25/1998</t>
  </si>
  <si>
    <t>08/19/1971</t>
  </si>
  <si>
    <t>05/09/1970</t>
  </si>
  <si>
    <t>05/13/1940</t>
  </si>
  <si>
    <t>12/16/1968</t>
  </si>
  <si>
    <t>11/05/1979</t>
  </si>
  <si>
    <t>05/20/1988</t>
  </si>
  <si>
    <t>01/13/1962</t>
  </si>
  <si>
    <t>10/08/1986</t>
  </si>
  <si>
    <t>01/23/1986</t>
  </si>
  <si>
    <t>12/23/1982</t>
  </si>
  <si>
    <t>09/19/1961</t>
  </si>
  <si>
    <t>03/17/1957</t>
  </si>
  <si>
    <t>10/14/1955</t>
  </si>
  <si>
    <t>07/01/1990</t>
  </si>
  <si>
    <t>10/29/1971</t>
  </si>
  <si>
    <t>10/09/1972</t>
  </si>
  <si>
    <t>11/11/1954</t>
  </si>
  <si>
    <t>12/23/1966</t>
  </si>
  <si>
    <t>01/23/1959</t>
  </si>
  <si>
    <t>01/30/1971</t>
  </si>
  <si>
    <t>10/16/1953</t>
  </si>
  <si>
    <t>08/03/1944</t>
  </si>
  <si>
    <t>09/18/1936</t>
  </si>
  <si>
    <t>10/03/1949</t>
  </si>
  <si>
    <t>08/08/1976</t>
  </si>
  <si>
    <t>01/19/1950</t>
  </si>
  <si>
    <t>05/25/1970</t>
  </si>
  <si>
    <t>08/11/1964</t>
  </si>
  <si>
    <t>05/28/1983</t>
  </si>
  <si>
    <t>01/22/1987</t>
  </si>
  <si>
    <t>01/14/1961</t>
  </si>
  <si>
    <t>01/11/1984</t>
  </si>
  <si>
    <t>05/15/1955</t>
  </si>
  <si>
    <t>03/29/1937</t>
  </si>
  <si>
    <t>03/26/1952</t>
  </si>
  <si>
    <t>02/11/1960</t>
  </si>
  <si>
    <t>05/15/1978</t>
  </si>
  <si>
    <t>09/02/1956</t>
  </si>
  <si>
    <t>01/26/1968</t>
  </si>
  <si>
    <t>12/19/1966</t>
  </si>
  <si>
    <t>06/23/1947</t>
  </si>
  <si>
    <t>04/02/1959</t>
  </si>
  <si>
    <t>03/21/1964</t>
  </si>
  <si>
    <t>12/15/1973</t>
  </si>
  <si>
    <t>09/23/1976</t>
  </si>
  <si>
    <t>08/13/1957</t>
  </si>
  <si>
    <t>11/16/1960</t>
  </si>
  <si>
    <t>09/03/1984</t>
  </si>
  <si>
    <t>02/21/1977</t>
  </si>
  <si>
    <t>06/19/1960</t>
  </si>
  <si>
    <t>04/28/1953</t>
  </si>
  <si>
    <t>09/30/1968</t>
  </si>
  <si>
    <t>12/29/1964</t>
  </si>
  <si>
    <t>10/01/1975</t>
  </si>
  <si>
    <t>11/19/1963</t>
  </si>
  <si>
    <t>12/09/1989</t>
  </si>
  <si>
    <t>06/11/1936</t>
  </si>
  <si>
    <t>07/12/1973</t>
  </si>
  <si>
    <t>07/03/1955</t>
  </si>
  <si>
    <t>09/15/1969</t>
  </si>
  <si>
    <t>11/03/1963</t>
  </si>
  <si>
    <t>09/24/1977</t>
  </si>
  <si>
    <t>02/04/1983</t>
  </si>
  <si>
    <t>03/05/1946</t>
  </si>
  <si>
    <t>02/17/1991</t>
  </si>
  <si>
    <t>10/20/1970</t>
  </si>
  <si>
    <t>06/27/1953</t>
  </si>
  <si>
    <t>10/17/1957</t>
  </si>
  <si>
    <t>05/04/1980</t>
  </si>
  <si>
    <t>07/25/1931</t>
  </si>
  <si>
    <t>08/16/1966</t>
  </si>
  <si>
    <t>06/29/1991</t>
  </si>
  <si>
    <t>06/27/1957</t>
  </si>
  <si>
    <t>11/08/1993</t>
  </si>
  <si>
    <t>03/20/1947</t>
  </si>
  <si>
    <t>10/04/1959</t>
  </si>
  <si>
    <t>05/24/1954</t>
  </si>
  <si>
    <t>10/15/1950</t>
  </si>
  <si>
    <t>07/05/1947</t>
  </si>
  <si>
    <t>08/18/1950</t>
  </si>
  <si>
    <t>01/06/1979</t>
  </si>
  <si>
    <t>02/24/1981</t>
  </si>
  <si>
    <t>12/20/1983</t>
  </si>
  <si>
    <t>02/08/1974</t>
  </si>
  <si>
    <t>03/19/1980</t>
  </si>
  <si>
    <t>02/15/1983</t>
  </si>
  <si>
    <t>12/01/1956</t>
  </si>
  <si>
    <t>11/05/1936</t>
  </si>
  <si>
    <t>03/11/1933</t>
  </si>
  <si>
    <t>10/16/1954</t>
  </si>
  <si>
    <t>10/23/1958</t>
  </si>
  <si>
    <t>08/06/1945</t>
  </si>
  <si>
    <t>10/25/1956</t>
  </si>
  <si>
    <t>08/31/1952</t>
  </si>
  <si>
    <t>04/16/1985</t>
  </si>
  <si>
    <t>01/01/1990</t>
  </si>
  <si>
    <t>08/11/1935</t>
  </si>
  <si>
    <t>08/04/1953</t>
  </si>
  <si>
    <t>07/04/1955</t>
  </si>
  <si>
    <t>01/27/1952</t>
  </si>
  <si>
    <t>01/28/1980</t>
  </si>
  <si>
    <t>07/17/1943</t>
  </si>
  <si>
    <t>01/18/1942</t>
  </si>
  <si>
    <t>10/15/1956</t>
  </si>
  <si>
    <t>11/12/1986</t>
  </si>
  <si>
    <t>10/23/1950</t>
  </si>
  <si>
    <t>04/06/1976</t>
  </si>
  <si>
    <t>09/02/1954</t>
  </si>
  <si>
    <t>12/24/1958</t>
  </si>
  <si>
    <t>05/31/1988</t>
  </si>
  <si>
    <t>05/01/1951</t>
  </si>
  <si>
    <t>11/30/1979</t>
  </si>
  <si>
    <t>03/27/1989</t>
  </si>
  <si>
    <t>05/08/1955</t>
  </si>
  <si>
    <t>02/17/1950</t>
  </si>
  <si>
    <t>01/16/1951</t>
  </si>
  <si>
    <t>09/01/1953</t>
  </si>
  <si>
    <t>06/19/1981</t>
  </si>
  <si>
    <t>08/12/1966</t>
  </si>
  <si>
    <t>04/12/1948</t>
  </si>
  <si>
    <t>04/09/1972</t>
  </si>
  <si>
    <t>02/12/1975</t>
  </si>
  <si>
    <t>08/31/1969</t>
  </si>
  <si>
    <t>02/21/1961</t>
  </si>
  <si>
    <t>05/08/1964</t>
  </si>
  <si>
    <t>12/02/1956</t>
  </si>
  <si>
    <t>02/06/1944</t>
  </si>
  <si>
    <t>11/08/1954</t>
  </si>
  <si>
    <t>05/11/1956</t>
  </si>
  <si>
    <t>06/30/1993</t>
  </si>
  <si>
    <t>07/14/1961</t>
  </si>
  <si>
    <t>10/02/1974</t>
  </si>
  <si>
    <t>10/25/1944</t>
  </si>
  <si>
    <t>05/30/1980</t>
  </si>
  <si>
    <t>02/20/1955</t>
  </si>
  <si>
    <t>02/02/1968</t>
  </si>
  <si>
    <t>03/16/1972</t>
  </si>
  <si>
    <t>09/07/1961</t>
  </si>
  <si>
    <t>02/10/1972</t>
  </si>
  <si>
    <t>04/27/1956</t>
  </si>
  <si>
    <t>11/15/1936</t>
  </si>
  <si>
    <t>02/03/1955</t>
  </si>
  <si>
    <t>11/10/1988</t>
  </si>
  <si>
    <t>03/13/1956</t>
  </si>
  <si>
    <t>05/26/1945</t>
  </si>
  <si>
    <t>05/03/1956</t>
  </si>
  <si>
    <t>04/23/1986</t>
  </si>
  <si>
    <t>02/03/1966</t>
  </si>
  <si>
    <t>05/25/1936</t>
  </si>
  <si>
    <t>12/16/1966</t>
  </si>
  <si>
    <t>11/28/1960</t>
  </si>
  <si>
    <t>01/19/1975</t>
  </si>
  <si>
    <t>06/12/1972</t>
  </si>
  <si>
    <t>03/22/1970</t>
  </si>
  <si>
    <t>03/16/1977</t>
  </si>
  <si>
    <t>09/09/1970</t>
  </si>
  <si>
    <t>06/15/1968</t>
  </si>
  <si>
    <t>07/09/1979</t>
  </si>
  <si>
    <t>03/21/1958</t>
  </si>
  <si>
    <t>02/12/1966</t>
  </si>
  <si>
    <t>11/11/1981</t>
  </si>
  <si>
    <t>04/05/1956</t>
  </si>
  <si>
    <t>11/07/1967</t>
  </si>
  <si>
    <t>03/04/1945</t>
  </si>
  <si>
    <t>02/15/1964</t>
  </si>
  <si>
    <t>11/13/1965</t>
  </si>
  <si>
    <t>07/24/1957</t>
  </si>
  <si>
    <t>02/23/1943</t>
  </si>
  <si>
    <t>03/16/1959</t>
  </si>
  <si>
    <t>05/31/1962</t>
  </si>
  <si>
    <t>01/14/1954</t>
  </si>
  <si>
    <t>09/16/1969</t>
  </si>
  <si>
    <t>11/18/1977</t>
  </si>
  <si>
    <t>10/26/1987</t>
  </si>
  <si>
    <t>03/12/1977</t>
  </si>
  <si>
    <t>07/09/1993</t>
  </si>
  <si>
    <t>08/18/1993</t>
  </si>
  <si>
    <t>10/07/1973</t>
  </si>
  <si>
    <t>09/15/1993</t>
  </si>
  <si>
    <t>07/08/1974</t>
  </si>
  <si>
    <t>08/19/1969</t>
  </si>
  <si>
    <t>09/25/1982</t>
  </si>
  <si>
    <t>03/14/1956</t>
  </si>
  <si>
    <t>02/16/1980</t>
  </si>
  <si>
    <t>01/26/1988</t>
  </si>
  <si>
    <t>04/25/1962</t>
  </si>
  <si>
    <t>04/10/1980</t>
  </si>
  <si>
    <t>01/15/1982</t>
  </si>
  <si>
    <t>03/06/1955</t>
  </si>
  <si>
    <t>03/07/1983</t>
  </si>
  <si>
    <t>11/23/1993</t>
  </si>
  <si>
    <t>05/25/1985</t>
  </si>
  <si>
    <t>05/17/1951</t>
  </si>
  <si>
    <t>12/13/1990</t>
  </si>
  <si>
    <t>08/24/1990</t>
  </si>
  <si>
    <t>04/30/1988</t>
  </si>
  <si>
    <t>10/29/1968</t>
  </si>
  <si>
    <t>07/23/1992</t>
  </si>
  <si>
    <t>09/19/1957</t>
  </si>
  <si>
    <t>04/12/1985</t>
  </si>
  <si>
    <t>07/26/1965</t>
  </si>
  <si>
    <t>03/07/1975</t>
  </si>
  <si>
    <t>08/28/1978</t>
  </si>
  <si>
    <t>08/23/1989</t>
  </si>
  <si>
    <t>06/09/1984</t>
  </si>
  <si>
    <t>12/16/1947</t>
  </si>
  <si>
    <t>06/29/1987</t>
  </si>
  <si>
    <t>10/03/1969</t>
  </si>
  <si>
    <t>09/06/1957</t>
  </si>
  <si>
    <t>02/15/1968</t>
  </si>
  <si>
    <t>08/21/1990</t>
  </si>
  <si>
    <t>02/26/1967</t>
  </si>
  <si>
    <t>12/30/1961</t>
  </si>
  <si>
    <t>09/05/1972</t>
  </si>
  <si>
    <t>04/07/1957</t>
  </si>
  <si>
    <t>04/11/1942</t>
  </si>
  <si>
    <t>12/11/1978</t>
  </si>
  <si>
    <t>04/26/1973</t>
  </si>
  <si>
    <t>06/26/1957</t>
  </si>
  <si>
    <t>11/28/2016</t>
  </si>
  <si>
    <t>07/11/2018</t>
  </si>
  <si>
    <t>01/01/2017</t>
  </si>
  <si>
    <t>08/31/2017</t>
  </si>
  <si>
    <t>04/10/2017</t>
  </si>
  <si>
    <t>08/29/2016</t>
  </si>
  <si>
    <t>04/23/2015</t>
  </si>
  <si>
    <t>11/03/2017</t>
  </si>
  <si>
    <t>07/06/2019</t>
  </si>
  <si>
    <t>04/12/2017</t>
  </si>
  <si>
    <t>08/12/2019</t>
  </si>
  <si>
    <t>06/23/2016</t>
  </si>
  <si>
    <t>02/23/2017</t>
  </si>
  <si>
    <t>09/19/2017</t>
  </si>
  <si>
    <t>07/11/2017</t>
  </si>
  <si>
    <t>01/11/2017</t>
  </si>
  <si>
    <t>11/07/2017</t>
  </si>
  <si>
    <t>01/06/2007</t>
  </si>
  <si>
    <t>10/26/2019</t>
  </si>
  <si>
    <t>08/22/2016</t>
  </si>
  <si>
    <t>06/03/2016</t>
  </si>
  <si>
    <t>FJC Waiver</t>
  </si>
  <si>
    <t>Income Waiver</t>
  </si>
  <si>
    <t>CAT3: Cases Involving Rent-Regulated Housing Or Housing Subsidies Vouchers</t>
  </si>
  <si>
    <t>Zip Code Waiver</t>
  </si>
  <si>
    <t>CAT1: HRA Referral</t>
  </si>
  <si>
    <t>CAT2: Housing Court Referral</t>
  </si>
  <si>
    <t>Coded as TRC as part of a HPLP/TRC swap, CN</t>
  </si>
  <si>
    <t>HPLP/TRC swap</t>
  </si>
  <si>
    <t>HRA referral</t>
  </si>
  <si>
    <t>Compliance docs in 18-1876259</t>
  </si>
  <si>
    <t>Compliance is in 18-1879049</t>
  </si>
  <si>
    <t>FY19 Compliance upload 18-1878669</t>
  </si>
  <si>
    <t>Compliance at 18-1879063</t>
  </si>
  <si>
    <t>need income waiver</t>
  </si>
  <si>
    <t>Compliance is in 18-1879056</t>
  </si>
  <si>
    <t>Compliance in 18-1875994 attestation section</t>
  </si>
  <si>
    <t>phone advice</t>
  </si>
  <si>
    <t>4/18 - HPLP if case is filed; TRC if not. Need consent &amp; DHCI</t>
  </si>
  <si>
    <t>Neeeds New DHCI and Consent Form</t>
  </si>
  <si>
    <t>client revoked permission to share info with NYC and HRA on 10/1</t>
  </si>
  <si>
    <t>4/10 - unclear how to report as we're appearing as FOC</t>
  </si>
  <si>
    <t>DHCI &amp; consent in 18-1884730</t>
  </si>
  <si>
    <t>&gt;200% FPL, need income waiver</t>
  </si>
  <si>
    <t>COMPLIANCEDOCS: HRA RELEASE, DECLARATION OF INCOME IN 16-0805850, RR-7/27/17</t>
  </si>
  <si>
    <t>COMPLIANCEDOCS: HRA RELEASE, DECLARATION OF INCOME IN 16-0805750, RR-7/27/17</t>
  </si>
  <si>
    <t>COMPLIANCEDOCS: HRA RELEASE &amp; DECLARATION OF INCOME IN 16-0806835, RR-7/27/17</t>
  </si>
  <si>
    <t>No Release Form (CLS)</t>
  </si>
  <si>
    <t>Please see 19-1889883 for forms</t>
  </si>
  <si>
    <t>No 4 month issue, PAR, rent reduction and MCI opp all occurred 4+ months apart</t>
  </si>
  <si>
    <t>All DHCR advocacy occurred 4 months apart, we just obtained all forms in 2018.  No benefit, HRA verified, 7/20/17</t>
  </si>
  <si>
    <t>over 200%</t>
  </si>
  <si>
    <t>DHCI form done</t>
  </si>
  <si>
    <t>This case got missed in earlier reporting, reporting it now</t>
  </si>
  <si>
    <t>Compliance Forms are LS 19-1904941</t>
  </si>
  <si>
    <t>Compliance Forms are LS 19-1903926</t>
  </si>
  <si>
    <t>Income Waiver denied on 7/9/19</t>
  </si>
  <si>
    <t>Compliance in 18-1878653</t>
  </si>
  <si>
    <t>Zip code waiver required for client in a building wide initiative</t>
  </si>
  <si>
    <t>Client never met with any staff member. Advised over the phone.</t>
  </si>
  <si>
    <t>see 18-1875936 for compliance docs</t>
  </si>
  <si>
    <t>releases in 19-1900448</t>
  </si>
  <si>
    <t>This case is for assisting client with a relocation agreement after a fire in her apartment.</t>
  </si>
  <si>
    <t>This case is for assisting client with her lease renewal.</t>
  </si>
  <si>
    <t>This case is for securing new lease renwal for client</t>
  </si>
  <si>
    <t>Consent to Release Form is unsigned</t>
  </si>
  <si>
    <t>possible; dup release and DHCI in 19-1910612</t>
  </si>
  <si>
    <t>see 19-1900440 for release and DHCI</t>
  </si>
  <si>
    <t>compliance docs located in parent file 18-1878374</t>
  </si>
  <si>
    <t>Compliance docs located in parent file 18-1878374</t>
  </si>
  <si>
    <t>City FHEPS Case #:10154731</t>
  </si>
  <si>
    <t>intake/release forms are in Attestation-compliance folder of parent file #19-1887512</t>
  </si>
  <si>
    <t>Compliance docs located in file 18-1875239</t>
  </si>
  <si>
    <t>Compliance doc located in file #18-1877829</t>
  </si>
  <si>
    <t>Intake release forms are in Attestation-compliance folder</t>
  </si>
  <si>
    <t>Need income waiver for non-pay client associated with a building wide initiative.</t>
  </si>
  <si>
    <t>DO-Docs signed and uploaded</t>
  </si>
  <si>
    <t>Letter to the landlord regarding conditions. Notes in case 19-1911193. Compliance forms have been uploaded.</t>
  </si>
  <si>
    <t>Needs income waiver for building wide/group work</t>
  </si>
  <si>
    <t>DO-noted that waiver was approved - Compliance docs in parent file 18-1875098</t>
  </si>
  <si>
    <t>Upload in compliance folder</t>
  </si>
  <si>
    <t>Releases in 18-1875383</t>
  </si>
  <si>
    <t>Compliance docs located in parent file #18-1878370</t>
  </si>
  <si>
    <t>releases and DHCI in 18-1878370</t>
  </si>
  <si>
    <t>Group HP case. Notes in 19-1911193. All compliance forms have been uploaded.</t>
  </si>
  <si>
    <t>Compliance Docs located in file 18-1873579</t>
  </si>
  <si>
    <t>Need income waiver for client who is part of a building wide initiative</t>
  </si>
  <si>
    <t>Compliance Docs located in file 18-1877136</t>
  </si>
  <si>
    <t>DO-Noted that waiver was approved / Compliance docs located in parent file #18-1874152</t>
  </si>
  <si>
    <t>Need income waiver for client who is part of a group initiative.</t>
  </si>
  <si>
    <t>Building-wide rent reduction application. Notes are in case 19-1911193. All compliance forms have been uploaded.</t>
  </si>
  <si>
    <t>See file #18-1879507 for compliance docs</t>
  </si>
  <si>
    <t>release in repair file</t>
  </si>
  <si>
    <t>Income Waiver denied on 7/9/2019</t>
  </si>
  <si>
    <t>releases/packet uploaded</t>
  </si>
  <si>
    <t>compliance docs are in attestation folder</t>
  </si>
  <si>
    <t>Advice Only</t>
  </si>
  <si>
    <t>HRA release/Intake packet at 19-1898908</t>
  </si>
  <si>
    <t>Releases are uploaded</t>
  </si>
  <si>
    <t>Unsigned Consent to Release  - Cannot Report</t>
  </si>
  <si>
    <t>intake/releases uploaded</t>
  </si>
  <si>
    <t>need income waiver for TRC</t>
  </si>
  <si>
    <t>consent in 2018 file; active HRA# in lieu of DHCI</t>
  </si>
  <si>
    <t>no ben as per HRA 3-13-17</t>
  </si>
  <si>
    <t>Income waiver required for TRC</t>
  </si>
  <si>
    <t>Compliance forms are in LS 19-1908611</t>
  </si>
  <si>
    <t>2016 3307 case restored in 2019; coding as 3018</t>
  </si>
  <si>
    <t>Client did not provide SS#.</t>
  </si>
  <si>
    <t>refuse to give full SS#</t>
  </si>
  <si>
    <t>PVT house</t>
  </si>
  <si>
    <t>HPD case</t>
  </si>
  <si>
    <t>upload in 18-1876828</t>
  </si>
  <si>
    <t>upload in 18-1876799</t>
  </si>
  <si>
    <t>Income waiver needed for building wide affirmative action</t>
  </si>
  <si>
    <t>Income waiver needed for building wide work - Compliance docs located in parent file #19-1898331</t>
  </si>
  <si>
    <t>HRA Consent form &amp; Attestation located in Parent File 17-1854274</t>
  </si>
  <si>
    <t>Need income waiver for client who is part of a building wide initiative.</t>
  </si>
  <si>
    <t>Compliance docs located in companion file #19-1901098</t>
  </si>
  <si>
    <t>upload in 18-1876793</t>
  </si>
  <si>
    <t>upload in 18-1876941</t>
  </si>
  <si>
    <t>Income waiver needed - compliance docs located in companion file #19-1898334</t>
  </si>
  <si>
    <t>Need income waiver for client who is a part of building wide initiative</t>
  </si>
  <si>
    <t>uploaded in 18-1876925</t>
  </si>
  <si>
    <t>All forms are uploaded</t>
  </si>
  <si>
    <t>compliance doc in 18-1881489</t>
  </si>
  <si>
    <t>upload in compliance folder</t>
  </si>
  <si>
    <t>upload in 18-1876913</t>
  </si>
  <si>
    <t>Needs income waiver</t>
  </si>
  <si>
    <t>Compliance Docs located in companion file #19-1897431</t>
  </si>
  <si>
    <t>DO</t>
  </si>
  <si>
    <t>Brief Service</t>
  </si>
  <si>
    <t>4/12 - case status unclear from notes</t>
  </si>
  <si>
    <t>4/10 - need consent; case status unclear</t>
  </si>
  <si>
    <t>HRA and DHCI forms are in case #19-1899894</t>
  </si>
  <si>
    <t>HRA and DHCI forms are in case #18-1885956</t>
  </si>
  <si>
    <t>HRA consent and DHCI forms are in LS#HRA consent is in LS#18-1885738</t>
  </si>
  <si>
    <t>4/12 - case status unclear from notescase status unclear from notes</t>
  </si>
  <si>
    <t>confirm/upload forms</t>
  </si>
  <si>
    <t>requested TRC waiver</t>
  </si>
  <si>
    <t>DHCI form done HRA</t>
  </si>
  <si>
    <t>missing forms</t>
  </si>
  <si>
    <t>HPLP billable if not TRC</t>
  </si>
  <si>
    <t>No 4 month issue, rent reduction was done in 2016, PAR was done in 2017, just obtained forms in 2018</t>
  </si>
  <si>
    <t>CASA 12/6</t>
  </si>
  <si>
    <t>need DHCI to bill</t>
  </si>
  <si>
    <t>DHCI Form Completed</t>
  </si>
  <si>
    <t>DHCI in other 63 file</t>
  </si>
  <si>
    <t>DHCI &amp; consent in file # 19-1893001</t>
  </si>
  <si>
    <t>Consented via phone</t>
  </si>
  <si>
    <t>HRA Consent uploaded</t>
  </si>
  <si>
    <t>No 4 month issue, rent reduction was done in 2016, PAR was done in 2017, just obtained forms in 2018.  DHCI marked yes bc verified benefits</t>
  </si>
  <si>
    <t>dhcr group reduction application</t>
  </si>
  <si>
    <t>compliance doc 18-1876696</t>
  </si>
  <si>
    <t>rep in group dhcr reduction of services action</t>
  </si>
  <si>
    <t>group reduction of services dhcr complaint</t>
  </si>
  <si>
    <t>dhcr group reduction case</t>
  </si>
  <si>
    <t>no pending case --&gt; TRC funding code</t>
  </si>
  <si>
    <t>PA Check AB</t>
  </si>
  <si>
    <t>AB Yes Release</t>
  </si>
  <si>
    <t>Release uploaded SRB</t>
  </si>
  <si>
    <t>HPD rollover case</t>
  </si>
  <si>
    <t>compliance docs in 18-1872064</t>
  </si>
  <si>
    <t>DO-Docs signed and uploaded-File is under the compliance folder as "Attestation"</t>
  </si>
  <si>
    <t>Compliance forms are in LS 18-1878923</t>
  </si>
  <si>
    <t>Compliance in 18-1878923</t>
  </si>
  <si>
    <t>Compliance Forms are in LS 19-1900103</t>
  </si>
  <si>
    <t>DHCI form below and rest of Compliance docs located in parent file 19-1896750</t>
  </si>
  <si>
    <t>Compliance upload 18-1876272</t>
  </si>
  <si>
    <t>upload in 17-1852369</t>
  </si>
  <si>
    <t>Out-of-date forms in 17-1852369</t>
  </si>
  <si>
    <t>Compliance forms are in LS 19-1903231</t>
  </si>
  <si>
    <t>Income waiver for bldg</t>
  </si>
  <si>
    <t>upload in 18-1879056</t>
  </si>
  <si>
    <t>18-1871414)</t>
  </si>
  <si>
    <t>Complaince Form is in LS 19-1895329</t>
  </si>
  <si>
    <t>Compliance forms are in LS 18-1885061</t>
  </si>
  <si>
    <t>Compliance docs located in parent file #19-1905068</t>
  </si>
  <si>
    <t>DHCI below ; other forms are in 19-1896750</t>
  </si>
  <si>
    <t>Compliance Forms are in LS 19-1904941.</t>
  </si>
  <si>
    <t>see 18-1879063 for comp docs</t>
  </si>
  <si>
    <t>comp docs in 18-1879063</t>
  </si>
  <si>
    <t>Compliance upload 18-1878637</t>
  </si>
  <si>
    <t>compliance at 18-1876272</t>
  </si>
  <si>
    <t>Upload in 17-1852179</t>
  </si>
  <si>
    <t>Compliance forms are in LS 19-1901098</t>
  </si>
  <si>
    <t>Part of a previously approved building wide initiative</t>
  </si>
  <si>
    <t>upload in 18-1879051</t>
  </si>
  <si>
    <t>Compliance forms are LS 19-1895315</t>
  </si>
  <si>
    <t>Compliance forms are in LS 19-1899074</t>
  </si>
  <si>
    <t>Compliance forms in LS 19-1903926</t>
  </si>
  <si>
    <t>Compliance forms are in 19-1895344</t>
  </si>
  <si>
    <t>upload in 17-1852179</t>
  </si>
  <si>
    <t>Compliance upload 18-1878669</t>
  </si>
  <si>
    <t>upload in 17-1852920</t>
  </si>
  <si>
    <t>compliance forms located in parent file 19-1896739</t>
  </si>
  <si>
    <t>Compliance forms are in 19-1896739</t>
  </si>
  <si>
    <t>Compliance Forms are in 19-1896739</t>
  </si>
  <si>
    <t>Compliance forms are in 19-1896778</t>
  </si>
  <si>
    <t>Compliance Docs located in parent file #18-1885168</t>
  </si>
  <si>
    <t>Compliance Docs located in parent file #18-1885030</t>
  </si>
  <si>
    <t>compliance docs located in parent file #18-1885030</t>
  </si>
  <si>
    <t>COmpliance forms are in LS 19-1905076</t>
  </si>
  <si>
    <t>Compliance forms are in LS 19-1905076.  Needs income waiver</t>
  </si>
  <si>
    <t>Compliance upload 18-1878653</t>
  </si>
  <si>
    <t>compliance docs located in parent file #18-1885168</t>
  </si>
  <si>
    <t>Compliance Forms are in LS 19-1895314</t>
  </si>
  <si>
    <t>upload in 18-1871730</t>
  </si>
  <si>
    <t>Compliance Forms are in 19-1896646</t>
  </si>
  <si>
    <t>Compliance forms are in LS 18-1878653.</t>
  </si>
  <si>
    <t>Compliance forms are in 19-1896646.</t>
  </si>
  <si>
    <t>Compliance forms can be found in 19-1896646</t>
  </si>
  <si>
    <t>Compliance docs located in parent file 19-1896646 - Need income waiver</t>
  </si>
  <si>
    <t>HRA verification in lieu of DHCI</t>
  </si>
  <si>
    <t>DHCI marked yes b/c HRA verified AC/SNAP 3/23/2018</t>
  </si>
  <si>
    <t>DHCI form is in file 18-1870514</t>
  </si>
  <si>
    <t>Obtain consent via phone 6/4/18.  No 4 month issue, rent reduction was done in 2016, PAR was done in 2017, just obtained forms in 2018</t>
  </si>
  <si>
    <t>Obtain consent via phone 6/4/18</t>
  </si>
  <si>
    <t>CASA 1/3</t>
  </si>
  <si>
    <t>CL gave verbal consent to report to HRA on 1/11/18</t>
  </si>
  <si>
    <t>Client gave verbal consent to report to HRA</t>
  </si>
  <si>
    <t>DHCI Pending</t>
  </si>
  <si>
    <t>&gt;200% need waiver</t>
  </si>
  <si>
    <t>No 4 month issue, rent reduction was done in 2016, PAR was done in 2017, just obtained forms in 2018, DHCI form in other 63 file</t>
  </si>
  <si>
    <t>HRA consent uploaded</t>
  </si>
  <si>
    <t>Forms are in 63 file, 18-1859859</t>
  </si>
  <si>
    <t>need income waiver for participant in building wide initiative</t>
  </si>
  <si>
    <t>Compliance docs located in parent file #18-1875686</t>
  </si>
  <si>
    <t>AB No Release</t>
  </si>
  <si>
    <t>18-1871414</t>
  </si>
  <si>
    <t>DHCI waived for Bnkcy clients in building wide NEBHDCO actions</t>
  </si>
  <si>
    <t>Does a housing issue via Single Stop get SS or TRC funding code?</t>
  </si>
  <si>
    <t>compliance docs are in retainer folder</t>
  </si>
  <si>
    <t>compliancedocs: HRA release in 17-0828947 RR-7/20/17</t>
  </si>
  <si>
    <t>compliance docs in Case No: (19-1895470</t>
  </si>
  <si>
    <t>refused to give SS#</t>
  </si>
  <si>
    <t>Did not provide SS #</t>
  </si>
  <si>
    <t>Client provided last 4 digits of SS# but declined to provide in its entirety.</t>
  </si>
  <si>
    <t>did not provide ss #</t>
  </si>
  <si>
    <t>did not provide SS#</t>
  </si>
  <si>
    <t>no SS # provided</t>
  </si>
  <si>
    <t>UA/TRC funding swap; need billing consent + DHCI or active CA/SNAP # - 5/17</t>
  </si>
  <si>
    <t>HRA verified active PA/SNAP 3/13/17</t>
  </si>
  <si>
    <t>Consent to Obtain Only  Uploaded</t>
  </si>
  <si>
    <t>not sure if we can bill since case is about damages in a former apt?</t>
  </si>
  <si>
    <t>Compliance docs located in companion file #19-1899074</t>
  </si>
  <si>
    <t>Sent by email to Sylvia</t>
  </si>
  <si>
    <t>Compliance Forms are in LS 18-1885016</t>
  </si>
  <si>
    <t>Compliance Docs located in parent file #19-1892341 incl retainer &amp; attestation</t>
  </si>
  <si>
    <t>compliancedocs: hra release in 15-0780976  rr-7/20/17</t>
  </si>
  <si>
    <t>Releases are in the attestation folder</t>
  </si>
  <si>
    <t>Client got advice and outside referral over the phone. No one met with him in person &amp; no compliance docs obtained</t>
  </si>
  <si>
    <t>SS # not provided</t>
  </si>
  <si>
    <t>did not provide SS #</t>
  </si>
  <si>
    <t>See attestation at https://lsnyc.legalserver.org/matter/dynamic-profile/view/1899590</t>
  </si>
  <si>
    <t>Over 200%</t>
  </si>
  <si>
    <t>PA case # 34203610A</t>
  </si>
  <si>
    <t>Retainer at 16-0804064</t>
  </si>
  <si>
    <t>No TNo TRC funding because cant get retainer</t>
  </si>
  <si>
    <t>reviewed SRB 12.12.16</t>
  </si>
  <si>
    <t>SS# not given in full</t>
  </si>
  <si>
    <t>SS# not provided</t>
  </si>
  <si>
    <t>Consumer debt case</t>
  </si>
  <si>
    <t>4/10-needs advocacy or advice notes</t>
  </si>
  <si>
    <t>HRA and DHCI forms are in case #19-1887093</t>
  </si>
  <si>
    <t>HRA waiver approved on 11/7/17</t>
  </si>
  <si>
    <t>Missing forms and index #</t>
  </si>
  <si>
    <t>Need HRA consent form</t>
  </si>
  <si>
    <t>Client did not provide his SS#</t>
  </si>
  <si>
    <t>CASA advice?</t>
  </si>
  <si>
    <t>need waiver &gt;200%</t>
  </si>
  <si>
    <t>Forms are in the other 2018 file</t>
  </si>
  <si>
    <t>HRA consent is in 2016 file and HRA approved income waiver in Nov. 2017</t>
  </si>
  <si>
    <t>Cl is over 200%, income waiver granted by HRA 11/22/17</t>
  </si>
  <si>
    <t>4/18 - case status unclear from notes</t>
  </si>
  <si>
    <t>4/18 - case type &amp; status unclear from notes</t>
  </si>
  <si>
    <t>HRA consent form is in 2016 file</t>
  </si>
  <si>
    <t>HPLP Income Waiver granted by HRA 8-29-17</t>
  </si>
  <si>
    <t>HRA consent is in 2016 file, DHCI form is in other 2018 file</t>
  </si>
  <si>
    <t>CASA 10/11</t>
  </si>
  <si>
    <t>full PA benefits</t>
  </si>
  <si>
    <t>HRA consent in 2016 file</t>
  </si>
  <si>
    <t>&gt;200% Income waiver neede?</t>
  </si>
  <si>
    <t>HRA verified benefits in April, have DHCI form in other 2018 file and HRA consent form in 2016 file</t>
  </si>
  <si>
    <t>50%+1 income waiver requested</t>
  </si>
  <si>
    <t>Income waiver required</t>
  </si>
  <si>
    <t>Client is part of building wide initiative at 1074 Eastern Pkwy - Income waiver has been requested</t>
  </si>
  <si>
    <t>50% +1 income waiver needed</t>
  </si>
  <si>
    <t>under TRC coz there is no pending case</t>
  </si>
  <si>
    <t>Releases in (17-0831758)</t>
  </si>
  <si>
    <t>unable to obtain retainer despite best efforts</t>
  </si>
  <si>
    <t>PA advocacy for index # LT-073674-19/KI</t>
  </si>
  <si>
    <t>PA Advocacy for Index LT-065317-19/KI</t>
  </si>
  <si>
    <t>This file is part of Housing Court case 19-1904189</t>
  </si>
  <si>
    <t>Assistance provided to Jim McC on Holdover case file #18-1871668</t>
  </si>
  <si>
    <t>Compliance forms and all other documents can be found in original case 18-1872177</t>
  </si>
  <si>
    <t>PA advocacy for index # LT-076809-19/KI</t>
  </si>
  <si>
    <t>PA Advocacy for Index # LT-017910-18/KI</t>
  </si>
  <si>
    <t>PA advocacy for index # LT-058694-19/KI</t>
  </si>
  <si>
    <t>This file is a part of Non-pay action File #19-1903654</t>
  </si>
  <si>
    <t>non-resident. DV victim</t>
  </si>
  <si>
    <t>PA Advocacy for Index # LT-073248-19/KI</t>
  </si>
  <si>
    <t>Companion file to #19-1907227</t>
  </si>
  <si>
    <t>This file is companion to Eviction case # 19-1899803</t>
  </si>
  <si>
    <t>PA Advocacy for Index LT-073440-19/KI</t>
  </si>
  <si>
    <t>PA Advocacy for Index No. LT-059006-19/KI.</t>
  </si>
  <si>
    <t>PA advocacy for index # LT-066745-18/KI</t>
  </si>
  <si>
    <t>TRC grant (Advocacy case); over 200% - Income waiver requested on 2.7.19.</t>
  </si>
  <si>
    <t>consumer case</t>
  </si>
  <si>
    <t>No benefit, HRA verified, 7/20/17</t>
  </si>
  <si>
    <t>Cl gave us verbal consent to report her info to HRA on 12/8</t>
  </si>
  <si>
    <t>CASA 4/18</t>
  </si>
  <si>
    <t>DHCI and HRA consent forms are located in LS File 19-1887832</t>
  </si>
  <si>
    <t>HRA consent and DHCI forms are located in LS File - 19-1887832</t>
  </si>
  <si>
    <t>Waiver obtained re No DHCI required. Attestation &amp; Release are housed in parent file #19-1891565</t>
  </si>
  <si>
    <t>Complaince forms are in original LS 18-1886541</t>
  </si>
  <si>
    <t>Building wide waiver obtained for DHCI form</t>
  </si>
  <si>
    <t>Wavier for APT Facial Recognition. No DHCI required.</t>
  </si>
  <si>
    <t>Building wide waiver obtained for DHCI form - Compliance docs located in companion file #19-1897609</t>
  </si>
  <si>
    <t>Compliance form are in original LS 19-1890535</t>
  </si>
  <si>
    <t>Waiver obtained for DHCI re APT bldg wide initiative</t>
  </si>
  <si>
    <t>Wavier for APT Facial Recognition. No DHCI or SSN required. Compliance Docs located in parent file #19-1890555</t>
  </si>
  <si>
    <t>Compliance forms are in original LS 19-1892764</t>
  </si>
  <si>
    <t>Compliance Forms are in 19-1897205</t>
  </si>
  <si>
    <t>Compliance forms are in original LS 18-1886113</t>
  </si>
  <si>
    <t>Waiver obtained re No DHCI required</t>
  </si>
  <si>
    <t>Wavier for APT Facial recognition. No DHCI required</t>
  </si>
  <si>
    <t>Building wide waiver obtained for DHCI form - Compliance Docs located in companion file #19-1897406</t>
  </si>
  <si>
    <t>Wavier for APT facial recognition. No DHCI required.</t>
  </si>
  <si>
    <t>Wavier for APT Facial recognition.No DHCI required.</t>
  </si>
  <si>
    <t>Compliance forms are in original LS 19-1892069</t>
  </si>
  <si>
    <t>Compliance Forms are in original LS 19-1892761</t>
  </si>
  <si>
    <t>Compliance forms are in original LS 19-1892521</t>
  </si>
  <si>
    <t>Compliance forms are in original LS 19-1889442</t>
  </si>
  <si>
    <t>Waiver obtained re No DHCI required. Attestation &amp; Release are housed in parent file #19-1891635</t>
  </si>
  <si>
    <t>Wavier for APT Facial Recognition.No DHCI required.</t>
  </si>
  <si>
    <t>Compliance forms are 19-1897167</t>
  </si>
  <si>
    <t>Building wide waiver obtained for DHCI form - Compliance Docs located in companion file #19-1897518</t>
  </si>
  <si>
    <t>Compliance forms are in LS 19-1902020</t>
  </si>
  <si>
    <t>Compliance forms are in LS 19-1901993</t>
  </si>
  <si>
    <t>Wavier for APT Facial Recogniton. No DHCI Required. Income waiver required</t>
  </si>
  <si>
    <t>Building wide waiver obtained for DHCI form - Compliance Docs located in companion file #19-1897528</t>
  </si>
  <si>
    <t>DHCI requirement waived re building wide initiative in opposition to Facial Recognition</t>
  </si>
  <si>
    <t>Income waiver required. DHCI waiver obtained</t>
  </si>
  <si>
    <t>Waiver obtained re No DHCI required. Attestation &amp; Release are housed in parent file #19-1891500</t>
  </si>
  <si>
    <t>Compliance forms are in 19-1898022</t>
  </si>
  <si>
    <t>Waiver for APT Facial recognition. No DHCI required.</t>
  </si>
  <si>
    <t>Waiver obtained re No DHCI required. Attestation &amp; Release are housed in parent file #19-1891580</t>
  </si>
  <si>
    <t>No DHCI required -Waiver obtained for APT facial recognition building wide initiative</t>
  </si>
  <si>
    <t>Waiver obtained re No DHCI required. Attestation &amp; Release are housed in parent file #19-1891491</t>
  </si>
  <si>
    <t>Waiver obtained re No DHCI required. Attestation &amp; Release are housed in parent file #19-1891507</t>
  </si>
  <si>
    <t>Waiver obtained re No DHCI required.</t>
  </si>
  <si>
    <t>Waiver obtained for DHCI and SSN</t>
  </si>
  <si>
    <t>Waiver obtained - No DHCI required Compliance Docs located in parent file #19-1890579</t>
  </si>
  <si>
    <t>Wavier for APT Facial Recognition. No DHCI required. Compliance forms are in 19-1897190</t>
  </si>
  <si>
    <t>Compliance forms are in 19-1898243</t>
  </si>
  <si>
    <t>Compliance forms are in original LS 19-1892094</t>
  </si>
  <si>
    <t>Waiver obtained - No DHCI required Compliance Docs located in parent file #19-1890561</t>
  </si>
  <si>
    <t>Building wide waiver obtained for DHCI form -Compliance Doc located in companion file #19-1897349</t>
  </si>
  <si>
    <t>Compliances forms are in original LS 19-1891891</t>
  </si>
  <si>
    <t>Compliance Forms are in orginial LS 19-1891925</t>
  </si>
  <si>
    <t>Building wide waiver obtained for DHCI form - Needs income waiver</t>
  </si>
  <si>
    <t>Building wide waiver obtained for DHCI form - Compliance Docs located in Companion file #19-1897400</t>
  </si>
  <si>
    <t>Compliance forms are in 19-1898259</t>
  </si>
  <si>
    <t>Wavier for APT Facial Recogniton. No DHCI required.</t>
  </si>
  <si>
    <t>Compliance forms are in 19-1898976</t>
  </si>
  <si>
    <t>Compliance forms are in 19-1898268</t>
  </si>
  <si>
    <t>Waiver obtained - No DHCI required Compliance Docs located in parent file #19-1890540</t>
  </si>
  <si>
    <t>Compliance forms are in 19-1898376</t>
  </si>
  <si>
    <t>Waiver obtained for APT facial recognition group wide initiative - No DHCI required</t>
  </si>
  <si>
    <t>Compliance forms are in 19-1898966</t>
  </si>
  <si>
    <t>Compliance forms ar ein original LS 19-1890587</t>
  </si>
  <si>
    <t>Wavier for APT Facial recognition. No DHCI required.</t>
  </si>
  <si>
    <t>Compliance forms are in original LS 19-1892080</t>
  </si>
  <si>
    <t>Compliance Forms are in original LS 19-1890581</t>
  </si>
  <si>
    <t>Building wide waiver obtained for DHCI form -Compliance Docs located in companion file #19-1897337</t>
  </si>
  <si>
    <t>Compliance forms are in 19-1897843</t>
  </si>
  <si>
    <t>Compliance forms are in 19-1897175</t>
  </si>
  <si>
    <t>Compliance forms are in 19-1902026</t>
  </si>
  <si>
    <t>Building wide waiver obtained for DHCI form - Compliance docs located in companion file #19-1897605</t>
  </si>
  <si>
    <t>Compliance forms are in 19-1898987</t>
  </si>
  <si>
    <t>Building wide waiver obtained for DHCI form -Compliance Docs located in companion file #19-1897393</t>
  </si>
  <si>
    <t>Compliance Forms are in original LS 19-1891914</t>
  </si>
  <si>
    <t>Compliance forms are in 19-1898845</t>
  </si>
  <si>
    <t>Compliance forms are in original LS 19-1890543</t>
  </si>
  <si>
    <t>Compliance Forms are in original LS 19-1890575</t>
  </si>
  <si>
    <t>Building wide waiver obtained for DHCI form - Compliance Docs located in companion file #19-1897534</t>
  </si>
  <si>
    <t>Compliance forms are in original LS 19-1892004</t>
  </si>
  <si>
    <t>old form - minors with benefits but no PA number entered</t>
  </si>
  <si>
    <t>Compliance forms are in 19-1898848</t>
  </si>
  <si>
    <t>Waiver obtained for DHCI - Waiver required for income</t>
  </si>
  <si>
    <t>Compliance forms are in 19-1898251</t>
  </si>
  <si>
    <t>Waiver obtained - No DHCI required</t>
  </si>
  <si>
    <t>Compliance Forms are in orginial LS 19-1891940</t>
  </si>
  <si>
    <t>Compliance forms are in original LS 19-1892678</t>
  </si>
  <si>
    <t>Waiver obtained - No DHCI required Compliance Docs located in parent file #19-1890532</t>
  </si>
  <si>
    <t>Compliance forms are in 19-1898951</t>
  </si>
  <si>
    <t>Compliance Forms are in original LS 19-1890628</t>
  </si>
  <si>
    <t>Compliance forms are in original LS 18-1886109</t>
  </si>
  <si>
    <t>Compliance forms are in original LS 19-1892850</t>
  </si>
  <si>
    <t>Complaince forms are in original LS 19-1890550</t>
  </si>
  <si>
    <t>Compliance forms are in 19-1902042</t>
  </si>
  <si>
    <t>Compliance forms are in 19-1897702</t>
  </si>
  <si>
    <t>Wavier for APT Facial Recognition. No DHCI or SSN required.</t>
  </si>
  <si>
    <t>Compliance forms are in 19-1898368</t>
  </si>
  <si>
    <t>No DHCI required -Waiver obtained for APT facial recognition group wide initiative</t>
  </si>
  <si>
    <t>Waiver obtained - No DHCI required Compliance Docs located in parent file #19-1890552</t>
  </si>
  <si>
    <t>Waiver for APT Facial Recognition. DHCI not required.</t>
  </si>
  <si>
    <t>Compliance forms are in 19-1902056</t>
  </si>
  <si>
    <t>Compliance forms are in 19-1898394</t>
  </si>
  <si>
    <t>Waiver obtained - No DHCI required Compliance Docs located in parent file #19-1890567</t>
  </si>
  <si>
    <t>Need income waiver for client in a building wide initiative</t>
  </si>
  <si>
    <t>Compliance forms are in original LS 19-1890177</t>
  </si>
  <si>
    <t>Waiver for APT Facial Recognition. No DHCI required.</t>
  </si>
  <si>
    <t>Building wide waiver obtained for DHCI form - Compliance Docs located in companion file #19-1897516</t>
  </si>
  <si>
    <t>Waiver obtained re No DHCI required. Attestation &amp; Release are housed in parent file #19-1891550</t>
  </si>
  <si>
    <t>Compliance forms are LS 19-1901977</t>
  </si>
  <si>
    <t>Compliance forms are in original LS 19-1892641</t>
  </si>
  <si>
    <t>Compliance Docs located in parent file #18-1886406</t>
  </si>
  <si>
    <t>Compliance forms are in original LS 19-1892650</t>
  </si>
  <si>
    <t>Opposition to facial recognition. Wavier for APT facial recogniton. No DHCI required.</t>
  </si>
  <si>
    <t>Compliance Docs located in parent file #18-1886163</t>
  </si>
  <si>
    <t>Need income waiver. Waiver obtained re No DHCI required</t>
  </si>
  <si>
    <t>Compliance Forms are in original LS 19-1890584</t>
  </si>
  <si>
    <t>Compliance forms are in 19-1898826</t>
  </si>
  <si>
    <t>Income waiver needed for this master file of building wide initiative</t>
  </si>
  <si>
    <t>Waiver for DHCI obtained for facial recognition building wide initiative- Income waiver required</t>
  </si>
  <si>
    <t>Wavier for APT facial regonition. No DHCI required.</t>
  </si>
  <si>
    <t>Waiver obtained - No DHCI required Compliance Docs located in parent file #19-1890630</t>
  </si>
  <si>
    <t>Income waiver required. Waiver obtained re No DHCI required.</t>
  </si>
  <si>
    <t>Compliance forms are in original LS 19-1891983</t>
  </si>
  <si>
    <t>50+1% income waiver requested</t>
  </si>
  <si>
    <t>Wavier for APt facial recognition. No DHCI required.</t>
  </si>
  <si>
    <t>DHCI waiver obtained for facial recognition group work</t>
  </si>
  <si>
    <t>Waiver obtained re No DHCI required. Attestation &amp; Release are housed in parent file #19-1891662</t>
  </si>
  <si>
    <t>Compliance forms are LS 19-1901986</t>
  </si>
  <si>
    <t>Building wide waiver obtained for DHCI form. Retainer, Attestation &amp; Release located in companion file #19-1897410</t>
  </si>
  <si>
    <t>Waiver obtained re No DHCI required. Attestation &amp; Release are housed in parent file #19-1891604</t>
  </si>
  <si>
    <t>Compliance forms are in 19-1898732</t>
  </si>
  <si>
    <t>Compliance Docs located in parent file #18-1886734</t>
  </si>
  <si>
    <t>Compliance forms are in 19-1898956</t>
  </si>
  <si>
    <t>Waiver for no DHCI required</t>
  </si>
  <si>
    <t>Compliance Docs located in parent file #18-1878029</t>
  </si>
  <si>
    <t>Waiver for No DHCI required - Compliance docs in parent file #19-1893258</t>
  </si>
  <si>
    <t>Compliance forms are in 19-1902158</t>
  </si>
  <si>
    <t>DHCI waiver obtained. Need income waiver</t>
  </si>
  <si>
    <t>Compliance forms are in original LS 19-1892667</t>
  </si>
  <si>
    <t>Compliance forms are in 19-1898037</t>
  </si>
  <si>
    <t>Compliance forms are in original LS 19-1892863</t>
  </si>
  <si>
    <t>Compliance forms are in 19-1898404</t>
  </si>
  <si>
    <t>Compliance Docs located in parent file #19-1887097</t>
  </si>
  <si>
    <t>Opposition to Facial Recogntion. Wavier for APT Facial Recognition. No DHCI Required.</t>
  </si>
  <si>
    <t>Compliance forms are in LS 19-1902001</t>
  </si>
  <si>
    <t>Compliance forms are in 19-1898982</t>
  </si>
  <si>
    <t>Compliance forms are in 19-1897154</t>
  </si>
  <si>
    <t>Income waiver required. Waiver obtained re DHCI not required</t>
  </si>
  <si>
    <t>Income waiver needed. Wavier for APT Facial Recognition. No DHCI required.</t>
  </si>
  <si>
    <t>Wavier for facial recognition. No DHCI required.</t>
  </si>
  <si>
    <t>Waiver obtained re No DHCI required. Attestation &amp; Release are housed in parent file #19-1891586</t>
  </si>
  <si>
    <t>Atlantic Plaza Towers facial recognition advocacy</t>
  </si>
  <si>
    <t>Compliance forms are in 19-1898383</t>
  </si>
  <si>
    <t>Opposition to facial recogntiton. Wavier for APT Facial Recognition. No DHCI required.</t>
  </si>
  <si>
    <t>Compliance forms are in original LS 19-1890585</t>
  </si>
  <si>
    <t>Compliance forms are in original LS 19-1891991</t>
  </si>
  <si>
    <t>upload in 17-1835050</t>
  </si>
  <si>
    <t>Waiver obtained re No DHCI required. Attestation &amp; Release are housed in parent file #19-1891594</t>
  </si>
  <si>
    <t>Waiver obtained for DHCI form</t>
  </si>
  <si>
    <t>Compliance forms are in LS 19-1902048</t>
  </si>
  <si>
    <t>Waiver obtained re No DHCI required. Attestation &amp; Release are housed in parent file #19-1891541</t>
  </si>
  <si>
    <t>Compliance Docs located in parent file #18-1886536</t>
  </si>
  <si>
    <t>Compliance Docs found in parent file 18-1878029</t>
  </si>
  <si>
    <t>Waiver obtained re No DHCI required. Attestation &amp; Release are housed in parent file #19-1891559</t>
  </si>
  <si>
    <t>duplicate not worth reporting at this point?</t>
  </si>
  <si>
    <t>duplicate case where no services were provided;  needs to zz'ed</t>
  </si>
  <si>
    <t>client did not sign the consent to release</t>
  </si>
  <si>
    <t>COnsebt and DHCI 19-1897729</t>
  </si>
  <si>
    <t>veteran; hra granted income waiver</t>
  </si>
  <si>
    <t>PA PO</t>
  </si>
  <si>
    <t>Releases at case 17-1851828</t>
  </si>
  <si>
    <t>upload in 17-1853915</t>
  </si>
  <si>
    <t>Income waiver needed for building wide work. Compliance docs located in companion file #18-1882158</t>
  </si>
  <si>
    <t>Client needs income &amp; zip code waivers - Compliance docs located in companion file #18-1880097</t>
  </si>
  <si>
    <t>Waiver obtained for Dukler building wide HP initiative</t>
  </si>
  <si>
    <t>Need income waiver - Compliance docs located in companion file #18-1876511</t>
  </si>
  <si>
    <t>50% +1 income waiver requested</t>
  </si>
  <si>
    <t>Compliance docs located in parent file #18-1876504</t>
  </si>
  <si>
    <t>Compliance docs located in companion file #18-1880272</t>
  </si>
  <si>
    <t>needs to be ZZ closed; prior FY</t>
  </si>
  <si>
    <t>Compliance docs located in companion file #18-1882164</t>
  </si>
  <si>
    <t>Compliance docs located in companion file #18-1882154</t>
  </si>
  <si>
    <t>Compliance docs located in companion file #18-1876512</t>
  </si>
  <si>
    <t>Compliance docs are located in companion file #18-1879255</t>
  </si>
  <si>
    <t>Compliance docs located in companion file #18-1884207</t>
  </si>
  <si>
    <t>Compliance docs located in companion file #19-1895283</t>
  </si>
  <si>
    <t>Compliance Forms are in LS 18-1879657</t>
  </si>
  <si>
    <t>Compliance docs located in companion file #19-1899643 - Income waiver as part of building wide initiative.</t>
  </si>
  <si>
    <t>Client needs income waiver re group rep  - Compliance docs located in companion file #18-1879248</t>
  </si>
  <si>
    <t>Compliance docs located in companion file #19-1895289</t>
  </si>
  <si>
    <t>Need income waiver - Compliance docs located in companion file #18-1876516</t>
  </si>
  <si>
    <t>Income waiver required for client in a Duckler building wide initiative</t>
  </si>
  <si>
    <t>DHCI Form, Releases &amp; attestation located in companion file #19-1891794</t>
  </si>
  <si>
    <t>Need income waiver - Compliance docs located in companion file #18-1885317</t>
  </si>
  <si>
    <t>Need income waiver  - compliance docs located in file #18-1876938</t>
  </si>
  <si>
    <t>Income Waiver denied on 7/9/19- Compliance docs located in parent file #18-1880271</t>
  </si>
  <si>
    <t>Compliance Forms are in LS-18-1879657</t>
  </si>
  <si>
    <t>DHCI FORM NOT SIGNED</t>
  </si>
  <si>
    <t>5/10 - need advice notes; DHCI in case # 19-1897373</t>
  </si>
  <si>
    <t>no forms yet</t>
  </si>
  <si>
    <t>Release and DHCI in 18-1871432</t>
  </si>
  <si>
    <t>Relase in 19-1887291</t>
  </si>
  <si>
    <t>Request Income Waiver</t>
  </si>
  <si>
    <t>Missing Forms</t>
  </si>
  <si>
    <t>4/10 - case status unclear from notes</t>
  </si>
  <si>
    <t>Consent forms are in LS case #19-1893888</t>
  </si>
  <si>
    <t>DHCI by HRA</t>
  </si>
  <si>
    <t>overincome but will be part of group loft law case once bill is passed</t>
  </si>
  <si>
    <t>Compliance docs located in companion file #18-1882630</t>
  </si>
  <si>
    <t>HRA Rollover case</t>
  </si>
  <si>
    <t>DHCI is in LS# 19-1889786</t>
  </si>
  <si>
    <t>copy of PA case comp in 18-1884683</t>
  </si>
  <si>
    <t>Never met with client. No compliance docs obtained.</t>
  </si>
  <si>
    <t>Never met with client in person. Gave simple advice over the phone. No physical file &amp; no compliance docs</t>
  </si>
  <si>
    <t>No compliance docs as never met with client in person. Advice provided by Central Intake</t>
  </si>
  <si>
    <t>Never met with client in person. No compliance docs obtained.</t>
  </si>
  <si>
    <t>Missing HRA form</t>
  </si>
  <si>
    <t>Submitted income waiver to Kim on 4/2</t>
  </si>
  <si>
    <t>missing DHCI &amp; HRA forms</t>
  </si>
  <si>
    <t>Missing forms</t>
  </si>
  <si>
    <t>don't need DHCI bc HRA verified benefits</t>
  </si>
  <si>
    <t>Consent/DHCI forms are in 63 file, 17-1844285</t>
  </si>
  <si>
    <t>over income 411%, need income waiver</t>
  </si>
  <si>
    <t>Missing DHCI &amp; HRA Documents</t>
  </si>
  <si>
    <t>&gt;200%</t>
  </si>
  <si>
    <t>Need Income Waiver</t>
  </si>
  <si>
    <t>not clear what if anything happened with the s8 issue. cl has new nonpay - needs new file</t>
  </si>
  <si>
    <t>Client refused to give SS#</t>
  </si>
  <si>
    <t>bill HPLP if advice only</t>
  </si>
  <si>
    <t>Client refused to sign HRA consent to release</t>
  </si>
  <si>
    <t>need DHCI uploaded or PA# entered</t>
  </si>
  <si>
    <t>income &gt; 200%</t>
  </si>
  <si>
    <t>4/18 - need consent &amp; DHCI uploaded</t>
  </si>
  <si>
    <t>Missing DHCI &amp; HRA Forms</t>
  </si>
  <si>
    <t>Compliance docs in (18-1863740)</t>
  </si>
  <si>
    <t>DHCI Form does not match what is in LS</t>
  </si>
  <si>
    <t>DHCI doesn't match LS</t>
  </si>
  <si>
    <t>RRO application</t>
  </si>
  <si>
    <t>SCRIE</t>
  </si>
  <si>
    <t>rent control overcharge assessment</t>
  </si>
  <si>
    <t>Compliance docs in parent file #18-1876080</t>
  </si>
  <si>
    <t>Compliance docs, incl Attestation, located in companion file #18-1885020</t>
  </si>
  <si>
    <t>09/13/2017</t>
  </si>
  <si>
    <t>07/31/2017</t>
  </si>
  <si>
    <t>11/02/2018</t>
  </si>
  <si>
    <t>04/28/2018</t>
  </si>
  <si>
    <t>02/23/2018</t>
  </si>
  <si>
    <t>08/09/2017</t>
  </si>
  <si>
    <t>06/11/2019</t>
  </si>
  <si>
    <t>02/17/2017</t>
  </si>
  <si>
    <t>05/02/2017</t>
  </si>
  <si>
    <t>10/20/2019</t>
  </si>
  <si>
    <t>06/16/2019</t>
  </si>
  <si>
    <t>12/29/2016</t>
  </si>
  <si>
    <t>12/05/2015</t>
  </si>
  <si>
    <t>01/05/2016</t>
  </si>
  <si>
    <t>06/27/2017</t>
  </si>
  <si>
    <t>02/02/2018</t>
  </si>
  <si>
    <t>07/21/2019</t>
  </si>
  <si>
    <t>08/26/2016</t>
  </si>
  <si>
    <t>01/17/2018</t>
  </si>
  <si>
    <t>10/14/2019</t>
  </si>
  <si>
    <t>04/20/2019</t>
  </si>
  <si>
    <t>02/24/2019</t>
  </si>
  <si>
    <t>06/15/2019</t>
  </si>
  <si>
    <t>05/25/2017</t>
  </si>
  <si>
    <t>02/19/2018</t>
  </si>
  <si>
    <t>12/28/2016</t>
  </si>
  <si>
    <t>08/04/2019</t>
  </si>
  <si>
    <t>03/06/2017</t>
  </si>
  <si>
    <t>04/04/2017</t>
  </si>
  <si>
    <t>09/20/2018</t>
  </si>
  <si>
    <t>02/16/2017</t>
  </si>
  <si>
    <t>01/27/2016</t>
  </si>
  <si>
    <t>07/28/2019</t>
  </si>
  <si>
    <t>08/18/2019</t>
  </si>
  <si>
    <t>09/20/2016</t>
  </si>
  <si>
    <t>01/19/2016</t>
  </si>
  <si>
    <t>11/11/2019</t>
  </si>
  <si>
    <t>07/06/2016</t>
  </si>
  <si>
    <t>08/17/2017</t>
  </si>
  <si>
    <t>01/13/2019</t>
  </si>
  <si>
    <t>10/20/2016</t>
  </si>
  <si>
    <t>09/06/2016</t>
  </si>
  <si>
    <t>01/08/2018</t>
  </si>
  <si>
    <t>12/19/2017</t>
  </si>
  <si>
    <t>02/01/2016</t>
  </si>
  <si>
    <t>02/14/2018</t>
  </si>
  <si>
    <t>02/08/2017</t>
  </si>
  <si>
    <t>06/22/2018</t>
  </si>
  <si>
    <t>03/16/2016</t>
  </si>
  <si>
    <t>01/05/2019</t>
  </si>
  <si>
    <t>09/14/2016</t>
  </si>
  <si>
    <t>08/03/2017</t>
  </si>
  <si>
    <t>12/23/2019</t>
  </si>
  <si>
    <t>11/08/2017</t>
  </si>
  <si>
    <t>11/16/2019</t>
  </si>
  <si>
    <t>Sanchez, Dennis</t>
  </si>
  <si>
    <t>Vergeli, Evelyn</t>
  </si>
  <si>
    <t>McDonald, Susan</t>
  </si>
  <si>
    <t>Hernandez, Jonathan</t>
  </si>
  <si>
    <t>Velasquez, Diana</t>
  </si>
  <si>
    <t>Diaz, Karla</t>
  </si>
  <si>
    <t>Baez, Jeaneshia</t>
  </si>
  <si>
    <t>Prado, Steven</t>
  </si>
  <si>
    <t>Bateman, Steven</t>
  </si>
  <si>
    <t>Neilson, Kathryn</t>
  </si>
  <si>
    <t>Vazquez, Angel</t>
  </si>
  <si>
    <t>Fernandez, Jennifer</t>
  </si>
  <si>
    <t>Bernardez, Florencita</t>
  </si>
  <si>
    <t>Khanam, Aysha</t>
  </si>
  <si>
    <t>Amponsah, Oheneba</t>
  </si>
  <si>
    <t>Dong, Sean</t>
  </si>
  <si>
    <t>Lane, Diane</t>
  </si>
  <si>
    <t>Pujols, Isabel</t>
  </si>
  <si>
    <t>Wong, Angela</t>
  </si>
  <si>
    <t>Pierre, Haenley</t>
  </si>
  <si>
    <t>Atuegbu, Chidera</t>
  </si>
  <si>
    <t>Garcia, Delci</t>
  </si>
  <si>
    <t>Encarnacion-Badru, Bea</t>
  </si>
  <si>
    <t>Martinez, Renee</t>
  </si>
  <si>
    <t>Morales-Robinson, Ana</t>
  </si>
  <si>
    <t>Paz, Alex</t>
  </si>
  <si>
    <t>Djourab, Atteib</t>
  </si>
  <si>
    <t>Garcia, Diana</t>
  </si>
  <si>
    <t>Then, Laura</t>
  </si>
  <si>
    <t>Shang, Andrea</t>
  </si>
  <si>
    <t>Baldova, Maria</t>
  </si>
  <si>
    <t>Deolarte, Stephanie</t>
  </si>
  <si>
    <t>Villanueva, Anthony</t>
  </si>
  <si>
    <t>Garcia, Alexandra</t>
  </si>
  <si>
    <t>Ortega, Luis</t>
  </si>
  <si>
    <t>Benitez, Vicenta</t>
  </si>
  <si>
    <t>Huang, Amanda</t>
  </si>
  <si>
    <t>Torres, Elizabeth</t>
  </si>
  <si>
    <t>Sampert, Monica</t>
  </si>
  <si>
    <t>Medina, Marta</t>
  </si>
  <si>
    <t>Josephson, Edward</t>
  </si>
  <si>
    <t>Salcedo, Luciris</t>
  </si>
  <si>
    <t>Ramos, Yolanda</t>
  </si>
  <si>
    <t>Lopez, Gabriel</t>
  </si>
  <si>
    <t>Wilson-Wieland, Cherille</t>
  </si>
  <si>
    <t>Carrasco, Yazmin</t>
  </si>
  <si>
    <t>Figueroa, Sylvia</t>
  </si>
  <si>
    <t>Mendez-Acosta, Maria</t>
  </si>
  <si>
    <t>Lebro-Lopez, Wanda</t>
  </si>
  <si>
    <t>Rodney, Gabby</t>
  </si>
  <si>
    <t>Ricart, Janet</t>
  </si>
  <si>
    <t>Hernandez, Marisol</t>
  </si>
  <si>
    <t>Hernandez, Elizabeth</t>
  </si>
  <si>
    <t>Guzman Velazquez, Leida</t>
  </si>
  <si>
    <t>Escobar, Sarah</t>
  </si>
  <si>
    <t>Frias De Sosa, Yajaira</t>
  </si>
  <si>
    <t>Duman, Shirley</t>
  </si>
  <si>
    <t>Oquendo, Joann</t>
  </si>
  <si>
    <t>Espinal, Wendy</t>
  </si>
  <si>
    <t>Castillo, Evette</t>
  </si>
  <si>
    <t>St. Marie, Monique</t>
  </si>
  <si>
    <t>Tejada, Dennis</t>
  </si>
  <si>
    <t>Echeverry, Jessica</t>
  </si>
  <si>
    <t>Yeasmin, Sarzah</t>
  </si>
  <si>
    <t>Griffin, Jacquelyn</t>
  </si>
  <si>
    <t>Bowman, Cathy</t>
  </si>
  <si>
    <t>Savinon, Clara</t>
  </si>
  <si>
    <t>Moss, Julieta</t>
  </si>
  <si>
    <t>Kook, Heejung</t>
  </si>
  <si>
    <t>Laffer, Tara</t>
  </si>
  <si>
    <t>Lin, Tina</t>
  </si>
  <si>
    <t>Nadeau-Rifkind, Al</t>
  </si>
  <si>
    <t>Gurung, Rina</t>
  </si>
  <si>
    <t>Granfield, Rachel</t>
  </si>
  <si>
    <t>Hoffman, Julienne</t>
  </si>
  <si>
    <t>Acevedo, Tiffany</t>
  </si>
  <si>
    <t>Richardson, Ryan</t>
  </si>
  <si>
    <t>Alexis, Jennifer</t>
  </si>
  <si>
    <t>Weaver, Cynthia</t>
  </si>
  <si>
    <t>Atkinson, Johnson</t>
  </si>
  <si>
    <t>Arboleda, Paula</t>
  </si>
  <si>
    <t>Rodriguez, Ana</t>
  </si>
  <si>
    <t>Namuche, Raquel</t>
  </si>
  <si>
    <t>Schwartz, Ester</t>
  </si>
  <si>
    <t>Pongnon, Miouly</t>
  </si>
  <si>
    <t>Lee, Alicia</t>
  </si>
  <si>
    <t>Gonzalez, Gabriela</t>
  </si>
  <si>
    <t>Ventura, Alejandro</t>
  </si>
  <si>
    <t>Lee, Soo Hyun</t>
  </si>
  <si>
    <t>Hansen-Eder, Arlene</t>
  </si>
  <si>
    <t>Nachman, Fraidy</t>
  </si>
  <si>
    <t>Suriel, Sal</t>
  </si>
  <si>
    <t>Isaias, Bianca</t>
  </si>
  <si>
    <t>Shearer, Diane</t>
  </si>
  <si>
    <t>Liriano, Isa</t>
  </si>
  <si>
    <t>Allums, Kenneshea</t>
  </si>
  <si>
    <t>Zabizhin, Albert</t>
  </si>
  <si>
    <t>Horth, Aaron</t>
  </si>
  <si>
    <t>Stump, Rafaela</t>
  </si>
  <si>
    <t>Cunningham, Yvonne</t>
  </si>
  <si>
    <t>Weisberg, Michael</t>
  </si>
  <si>
    <t>Chan, Vincce</t>
  </si>
  <si>
    <t>Telson, Sarah</t>
  </si>
  <si>
    <t>Chung, Jeannie</t>
  </si>
  <si>
    <t>Usher, Darnell</t>
  </si>
  <si>
    <t>Padilla, Andrew</t>
  </si>
  <si>
    <t>Coludro, Zulma</t>
  </si>
  <si>
    <t>Rose, Lauren</t>
  </si>
  <si>
    <t>Femiano, Tiffany</t>
  </si>
  <si>
    <t>Liu, Yu Jean</t>
  </si>
  <si>
    <t>Sanabria, Myrna</t>
  </si>
  <si>
    <t>Agarwala, Shelly</t>
  </si>
  <si>
    <t>Cook, Veronica</t>
  </si>
  <si>
    <t>Rosen, Nadya</t>
  </si>
  <si>
    <t>Needs HRA Release</t>
  </si>
  <si>
    <t>No Release - Remove Elig Date</t>
  </si>
  <si>
    <t>Yes</t>
  </si>
  <si>
    <t>No</t>
  </si>
  <si>
    <t xml:space="preserve"> </t>
  </si>
  <si>
    <t>03/29/2017</t>
  </si>
  <si>
    <t>12/31/2016</t>
  </si>
  <si>
    <t>06/30/2019</t>
  </si>
  <si>
    <t>02/23/2019</t>
  </si>
  <si>
    <t>11/17/2019</t>
  </si>
  <si>
    <t>02/01/2018</t>
  </si>
  <si>
    <t>07/29/2017</t>
  </si>
  <si>
    <t>07/01/2018</t>
  </si>
  <si>
    <t>07/13/2016</t>
  </si>
  <si>
    <t>06/02/2018</t>
  </si>
  <si>
    <t>06/01/2019</t>
  </si>
  <si>
    <t>09/01/2019</t>
  </si>
  <si>
    <t>05/25/2016</t>
  </si>
  <si>
    <t>07/01/2017</t>
  </si>
  <si>
    <t>11/14/2016</t>
  </si>
  <si>
    <t>12/30/2017</t>
  </si>
  <si>
    <t>08/30/2016</t>
  </si>
  <si>
    <t>02/02/2019</t>
  </si>
  <si>
    <t>06/26/2016</t>
  </si>
  <si>
    <t>06/30/2016</t>
  </si>
  <si>
    <t>05/11/2019</t>
  </si>
  <si>
    <t>12/08/2018</t>
  </si>
  <si>
    <t>11/15/2016</t>
  </si>
  <si>
    <t>01/01/2019</t>
  </si>
  <si>
    <t>01/15/2018</t>
  </si>
  <si>
    <t>01/20/2018</t>
  </si>
  <si>
    <t>11/30/2019</t>
  </si>
  <si>
    <t>12/01/2018</t>
  </si>
  <si>
    <t>01/07/2018</t>
  </si>
  <si>
    <t>02/10/2020</t>
  </si>
  <si>
    <t>04/30/2017</t>
  </si>
  <si>
    <t>02/15/2018</t>
  </si>
  <si>
    <t>12/08/2017</t>
  </si>
  <si>
    <t>08/19/2018</t>
  </si>
  <si>
    <t>04/21/2017</t>
  </si>
  <si>
    <t>05/18/2019</t>
  </si>
  <si>
    <t>03/31/2018</t>
  </si>
  <si>
    <t>04/01/2017</t>
  </si>
  <si>
    <t>03/17/2018</t>
  </si>
  <si>
    <t>10/20/2018</t>
  </si>
  <si>
    <t>09/20/1019</t>
  </si>
  <si>
    <t>10/01/2017</t>
  </si>
  <si>
    <t>01/25/2016</t>
  </si>
  <si>
    <t>06/16/2018</t>
  </si>
  <si>
    <t>12/23/2018</t>
  </si>
  <si>
    <t>06/09/2018</t>
  </si>
  <si>
    <t>11/23/2018</t>
  </si>
  <si>
    <t>06/17/2018</t>
  </si>
  <si>
    <t>11/10/2018</t>
  </si>
  <si>
    <t>03/26/2017</t>
  </si>
  <si>
    <t>03/18/2018</t>
  </si>
  <si>
    <t>08/10/2018</t>
  </si>
  <si>
    <t>01/19/2019</t>
  </si>
  <si>
    <t>08/03/2019</t>
  </si>
  <si>
    <t>01/09/2018</t>
  </si>
  <si>
    <t>12/01/2016</t>
  </si>
  <si>
    <t>09/05/2016</t>
  </si>
  <si>
    <t>10/31/2016</t>
  </si>
  <si>
    <t>12/20/2019</t>
  </si>
  <si>
    <t>12/28/2019</t>
  </si>
  <si>
    <t>01/23/2017</t>
  </si>
  <si>
    <t>08/18/2016</t>
  </si>
  <si>
    <t>10/28/2018</t>
  </si>
  <si>
    <t>02/24/2018</t>
  </si>
  <si>
    <t>05/10/2017</t>
  </si>
  <si>
    <t>08/17/2015</t>
  </si>
  <si>
    <t>03/07/2017</t>
  </si>
  <si>
    <t>09/02/2019</t>
  </si>
  <si>
    <t>06/10/2016</t>
  </si>
  <si>
    <t>04/01/2018</t>
  </si>
  <si>
    <t>07/07/2017</t>
  </si>
  <si>
    <t>09/30/2017</t>
  </si>
  <si>
    <t>12/17/2015</t>
  </si>
  <si>
    <t>02/18/2019</t>
  </si>
  <si>
    <t>10/15/2015</t>
  </si>
  <si>
    <t>02/03/2017</t>
  </si>
  <si>
    <t>04/12/2013</t>
  </si>
  <si>
    <t>12/18/2019</t>
  </si>
  <si>
    <t>12/02/2018</t>
  </si>
  <si>
    <t>12/30/2018</t>
  </si>
  <si>
    <t>09/15/2019</t>
  </si>
  <si>
    <t>11/04/2017</t>
  </si>
  <si>
    <t>05/09/2016</t>
  </si>
  <si>
    <t>03/01/2016</t>
  </si>
  <si>
    <t>11/16/2018</t>
  </si>
  <si>
    <t>09/03/2016</t>
  </si>
  <si>
    <t>12/22/2019</t>
  </si>
  <si>
    <t>11/30/2016</t>
  </si>
  <si>
    <t>04/15/2018</t>
  </si>
  <si>
    <t>10/27/2016</t>
  </si>
  <si>
    <t>12/22/2018</t>
  </si>
  <si>
    <t>02/09/2019</t>
  </si>
  <si>
    <t>01/12/2019</t>
  </si>
  <si>
    <t>09/29/2019</t>
  </si>
  <si>
    <t>09/13/2016</t>
  </si>
  <si>
    <t>05/11/2016</t>
  </si>
  <si>
    <t>10/27/2018</t>
  </si>
  <si>
    <t>01/01/2013</t>
  </si>
  <si>
    <t>12/31/2017</t>
  </si>
  <si>
    <t>08/02/2018</t>
  </si>
  <si>
    <t>01/25/2017</t>
  </si>
  <si>
    <t>12/02/2016</t>
  </si>
  <si>
    <t>01/14/2017</t>
  </si>
  <si>
    <t>09/22/2019</t>
  </si>
  <si>
    <t>Needs Housing Type of Case</t>
  </si>
  <si>
    <t>Non-payment</t>
  </si>
  <si>
    <t>Holdover</t>
  </si>
  <si>
    <t>Article 78</t>
  </si>
  <si>
    <t>Affirmative Litigation Supreme</t>
  </si>
  <si>
    <t>No Case</t>
  </si>
  <si>
    <t>Other Administrative Proceeding</t>
  </si>
  <si>
    <t>SCRIE/DRIE</t>
  </si>
  <si>
    <t>NYCHA Housing Termination</t>
  </si>
  <si>
    <t>Tenant Rights</t>
  </si>
  <si>
    <t>PA Issue: City FEPS/SEPS</t>
  </si>
  <si>
    <t>PA Issue: Other</t>
  </si>
  <si>
    <t>7A Proceeding</t>
  </si>
  <si>
    <t>Sec. 8 Termination</t>
  </si>
  <si>
    <t>Section 8 other</t>
  </si>
  <si>
    <t>DHCR Proceeding</t>
  </si>
  <si>
    <t>Other Civil Court</t>
  </si>
  <si>
    <t>DHCR Administrative Action</t>
  </si>
  <si>
    <t>PA Issue: RAU</t>
  </si>
  <si>
    <t>Non-Litigation Advocacy</t>
  </si>
  <si>
    <t>HP Action</t>
  </si>
  <si>
    <t>Illegal Lockout</t>
  </si>
  <si>
    <t>Certificate of No Harassment Case</t>
  </si>
  <si>
    <t>Other</t>
  </si>
  <si>
    <t>NYCHA Housing Grievance</t>
  </si>
  <si>
    <t>Human Rights Complaint</t>
  </si>
  <si>
    <t>Other Affirmative Litigation</t>
  </si>
  <si>
    <t>Appeal Supreme</t>
  </si>
  <si>
    <t>Affirmative Litigation Federal</t>
  </si>
  <si>
    <t>Section 8 share</t>
  </si>
  <si>
    <t>Appeal-Appellate Term</t>
  </si>
  <si>
    <t>Mitchell-Lama Termination</t>
  </si>
  <si>
    <t>PA Issue: FEPS</t>
  </si>
  <si>
    <t>Section 8 HQS</t>
  </si>
  <si>
    <t>Appeal</t>
  </si>
  <si>
    <t>Ejectment Action</t>
  </si>
  <si>
    <t>Needs Level of Service</t>
  </si>
  <si>
    <t>Representation - State Court</t>
  </si>
  <si>
    <t>Advice</t>
  </si>
  <si>
    <t>Out-of-Court Advocacy</t>
  </si>
  <si>
    <t>Hold For Review</t>
  </si>
  <si>
    <t>Representation - Admin. Agency</t>
  </si>
  <si>
    <t>Representation - Federal Court</t>
  </si>
  <si>
    <t>Needs Building Case Answer</t>
  </si>
  <si>
    <t>Prefer Not To Answer</t>
  </si>
  <si>
    <t>Needs Referral Source</t>
  </si>
  <si>
    <t>Must be FJC</t>
  </si>
  <si>
    <t>HRA ELS (Assigned Counsel)</t>
  </si>
  <si>
    <t>Returning Client</t>
  </si>
  <si>
    <t>Self-referred</t>
  </si>
  <si>
    <t>Friends/Family</t>
  </si>
  <si>
    <t>In-House</t>
  </si>
  <si>
    <t>FJC Housing Intake</t>
  </si>
  <si>
    <t>Outreach</t>
  </si>
  <si>
    <t>Court Referral-NON HRA</t>
  </si>
  <si>
    <t>Court</t>
  </si>
  <si>
    <t>Other City Agency</t>
  </si>
  <si>
    <t>HRA</t>
  </si>
  <si>
    <t>Elected Official</t>
  </si>
  <si>
    <t>Word of mouth</t>
  </si>
  <si>
    <t>Community Organization</t>
  </si>
  <si>
    <t>School</t>
  </si>
  <si>
    <t>3-1-1</t>
  </si>
  <si>
    <t>Tenant Support Unit</t>
  </si>
  <si>
    <t>Legal Services</t>
  </si>
  <si>
    <t>HRA ELS Part F Brooklyn</t>
  </si>
  <si>
    <t>ADP Hotline</t>
  </si>
  <si>
    <t>Home base</t>
  </si>
  <si>
    <t>3011 TRC FJC Initiative</t>
  </si>
  <si>
    <t>Needs Rent Amount</t>
  </si>
  <si>
    <t>Needs Units</t>
  </si>
  <si>
    <t>Needs To Be Number</t>
  </si>
  <si>
    <t>0</t>
  </si>
  <si>
    <t>6 units</t>
  </si>
  <si>
    <t>Needs Form of Regulation</t>
  </si>
  <si>
    <t>Unregulated</t>
  </si>
  <si>
    <t>Rent Stabilized</t>
  </si>
  <si>
    <t>Mitchell-Lama</t>
  </si>
  <si>
    <t>HDFC</t>
  </si>
  <si>
    <t>Rent Controlled</t>
  </si>
  <si>
    <t>Project-based Sec. 8</t>
  </si>
  <si>
    <t>Other Subsidized Housing</t>
  </si>
  <si>
    <t>Low Income Tax Credit</t>
  </si>
  <si>
    <t>Unknown</t>
  </si>
  <si>
    <t>Unregulated – Other</t>
  </si>
  <si>
    <t>Public Housing/NYCHA</t>
  </si>
  <si>
    <t>Supportive Housing</t>
  </si>
  <si>
    <t>Unregulated – Co-Op</t>
  </si>
  <si>
    <t>Public Housing</t>
  </si>
  <si>
    <t>Tenant-interim-lease</t>
  </si>
  <si>
    <t>Unregulated – Sublet</t>
  </si>
  <si>
    <t>Needs Type of Subsidy</t>
  </si>
  <si>
    <t>None</t>
  </si>
  <si>
    <t>Section 8</t>
  </si>
  <si>
    <t>DRIE/SCRIE</t>
  </si>
  <si>
    <t>FEPS</t>
  </si>
  <si>
    <t>HASA</t>
  </si>
  <si>
    <t>LINC</t>
  </si>
  <si>
    <t>HUD VASH</t>
  </si>
  <si>
    <t>City FEPS</t>
  </si>
  <si>
    <t>SEPS</t>
  </si>
  <si>
    <t>Pathways Home</t>
  </si>
  <si>
    <t>HOMETBRA</t>
  </si>
  <si>
    <t>Needs Years In Apartment</t>
  </si>
  <si>
    <t>Needs Valid Number</t>
  </si>
  <si>
    <t>Needs Language</t>
  </si>
  <si>
    <t>English</t>
  </si>
  <si>
    <t>Mandarin</t>
  </si>
  <si>
    <t>Spanish</t>
  </si>
  <si>
    <t>Chinese/Mandarin</t>
  </si>
  <si>
    <t>Urdu</t>
  </si>
  <si>
    <t>Cantonese</t>
  </si>
  <si>
    <t>Serbocroatian</t>
  </si>
  <si>
    <t>Russian</t>
  </si>
  <si>
    <t>French Creole</t>
  </si>
  <si>
    <t>Arabic</t>
  </si>
  <si>
    <t>Not Entered</t>
  </si>
  <si>
    <t>Bengali</t>
  </si>
  <si>
    <t>Creole</t>
  </si>
  <si>
    <t>Portuguese</t>
  </si>
  <si>
    <t>Chinese/Cantonese</t>
  </si>
  <si>
    <t xml:space="preserve">Chinese </t>
  </si>
  <si>
    <t>Korean</t>
  </si>
  <si>
    <t>Finnish</t>
  </si>
  <si>
    <t>Japanese</t>
  </si>
  <si>
    <t>Amer. Sign Lang.</t>
  </si>
  <si>
    <t>Rumanian</t>
  </si>
  <si>
    <t>Dutch</t>
  </si>
  <si>
    <t>Samoan</t>
  </si>
  <si>
    <t>Greek</t>
  </si>
  <si>
    <t>Danish</t>
  </si>
  <si>
    <t>Needs Posture of Case</t>
  </si>
  <si>
    <t>No Stipulation; No Judgment</t>
  </si>
  <si>
    <t>Post-Judgment, Tenant in Possession-Judgment Due to Other</t>
  </si>
  <si>
    <t>Post-Stipulation, No Judgment</t>
  </si>
  <si>
    <t>Post-Judgment, Tenant in Possession-Judgment Due to Default</t>
  </si>
  <si>
    <t>On for Trial</t>
  </si>
  <si>
    <t>Post-Judgment, Tenant Out of Possession</t>
  </si>
  <si>
    <t>No Stipulation; No Judgment, Post-Stipulation, No Judgment</t>
  </si>
  <si>
    <t>No Stipulation; No Judgment, On for Trial</t>
  </si>
  <si>
    <t>Needs Income Verification</t>
  </si>
  <si>
    <t>DHCI Form</t>
  </si>
  <si>
    <t>Active CA/SNAP</t>
  </si>
  <si>
    <t>Needs Correct PA # Format</t>
  </si>
  <si>
    <t>TP1473ZX</t>
  </si>
  <si>
    <t>30062588G</t>
  </si>
  <si>
    <t>0011552526D</t>
  </si>
  <si>
    <t>none</t>
  </si>
  <si>
    <t>5940670 C</t>
  </si>
  <si>
    <t>not available</t>
  </si>
  <si>
    <t>will provide</t>
  </si>
  <si>
    <t>2514538E</t>
  </si>
  <si>
    <t>unavailable</t>
  </si>
  <si>
    <t>Not available</t>
  </si>
  <si>
    <t>KR92433N</t>
  </si>
  <si>
    <t>000-00-0000</t>
  </si>
  <si>
    <t>011072346H</t>
  </si>
  <si>
    <t>00037225893J</t>
  </si>
  <si>
    <t>8095559E</t>
  </si>
  <si>
    <t>011791673E</t>
  </si>
  <si>
    <t>008290651C</t>
  </si>
  <si>
    <t>004125573I</t>
  </si>
  <si>
    <t>00037041768F</t>
  </si>
  <si>
    <t>011104302C</t>
  </si>
  <si>
    <t>030938153B</t>
  </si>
  <si>
    <t>037571065E</t>
  </si>
  <si>
    <t>9382022D</t>
  </si>
  <si>
    <t>00009754550D</t>
  </si>
  <si>
    <t>033975458C</t>
  </si>
  <si>
    <t>001048527E</t>
  </si>
  <si>
    <t>11587303G</t>
  </si>
  <si>
    <t>QB989064</t>
  </si>
  <si>
    <t>004066119B</t>
  </si>
  <si>
    <t>03730222H</t>
  </si>
  <si>
    <t>31295589B</t>
  </si>
  <si>
    <t>000438475G</t>
  </si>
  <si>
    <t>00030081131C</t>
  </si>
  <si>
    <t>003462425E</t>
  </si>
  <si>
    <t>00037447234I</t>
  </si>
  <si>
    <t>014268917D</t>
  </si>
  <si>
    <t>013600048G</t>
  </si>
  <si>
    <t>07418087I</t>
  </si>
  <si>
    <t>16264341f</t>
  </si>
  <si>
    <t>034428319H</t>
  </si>
  <si>
    <t>009768675C</t>
  </si>
  <si>
    <t>004650250G</t>
  </si>
  <si>
    <t>02669936D</t>
  </si>
  <si>
    <t>007760958E</t>
  </si>
  <si>
    <t>VX42795R</t>
  </si>
  <si>
    <t>005095220J</t>
  </si>
  <si>
    <t>16577857A</t>
  </si>
  <si>
    <t>Y548370C</t>
  </si>
  <si>
    <t>UNKNOWN</t>
  </si>
  <si>
    <t>006680410F</t>
  </si>
  <si>
    <t>Z880554H</t>
  </si>
  <si>
    <t>unknown</t>
  </si>
  <si>
    <t>4436087-1</t>
  </si>
  <si>
    <t>077801569J</t>
  </si>
  <si>
    <t>032322299c</t>
  </si>
  <si>
    <t>00006258240l</t>
  </si>
  <si>
    <t>9281839-C</t>
  </si>
  <si>
    <t>037048355E</t>
  </si>
  <si>
    <t>Unavailable</t>
  </si>
  <si>
    <t>0046495905I</t>
  </si>
  <si>
    <t>004649590J</t>
  </si>
  <si>
    <t>V35891T</t>
  </si>
  <si>
    <t>008136303I</t>
  </si>
  <si>
    <t>WV10058W</t>
  </si>
  <si>
    <t>16241685D</t>
  </si>
  <si>
    <t>Needs to provide</t>
  </si>
  <si>
    <t>2171609HCL</t>
  </si>
  <si>
    <t>006139334 E</t>
  </si>
  <si>
    <t>37542346RJ -19</t>
  </si>
  <si>
    <t>00037751899 I</t>
  </si>
  <si>
    <t>00030223547I</t>
  </si>
  <si>
    <t>007172896I</t>
  </si>
  <si>
    <t>8970740-A</t>
  </si>
  <si>
    <t>S308506</t>
  </si>
  <si>
    <t>00037408902H</t>
  </si>
  <si>
    <t>002960083A</t>
  </si>
  <si>
    <t>00037201694J</t>
  </si>
  <si>
    <t>00015368528 E</t>
  </si>
  <si>
    <t>008414814H</t>
  </si>
  <si>
    <t>000245902C</t>
  </si>
  <si>
    <t>010388752H</t>
  </si>
  <si>
    <t>008743010E</t>
  </si>
  <si>
    <t>015934905J</t>
  </si>
  <si>
    <t>00016600288B</t>
  </si>
  <si>
    <t>4179881-1</t>
  </si>
  <si>
    <t>030060214B</t>
  </si>
  <si>
    <t>035334052E</t>
  </si>
  <si>
    <t>00552789A</t>
  </si>
  <si>
    <t>009040451I</t>
  </si>
  <si>
    <t>04900751B</t>
  </si>
  <si>
    <t>7230391 A</t>
  </si>
  <si>
    <t>12318083I</t>
  </si>
  <si>
    <t>4647469-1</t>
  </si>
  <si>
    <t>1448589 A</t>
  </si>
  <si>
    <t>N/a</t>
  </si>
  <si>
    <t>00005967951e</t>
  </si>
  <si>
    <t>4034579F</t>
  </si>
  <si>
    <t>7000177-01-01</t>
  </si>
  <si>
    <t>008584520E</t>
  </si>
  <si>
    <t>037358662H</t>
  </si>
  <si>
    <t>003995994F</t>
  </si>
  <si>
    <t>WV95484M</t>
  </si>
  <si>
    <t>03078172H</t>
  </si>
  <si>
    <t>3780864J</t>
  </si>
  <si>
    <t>00037100008E</t>
  </si>
  <si>
    <t>wv9548m</t>
  </si>
  <si>
    <t>Y020364E</t>
  </si>
  <si>
    <t>ZA4663T</t>
  </si>
  <si>
    <t>NONE</t>
  </si>
  <si>
    <t>13033987C</t>
  </si>
  <si>
    <t>008840239B</t>
  </si>
  <si>
    <t>779490C</t>
  </si>
  <si>
    <t>036869011B</t>
  </si>
  <si>
    <t>No available</t>
  </si>
  <si>
    <t>036982304C</t>
  </si>
  <si>
    <t>7570314P</t>
  </si>
  <si>
    <t>008003294J</t>
  </si>
  <si>
    <t>ZS30068P</t>
  </si>
  <si>
    <t>037286479D</t>
  </si>
  <si>
    <t>034949099F</t>
  </si>
  <si>
    <t>000234730A</t>
  </si>
  <si>
    <t>017967204D</t>
  </si>
  <si>
    <t>not provided</t>
  </si>
  <si>
    <t>4442446-1</t>
  </si>
  <si>
    <t>00037619875A</t>
  </si>
  <si>
    <t>274168E</t>
  </si>
  <si>
    <t>037312114E</t>
  </si>
  <si>
    <t>003609378J</t>
  </si>
  <si>
    <t>032204970B</t>
  </si>
  <si>
    <t>01770815H</t>
  </si>
  <si>
    <t>00007053579E</t>
  </si>
  <si>
    <t>012210461F</t>
  </si>
  <si>
    <t>015066138H</t>
  </si>
  <si>
    <t>009231816B</t>
  </si>
  <si>
    <t>004812859J</t>
  </si>
  <si>
    <t>03715580B</t>
  </si>
  <si>
    <t>15878359H</t>
  </si>
  <si>
    <t>17915410J</t>
  </si>
  <si>
    <t>037935024c</t>
  </si>
  <si>
    <t>027288849G</t>
  </si>
  <si>
    <t>00007168641E</t>
  </si>
  <si>
    <t>003382432H</t>
  </si>
  <si>
    <t>9279334I</t>
  </si>
  <si>
    <t>002925242G</t>
  </si>
  <si>
    <t>8763156A</t>
  </si>
  <si>
    <t>33358956O</t>
  </si>
  <si>
    <t>004012787A</t>
  </si>
  <si>
    <t>2196694-02</t>
  </si>
  <si>
    <t>037401001F</t>
  </si>
  <si>
    <t>00037370417A</t>
  </si>
  <si>
    <t>013085459J</t>
  </si>
  <si>
    <t>12480289 D</t>
  </si>
  <si>
    <t>12480289D</t>
  </si>
  <si>
    <t>00011517556E</t>
  </si>
  <si>
    <t>9592685D</t>
  </si>
  <si>
    <t>13278371D</t>
  </si>
  <si>
    <t>00036824950E</t>
  </si>
  <si>
    <t>013278371D</t>
  </si>
  <si>
    <t>037239559A</t>
  </si>
  <si>
    <t>009933940A</t>
  </si>
  <si>
    <t>011781830C</t>
  </si>
  <si>
    <t>037116869B</t>
  </si>
  <si>
    <t>009013556H</t>
  </si>
  <si>
    <t>10123149G</t>
  </si>
  <si>
    <t>x4503755</t>
  </si>
  <si>
    <t>00004014576F</t>
  </si>
  <si>
    <t>037197484B</t>
  </si>
  <si>
    <t>000836805C</t>
  </si>
  <si>
    <t>4290714H-1</t>
  </si>
  <si>
    <t>004290714H</t>
  </si>
  <si>
    <t>3662295-9</t>
  </si>
  <si>
    <t>000-000-000</t>
  </si>
  <si>
    <t>004324947D</t>
  </si>
  <si>
    <t>0058419944G</t>
  </si>
  <si>
    <t>00022009745F</t>
  </si>
  <si>
    <t>36040282-A</t>
  </si>
  <si>
    <t>ZZ90421R</t>
  </si>
  <si>
    <t>002365422B</t>
  </si>
  <si>
    <t>010636591J</t>
  </si>
  <si>
    <t>005229927I</t>
  </si>
  <si>
    <t>018333465F</t>
  </si>
  <si>
    <t>WX87371X</t>
  </si>
  <si>
    <t>002490638A</t>
  </si>
  <si>
    <t>ZK58926R</t>
  </si>
  <si>
    <t>37713934A</t>
  </si>
  <si>
    <t>009798803E</t>
  </si>
  <si>
    <t>37716145A</t>
  </si>
  <si>
    <t>037432131D</t>
  </si>
  <si>
    <t>018155124D</t>
  </si>
  <si>
    <t>011505951B</t>
  </si>
  <si>
    <t>31984172C</t>
  </si>
  <si>
    <t>9833470-1</t>
  </si>
  <si>
    <t>000000000000</t>
  </si>
  <si>
    <t>034344425D</t>
  </si>
  <si>
    <t>015114542C</t>
  </si>
  <si>
    <t>007224143D</t>
  </si>
  <si>
    <t>014934740D</t>
  </si>
  <si>
    <t>006563731G</t>
  </si>
  <si>
    <t>008107165G</t>
  </si>
  <si>
    <t>036929292F</t>
  </si>
  <si>
    <t>018339342A</t>
  </si>
  <si>
    <t>037240487B</t>
  </si>
  <si>
    <t>014843291H</t>
  </si>
  <si>
    <t>00640368F</t>
  </si>
  <si>
    <t>004145120E</t>
  </si>
  <si>
    <t>000530379H</t>
  </si>
  <si>
    <t>ZE003B55X</t>
  </si>
  <si>
    <t>9948658B</t>
  </si>
  <si>
    <t>002548716G</t>
  </si>
  <si>
    <t>000345730G</t>
  </si>
  <si>
    <t>00009296327B</t>
  </si>
  <si>
    <t>18089865C</t>
  </si>
  <si>
    <t>MK14402R</t>
  </si>
  <si>
    <t>030590978A</t>
  </si>
  <si>
    <t>00033979168D</t>
  </si>
  <si>
    <t>10934456E</t>
  </si>
  <si>
    <t>004495396G</t>
  </si>
  <si>
    <t>07222783I</t>
  </si>
  <si>
    <t>no</t>
  </si>
  <si>
    <t>7573934C</t>
  </si>
  <si>
    <t>00033547058J</t>
  </si>
  <si>
    <t>0000625824OI</t>
  </si>
  <si>
    <t>7139339B</t>
  </si>
  <si>
    <t>0028797291I</t>
  </si>
  <si>
    <t>010584813J</t>
  </si>
  <si>
    <t>0033031882F</t>
  </si>
  <si>
    <t>031208404J</t>
  </si>
  <si>
    <t>91248162C</t>
  </si>
  <si>
    <t>006960092C</t>
  </si>
  <si>
    <t>008237975B</t>
  </si>
  <si>
    <t>030643052B</t>
  </si>
  <si>
    <t>18421359D</t>
  </si>
  <si>
    <t>005205074H</t>
  </si>
  <si>
    <t>017703655F</t>
  </si>
  <si>
    <t>004897948I</t>
  </si>
  <si>
    <t>037208809G</t>
  </si>
  <si>
    <t>017630476E</t>
  </si>
  <si>
    <t>003743226H</t>
  </si>
  <si>
    <t>9627604D</t>
  </si>
  <si>
    <t>002329349B</t>
  </si>
  <si>
    <t>009627604D</t>
  </si>
  <si>
    <t>005253079H</t>
  </si>
  <si>
    <t>003868587B</t>
  </si>
  <si>
    <t>37130634B</t>
  </si>
  <si>
    <t>01107751H</t>
  </si>
  <si>
    <t>018137653E</t>
  </si>
  <si>
    <t>037228598B</t>
  </si>
  <si>
    <t>005611470F</t>
  </si>
  <si>
    <t>16769875C</t>
  </si>
  <si>
    <t>015646123I</t>
  </si>
  <si>
    <t>018309808G</t>
  </si>
  <si>
    <t>007767205D</t>
  </si>
  <si>
    <t>34209028J</t>
  </si>
  <si>
    <t>014412671B</t>
  </si>
  <si>
    <t>009019022E</t>
  </si>
  <si>
    <t>016328034A</t>
  </si>
  <si>
    <t>9230562C-01</t>
  </si>
  <si>
    <t>10802715C</t>
  </si>
  <si>
    <t>009809162C</t>
  </si>
  <si>
    <t>ZG93804U &amp; 12210107</t>
  </si>
  <si>
    <t>010980725F</t>
  </si>
  <si>
    <t>2915811A</t>
  </si>
  <si>
    <t>14373073 H</t>
  </si>
  <si>
    <t>33220945B</t>
  </si>
  <si>
    <t>011917778A</t>
  </si>
  <si>
    <t>036812101 I</t>
  </si>
  <si>
    <t>Not Available</t>
  </si>
  <si>
    <t>018625994B</t>
  </si>
  <si>
    <t>37627759G</t>
  </si>
  <si>
    <t>UC08287E</t>
  </si>
  <si>
    <t>001310701G</t>
  </si>
  <si>
    <t>8635595-F</t>
  </si>
  <si>
    <t>18494021B</t>
  </si>
  <si>
    <t>00037671577H</t>
  </si>
  <si>
    <t>032263748J</t>
  </si>
  <si>
    <t>4089216I</t>
  </si>
  <si>
    <t>003040946A</t>
  </si>
  <si>
    <t>2035808B</t>
  </si>
  <si>
    <t>37282189C</t>
  </si>
  <si>
    <t>00011307912D</t>
  </si>
  <si>
    <t>014134163G</t>
  </si>
  <si>
    <t>6692067J</t>
  </si>
  <si>
    <t>ZG55554C</t>
  </si>
  <si>
    <t>no case number</t>
  </si>
  <si>
    <t>015810620D</t>
  </si>
  <si>
    <t>036804804H</t>
  </si>
  <si>
    <t>012712226F</t>
  </si>
  <si>
    <t>006638518-I</t>
  </si>
  <si>
    <t>06403488H</t>
  </si>
  <si>
    <t>009784353G</t>
  </si>
  <si>
    <t>8290480G</t>
  </si>
  <si>
    <t>008290480G</t>
  </si>
  <si>
    <t>031562694F</t>
  </si>
  <si>
    <t>03156294F</t>
  </si>
  <si>
    <t>VX27402Q</t>
  </si>
  <si>
    <t>00010917970F</t>
  </si>
  <si>
    <t>003115744J</t>
  </si>
  <si>
    <t>17-1833941</t>
  </si>
  <si>
    <t>000589957A</t>
  </si>
  <si>
    <t>34907666B</t>
  </si>
  <si>
    <t>000152523H</t>
  </si>
  <si>
    <t>00037113523H</t>
  </si>
  <si>
    <t>PT87222Z</t>
  </si>
  <si>
    <t>036763411A</t>
  </si>
  <si>
    <t>08782738C</t>
  </si>
  <si>
    <t>001533387F</t>
  </si>
  <si>
    <t>01532195D</t>
  </si>
  <si>
    <t>018420543D</t>
  </si>
  <si>
    <t>010767009D</t>
  </si>
  <si>
    <t>01274820I</t>
  </si>
  <si>
    <t>0044944596C</t>
  </si>
  <si>
    <t>013217898J</t>
  </si>
  <si>
    <t>09038864G</t>
  </si>
  <si>
    <t>00640375C</t>
  </si>
  <si>
    <t>004472039J</t>
  </si>
  <si>
    <t>00017901973C</t>
  </si>
  <si>
    <t>002701704F</t>
  </si>
  <si>
    <t>10839771C</t>
  </si>
  <si>
    <t>ZR61034H</t>
  </si>
  <si>
    <t>007351849A</t>
  </si>
  <si>
    <t>6004868123 /185941196</t>
  </si>
  <si>
    <t>14963141I</t>
  </si>
  <si>
    <t>ZJ27188W</t>
  </si>
  <si>
    <t>002159246E</t>
  </si>
  <si>
    <t>7811890-I</t>
  </si>
  <si>
    <t>018065971G</t>
  </si>
  <si>
    <t>04210731L</t>
  </si>
  <si>
    <t>0837516E</t>
  </si>
  <si>
    <t>011455347C</t>
  </si>
  <si>
    <t>00037502203F</t>
  </si>
  <si>
    <t>03748188H</t>
  </si>
  <si>
    <t>06953236D</t>
  </si>
  <si>
    <t>018295906E</t>
  </si>
  <si>
    <t>8970740A</t>
  </si>
  <si>
    <t>008586546 H</t>
  </si>
  <si>
    <t>00036758422E</t>
  </si>
  <si>
    <t>WK31684D</t>
  </si>
  <si>
    <t>4743012J</t>
  </si>
  <si>
    <t>004743012J</t>
  </si>
  <si>
    <t>00008531415B</t>
  </si>
  <si>
    <t>017280585F</t>
  </si>
  <si>
    <t>10027902-F</t>
  </si>
  <si>
    <t>018026914E</t>
  </si>
  <si>
    <t>009637380I</t>
  </si>
  <si>
    <t>037369012C</t>
  </si>
  <si>
    <t>036426379I</t>
  </si>
  <si>
    <t>033636956G</t>
  </si>
  <si>
    <t>018161776C</t>
  </si>
  <si>
    <t>034927804E</t>
  </si>
  <si>
    <t>0050149176A</t>
  </si>
  <si>
    <t>not on pa</t>
  </si>
  <si>
    <t>007724914C</t>
  </si>
  <si>
    <t>035098964G</t>
  </si>
  <si>
    <t>00007312532A</t>
  </si>
  <si>
    <t>037269710C</t>
  </si>
  <si>
    <t>030505740I</t>
  </si>
  <si>
    <t>037412244I</t>
  </si>
  <si>
    <t>018199341B</t>
  </si>
  <si>
    <t>00518766B</t>
  </si>
  <si>
    <t>018099459C</t>
  </si>
  <si>
    <t>008876568A</t>
  </si>
  <si>
    <t>010593597H</t>
  </si>
  <si>
    <t>008405381I</t>
  </si>
  <si>
    <t>005098432H</t>
  </si>
  <si>
    <t>007028304J</t>
  </si>
  <si>
    <t>ZW14289G</t>
  </si>
  <si>
    <t>016876603I</t>
  </si>
  <si>
    <t>018507187F</t>
  </si>
  <si>
    <t>006947452G</t>
  </si>
  <si>
    <t>000339447F</t>
  </si>
  <si>
    <t>00004876535I</t>
  </si>
  <si>
    <t>00037612120I</t>
  </si>
  <si>
    <t>032728498A</t>
  </si>
  <si>
    <t>007260213J</t>
  </si>
  <si>
    <t>00037951793B</t>
  </si>
  <si>
    <t>001119280E</t>
  </si>
  <si>
    <t>00037798821H</t>
  </si>
  <si>
    <t>013242390G</t>
  </si>
  <si>
    <t>UN34332T</t>
  </si>
  <si>
    <t>008658106D</t>
  </si>
  <si>
    <t>010254950I</t>
  </si>
  <si>
    <t>03645232E</t>
  </si>
  <si>
    <t>client to provide</t>
  </si>
  <si>
    <t>001143873G</t>
  </si>
  <si>
    <t>YZ81039K</t>
  </si>
  <si>
    <t>Y0252OT</t>
  </si>
  <si>
    <t>0374077774B</t>
  </si>
  <si>
    <t>000799098J</t>
  </si>
  <si>
    <t>00589957A</t>
  </si>
  <si>
    <t>0066364411I</t>
  </si>
  <si>
    <t>005345600A</t>
  </si>
  <si>
    <t>001402768E</t>
  </si>
  <si>
    <t>037210701B</t>
  </si>
  <si>
    <t>010756984A</t>
  </si>
  <si>
    <t>021311175A</t>
  </si>
  <si>
    <t>016506898C</t>
  </si>
  <si>
    <t>017222863H</t>
  </si>
  <si>
    <t>018185585J</t>
  </si>
  <si>
    <t>4814691E</t>
  </si>
  <si>
    <t>006694699H</t>
  </si>
  <si>
    <t>37230501B</t>
  </si>
  <si>
    <t>003565579E</t>
  </si>
  <si>
    <t>018373784A</t>
  </si>
  <si>
    <t>010025819D</t>
  </si>
  <si>
    <t>00015274875C</t>
  </si>
  <si>
    <t>011518689C</t>
  </si>
  <si>
    <t>06644156J</t>
  </si>
  <si>
    <t>016770169H</t>
  </si>
  <si>
    <t>006692067J</t>
  </si>
  <si>
    <t>013070388H</t>
  </si>
  <si>
    <t>009671184B</t>
  </si>
  <si>
    <t>011092937J</t>
  </si>
  <si>
    <t>037692112I</t>
  </si>
  <si>
    <t>35445582G</t>
  </si>
  <si>
    <t>004648799H</t>
  </si>
  <si>
    <t>ZE69278W</t>
  </si>
  <si>
    <t>00018605497J</t>
  </si>
  <si>
    <t>006453771F</t>
  </si>
  <si>
    <t>00037006799D</t>
  </si>
  <si>
    <t>391390C</t>
  </si>
  <si>
    <t>015044201A</t>
  </si>
  <si>
    <t>007290797-F</t>
  </si>
  <si>
    <t>7179895-D</t>
  </si>
  <si>
    <t>00037540753D</t>
  </si>
  <si>
    <t>1018097E</t>
  </si>
  <si>
    <t>37572302A</t>
  </si>
  <si>
    <t>008895026G</t>
  </si>
  <si>
    <t>33502288A / 17979163 H</t>
  </si>
  <si>
    <t>000992875F</t>
  </si>
  <si>
    <t>6959187D</t>
  </si>
  <si>
    <t>0007557622D</t>
  </si>
  <si>
    <t>006548550A</t>
  </si>
  <si>
    <t>007390332A</t>
  </si>
  <si>
    <t>6004868732145134295</t>
  </si>
  <si>
    <t>not avail</t>
  </si>
  <si>
    <t>000745939J</t>
  </si>
  <si>
    <t>2952457G</t>
  </si>
  <si>
    <t>37453640 H</t>
  </si>
  <si>
    <t>004483522B</t>
  </si>
  <si>
    <t>9318140C</t>
  </si>
  <si>
    <t>011375659H</t>
  </si>
  <si>
    <t>034725982C</t>
  </si>
  <si>
    <t>Needs Correct SS # Format</t>
  </si>
  <si>
    <t>591-67-3324</t>
  </si>
  <si>
    <t>109-62-4458</t>
  </si>
  <si>
    <t>057-02-6827</t>
  </si>
  <si>
    <t>089-74-3644</t>
  </si>
  <si>
    <t>085-74-3411</t>
  </si>
  <si>
    <t>122-58-8870</t>
  </si>
  <si>
    <t>113-96-6301</t>
  </si>
  <si>
    <t>059-54-9523</t>
  </si>
  <si>
    <t>790-04-8236</t>
  </si>
  <si>
    <t>053-66-8690</t>
  </si>
  <si>
    <t>109-66-5774</t>
  </si>
  <si>
    <t>057-88-6806</t>
  </si>
  <si>
    <t>090-34-2657</t>
  </si>
  <si>
    <t>052-38-9852</t>
  </si>
  <si>
    <t>099-70-1409</t>
  </si>
  <si>
    <t>125-50-5098</t>
  </si>
  <si>
    <t>115-52-9638</t>
  </si>
  <si>
    <t>099-80-8189</t>
  </si>
  <si>
    <t>080-66-6759</t>
  </si>
  <si>
    <t>582-21-6737</t>
  </si>
  <si>
    <t>118-46-9004</t>
  </si>
  <si>
    <t>079-60-0683</t>
  </si>
  <si>
    <t>111-60-9031</t>
  </si>
  <si>
    <t>113-72-4906</t>
  </si>
  <si>
    <t>149-70-9947</t>
  </si>
  <si>
    <t>355-45-7393</t>
  </si>
  <si>
    <t>107-62-1518</t>
  </si>
  <si>
    <t>108-66-7761</t>
  </si>
  <si>
    <t>000-00-5839</t>
  </si>
  <si>
    <t>061-58-7144</t>
  </si>
  <si>
    <t>061-82-2291</t>
  </si>
  <si>
    <t>059-60-0684</t>
  </si>
  <si>
    <t>135-08-8042</t>
  </si>
  <si>
    <t>113-52-0492</t>
  </si>
  <si>
    <t>053-80-1460</t>
  </si>
  <si>
    <t>131-72-8165</t>
  </si>
  <si>
    <t>597-68-9140</t>
  </si>
  <si>
    <t>057-58-8627</t>
  </si>
  <si>
    <t>130-60-0021</t>
  </si>
  <si>
    <t>108-44-2025</t>
  </si>
  <si>
    <t>095-56-1575</t>
  </si>
  <si>
    <t>081-46-5204</t>
  </si>
  <si>
    <t>747-15-1768</t>
  </si>
  <si>
    <t>095-80-0021</t>
  </si>
  <si>
    <t>474-35-5511</t>
  </si>
  <si>
    <t>238-96-0135</t>
  </si>
  <si>
    <t>147-54-8241</t>
  </si>
  <si>
    <t>075-72-9612</t>
  </si>
  <si>
    <t>077-52-1563</t>
  </si>
  <si>
    <t>104-64-7407</t>
  </si>
  <si>
    <t>084-42-1070</t>
  </si>
  <si>
    <t>069-56-1544</t>
  </si>
  <si>
    <t>589-72-5937</t>
  </si>
  <si>
    <t>076-68-6376</t>
  </si>
  <si>
    <t>120-86-6472</t>
  </si>
  <si>
    <t>105-46-5348</t>
  </si>
  <si>
    <t>121-54-1862</t>
  </si>
  <si>
    <t>005-46-5348</t>
  </si>
  <si>
    <t>122-70-6748</t>
  </si>
  <si>
    <t>101-54-6235</t>
  </si>
  <si>
    <t>082-76-1487</t>
  </si>
  <si>
    <t>102-62-7314</t>
  </si>
  <si>
    <t>067-82-0067</t>
  </si>
  <si>
    <t>110-62-9132</t>
  </si>
  <si>
    <t>092-90-1180</t>
  </si>
  <si>
    <t>096-60-7761</t>
  </si>
  <si>
    <t>110-84-2407</t>
  </si>
  <si>
    <t>129-66-6965</t>
  </si>
  <si>
    <t>127-52-2311</t>
  </si>
  <si>
    <t>261-97-2848</t>
  </si>
  <si>
    <t>609-90-1665</t>
  </si>
  <si>
    <t>112-62-7576</t>
  </si>
  <si>
    <t>126-13-7947</t>
  </si>
  <si>
    <t>589-78-4142</t>
  </si>
  <si>
    <t>062-80-0551</t>
  </si>
  <si>
    <t>545-98-2355</t>
  </si>
  <si>
    <t>054-68-3745</t>
  </si>
  <si>
    <t>212-78-4946</t>
  </si>
  <si>
    <t>102-66-3614</t>
  </si>
  <si>
    <t>062-74-4360</t>
  </si>
  <si>
    <t>054-68-0767</t>
  </si>
  <si>
    <t>105-94-1709</t>
  </si>
  <si>
    <t>069-72-7109</t>
  </si>
  <si>
    <t>140-48-8902</t>
  </si>
  <si>
    <t>050-94-8190</t>
  </si>
  <si>
    <t>084-36-8017</t>
  </si>
  <si>
    <t>583-11-7140</t>
  </si>
  <si>
    <t>053-66-1268</t>
  </si>
  <si>
    <t>000-00-6832</t>
  </si>
  <si>
    <t>076-72-1367</t>
  </si>
  <si>
    <t>143-60-5988</t>
  </si>
  <si>
    <t>089-62-7038</t>
  </si>
  <si>
    <t>084-50-9809</t>
  </si>
  <si>
    <t>125-52-9600</t>
  </si>
  <si>
    <t>116-62-3061</t>
  </si>
  <si>
    <t>581-29-5821</t>
  </si>
  <si>
    <t>112-82-2612</t>
  </si>
  <si>
    <t>000-00-9864</t>
  </si>
  <si>
    <t>093-36-9010</t>
  </si>
  <si>
    <t>125-68-8738</t>
  </si>
  <si>
    <t>067-58-8053</t>
  </si>
  <si>
    <t>596-01-4026</t>
  </si>
  <si>
    <t>157-52-9303</t>
  </si>
  <si>
    <t>080-62-7068</t>
  </si>
  <si>
    <t>129-78-7469</t>
  </si>
  <si>
    <t>103-48-4692</t>
  </si>
  <si>
    <t>079-46-7006</t>
  </si>
  <si>
    <t>063-58-1325</t>
  </si>
  <si>
    <t>058-82-5209</t>
  </si>
  <si>
    <t>052-82-8861</t>
  </si>
  <si>
    <t>081-62-7349</t>
  </si>
  <si>
    <t>306-92-3236</t>
  </si>
  <si>
    <t>057-60-1532</t>
  </si>
  <si>
    <t>108-66-9843</t>
  </si>
  <si>
    <t>124-82-2769</t>
  </si>
  <si>
    <t>583-20-9056</t>
  </si>
  <si>
    <t>240-84-2850</t>
  </si>
  <si>
    <t>154-96-0555</t>
  </si>
  <si>
    <t>130-42-6136</t>
  </si>
  <si>
    <t>892-42-4664</t>
  </si>
  <si>
    <t>122-46-9252</t>
  </si>
  <si>
    <t>086-66-3609</t>
  </si>
  <si>
    <t>058-48-9956</t>
  </si>
  <si>
    <t>067-92-9002</t>
  </si>
  <si>
    <t>124-64-2855</t>
  </si>
  <si>
    <t>116-90-4943</t>
  </si>
  <si>
    <t>118-44-2052</t>
  </si>
  <si>
    <t>070-02-3583</t>
  </si>
  <si>
    <t>098-54-8767</t>
  </si>
  <si>
    <t>456-41-1535</t>
  </si>
  <si>
    <t>062-40-6843</t>
  </si>
  <si>
    <t>072-02-2167</t>
  </si>
  <si>
    <t>099-48-2014</t>
  </si>
  <si>
    <t>092-68-6288</t>
  </si>
  <si>
    <t>118-82-4229</t>
  </si>
  <si>
    <t>729-05-1108</t>
  </si>
  <si>
    <t>169-85-9123</t>
  </si>
  <si>
    <t>741-04-8434</t>
  </si>
  <si>
    <t>108-24-6957</t>
  </si>
  <si>
    <t>450-43-8941</t>
  </si>
  <si>
    <t>116-98-9403</t>
  </si>
  <si>
    <t>083-56-3795</t>
  </si>
  <si>
    <t>098-46-2865</t>
  </si>
  <si>
    <t>127-42-5546</t>
  </si>
  <si>
    <t>056-50-4503</t>
  </si>
  <si>
    <t>579-11-3183</t>
  </si>
  <si>
    <t>129-68-4106</t>
  </si>
  <si>
    <t>092-82-5997</t>
  </si>
  <si>
    <t>108-48-9889</t>
  </si>
  <si>
    <t>061-68-7477</t>
  </si>
  <si>
    <t>100-76-6561</t>
  </si>
  <si>
    <t>107-74-1133</t>
  </si>
  <si>
    <t>096-36-8742</t>
  </si>
  <si>
    <t>081-46-5483</t>
  </si>
  <si>
    <t>086-86-1916</t>
  </si>
  <si>
    <t>064-80-7566</t>
  </si>
  <si>
    <t>079-60-1008</t>
  </si>
  <si>
    <t>067-36-7796</t>
  </si>
  <si>
    <t>109-70-5752</t>
  </si>
  <si>
    <t>110-74-3529</t>
  </si>
  <si>
    <t>078-64-2748</t>
  </si>
  <si>
    <t>056-88-6442</t>
  </si>
  <si>
    <t>111-80-3440</t>
  </si>
  <si>
    <t>059-62-3743</t>
  </si>
  <si>
    <t>073-62-0120</t>
  </si>
  <si>
    <t>112-64-6616</t>
  </si>
  <si>
    <t>113-70-0714</t>
  </si>
  <si>
    <t>086-66-2650</t>
  </si>
  <si>
    <t>132-58-5078</t>
  </si>
  <si>
    <t>114-78-5084</t>
  </si>
  <si>
    <t>127-84-1342</t>
  </si>
  <si>
    <t>060-70-1076</t>
  </si>
  <si>
    <t>059-38-5896</t>
  </si>
  <si>
    <t>091-40-5580</t>
  </si>
  <si>
    <t>071-02-6250</t>
  </si>
  <si>
    <t>089-56-8353</t>
  </si>
  <si>
    <t>129-90-3758</t>
  </si>
  <si>
    <t>310-40-7635</t>
  </si>
  <si>
    <t>094-86-1714</t>
  </si>
  <si>
    <t>106-48-4642</t>
  </si>
  <si>
    <t>157-64-5403</t>
  </si>
  <si>
    <t>107-84-6855</t>
  </si>
  <si>
    <t>133-52-9413</t>
  </si>
  <si>
    <t>109-88-3339</t>
  </si>
  <si>
    <t>062-88-4934</t>
  </si>
  <si>
    <t>118-46-3293</t>
  </si>
  <si>
    <t>129-78-0632</t>
  </si>
  <si>
    <t>584-70-1746</t>
  </si>
  <si>
    <t>089-82-7270</t>
  </si>
  <si>
    <t>133-68-0834</t>
  </si>
  <si>
    <t>124-36-4090</t>
  </si>
  <si>
    <t>038-50-3253</t>
  </si>
  <si>
    <t>058-58-5429</t>
  </si>
  <si>
    <t>051-44-8078</t>
  </si>
  <si>
    <t>250-16-6879</t>
  </si>
  <si>
    <t>085-50-2719</t>
  </si>
  <si>
    <t>081-66-0893</t>
  </si>
  <si>
    <t>129-64-6255</t>
  </si>
  <si>
    <t>132-58-3551</t>
  </si>
  <si>
    <t>131-66-4155</t>
  </si>
  <si>
    <t>000-00-6407</t>
  </si>
  <si>
    <t>581-05-8727</t>
  </si>
  <si>
    <t>072-58-2888</t>
  </si>
  <si>
    <t>082-66-4599</t>
  </si>
  <si>
    <t>147-89-3242</t>
  </si>
  <si>
    <t>000-00-9952</t>
  </si>
  <si>
    <t>116-56-1852</t>
  </si>
  <si>
    <t>119-68-7333</t>
  </si>
  <si>
    <t>781-32-1331</t>
  </si>
  <si>
    <t>068-66-4264</t>
  </si>
  <si>
    <t>065-76-2563</t>
  </si>
  <si>
    <t>058-50-8864</t>
  </si>
  <si>
    <t>101-78-8377</t>
  </si>
  <si>
    <t>175-46-5894</t>
  </si>
  <si>
    <t>158-52-0769</t>
  </si>
  <si>
    <t>084-48-6098</t>
  </si>
  <si>
    <t>106-62-0993</t>
  </si>
  <si>
    <t>070-34-8487</t>
  </si>
  <si>
    <t>126-84-2839</t>
  </si>
  <si>
    <t>091-56-1402</t>
  </si>
  <si>
    <t>392-86-4173</t>
  </si>
  <si>
    <t>061-86-3888</t>
  </si>
  <si>
    <t>096-54-4276</t>
  </si>
  <si>
    <t>086-60-7213</t>
  </si>
  <si>
    <t>077-42-0308</t>
  </si>
  <si>
    <t>088-56-3906</t>
  </si>
  <si>
    <t>079-58-5726</t>
  </si>
  <si>
    <t>071-74-3304</t>
  </si>
  <si>
    <t>087-68-1354</t>
  </si>
  <si>
    <t>086-60-2573</t>
  </si>
  <si>
    <t>597-54-8587</t>
  </si>
  <si>
    <t>000-00-0271</t>
  </si>
  <si>
    <t>579-50-5094</t>
  </si>
  <si>
    <t>074-56-0015</t>
  </si>
  <si>
    <t>084-78-5018</t>
  </si>
  <si>
    <t>076-72-9141</t>
  </si>
  <si>
    <t>596-20-7994</t>
  </si>
  <si>
    <t>068-64-6086</t>
  </si>
  <si>
    <t>116-72-7563</t>
  </si>
  <si>
    <t>154-32-2832</t>
  </si>
  <si>
    <t>080-52-2049</t>
  </si>
  <si>
    <t>583-97-0579</t>
  </si>
  <si>
    <t>126-68-1171</t>
  </si>
  <si>
    <t>584-94-1066</t>
  </si>
  <si>
    <t>054-02-8362</t>
  </si>
  <si>
    <t>114-70-7714</t>
  </si>
  <si>
    <t>081-34-5899</t>
  </si>
  <si>
    <t>227-75-5421</t>
  </si>
  <si>
    <t>128-82-2855</t>
  </si>
  <si>
    <t>060-60-7500</t>
  </si>
  <si>
    <t>114-48-3317</t>
  </si>
  <si>
    <t>121-52-4439</t>
  </si>
  <si>
    <t>054-72-8130</t>
  </si>
  <si>
    <t>101-50-9696</t>
  </si>
  <si>
    <t>085-64-0271</t>
  </si>
  <si>
    <t>092-92-8197</t>
  </si>
  <si>
    <t>584-85-8002</t>
  </si>
  <si>
    <t>108-88-7034</t>
  </si>
  <si>
    <t>082-86-3651</t>
  </si>
  <si>
    <t>062-92-1005</t>
  </si>
  <si>
    <t>089-96-4254</t>
  </si>
  <si>
    <t>120-36-7920</t>
  </si>
  <si>
    <t>598-20-6414</t>
  </si>
  <si>
    <t>128-62-7121</t>
  </si>
  <si>
    <t>114-82-1003</t>
  </si>
  <si>
    <t>056-76-7386</t>
  </si>
  <si>
    <t>098-56-3731</t>
  </si>
  <si>
    <t>069-46-9700</t>
  </si>
  <si>
    <t>066-48-3723</t>
  </si>
  <si>
    <t>000-00-2145</t>
  </si>
  <si>
    <t>097-56-2174</t>
  </si>
  <si>
    <t>096-64-9252</t>
  </si>
  <si>
    <t>079-56-6550</t>
  </si>
  <si>
    <t>094-66-8073</t>
  </si>
  <si>
    <t>142-44-8961</t>
  </si>
  <si>
    <t>083-46-8300</t>
  </si>
  <si>
    <t>129-58-2135</t>
  </si>
  <si>
    <t>151-13-2834</t>
  </si>
  <si>
    <t>056-50-1021</t>
  </si>
  <si>
    <t>071-78-4076</t>
  </si>
  <si>
    <t>088-36-7616</t>
  </si>
  <si>
    <t>084-68-4808</t>
  </si>
  <si>
    <t>520-33-2846</t>
  </si>
  <si>
    <t>114-36-7689</t>
  </si>
  <si>
    <t>000-00-8070</t>
  </si>
  <si>
    <t>124-56-7070</t>
  </si>
  <si>
    <t>123-40-1481</t>
  </si>
  <si>
    <t>100-48-2729</t>
  </si>
  <si>
    <t>079-84-7650</t>
  </si>
  <si>
    <t>050-86-6029</t>
  </si>
  <si>
    <t>103-68-4304</t>
  </si>
  <si>
    <t>598-16-7837</t>
  </si>
  <si>
    <t>123-70-4799</t>
  </si>
  <si>
    <t>424-46-2779</t>
  </si>
  <si>
    <t>053-44-6454</t>
  </si>
  <si>
    <t>070-48-7632</t>
  </si>
  <si>
    <t>082-74-9395</t>
  </si>
  <si>
    <t>114-58-9652</t>
  </si>
  <si>
    <t>598-05-6577</t>
  </si>
  <si>
    <t>103-42-7746</t>
  </si>
  <si>
    <t>117-74-4949</t>
  </si>
  <si>
    <t>582-97-9094</t>
  </si>
  <si>
    <t>133-48-3936</t>
  </si>
  <si>
    <t>596-01-7757</t>
  </si>
  <si>
    <t>050-64-6373</t>
  </si>
  <si>
    <t>051-02-5747</t>
  </si>
  <si>
    <t>098-26-8006</t>
  </si>
  <si>
    <t>096-68-5211</t>
  </si>
  <si>
    <t>133-44-4184</t>
  </si>
  <si>
    <t>116-68-0220</t>
  </si>
  <si>
    <t>095-64-7361</t>
  </si>
  <si>
    <t>078-46-3716</t>
  </si>
  <si>
    <t>580-06-7295</t>
  </si>
  <si>
    <t>032-93-4571</t>
  </si>
  <si>
    <t>087-50-8343</t>
  </si>
  <si>
    <t>076-86-9957</t>
  </si>
  <si>
    <t>092-68-0925</t>
  </si>
  <si>
    <t>084-60-4013</t>
  </si>
  <si>
    <t>097-74-9704</t>
  </si>
  <si>
    <t>093-28-3027</t>
  </si>
  <si>
    <t>075-56-9004</t>
  </si>
  <si>
    <t>580-32-7198</t>
  </si>
  <si>
    <t>143-04-3885</t>
  </si>
  <si>
    <t>119-78-1168</t>
  </si>
  <si>
    <t>085-64-3889</t>
  </si>
  <si>
    <t>063-84-2021</t>
  </si>
  <si>
    <t>081-34-2260</t>
  </si>
  <si>
    <t>130-80-2657</t>
  </si>
  <si>
    <t>101-92-7867</t>
  </si>
  <si>
    <t>040-04-2795</t>
  </si>
  <si>
    <t>093-74-2374</t>
  </si>
  <si>
    <t>098-64-6827</t>
  </si>
  <si>
    <t>051-64-7680</t>
  </si>
  <si>
    <t>101-52-8768</t>
  </si>
  <si>
    <t>114-50-5090</t>
  </si>
  <si>
    <t>124-80-2443</t>
  </si>
  <si>
    <t>000-00-1355</t>
  </si>
  <si>
    <t>085-50-5243</t>
  </si>
  <si>
    <t>114-62-3466</t>
  </si>
  <si>
    <t>070-40-5601</t>
  </si>
  <si>
    <t>068-56-7521</t>
  </si>
  <si>
    <t>128-56-7187</t>
  </si>
  <si>
    <t>085-86-8623</t>
  </si>
  <si>
    <t>127-86-6488</t>
  </si>
  <si>
    <t>072-68-2602</t>
  </si>
  <si>
    <t>607-82-8947</t>
  </si>
  <si>
    <t>124-40-2309</t>
  </si>
  <si>
    <t>111-38-2797</t>
  </si>
  <si>
    <t>093-36-9999</t>
  </si>
  <si>
    <t>097-74-9038</t>
  </si>
  <si>
    <t>085-94-8329</t>
  </si>
  <si>
    <t>130-54-3248</t>
  </si>
  <si>
    <t>057-66-0901</t>
  </si>
  <si>
    <t>532-77-6365</t>
  </si>
  <si>
    <t>121-66-2238</t>
  </si>
  <si>
    <t>549-02-9948</t>
  </si>
  <si>
    <t>092-02-8856</t>
  </si>
  <si>
    <t>134-60-8164</t>
  </si>
  <si>
    <t>105-58-4466</t>
  </si>
  <si>
    <t>083-46-6887</t>
  </si>
  <si>
    <t>121-34-4394</t>
  </si>
  <si>
    <t>249-70-2850</t>
  </si>
  <si>
    <t>348-74-3168</t>
  </si>
  <si>
    <t>101-34-8698</t>
  </si>
  <si>
    <t>096-56-5451</t>
  </si>
  <si>
    <t>111-32-6790</t>
  </si>
  <si>
    <t>584-50-4068</t>
  </si>
  <si>
    <t>101-48-8498</t>
  </si>
  <si>
    <t>147-70-9786</t>
  </si>
  <si>
    <t>110-40-2548</t>
  </si>
  <si>
    <t>113-42-0501</t>
  </si>
  <si>
    <t>118-44-8855</t>
  </si>
  <si>
    <t>124-48-5304</t>
  </si>
  <si>
    <t>082-46-5961</t>
  </si>
  <si>
    <t>122-78-6501</t>
  </si>
  <si>
    <t>133-76-0381</t>
  </si>
  <si>
    <t>584-15-8539</t>
  </si>
  <si>
    <t>088-92-1616</t>
  </si>
  <si>
    <t>117-74-3568</t>
  </si>
  <si>
    <t>051-36-4965</t>
  </si>
  <si>
    <t>584-47-4471</t>
  </si>
  <si>
    <t>241-90-1980</t>
  </si>
  <si>
    <t>081-56-0920</t>
  </si>
  <si>
    <t>052-78-6062</t>
  </si>
  <si>
    <t>120-96-9129</t>
  </si>
  <si>
    <t>062-66-9344</t>
  </si>
  <si>
    <t>076-60-8686</t>
  </si>
  <si>
    <t>118-44-4418</t>
  </si>
  <si>
    <t>101-34-6937</t>
  </si>
  <si>
    <t>080-72-3394</t>
  </si>
  <si>
    <t>597-40-8290</t>
  </si>
  <si>
    <t>025-64-6550</t>
  </si>
  <si>
    <t>730-16-9554</t>
  </si>
  <si>
    <t>119-54-7613</t>
  </si>
  <si>
    <t>078-86-8539</t>
  </si>
  <si>
    <t>123-98-7026</t>
  </si>
  <si>
    <t>000-00-7492</t>
  </si>
  <si>
    <t>102-40-6471</t>
  </si>
  <si>
    <t>083-46-1736</t>
  </si>
  <si>
    <t>131-66-9344</t>
  </si>
  <si>
    <t>057-78-3888</t>
  </si>
  <si>
    <t>107-76-5984</t>
  </si>
  <si>
    <t>596-32-1295</t>
  </si>
  <si>
    <t>084-78-8704</t>
  </si>
  <si>
    <t>119-94-5025</t>
  </si>
  <si>
    <t>059-64-8094</t>
  </si>
  <si>
    <t>103-62-8929</t>
  </si>
  <si>
    <t>158-64-9685</t>
  </si>
  <si>
    <t>100-72-1934</t>
  </si>
  <si>
    <t>071-74-6755</t>
  </si>
  <si>
    <t>123-60-1188</t>
  </si>
  <si>
    <t>093-58-4886</t>
  </si>
  <si>
    <t>073-78-0050</t>
  </si>
  <si>
    <t>075-82-8008</t>
  </si>
  <si>
    <t>075-92-6576</t>
  </si>
  <si>
    <t>057-82-0876</t>
  </si>
  <si>
    <t>074-84-8231</t>
  </si>
  <si>
    <t>115-90-7341</t>
  </si>
  <si>
    <t>120-75-3614</t>
  </si>
  <si>
    <t>093-68-7923</t>
  </si>
  <si>
    <t>055-60-2805</t>
  </si>
  <si>
    <t>000-00-8048</t>
  </si>
  <si>
    <t>240-68-4145</t>
  </si>
  <si>
    <t>056-48-6989</t>
  </si>
  <si>
    <t>116-84-7879</t>
  </si>
  <si>
    <t>119-84-0074</t>
  </si>
  <si>
    <t>089-84-7095</t>
  </si>
  <si>
    <t>000-00-0628</t>
  </si>
  <si>
    <t>050-90-0088</t>
  </si>
  <si>
    <t>068-62-9946</t>
  </si>
  <si>
    <t>133-90-9528</t>
  </si>
  <si>
    <t>123-56-7254</t>
  </si>
  <si>
    <t>112-70-6433</t>
  </si>
  <si>
    <t>119-52-5006</t>
  </si>
  <si>
    <t>121-72-9088</t>
  </si>
  <si>
    <t>133-76-6442</t>
  </si>
  <si>
    <t>096-96-8484</t>
  </si>
  <si>
    <t>109-70-4985</t>
  </si>
  <si>
    <t>000-00-8053</t>
  </si>
  <si>
    <t>108-54-4962</t>
  </si>
  <si>
    <t>103-62-0516</t>
  </si>
  <si>
    <t>249-81-5160</t>
  </si>
  <si>
    <t>041-78-7596</t>
  </si>
  <si>
    <t>124-80-0003</t>
  </si>
  <si>
    <t>014-70-1864</t>
  </si>
  <si>
    <t>718-49-4818</t>
  </si>
  <si>
    <t>043-52-2819</t>
  </si>
  <si>
    <t>052-70-0892</t>
  </si>
  <si>
    <t>591-01-4055</t>
  </si>
  <si>
    <t>073-62-7777</t>
  </si>
  <si>
    <t>092-88-3192</t>
  </si>
  <si>
    <t>084-60-8407</t>
  </si>
  <si>
    <t>592-33-4514</t>
  </si>
  <si>
    <t>042-82-4087</t>
  </si>
  <si>
    <t>580-09-3528</t>
  </si>
  <si>
    <t>000-00-5025</t>
  </si>
  <si>
    <t>808-80-6123</t>
  </si>
  <si>
    <t>156-72-1990</t>
  </si>
  <si>
    <t>106-40-7416</t>
  </si>
  <si>
    <t>133-80-9120</t>
  </si>
  <si>
    <t>077-58-3195</t>
  </si>
  <si>
    <t>080-52-9201</t>
  </si>
  <si>
    <t>061-70-2033</t>
  </si>
  <si>
    <t>098-94-3587</t>
  </si>
  <si>
    <t>095-58-2750</t>
  </si>
  <si>
    <t>125-32-0081</t>
  </si>
  <si>
    <t>154-72-0727</t>
  </si>
  <si>
    <t>000-00-0301</t>
  </si>
  <si>
    <t>099-68-2305</t>
  </si>
  <si>
    <t>075-94-2752</t>
  </si>
  <si>
    <t>097-54-9643</t>
  </si>
  <si>
    <t>116-52-7557</t>
  </si>
  <si>
    <t>449-27-3870</t>
  </si>
  <si>
    <t>080-64-8187</t>
  </si>
  <si>
    <t>057-58-4306</t>
  </si>
  <si>
    <t>243-75-7400</t>
  </si>
  <si>
    <t>000-00-5374</t>
  </si>
  <si>
    <t>093-82-5522</t>
  </si>
  <si>
    <t>729-07-8907</t>
  </si>
  <si>
    <t>123-56-8341</t>
  </si>
  <si>
    <t>219-68-5532</t>
  </si>
  <si>
    <t>000-00-0194</t>
  </si>
  <si>
    <t>062-68-9410</t>
  </si>
  <si>
    <t>068-64-8594</t>
  </si>
  <si>
    <t>000-00-7706</t>
  </si>
  <si>
    <t>077-44-8917</t>
  </si>
  <si>
    <t>066-86-4507</t>
  </si>
  <si>
    <t>054-96-4729</t>
  </si>
  <si>
    <t>403-11-8022</t>
  </si>
  <si>
    <t>116-72-8003</t>
  </si>
  <si>
    <t>157-08-8925</t>
  </si>
  <si>
    <t>113-54-3790</t>
  </si>
  <si>
    <t>075-66-2078</t>
  </si>
  <si>
    <t>558-74-0236</t>
  </si>
  <si>
    <t>043-48-0176</t>
  </si>
  <si>
    <t>119-56-0224</t>
  </si>
  <si>
    <t>132-88-0017</t>
  </si>
  <si>
    <t>065-78-6382</t>
  </si>
  <si>
    <t>125-34-1139</t>
  </si>
  <si>
    <t>069-40-2108</t>
  </si>
  <si>
    <t>083-86-5042</t>
  </si>
  <si>
    <t>083-68-2057</t>
  </si>
  <si>
    <t>065-64-2804</t>
  </si>
  <si>
    <t>058-44-7384</t>
  </si>
  <si>
    <t>083-68-6866</t>
  </si>
  <si>
    <t>067-82-0920</t>
  </si>
  <si>
    <t>112-58-0464</t>
  </si>
  <si>
    <t>226-98-9547</t>
  </si>
  <si>
    <t>093-56-1947</t>
  </si>
  <si>
    <t>064-58-5051</t>
  </si>
  <si>
    <t>097-96-5314</t>
  </si>
  <si>
    <t>125-16-9458</t>
  </si>
  <si>
    <t>000-00-8533</t>
  </si>
  <si>
    <t>065-44-9294</t>
  </si>
  <si>
    <t>055-60-0118</t>
  </si>
  <si>
    <t>177-93-1080</t>
  </si>
  <si>
    <t>093-98-8840</t>
  </si>
  <si>
    <t>114-48-4474</t>
  </si>
  <si>
    <t>062-58-7744</t>
  </si>
  <si>
    <t>068-60-1562</t>
  </si>
  <si>
    <t>097-56-8616</t>
  </si>
  <si>
    <t>097-56-1671</t>
  </si>
  <si>
    <t>098-56-3114</t>
  </si>
  <si>
    <t>132-92-0502</t>
  </si>
  <si>
    <t>131-70-0586</t>
  </si>
  <si>
    <t>132-84-9839</t>
  </si>
  <si>
    <t>140-86-9516</t>
  </si>
  <si>
    <t>133-70-9471</t>
  </si>
  <si>
    <t>071-60-6177</t>
  </si>
  <si>
    <t>125-66-6953</t>
  </si>
  <si>
    <t>055-70-1324</t>
  </si>
  <si>
    <t>084-54-3623</t>
  </si>
  <si>
    <t>073-58-8666</t>
  </si>
  <si>
    <t>072-60-5573</t>
  </si>
  <si>
    <t>076-62-1553</t>
  </si>
  <si>
    <t>059-70-2497</t>
  </si>
  <si>
    <t>591-88-9632</t>
  </si>
  <si>
    <t>092-68-7608</t>
  </si>
  <si>
    <t>101-68-1828</t>
  </si>
  <si>
    <t>128-48-9058</t>
  </si>
  <si>
    <t>045-90-4490</t>
  </si>
  <si>
    <t>133-90-8703</t>
  </si>
  <si>
    <t>730-03-4537</t>
  </si>
  <si>
    <t>089-86-3392</t>
  </si>
  <si>
    <t>125-66-9555</t>
  </si>
  <si>
    <t>102-52-2798</t>
  </si>
  <si>
    <t>069-62-9676</t>
  </si>
  <si>
    <t>127-96-7620</t>
  </si>
  <si>
    <t>115-86-0918</t>
  </si>
  <si>
    <t>060-58-0998</t>
  </si>
  <si>
    <t>082-56-0574</t>
  </si>
  <si>
    <t>134-80-1625</t>
  </si>
  <si>
    <t>000-00-3971</t>
  </si>
  <si>
    <t>215-27-4993</t>
  </si>
  <si>
    <t>158-55-4856</t>
  </si>
  <si>
    <t>121-76-1885</t>
  </si>
  <si>
    <t>088-48-0229</t>
  </si>
  <si>
    <t>000-00-2360</t>
  </si>
  <si>
    <t>133-58-3032</t>
  </si>
  <si>
    <t>089-62-5893</t>
  </si>
  <si>
    <t>065-92-7647</t>
  </si>
  <si>
    <t>101-60-6763</t>
  </si>
  <si>
    <t>095-52-8626</t>
  </si>
  <si>
    <t>418-19-6544</t>
  </si>
  <si>
    <t>111-64-5953</t>
  </si>
  <si>
    <t>216-96-9440</t>
  </si>
  <si>
    <t>096-70-2527</t>
  </si>
  <si>
    <t>084-62-0287</t>
  </si>
  <si>
    <t>060-56-5169</t>
  </si>
  <si>
    <t>000-00-6936</t>
  </si>
  <si>
    <t>064-54-0155</t>
  </si>
  <si>
    <t>083-58-6948</t>
  </si>
  <si>
    <t>075-54-2288</t>
  </si>
  <si>
    <t>061-66-9972</t>
  </si>
  <si>
    <t>127-66-3917</t>
  </si>
  <si>
    <t>108-66-5600</t>
  </si>
  <si>
    <t>105-96-4969</t>
  </si>
  <si>
    <t>116-58-1811</t>
  </si>
  <si>
    <t>377-88-6199</t>
  </si>
  <si>
    <t>126-55-4980</t>
  </si>
  <si>
    <t>000-00-7454</t>
  </si>
  <si>
    <t>562-89-4337</t>
  </si>
  <si>
    <t>000-00-3964</t>
  </si>
  <si>
    <t>091-58-4895</t>
  </si>
  <si>
    <t>115-66-0820</t>
  </si>
  <si>
    <t>072-48-5680</t>
  </si>
  <si>
    <t>052-72-7238</t>
  </si>
  <si>
    <t>090-70-3031</t>
  </si>
  <si>
    <t>000-00-5753</t>
  </si>
  <si>
    <t>100-58-9207</t>
  </si>
  <si>
    <t>120-58-2859</t>
  </si>
  <si>
    <t>218-02-4592</t>
  </si>
  <si>
    <t>082-60-0855</t>
  </si>
  <si>
    <t>072-72-0132</t>
  </si>
  <si>
    <t>151-94-5287</t>
  </si>
  <si>
    <t>082-60-7633</t>
  </si>
  <si>
    <t>104-66-4648</t>
  </si>
  <si>
    <t>062-78-4582</t>
  </si>
  <si>
    <t>075-76-8127</t>
  </si>
  <si>
    <t>128-54-3729</t>
  </si>
  <si>
    <t>074-44-6252</t>
  </si>
  <si>
    <t>078-58-3146</t>
  </si>
  <si>
    <t>000-00-7281</t>
  </si>
  <si>
    <t>060-58-9508</t>
  </si>
  <si>
    <t>118-54-2101</t>
  </si>
  <si>
    <t>267-02-9739</t>
  </si>
  <si>
    <t>101-74-0225</t>
  </si>
  <si>
    <t>063-56-5490</t>
  </si>
  <si>
    <t>080-70-3580</t>
  </si>
  <si>
    <t>115-62-9440</t>
  </si>
  <si>
    <t>627-20-2678</t>
  </si>
  <si>
    <t>599-03-3944</t>
  </si>
  <si>
    <t>000-00-7833</t>
  </si>
  <si>
    <t>236-66-5231</t>
  </si>
  <si>
    <t>097-56-0479</t>
  </si>
  <si>
    <t>000-00-1612</t>
  </si>
  <si>
    <t>186-70-5725</t>
  </si>
  <si>
    <t>103-34-6473</t>
  </si>
  <si>
    <t>059-62-9331</t>
  </si>
  <si>
    <t>000-00-7392</t>
  </si>
  <si>
    <t>099-76-1528</t>
  </si>
  <si>
    <t>862-69-8155</t>
  </si>
  <si>
    <t>163-42-5038</t>
  </si>
  <si>
    <t>580-82-4582</t>
  </si>
  <si>
    <t>063-66-0266</t>
  </si>
  <si>
    <t>103-70-7197</t>
  </si>
  <si>
    <t>069-64-1702</t>
  </si>
  <si>
    <t>051-56-8784</t>
  </si>
  <si>
    <t>476-92-5143</t>
  </si>
  <si>
    <t>088-76-8918</t>
  </si>
  <si>
    <t>584-08-5697</t>
  </si>
  <si>
    <t>053-50-5580</t>
  </si>
  <si>
    <t>106-80-0605</t>
  </si>
  <si>
    <t>087-36-8940</t>
  </si>
  <si>
    <t>000-00-0432</t>
  </si>
  <si>
    <t>130-64-4279</t>
  </si>
  <si>
    <t>120-82-7224</t>
  </si>
  <si>
    <t>098-48-5409</t>
  </si>
  <si>
    <t>000-00-3157</t>
  </si>
  <si>
    <t>874-65-8478</t>
  </si>
  <si>
    <t>150-58-0973</t>
  </si>
  <si>
    <t>289-86-9682</t>
  </si>
  <si>
    <t>103-86-4885</t>
  </si>
  <si>
    <t>324-47-8551</t>
  </si>
  <si>
    <t>054-60-7154</t>
  </si>
  <si>
    <t>133-48-6040</t>
  </si>
  <si>
    <t>730-09-1091</t>
  </si>
  <si>
    <t>000-00-5760</t>
  </si>
  <si>
    <t>000-00-1223</t>
  </si>
  <si>
    <t>099-62-2260</t>
  </si>
  <si>
    <t>096-56-7589</t>
  </si>
  <si>
    <t>000-00-7927</t>
  </si>
  <si>
    <t>094-56-3704</t>
  </si>
  <si>
    <t>246-33-3750</t>
  </si>
  <si>
    <t>118-70-0239</t>
  </si>
  <si>
    <t>117-56-7883</t>
  </si>
  <si>
    <t>134-62-5729</t>
  </si>
  <si>
    <t>565-65-4436</t>
  </si>
  <si>
    <t>131-84-1228</t>
  </si>
  <si>
    <t>083-76-7025</t>
  </si>
  <si>
    <t>052-72-5521</t>
  </si>
  <si>
    <t>063-92-1504</t>
  </si>
  <si>
    <t>057-92-5679</t>
  </si>
  <si>
    <t>571-45-4429</t>
  </si>
  <si>
    <t>114-80-9830</t>
  </si>
  <si>
    <t>100-72-2513</t>
  </si>
  <si>
    <t>110-46-8522</t>
  </si>
  <si>
    <t>050-36-5867</t>
  </si>
  <si>
    <t>071-64-5267</t>
  </si>
  <si>
    <t>056-64-3902</t>
  </si>
  <si>
    <t>143-96-6319</t>
  </si>
  <si>
    <t>777-76-4829</t>
  </si>
  <si>
    <t>092-76-9844</t>
  </si>
  <si>
    <t>057-86-3392</t>
  </si>
  <si>
    <t>107-80-9996</t>
  </si>
  <si>
    <t>577-02-8879</t>
  </si>
  <si>
    <t>114-40-3363</t>
  </si>
  <si>
    <t>866-91-7307</t>
  </si>
  <si>
    <t>057-80-3890</t>
  </si>
  <si>
    <t>087-76-3187</t>
  </si>
  <si>
    <t>454-33-4555</t>
  </si>
  <si>
    <t>564-73-0351</t>
  </si>
  <si>
    <t>000-00-0303</t>
  </si>
  <si>
    <t>120-78-7792</t>
  </si>
  <si>
    <t>097-30-1594</t>
  </si>
  <si>
    <t>595-89-3150</t>
  </si>
  <si>
    <t>590-52-6713</t>
  </si>
  <si>
    <t>141-84-5048</t>
  </si>
  <si>
    <t>074-84-5501</t>
  </si>
  <si>
    <t>098-88-0607</t>
  </si>
  <si>
    <t>767-03-5670</t>
  </si>
  <si>
    <t>541-29-3269</t>
  </si>
  <si>
    <t>145-76-8212</t>
  </si>
  <si>
    <t>143-80-4223</t>
  </si>
  <si>
    <t>531-43-5376</t>
  </si>
  <si>
    <t>041-84-6055</t>
  </si>
  <si>
    <t>534-17-8320</t>
  </si>
  <si>
    <t>109-64-3895</t>
  </si>
  <si>
    <t>050-66-3289</t>
  </si>
  <si>
    <t>258-48-2676</t>
  </si>
  <si>
    <t>135-13-2934</t>
  </si>
  <si>
    <t>256-37-0656</t>
  </si>
  <si>
    <t>191-86-5503</t>
  </si>
  <si>
    <t>038-56-5630</t>
  </si>
  <si>
    <t>071-62-6669</t>
  </si>
  <si>
    <t>353-86-7413</t>
  </si>
  <si>
    <t>085-54-7429</t>
  </si>
  <si>
    <t>069-90-7935</t>
  </si>
  <si>
    <t>083-84-5465</t>
  </si>
  <si>
    <t>078-36-0108</t>
  </si>
  <si>
    <t>361-60-1625</t>
  </si>
  <si>
    <t>499-60-6266</t>
  </si>
  <si>
    <t>094-66-3109</t>
  </si>
  <si>
    <t>068-64-0750</t>
  </si>
  <si>
    <t>090-76-0133</t>
  </si>
  <si>
    <t>584-38-3807</t>
  </si>
  <si>
    <t>071-58-8743</t>
  </si>
  <si>
    <t>105-50-0812</t>
  </si>
  <si>
    <t>065-56-4430</t>
  </si>
  <si>
    <t>581-86-2284</t>
  </si>
  <si>
    <t>155-58-8467</t>
  </si>
  <si>
    <t>115-62-6738</t>
  </si>
  <si>
    <t>486-78-1679</t>
  </si>
  <si>
    <t>101-98-1762</t>
  </si>
  <si>
    <t>106-48-2419</t>
  </si>
  <si>
    <t>106-60-1544</t>
  </si>
  <si>
    <t>581-72-8698</t>
  </si>
  <si>
    <t>069-62-7184</t>
  </si>
  <si>
    <t>149-86-5224</t>
  </si>
  <si>
    <t>132-58-5856</t>
  </si>
  <si>
    <t>098-74-5317</t>
  </si>
  <si>
    <t>582-37-8377</t>
  </si>
  <si>
    <t>584-15-2778</t>
  </si>
  <si>
    <t>584-18-0228</t>
  </si>
  <si>
    <t>104-40-4668</t>
  </si>
  <si>
    <t>136-50-6506</t>
  </si>
  <si>
    <t>076-56-9392</t>
  </si>
  <si>
    <t>108-24-1469</t>
  </si>
  <si>
    <t>109-68-9988</t>
  </si>
  <si>
    <t>077-42-1910</t>
  </si>
  <si>
    <t>596-59-2973</t>
  </si>
  <si>
    <t>081-42-5318</t>
  </si>
  <si>
    <t>098-66-6693</t>
  </si>
  <si>
    <t>584-27-7966</t>
  </si>
  <si>
    <t>000-00-2332</t>
  </si>
  <si>
    <t>123-70-8001</t>
  </si>
  <si>
    <t>111-46-4331</t>
  </si>
  <si>
    <t>159-70-0169</t>
  </si>
  <si>
    <t>093-84-1205</t>
  </si>
  <si>
    <t>077-50-5981</t>
  </si>
  <si>
    <t>102-56-8793</t>
  </si>
  <si>
    <t>898-49-0941</t>
  </si>
  <si>
    <t>078-36-1539</t>
  </si>
  <si>
    <t>147-84-8752</t>
  </si>
  <si>
    <t>083-02-8331</t>
  </si>
  <si>
    <t>583-67-3773</t>
  </si>
  <si>
    <t>583-48-3256</t>
  </si>
  <si>
    <t>582-27-3529</t>
  </si>
  <si>
    <t>104-68-1303</t>
  </si>
  <si>
    <t>581-39-3031</t>
  </si>
  <si>
    <t>073-48-4131</t>
  </si>
  <si>
    <t>134-82-8076</t>
  </si>
  <si>
    <t>249-68-2774</t>
  </si>
  <si>
    <t>092-74-9857</t>
  </si>
  <si>
    <t>053-70-3855</t>
  </si>
  <si>
    <t>414-25-0034</t>
  </si>
  <si>
    <t>117-54-0356</t>
  </si>
  <si>
    <t>084-90-5965</t>
  </si>
  <si>
    <t>084-56-5301</t>
  </si>
  <si>
    <t>097-64-2982</t>
  </si>
  <si>
    <t>051-60-5913</t>
  </si>
  <si>
    <t>122-68-8118</t>
  </si>
  <si>
    <t>081-64-7694</t>
  </si>
  <si>
    <t>581-97-2461</t>
  </si>
  <si>
    <t>081-40-2205</t>
  </si>
  <si>
    <t>117-32-6812</t>
  </si>
  <si>
    <t>056-58-9463</t>
  </si>
  <si>
    <t>109-54-6991</t>
  </si>
  <si>
    <t>125-66-5383</t>
  </si>
  <si>
    <t>088-86-1972</t>
  </si>
  <si>
    <t>082-46-2224</t>
  </si>
  <si>
    <t>048-90-8742</t>
  </si>
  <si>
    <t>083-58-5375</t>
  </si>
  <si>
    <t>076-58-7424</t>
  </si>
  <si>
    <t>070-46-2919</t>
  </si>
  <si>
    <t>084-42-7014</t>
  </si>
  <si>
    <t>106-76-4351</t>
  </si>
  <si>
    <t>100-70-5093</t>
  </si>
  <si>
    <t>072-58-4493</t>
  </si>
  <si>
    <t>076-34-7710</t>
  </si>
  <si>
    <t>132-70-2696</t>
  </si>
  <si>
    <t>108-66-2844</t>
  </si>
  <si>
    <t>599-38-2271</t>
  </si>
  <si>
    <t>101-50-3331</t>
  </si>
  <si>
    <t>103-74-3186</t>
  </si>
  <si>
    <t>596-16-6926</t>
  </si>
  <si>
    <t>133-58-3224</t>
  </si>
  <si>
    <t>125-44-0319</t>
  </si>
  <si>
    <t>584-85-3440</t>
  </si>
  <si>
    <t>069-36-0535</t>
  </si>
  <si>
    <t>584-14-8854</t>
  </si>
  <si>
    <t>584-15-8854</t>
  </si>
  <si>
    <t>597-24-2841</t>
  </si>
  <si>
    <t>077-50-9081</t>
  </si>
  <si>
    <t>423-48-4634</t>
  </si>
  <si>
    <t>060-56-0735</t>
  </si>
  <si>
    <t>068-94-8124</t>
  </si>
  <si>
    <t>087-48-5311</t>
  </si>
  <si>
    <t>054-70-4093</t>
  </si>
  <si>
    <t>066-72-0430</t>
  </si>
  <si>
    <t>169-96-6851</t>
  </si>
  <si>
    <t>050-70-2508</t>
  </si>
  <si>
    <t>583-96-3623</t>
  </si>
  <si>
    <t>102-48-6275</t>
  </si>
  <si>
    <t>096-84-8980</t>
  </si>
  <si>
    <t>098-56-7228</t>
  </si>
  <si>
    <t>078-74-8726</t>
  </si>
  <si>
    <t>071-50-6394</t>
  </si>
  <si>
    <t>073-34-6968</t>
  </si>
  <si>
    <t>116-80-8002</t>
  </si>
  <si>
    <t>120-68-6525</t>
  </si>
  <si>
    <t>248-08-3303</t>
  </si>
  <si>
    <t>106-74-8743</t>
  </si>
  <si>
    <t>089-52-8332</t>
  </si>
  <si>
    <t>134-70-5522</t>
  </si>
  <si>
    <t>088-86-2180</t>
  </si>
  <si>
    <t>091-84-7948</t>
  </si>
  <si>
    <t>116-96-6502</t>
  </si>
  <si>
    <t>055-70-0465</t>
  </si>
  <si>
    <t>088-76-9478</t>
  </si>
  <si>
    <t>101-54-8225</t>
  </si>
  <si>
    <t>116-76-2017</t>
  </si>
  <si>
    <t>143-72-7555</t>
  </si>
  <si>
    <t>102-58-1093</t>
  </si>
  <si>
    <t>085-44-1655</t>
  </si>
  <si>
    <t>113-54-0326</t>
  </si>
  <si>
    <t>119-70-6629</t>
  </si>
  <si>
    <t>123-42-4299</t>
  </si>
  <si>
    <t>342-58-7772</t>
  </si>
  <si>
    <t>103-66-2330</t>
  </si>
  <si>
    <t>100-48-3760</t>
  </si>
  <si>
    <t>118-58-6824</t>
  </si>
  <si>
    <t>086-68-3578</t>
  </si>
  <si>
    <t>082-66-2258</t>
  </si>
  <si>
    <t>075-74-5851</t>
  </si>
  <si>
    <t>096-56-2643</t>
  </si>
  <si>
    <t>112-46-6538</t>
  </si>
  <si>
    <t>099-54-1285</t>
  </si>
  <si>
    <t>087-84-8597</t>
  </si>
  <si>
    <t>102-58-5219</t>
  </si>
  <si>
    <t>102-82-3870</t>
  </si>
  <si>
    <t>083-94-0429</t>
  </si>
  <si>
    <t>247-74-7167</t>
  </si>
  <si>
    <t>584-29-0900</t>
  </si>
  <si>
    <t>088-42-1417</t>
  </si>
  <si>
    <t>100-72-5803</t>
  </si>
  <si>
    <t>146-60-3145</t>
  </si>
  <si>
    <t>105-78-2615</t>
  </si>
  <si>
    <t>057-74-9143</t>
  </si>
  <si>
    <t>058-64-2069</t>
  </si>
  <si>
    <t>085-64-7147</t>
  </si>
  <si>
    <t>575-89-6932</t>
  </si>
  <si>
    <t>094-82-4352</t>
  </si>
  <si>
    <t>110-46-3605</t>
  </si>
  <si>
    <t>094-68-2829</t>
  </si>
  <si>
    <t>129-68-0090</t>
  </si>
  <si>
    <t>128-58-1683</t>
  </si>
  <si>
    <t>082-46-0013</t>
  </si>
  <si>
    <t>583-98-2961</t>
  </si>
  <si>
    <t>068-48-8275</t>
  </si>
  <si>
    <t>113-56-5950</t>
  </si>
  <si>
    <t>067-46-5820</t>
  </si>
  <si>
    <t>066-30-6599</t>
  </si>
  <si>
    <t>134-64-2600</t>
  </si>
  <si>
    <t>103-50-6230</t>
  </si>
  <si>
    <t>127-60-0446</t>
  </si>
  <si>
    <t>050-78-1250</t>
  </si>
  <si>
    <t>017-70-7033</t>
  </si>
  <si>
    <t>073-94-6982</t>
  </si>
  <si>
    <t>128-48-2363</t>
  </si>
  <si>
    <t>058-62-1216</t>
  </si>
  <si>
    <t>584-46-6467</t>
  </si>
  <si>
    <t>000-00-1216</t>
  </si>
  <si>
    <t>110-50-3038</t>
  </si>
  <si>
    <t>080-60-6024</t>
  </si>
  <si>
    <t>532-94-6576</t>
  </si>
  <si>
    <t>131-52-8503</t>
  </si>
  <si>
    <t>078-46-6783</t>
  </si>
  <si>
    <t>127-58-0075</t>
  </si>
  <si>
    <t>000-00-1788</t>
  </si>
  <si>
    <t>060-84-7321</t>
  </si>
  <si>
    <t>374-36-2609</t>
  </si>
  <si>
    <t>000-00-8850</t>
  </si>
  <si>
    <t>000-00-4676</t>
  </si>
  <si>
    <t>116-70-4408</t>
  </si>
  <si>
    <t>075-44-4203</t>
  </si>
  <si>
    <t>592-54-5775</t>
  </si>
  <si>
    <t>059-58-9364</t>
  </si>
  <si>
    <t>064-82-0688</t>
  </si>
  <si>
    <t>053-88-5429</t>
  </si>
  <si>
    <t>075-86-2185</t>
  </si>
  <si>
    <t>074-76-5088</t>
  </si>
  <si>
    <t>133-46-0562</t>
  </si>
  <si>
    <t>163-68-3170</t>
  </si>
  <si>
    <t>305-54-6795</t>
  </si>
  <si>
    <t>593-36-0702</t>
  </si>
  <si>
    <t>059-62-6576</t>
  </si>
  <si>
    <t>068-90-5461</t>
  </si>
  <si>
    <t>056-60-3288</t>
  </si>
  <si>
    <t>114-50-2942</t>
  </si>
  <si>
    <t>089-02-4592</t>
  </si>
  <si>
    <t>098-56-7329</t>
  </si>
  <si>
    <t>252-47-5682</t>
  </si>
  <si>
    <t>083-50-1244</t>
  </si>
  <si>
    <t>104-62-2860</t>
  </si>
  <si>
    <t>114-52-3925</t>
  </si>
  <si>
    <t>063-58-7649</t>
  </si>
  <si>
    <t>058-82-0424</t>
  </si>
  <si>
    <t>060-54-3247</t>
  </si>
  <si>
    <t>059-62-4778</t>
  </si>
  <si>
    <t>066-68-6986</t>
  </si>
  <si>
    <t>104-42-5247</t>
  </si>
  <si>
    <t>148-58-6213</t>
  </si>
  <si>
    <t>057-58-1206</t>
  </si>
  <si>
    <t>001-14-8273</t>
  </si>
  <si>
    <t>224-91-1249</t>
  </si>
  <si>
    <t>116-48-0572</t>
  </si>
  <si>
    <t>449-19-8968</t>
  </si>
  <si>
    <t>098-56-6711</t>
  </si>
  <si>
    <t>000-00-1987</t>
  </si>
  <si>
    <t>051-38-4529</t>
  </si>
  <si>
    <t>646-83-6634</t>
  </si>
  <si>
    <t>109-64-3113</t>
  </si>
  <si>
    <t>254-33-6713</t>
  </si>
  <si>
    <t>084-36-8606</t>
  </si>
  <si>
    <t>066-92-9886</t>
  </si>
  <si>
    <t>078-56-6911</t>
  </si>
  <si>
    <t>122-86-8029</t>
  </si>
  <si>
    <t>464-65-6021</t>
  </si>
  <si>
    <t>119-84-0712</t>
  </si>
  <si>
    <t>120-54-8259</t>
  </si>
  <si>
    <t>088-72-2827</t>
  </si>
  <si>
    <t>104-94-3890</t>
  </si>
  <si>
    <t>085-60-1268</t>
  </si>
  <si>
    <t>025-46-5873</t>
  </si>
  <si>
    <t>103-80-5108</t>
  </si>
  <si>
    <t>127-84-4500</t>
  </si>
  <si>
    <t>130-96-9134</t>
  </si>
  <si>
    <t>840-12-9685</t>
  </si>
  <si>
    <t>124-40-5187</t>
  </si>
  <si>
    <t>054-78-6213</t>
  </si>
  <si>
    <t>130-70-9624</t>
  </si>
  <si>
    <t>000-00-0897</t>
  </si>
  <si>
    <t>098-50-1869</t>
  </si>
  <si>
    <t>054-48-0009</t>
  </si>
  <si>
    <t>066-50-6743</t>
  </si>
  <si>
    <t>202-58-8094</t>
  </si>
  <si>
    <t>059-74-1870</t>
  </si>
  <si>
    <t>069-56-4280</t>
  </si>
  <si>
    <t>582-90-7731</t>
  </si>
  <si>
    <t>743-67-8515</t>
  </si>
  <si>
    <t>022-33-7143</t>
  </si>
  <si>
    <t>048-08-6305</t>
  </si>
  <si>
    <t>132-60-9482</t>
  </si>
  <si>
    <t>070-56-8409</t>
  </si>
  <si>
    <t>134-58-3988</t>
  </si>
  <si>
    <t>073-52-8000</t>
  </si>
  <si>
    <t>067-72-0783</t>
  </si>
  <si>
    <t>128-60-2390</t>
  </si>
  <si>
    <t>119-56-0441</t>
  </si>
  <si>
    <t>099-64-0003</t>
  </si>
  <si>
    <t>069-46-7647</t>
  </si>
  <si>
    <t>260-11-0246</t>
  </si>
  <si>
    <t>062-72-4938</t>
  </si>
  <si>
    <t>051-84-2494</t>
  </si>
  <si>
    <t>078-68-2786</t>
  </si>
  <si>
    <t>127-68-9449</t>
  </si>
  <si>
    <t>086-82-4073</t>
  </si>
  <si>
    <t>056-56-5891</t>
  </si>
  <si>
    <t>086-70-8663</t>
  </si>
  <si>
    <t>099-94-8492</t>
  </si>
  <si>
    <t>070-58-0175</t>
  </si>
  <si>
    <t>812-99-2204</t>
  </si>
  <si>
    <t>087-72-6308</t>
  </si>
  <si>
    <t>006-58-7145</t>
  </si>
  <si>
    <t>126-48-0614</t>
  </si>
  <si>
    <t>247-52-3269</t>
  </si>
  <si>
    <t>595-43-4951</t>
  </si>
  <si>
    <t>124-64-6297</t>
  </si>
  <si>
    <t>000-00-2113</t>
  </si>
  <si>
    <t>147-55-5616</t>
  </si>
  <si>
    <t>104-58-3968</t>
  </si>
  <si>
    <t>062-54-8575</t>
  </si>
  <si>
    <t>084-48-8874</t>
  </si>
  <si>
    <t>112-54-6268</t>
  </si>
  <si>
    <t>078-58-6555</t>
  </si>
  <si>
    <t>104-40-9953</t>
  </si>
  <si>
    <t>000-00-9201</t>
  </si>
  <si>
    <t>103-38-4939</t>
  </si>
  <si>
    <t>110-50-1957</t>
  </si>
  <si>
    <t>081-68-4521</t>
  </si>
  <si>
    <t>584-92-5580</t>
  </si>
  <si>
    <t>061-50-6188</t>
  </si>
  <si>
    <t>000-00-0578</t>
  </si>
  <si>
    <t>063-58-1888</t>
  </si>
  <si>
    <t>065-50-9938</t>
  </si>
  <si>
    <t>066-60-0236</t>
  </si>
  <si>
    <t>084-86-5826</t>
  </si>
  <si>
    <t>076-50-8841</t>
  </si>
  <si>
    <t>117-62-0932</t>
  </si>
  <si>
    <t>076-82-3361</t>
  </si>
  <si>
    <t>100-86-5662</t>
  </si>
  <si>
    <t>134-32-4635</t>
  </si>
  <si>
    <t>107-94-9162</t>
  </si>
  <si>
    <t>132-94-8185</t>
  </si>
  <si>
    <t>089-72-2686</t>
  </si>
  <si>
    <t>126-70-2309</t>
  </si>
  <si>
    <t>093-36-9641</t>
  </si>
  <si>
    <t>108-62-1028</t>
  </si>
  <si>
    <t>124-74-0657</t>
  </si>
  <si>
    <t>098-86-9519</t>
  </si>
  <si>
    <t>244-08-9724</t>
  </si>
  <si>
    <t>052-86-1152</t>
  </si>
  <si>
    <t>094-02-8306</t>
  </si>
  <si>
    <t>117-62-8978</t>
  </si>
  <si>
    <t>000-00-1917</t>
  </si>
  <si>
    <t>045-76-5501</t>
  </si>
  <si>
    <t>062-30-4838</t>
  </si>
  <si>
    <t>129-82-7334</t>
  </si>
  <si>
    <t>068-94-5441</t>
  </si>
  <si>
    <t>112-88-6860</t>
  </si>
  <si>
    <t>730-14-7561</t>
  </si>
  <si>
    <t>123-56-1824</t>
  </si>
  <si>
    <t>322-58-3423</t>
  </si>
  <si>
    <t>580-16-9290</t>
  </si>
  <si>
    <t>000-00-4692</t>
  </si>
  <si>
    <t>119-78-3173</t>
  </si>
  <si>
    <t>050-60-8335</t>
  </si>
  <si>
    <t>089-64-5832</t>
  </si>
  <si>
    <t>884-23-2444</t>
  </si>
  <si>
    <t>072-78-4627</t>
  </si>
  <si>
    <t>172-78-5359</t>
  </si>
  <si>
    <t>134-98-9980</t>
  </si>
  <si>
    <t>253-23-3516</t>
  </si>
  <si>
    <t>126-64-0397</t>
  </si>
  <si>
    <t>114-66-8020</t>
  </si>
  <si>
    <t>091-96-7497</t>
  </si>
  <si>
    <t>009-72-8315</t>
  </si>
  <si>
    <t>051-50-3891</t>
  </si>
  <si>
    <t>071-64-2621</t>
  </si>
  <si>
    <t>116-72-8482</t>
  </si>
  <si>
    <t>099-56-8753</t>
  </si>
  <si>
    <t>599-16-4320</t>
  </si>
  <si>
    <t>072-62-4298</t>
  </si>
  <si>
    <t>103-56-7172</t>
  </si>
  <si>
    <t>084-54-0240</t>
  </si>
  <si>
    <t>067-70-3794</t>
  </si>
  <si>
    <t>063-99-5992</t>
  </si>
  <si>
    <t>584-19-6941</t>
  </si>
  <si>
    <t>115-92-8202</t>
  </si>
  <si>
    <t>102-64-7663</t>
  </si>
  <si>
    <t>099-78-6640</t>
  </si>
  <si>
    <t>050-38-6165</t>
  </si>
  <si>
    <t>583-62-3994</t>
  </si>
  <si>
    <t>236-02-0058</t>
  </si>
  <si>
    <t>033-92-8608</t>
  </si>
  <si>
    <t>111-62-4178</t>
  </si>
  <si>
    <t>085-50-3388</t>
  </si>
  <si>
    <t>064-82-5363</t>
  </si>
  <si>
    <t>072-56-9474</t>
  </si>
  <si>
    <t>082-56-3606</t>
  </si>
  <si>
    <t>420-82-9814</t>
  </si>
  <si>
    <t>082-94-7748</t>
  </si>
  <si>
    <t>066-66-1450</t>
  </si>
  <si>
    <t>064-96-9060</t>
  </si>
  <si>
    <t>056-58-9041</t>
  </si>
  <si>
    <t>055-74-5765</t>
  </si>
  <si>
    <t>101-50-5485</t>
  </si>
  <si>
    <t>111-70-1310</t>
  </si>
  <si>
    <t>583-11-3015</t>
  </si>
  <si>
    <t>120-60-5356</t>
  </si>
  <si>
    <t>090-74-0325</t>
  </si>
  <si>
    <t>128-48-5763</t>
  </si>
  <si>
    <t>096-58-9214</t>
  </si>
  <si>
    <t>348-64-3793</t>
  </si>
  <si>
    <t>099-86-6156</t>
  </si>
  <si>
    <t>065-72-6768</t>
  </si>
  <si>
    <t>098-64-8015</t>
  </si>
  <si>
    <t>860-72-2239</t>
  </si>
  <si>
    <t>092-54-2455</t>
  </si>
  <si>
    <t>056-82-1452</t>
  </si>
  <si>
    <t>101-60-5540</t>
  </si>
  <si>
    <t>130-68-3622</t>
  </si>
  <si>
    <t>057-78-0673</t>
  </si>
  <si>
    <t>063-60-7925</t>
  </si>
  <si>
    <t>091-90-2357</t>
  </si>
  <si>
    <t>095-64-3185</t>
  </si>
  <si>
    <t>105-60-5069</t>
  </si>
  <si>
    <t>080-74-0099</t>
  </si>
  <si>
    <t>103-74-8303</t>
  </si>
  <si>
    <t>130-68-9830</t>
  </si>
  <si>
    <t>093-58-6703</t>
  </si>
  <si>
    <t>084-86-7598</t>
  </si>
  <si>
    <t>105-76-1889</t>
  </si>
  <si>
    <t>129-50-5338</t>
  </si>
  <si>
    <t>821-13-0266</t>
  </si>
  <si>
    <t>098-32-9243</t>
  </si>
  <si>
    <t>582-61-3047</t>
  </si>
  <si>
    <t>586-16-1097</t>
  </si>
  <si>
    <t>106-38-5476</t>
  </si>
  <si>
    <t>104-78-4029</t>
  </si>
  <si>
    <t>122-70-4412</t>
  </si>
  <si>
    <t>133-58-6816</t>
  </si>
  <si>
    <t>077-22-0693</t>
  </si>
  <si>
    <t>580-31-0661</t>
  </si>
  <si>
    <t>420-96-6005</t>
  </si>
  <si>
    <t>127-80-6467</t>
  </si>
  <si>
    <t>118-64-6722</t>
  </si>
  <si>
    <t>085-58-3440</t>
  </si>
  <si>
    <t>106-48-1386</t>
  </si>
  <si>
    <t>054-64-7860</t>
  </si>
  <si>
    <t>105-86-0927</t>
  </si>
  <si>
    <t>590-20-6989</t>
  </si>
  <si>
    <t>116-52-2850</t>
  </si>
  <si>
    <t>073-76-1265</t>
  </si>
  <si>
    <t>079-58-4352</t>
  </si>
  <si>
    <t>113-64-6007</t>
  </si>
  <si>
    <t>106-76-7872</t>
  </si>
  <si>
    <t>078-58-6998</t>
  </si>
  <si>
    <t>132-76-7318</t>
  </si>
  <si>
    <t>091-80-8140</t>
  </si>
  <si>
    <t>131-78-0295</t>
  </si>
  <si>
    <t>050-38-4885</t>
  </si>
  <si>
    <t>101-68-3715</t>
  </si>
  <si>
    <t>066-86-3193</t>
  </si>
  <si>
    <t>094-30-0378</t>
  </si>
  <si>
    <t>085-58-1987</t>
  </si>
  <si>
    <t>077-56-9567</t>
  </si>
  <si>
    <t>087-48-8948</t>
  </si>
  <si>
    <t>075-44-4059</t>
  </si>
  <si>
    <t>097-60-6198</t>
  </si>
  <si>
    <t>057-84-7972</t>
  </si>
  <si>
    <t>088-62-3285</t>
  </si>
  <si>
    <t>127-86-7880</t>
  </si>
  <si>
    <t>153-08-9240</t>
  </si>
  <si>
    <t>159-29-5522</t>
  </si>
  <si>
    <t>060-80-7160</t>
  </si>
  <si>
    <t>116-60-1839</t>
  </si>
  <si>
    <t>062-78-5730</t>
  </si>
  <si>
    <t>583-13-9014</t>
  </si>
  <si>
    <t>234-54-5216</t>
  </si>
  <si>
    <t>118-56-1550</t>
  </si>
  <si>
    <t>078-82-0956</t>
  </si>
  <si>
    <t>067-66-4348</t>
  </si>
  <si>
    <t>096-76-2304</t>
  </si>
  <si>
    <t>096-62-7716</t>
  </si>
  <si>
    <t>070-58-6543</t>
  </si>
  <si>
    <t>058-60-5720</t>
  </si>
  <si>
    <t>084-58-4925</t>
  </si>
  <si>
    <t>083-90-9494</t>
  </si>
  <si>
    <t>130-42-6612</t>
  </si>
  <si>
    <t>063-72-4216</t>
  </si>
  <si>
    <t>062-94-6814</t>
  </si>
  <si>
    <t>062-86-0980</t>
  </si>
  <si>
    <t>581-65-8593</t>
  </si>
  <si>
    <t>103-84-7847</t>
  </si>
  <si>
    <t>080-84-5229</t>
  </si>
  <si>
    <t>128-40-0492</t>
  </si>
  <si>
    <t>583-47-7551</t>
  </si>
  <si>
    <t>075-70-2664</t>
  </si>
  <si>
    <t>102-60-2369</t>
  </si>
  <si>
    <t>556-84-6639</t>
  </si>
  <si>
    <t>072-84-9522</t>
  </si>
  <si>
    <t>107-70-2763</t>
  </si>
  <si>
    <t>000-00-0127</t>
  </si>
  <si>
    <t>357-42-5222</t>
  </si>
  <si>
    <t>584-65-9244</t>
  </si>
  <si>
    <t>118-68-4588</t>
  </si>
  <si>
    <t>812-05-4081</t>
  </si>
  <si>
    <t>124-32-5100</t>
  </si>
  <si>
    <t>104-88-4915</t>
  </si>
  <si>
    <t>060-58-2207</t>
  </si>
  <si>
    <t>126-76-8395</t>
  </si>
  <si>
    <t>082-72-7245</t>
  </si>
  <si>
    <t>054-40-5007</t>
  </si>
  <si>
    <t>000-00-0335</t>
  </si>
  <si>
    <t>051-92-8490</t>
  </si>
  <si>
    <t>099-68-1862</t>
  </si>
  <si>
    <t>000-00-0113</t>
  </si>
  <si>
    <t>401-17-2518</t>
  </si>
  <si>
    <t>584-66-0346</t>
  </si>
  <si>
    <t>052-96-4422</t>
  </si>
  <si>
    <t>049-70-2432</t>
  </si>
  <si>
    <t>119-60-6408</t>
  </si>
  <si>
    <t>053-66-4297</t>
  </si>
  <si>
    <t>113-62-4848</t>
  </si>
  <si>
    <t>070-60-6582</t>
  </si>
  <si>
    <t>599-18-6322</t>
  </si>
  <si>
    <t>121-80-1806</t>
  </si>
  <si>
    <t>583-15-2256</t>
  </si>
  <si>
    <t>057-58-6188</t>
  </si>
  <si>
    <t>066-62-5278</t>
  </si>
  <si>
    <t>123-68-9577</t>
  </si>
  <si>
    <t>062-68-0411</t>
  </si>
  <si>
    <t>087-58-5089</t>
  </si>
  <si>
    <t>582-88-7519</t>
  </si>
  <si>
    <t>068-58-5680</t>
  </si>
  <si>
    <t>583-54-9823</t>
  </si>
  <si>
    <t>056-76-0375</t>
  </si>
  <si>
    <t>095-48-2005</t>
  </si>
  <si>
    <t>077-84-1469</t>
  </si>
  <si>
    <t>124-26-0192</t>
  </si>
  <si>
    <t>085-56-5177</t>
  </si>
  <si>
    <t>000-00-0517</t>
  </si>
  <si>
    <t>062-86-9822</t>
  </si>
  <si>
    <t>050-64-0113</t>
  </si>
  <si>
    <t>818-98-1193</t>
  </si>
  <si>
    <t>056-56-2842</t>
  </si>
  <si>
    <t>713-31-4528</t>
  </si>
  <si>
    <t>082-46-0247</t>
  </si>
  <si>
    <t>066-58-0254</t>
  </si>
  <si>
    <t>052-46-0330</t>
  </si>
  <si>
    <t>125-44-5536</t>
  </si>
  <si>
    <t>070-58-9030</t>
  </si>
  <si>
    <t>108-56-0491</t>
  </si>
  <si>
    <t>080-94-3683</t>
  </si>
  <si>
    <t>119-82-9788</t>
  </si>
  <si>
    <t>075-70-5765</t>
  </si>
  <si>
    <t>567-79-2138</t>
  </si>
  <si>
    <t>584-07-4877</t>
  </si>
  <si>
    <t>000-00-0634</t>
  </si>
  <si>
    <t>118-44-5329</t>
  </si>
  <si>
    <t>128-46-9210</t>
  </si>
  <si>
    <t>109-86-8864</t>
  </si>
  <si>
    <t>090-34-6179</t>
  </si>
  <si>
    <t>063-84-4924</t>
  </si>
  <si>
    <t>065-58-8771</t>
  </si>
  <si>
    <t>141-78-4009</t>
  </si>
  <si>
    <t>077-70-2876</t>
  </si>
  <si>
    <t>082-50-2255</t>
  </si>
  <si>
    <t>102-96-8739</t>
  </si>
  <si>
    <t>000-00-4742</t>
  </si>
  <si>
    <t>060-72-1646</t>
  </si>
  <si>
    <t>072-48-6795</t>
  </si>
  <si>
    <t>072-92-2020</t>
  </si>
  <si>
    <t>059-73-7137</t>
  </si>
  <si>
    <t>087-86-4402</t>
  </si>
  <si>
    <t>096-70-5859</t>
  </si>
  <si>
    <t>066-58-0343</t>
  </si>
  <si>
    <t>071-46-3302</t>
  </si>
  <si>
    <t>103-82-4642</t>
  </si>
  <si>
    <t>125-64-4584</t>
  </si>
  <si>
    <t>074-62-1096</t>
  </si>
  <si>
    <t>123-54-6854</t>
  </si>
  <si>
    <t>597-46-8372</t>
  </si>
  <si>
    <t>065-54-1338</t>
  </si>
  <si>
    <t>096-88-6073</t>
  </si>
  <si>
    <t>113-60-7510</t>
  </si>
  <si>
    <t>128-92-8905</t>
  </si>
  <si>
    <t>138-76-3594</t>
  </si>
  <si>
    <t>076-76-0409</t>
  </si>
  <si>
    <t>095-80-0486</t>
  </si>
  <si>
    <t>126-98-6859</t>
  </si>
  <si>
    <t>090-52-6341</t>
  </si>
  <si>
    <t>127-46-4488</t>
  </si>
  <si>
    <t>131-70-9663</t>
  </si>
  <si>
    <t>256-72-1058</t>
  </si>
  <si>
    <t>098-54-3367</t>
  </si>
  <si>
    <t>079-68-0475</t>
  </si>
  <si>
    <t>087-52-8907</t>
  </si>
  <si>
    <t>058-56-2439</t>
  </si>
  <si>
    <t>086-72-8728</t>
  </si>
  <si>
    <t>112-88-1236</t>
  </si>
  <si>
    <t>044-70-4495</t>
  </si>
  <si>
    <t>108-74-2373</t>
  </si>
  <si>
    <t>062-56-4122</t>
  </si>
  <si>
    <t>584-69-6751</t>
  </si>
  <si>
    <t>134-60-6252</t>
  </si>
  <si>
    <t>114-96-7551</t>
  </si>
  <si>
    <t>131-72-5981</t>
  </si>
  <si>
    <t>121-70-2640</t>
  </si>
  <si>
    <t>129-90-2688</t>
  </si>
  <si>
    <t>093-70-0228</t>
  </si>
  <si>
    <t>102-68-4963</t>
  </si>
  <si>
    <t>096-68-6113</t>
  </si>
  <si>
    <t>075-84-5743</t>
  </si>
  <si>
    <t>089-68-0342</t>
  </si>
  <si>
    <t>082-74-6481</t>
  </si>
  <si>
    <t>134-64-1815</t>
  </si>
  <si>
    <t>132-84-8976</t>
  </si>
  <si>
    <t>089-74-8020</t>
  </si>
  <si>
    <t>072-58-2906</t>
  </si>
  <si>
    <t>083-70-8843</t>
  </si>
  <si>
    <t>063-66-5071</t>
  </si>
  <si>
    <t>580-15-1377</t>
  </si>
  <si>
    <t>078-80-0235</t>
  </si>
  <si>
    <t>061-74-3568</t>
  </si>
  <si>
    <t>076-58-6967</t>
  </si>
  <si>
    <t>057-14-3966</t>
  </si>
  <si>
    <t>000-00-5637</t>
  </si>
  <si>
    <t>081-52-8059</t>
  </si>
  <si>
    <t>119-54-4937</t>
  </si>
  <si>
    <t>111-46-7139</t>
  </si>
  <si>
    <t>094-62-6919</t>
  </si>
  <si>
    <t>582-53-0401</t>
  </si>
  <si>
    <t>088-46-7644</t>
  </si>
  <si>
    <t>125-64-6163</t>
  </si>
  <si>
    <t>098-58-3477</t>
  </si>
  <si>
    <t>583-13-3394</t>
  </si>
  <si>
    <t>075-64-7328</t>
  </si>
  <si>
    <t>074-86-1212</t>
  </si>
  <si>
    <t>056-98-5022</t>
  </si>
  <si>
    <t>072-74-4734</t>
  </si>
  <si>
    <t>109-72-7516</t>
  </si>
  <si>
    <t>116-72-0032</t>
  </si>
  <si>
    <t>144-31-4815</t>
  </si>
  <si>
    <t>093-72-4292</t>
  </si>
  <si>
    <t>096-80-6511</t>
  </si>
  <si>
    <t>082-52-7119</t>
  </si>
  <si>
    <t>089-72-2213</t>
  </si>
  <si>
    <t>112-98-9221</t>
  </si>
  <si>
    <t>103-84-5988</t>
  </si>
  <si>
    <t>088-72-2873</t>
  </si>
  <si>
    <t>578-06-6739</t>
  </si>
  <si>
    <t>111-46-4786</t>
  </si>
  <si>
    <t>096-54-3033</t>
  </si>
  <si>
    <t>050-38-3644</t>
  </si>
  <si>
    <t>125-82-9586</t>
  </si>
  <si>
    <t>101-58-4186</t>
  </si>
  <si>
    <t>098-98-4989</t>
  </si>
  <si>
    <t>073-50-5830</t>
  </si>
  <si>
    <t>138-48-5750</t>
  </si>
  <si>
    <t>090-60-3515</t>
  </si>
  <si>
    <t>124-40-4422</t>
  </si>
  <si>
    <t>057-56-7231</t>
  </si>
  <si>
    <t>000-00-7378</t>
  </si>
  <si>
    <t>123-76-3829</t>
  </si>
  <si>
    <t>108-64-5846</t>
  </si>
  <si>
    <t>091-54-6575</t>
  </si>
  <si>
    <t>070-42-3358</t>
  </si>
  <si>
    <t>125-54-5343</t>
  </si>
  <si>
    <t>099-34-5117</t>
  </si>
  <si>
    <t>101-90-3599</t>
  </si>
  <si>
    <t>079-62-6501</t>
  </si>
  <si>
    <t>124-56-2820</t>
  </si>
  <si>
    <t>104-82-4492</t>
  </si>
  <si>
    <t>083-56-2928</t>
  </si>
  <si>
    <t>072-33-3443</t>
  </si>
  <si>
    <t>134-46-6941</t>
  </si>
  <si>
    <t>077-42-7526</t>
  </si>
  <si>
    <t>231-17-4273</t>
  </si>
  <si>
    <t>081-46-9889</t>
  </si>
  <si>
    <t>098-74-1628</t>
  </si>
  <si>
    <t>111-74-9683</t>
  </si>
  <si>
    <t>000-00-7059</t>
  </si>
  <si>
    <t>130-60-2714</t>
  </si>
  <si>
    <t>111-56-5617</t>
  </si>
  <si>
    <t>093-84-9934</t>
  </si>
  <si>
    <t>077-58-4307</t>
  </si>
  <si>
    <t>163-56-3209</t>
  </si>
  <si>
    <t>089-76-9848</t>
  </si>
  <si>
    <t>098-88-9680</t>
  </si>
  <si>
    <t>116-60-4039</t>
  </si>
  <si>
    <t>105-60-2841</t>
  </si>
  <si>
    <t>127-66-7633</t>
  </si>
  <si>
    <t>125-50-6024</t>
  </si>
  <si>
    <t>000-00-2474</t>
  </si>
  <si>
    <t>116-90-7308</t>
  </si>
  <si>
    <t>072-50-6590</t>
  </si>
  <si>
    <t>130-54-0321</t>
  </si>
  <si>
    <t>102-68-0894</t>
  </si>
  <si>
    <t>129-82-1910</t>
  </si>
  <si>
    <t>106-90-5537</t>
  </si>
  <si>
    <t>098-54-5212</t>
  </si>
  <si>
    <t>000-00-5343</t>
  </si>
  <si>
    <t>053-94-7031</t>
  </si>
  <si>
    <t>072-48-3608</t>
  </si>
  <si>
    <t>068-82-8426</t>
  </si>
  <si>
    <t>098-02-9496</t>
  </si>
  <si>
    <t>096-76-6558</t>
  </si>
  <si>
    <t>081-84-8621</t>
  </si>
  <si>
    <t>083-78-0059</t>
  </si>
  <si>
    <t>000-00-2861</t>
  </si>
  <si>
    <t>115-98-0633</t>
  </si>
  <si>
    <t>061-44-1601</t>
  </si>
  <si>
    <t>111-78-6465</t>
  </si>
  <si>
    <t>060-96-8909</t>
  </si>
  <si>
    <t>064-32-8222</t>
  </si>
  <si>
    <t>110-82-0129</t>
  </si>
  <si>
    <t>103-78-0314</t>
  </si>
  <si>
    <t>293-17-0856</t>
  </si>
  <si>
    <t>053-84-8766</t>
  </si>
  <si>
    <t>582-11-8987</t>
  </si>
  <si>
    <t>433-51-6186</t>
  </si>
  <si>
    <t>598-09-9388</t>
  </si>
  <si>
    <t>085-70-3876</t>
  </si>
  <si>
    <t>134-72-8235</t>
  </si>
  <si>
    <t>500-19-3895</t>
  </si>
  <si>
    <t>099-88-9742</t>
  </si>
  <si>
    <t>065-88-5382</t>
  </si>
  <si>
    <t>068-48-5106</t>
  </si>
  <si>
    <t>050-38-3713</t>
  </si>
  <si>
    <t>583-78-2300</t>
  </si>
  <si>
    <t>102-90-3126</t>
  </si>
  <si>
    <t>061-46-9375</t>
  </si>
  <si>
    <t>114-78-4173</t>
  </si>
  <si>
    <t>255-83-0669</t>
  </si>
  <si>
    <t>023-58-6984</t>
  </si>
  <si>
    <t>255-23-5124</t>
  </si>
  <si>
    <t>377-44-8873</t>
  </si>
  <si>
    <t>058-78-8018</t>
  </si>
  <si>
    <t>117-56-9577</t>
  </si>
  <si>
    <t>126-48-0476</t>
  </si>
  <si>
    <t>590-88-6973</t>
  </si>
  <si>
    <t>113-48-2528</t>
  </si>
  <si>
    <t>084-32-1113</t>
  </si>
  <si>
    <t>766-20-5401</t>
  </si>
  <si>
    <t>045-42-2933</t>
  </si>
  <si>
    <t>108-92-5939</t>
  </si>
  <si>
    <t>143-97-7751</t>
  </si>
  <si>
    <t>078-66-2160</t>
  </si>
  <si>
    <t>092-80-0572</t>
  </si>
  <si>
    <t>116-90-9987</t>
  </si>
  <si>
    <t>127-48-3860</t>
  </si>
  <si>
    <t>729-18-7560</t>
  </si>
  <si>
    <t>208-58-9688</t>
  </si>
  <si>
    <t>128-80-5920</t>
  </si>
  <si>
    <t>064-68-6086</t>
  </si>
  <si>
    <t>105-58-4719</t>
  </si>
  <si>
    <t>151-88-8002</t>
  </si>
  <si>
    <t>125-82-8188</t>
  </si>
  <si>
    <t>204-25-2738</t>
  </si>
  <si>
    <t>141-98-1839</t>
  </si>
  <si>
    <t>006-40-9368</t>
  </si>
  <si>
    <t>057-50-7484</t>
  </si>
  <si>
    <t>583-13-9590</t>
  </si>
  <si>
    <t>000-00-3398</t>
  </si>
  <si>
    <t>062-02-5344</t>
  </si>
  <si>
    <t>000-00-4995</t>
  </si>
  <si>
    <t>096-56-9764</t>
  </si>
  <si>
    <t>015-54-1988</t>
  </si>
  <si>
    <t>050-54-7894</t>
  </si>
  <si>
    <t>069-58-7163</t>
  </si>
  <si>
    <t>076-54-8412</t>
  </si>
  <si>
    <t>092-58-2616</t>
  </si>
  <si>
    <t>080-58-3640</t>
  </si>
  <si>
    <t>062-32-5761</t>
  </si>
  <si>
    <t>062-68-2973</t>
  </si>
  <si>
    <t>116-56-9672</t>
  </si>
  <si>
    <t>079-36-9380</t>
  </si>
  <si>
    <t>067-70-6245</t>
  </si>
  <si>
    <t>129-58-7495</t>
  </si>
  <si>
    <t>000-00-1452</t>
  </si>
  <si>
    <t>107-70-5267</t>
  </si>
  <si>
    <t>110-54-1036</t>
  </si>
  <si>
    <t>100-58-4358</t>
  </si>
  <si>
    <t>374-66-0640</t>
  </si>
  <si>
    <t>583-20-3861</t>
  </si>
  <si>
    <t>123-90-0314</t>
  </si>
  <si>
    <t>077-62-9141</t>
  </si>
  <si>
    <t>058-50-5191</t>
  </si>
  <si>
    <t>597-36-3875</t>
  </si>
  <si>
    <t>106-88-3860</t>
  </si>
  <si>
    <t>094-64-2536</t>
  </si>
  <si>
    <t>110-82-2652</t>
  </si>
  <si>
    <t>197-32-6777</t>
  </si>
  <si>
    <t>636-56-7451</t>
  </si>
  <si>
    <t>062-62-6788</t>
  </si>
  <si>
    <t>085-98-0540</t>
  </si>
  <si>
    <t>583-40-6836</t>
  </si>
  <si>
    <t>095-48-1950</t>
  </si>
  <si>
    <t>359-78-7522</t>
  </si>
  <si>
    <t>029-64-8922</t>
  </si>
  <si>
    <t>092-80-0426</t>
  </si>
  <si>
    <t>101-76-1048</t>
  </si>
  <si>
    <t>129-30-7516</t>
  </si>
  <si>
    <t>068-90-1392</t>
  </si>
  <si>
    <t>249-44-7872</t>
  </si>
  <si>
    <t>066-26-0050</t>
  </si>
  <si>
    <t>053-88-5925</t>
  </si>
  <si>
    <t>569-14-1254</t>
  </si>
  <si>
    <t>130-66-2477</t>
  </si>
  <si>
    <t>239-64-3026</t>
  </si>
  <si>
    <t>096-54-0772</t>
  </si>
  <si>
    <t>077-68-9112</t>
  </si>
  <si>
    <t>108-80-3819</t>
  </si>
  <si>
    <t>248-86-3572</t>
  </si>
  <si>
    <t>127-62-7439</t>
  </si>
  <si>
    <t>092-90-7640</t>
  </si>
  <si>
    <t>099-48-4990</t>
  </si>
  <si>
    <t>050-96-0460</t>
  </si>
  <si>
    <t>066-64-0282</t>
  </si>
  <si>
    <t>112-92-4236</t>
  </si>
  <si>
    <t>122-86-2625</t>
  </si>
  <si>
    <t>582-96-6965</t>
  </si>
  <si>
    <t>865-86-7838</t>
  </si>
  <si>
    <t>125-64-7009</t>
  </si>
  <si>
    <t>614-50-5948</t>
  </si>
  <si>
    <t>123-68-8724</t>
  </si>
  <si>
    <t>568-61-3225</t>
  </si>
  <si>
    <t>583-95-5306</t>
  </si>
  <si>
    <t>188-58-9353</t>
  </si>
  <si>
    <t>057-60-0938</t>
  </si>
  <si>
    <t>048-68-6512</t>
  </si>
  <si>
    <t>064-58-7548</t>
  </si>
  <si>
    <t>057-66-1060</t>
  </si>
  <si>
    <t>082-58-3470</t>
  </si>
  <si>
    <t>147-11-7092</t>
  </si>
  <si>
    <t>100-42-0062</t>
  </si>
  <si>
    <t>583-16-6470</t>
  </si>
  <si>
    <t>118-84-7316</t>
  </si>
  <si>
    <t>131-90-5180</t>
  </si>
  <si>
    <t>767-96-5717</t>
  </si>
  <si>
    <t>069-82-0022</t>
  </si>
  <si>
    <t>132-68-8334</t>
  </si>
  <si>
    <t>087-64-7214</t>
  </si>
  <si>
    <t>128-82-3593</t>
  </si>
  <si>
    <t>137-34-3044</t>
  </si>
  <si>
    <t>086-58-6187</t>
  </si>
  <si>
    <t>115-82-6819</t>
  </si>
  <si>
    <t>081-64-2282</t>
  </si>
  <si>
    <t>121-70-7044</t>
  </si>
  <si>
    <t>108-84-3137</t>
  </si>
  <si>
    <t>066-88-4331</t>
  </si>
  <si>
    <t>272-95-2061</t>
  </si>
  <si>
    <t>646-65-6569</t>
  </si>
  <si>
    <t>105-86-2630</t>
  </si>
  <si>
    <t>080-39-2356</t>
  </si>
  <si>
    <t>192-59-0527</t>
  </si>
  <si>
    <t>096-92-6530</t>
  </si>
  <si>
    <t>063-34-9598</t>
  </si>
  <si>
    <t>082-64-6484</t>
  </si>
  <si>
    <t>335-57-8114</t>
  </si>
  <si>
    <t>119-76-7278</t>
  </si>
  <si>
    <t>103-74-9879</t>
  </si>
  <si>
    <t>098-86-9711</t>
  </si>
  <si>
    <t>069-70-3734</t>
  </si>
  <si>
    <t>103-32-9640</t>
  </si>
  <si>
    <t>561-06-6204</t>
  </si>
  <si>
    <t>124-58-5065</t>
  </si>
  <si>
    <t>133-90-8496</t>
  </si>
  <si>
    <t>115-84-9138</t>
  </si>
  <si>
    <t>124-96-6483</t>
  </si>
  <si>
    <t>076-34-3865</t>
  </si>
  <si>
    <t>255-58-8865</t>
  </si>
  <si>
    <t>131-32-6499</t>
  </si>
  <si>
    <t>000-00-1684</t>
  </si>
  <si>
    <t>059-60-3785</t>
  </si>
  <si>
    <t>584-73-2683</t>
  </si>
  <si>
    <t>054-34-5683</t>
  </si>
  <si>
    <t>115-56-1903</t>
  </si>
  <si>
    <t>000-00-3006</t>
  </si>
  <si>
    <t>251-65-9262</t>
  </si>
  <si>
    <t>614-68-0110</t>
  </si>
  <si>
    <t>049-58-8076</t>
  </si>
  <si>
    <t>058-72-3293</t>
  </si>
  <si>
    <t>123-80-4006</t>
  </si>
  <si>
    <t>540-17-5845</t>
  </si>
  <si>
    <t>068-58-2749</t>
  </si>
  <si>
    <t>126-64-5469</t>
  </si>
  <si>
    <t>108-80-7706</t>
  </si>
  <si>
    <t>060-86-2355</t>
  </si>
  <si>
    <t>157-80-1043</t>
  </si>
  <si>
    <t>091-13-4434</t>
  </si>
  <si>
    <t>176-76-1304</t>
  </si>
  <si>
    <t>000-00-0062</t>
  </si>
  <si>
    <t>126-62-9928</t>
  </si>
  <si>
    <t>348-28-0144</t>
  </si>
  <si>
    <t>124-76-7374</t>
  </si>
  <si>
    <t>093-58-9057</t>
  </si>
  <si>
    <t>315-06-3690</t>
  </si>
  <si>
    <t>133-78-3215</t>
  </si>
  <si>
    <t>074-44-7452</t>
  </si>
  <si>
    <t>492-11-8787</t>
  </si>
  <si>
    <t>366-21-7739</t>
  </si>
  <si>
    <t>423-78-2580</t>
  </si>
  <si>
    <t>300-29-0231</t>
  </si>
  <si>
    <t>585-96-5440</t>
  </si>
  <si>
    <t>449-91-3667</t>
  </si>
  <si>
    <t>414-63-2438</t>
  </si>
  <si>
    <t>675-03-4943</t>
  </si>
  <si>
    <t>129-66-4028</t>
  </si>
  <si>
    <t>069-76-7824</t>
  </si>
  <si>
    <t>594-41-6078</t>
  </si>
  <si>
    <t>109-46-4981</t>
  </si>
  <si>
    <t>107-46-9745</t>
  </si>
  <si>
    <t>066-58-9522</t>
  </si>
  <si>
    <t>058-58-9783</t>
  </si>
  <si>
    <t>127-72-3469</t>
  </si>
  <si>
    <t>058-64-4800</t>
  </si>
  <si>
    <t>133-70-9564</t>
  </si>
  <si>
    <t>114-66-8029</t>
  </si>
  <si>
    <t>121-70-3306</t>
  </si>
  <si>
    <t>583-96-5909</t>
  </si>
  <si>
    <t>062-90-1227</t>
  </si>
  <si>
    <t>095-64-8624</t>
  </si>
  <si>
    <t>070-46-5123</t>
  </si>
  <si>
    <t>056-70-1457</t>
  </si>
  <si>
    <t>126-50-8070</t>
  </si>
  <si>
    <t>053-72-9437</t>
  </si>
  <si>
    <t>115-58-1471</t>
  </si>
  <si>
    <t>095-68-4553</t>
  </si>
  <si>
    <t>055-02-3688</t>
  </si>
  <si>
    <t>544-02-9948</t>
  </si>
  <si>
    <t>063-50-2805</t>
  </si>
  <si>
    <t>078-48-7120</t>
  </si>
  <si>
    <t>000-00-9704</t>
  </si>
  <si>
    <t>119-60-5903</t>
  </si>
  <si>
    <t>088-54-8301</t>
  </si>
  <si>
    <t>124-56-6513</t>
  </si>
  <si>
    <t>091-94-5533</t>
  </si>
  <si>
    <t>088-74-3728</t>
  </si>
  <si>
    <t>583-74-7375</t>
  </si>
  <si>
    <t>000-00-9317</t>
  </si>
  <si>
    <t>071-60-3379</t>
  </si>
  <si>
    <t>128-80-4902</t>
  </si>
  <si>
    <t>124-86-1769</t>
  </si>
  <si>
    <t>118-44-0723</t>
  </si>
  <si>
    <t>099-84-1491</t>
  </si>
  <si>
    <t>581-99-2917</t>
  </si>
  <si>
    <t>112-70-5333</t>
  </si>
  <si>
    <t>079-56-1494</t>
  </si>
  <si>
    <t>099-78-9927</t>
  </si>
  <si>
    <t>081-42-5435</t>
  </si>
  <si>
    <t>119-82-3709</t>
  </si>
  <si>
    <t>078-90-5658</t>
  </si>
  <si>
    <t>104-92-6160</t>
  </si>
  <si>
    <t>054-56-7384</t>
  </si>
  <si>
    <t>077-84-6710</t>
  </si>
  <si>
    <t>036-70-6970</t>
  </si>
  <si>
    <t>125-54-9729</t>
  </si>
  <si>
    <t>056-58-0890</t>
  </si>
  <si>
    <t>116-94-4562</t>
  </si>
  <si>
    <t>229-70-4751</t>
  </si>
  <si>
    <t>000-00-0529</t>
  </si>
  <si>
    <t>068-74-5867</t>
  </si>
  <si>
    <t>054-48-1528</t>
  </si>
  <si>
    <t>106-96-5684</t>
  </si>
  <si>
    <t>075-38-5626</t>
  </si>
  <si>
    <t>081-70-3810</t>
  </si>
  <si>
    <t>584-05-9604</t>
  </si>
  <si>
    <t>049-44-8370</t>
  </si>
  <si>
    <t>079-62-9332</t>
  </si>
  <si>
    <t>098-84-2564</t>
  </si>
  <si>
    <t>356-55-9023</t>
  </si>
  <si>
    <t>123-74-6434</t>
  </si>
  <si>
    <t>691-47-3625</t>
  </si>
  <si>
    <t>098-66-2673</t>
  </si>
  <si>
    <t>093-62-2465</t>
  </si>
  <si>
    <t>069-58-3502</t>
  </si>
  <si>
    <t>145-04-9453</t>
  </si>
  <si>
    <t>138-58-5066</t>
  </si>
  <si>
    <t>050-84-9393</t>
  </si>
  <si>
    <t>599-24-9884</t>
  </si>
  <si>
    <t>098-56-3262</t>
  </si>
  <si>
    <t>120-62-7819</t>
  </si>
  <si>
    <t>109-66-2686</t>
  </si>
  <si>
    <t>263-64-7039</t>
  </si>
  <si>
    <t>134-54-6262</t>
  </si>
  <si>
    <t>729-14-8437</t>
  </si>
  <si>
    <t>119-50-7486</t>
  </si>
  <si>
    <t>056-68-7638</t>
  </si>
  <si>
    <t>127-88-0878</t>
  </si>
  <si>
    <t>050-02-2676</t>
  </si>
  <si>
    <t>103-68-8774</t>
  </si>
  <si>
    <t>059-90-8254</t>
  </si>
  <si>
    <t>116-62-0301</t>
  </si>
  <si>
    <t>132-74-9052</t>
  </si>
  <si>
    <t>082-76-3379</t>
  </si>
  <si>
    <t>134-56-1630</t>
  </si>
  <si>
    <t>050-96-3260</t>
  </si>
  <si>
    <t>084-72-3588</t>
  </si>
  <si>
    <t>069-62-7133</t>
  </si>
  <si>
    <t>063-94-2348</t>
  </si>
  <si>
    <t>116-68-8053</t>
  </si>
  <si>
    <t>091-70-7063</t>
  </si>
  <si>
    <t>885-46-6297</t>
  </si>
  <si>
    <t>090-58-9288</t>
  </si>
  <si>
    <t>103-18-1422</t>
  </si>
  <si>
    <t>071-58-7788</t>
  </si>
  <si>
    <t>062-68-1689</t>
  </si>
  <si>
    <t>083-86-6245</t>
  </si>
  <si>
    <t>062-84-0490</t>
  </si>
  <si>
    <t>480-95-1126</t>
  </si>
  <si>
    <t>132-66-8321</t>
  </si>
  <si>
    <t>121-54-1165</t>
  </si>
  <si>
    <t>100-70-4925</t>
  </si>
  <si>
    <t>067-66-2793</t>
  </si>
  <si>
    <t>082-84-7850</t>
  </si>
  <si>
    <t>118-66-3926</t>
  </si>
  <si>
    <t>053-78-5931</t>
  </si>
  <si>
    <t>064-56-9288</t>
  </si>
  <si>
    <t>058-58-7195</t>
  </si>
  <si>
    <t>067-80-8159</t>
  </si>
  <si>
    <t>131-68-1204</t>
  </si>
  <si>
    <t>070-58-9027</t>
  </si>
  <si>
    <t>580-08-6020</t>
  </si>
  <si>
    <t>074-86-1420</t>
  </si>
  <si>
    <t>233-76-1052</t>
  </si>
  <si>
    <t>074-82-6407</t>
  </si>
  <si>
    <t>082-58-6054</t>
  </si>
  <si>
    <t>580-21-5981</t>
  </si>
  <si>
    <t>130-48-7994</t>
  </si>
  <si>
    <t>000-00-2748</t>
  </si>
  <si>
    <t>122-78-2974</t>
  </si>
  <si>
    <t>072-92-4190</t>
  </si>
  <si>
    <t>103-84-5400</t>
  </si>
  <si>
    <t>085-76-7156</t>
  </si>
  <si>
    <t>054-66-5084</t>
  </si>
  <si>
    <t>097-98-6441</t>
  </si>
  <si>
    <t>065-72-6336</t>
  </si>
  <si>
    <t>089-70-5408</t>
  </si>
  <si>
    <t>099-48-9821</t>
  </si>
  <si>
    <t>109-68-6315</t>
  </si>
  <si>
    <t>061-50-8237</t>
  </si>
  <si>
    <t>094-34-3967</t>
  </si>
  <si>
    <t>125-56-1738</t>
  </si>
  <si>
    <t>059-58-9894</t>
  </si>
  <si>
    <t>122-62-1904</t>
  </si>
  <si>
    <t>223-56-2337</t>
  </si>
  <si>
    <t>083-94-0935</t>
  </si>
  <si>
    <t>000-00-9077</t>
  </si>
  <si>
    <t>581-15-9658</t>
  </si>
  <si>
    <t>000-00-7844</t>
  </si>
  <si>
    <t>095-58-3276</t>
  </si>
  <si>
    <t>089-52-0390</t>
  </si>
  <si>
    <t>074-74-9186</t>
  </si>
  <si>
    <t>082-84-6040</t>
  </si>
  <si>
    <t>091-64-5796</t>
  </si>
  <si>
    <t>108-66-3887</t>
  </si>
  <si>
    <t>055-64-9501</t>
  </si>
  <si>
    <t>073-56-9098</t>
  </si>
  <si>
    <t>119-48-1492</t>
  </si>
  <si>
    <t>076-60-1107</t>
  </si>
  <si>
    <t>058-72-0224</t>
  </si>
  <si>
    <t>068-58-6529</t>
  </si>
  <si>
    <t>256-85-6362</t>
  </si>
  <si>
    <t>090-84-9289</t>
  </si>
  <si>
    <t>123-64-8395</t>
  </si>
  <si>
    <t>071-46-3273</t>
  </si>
  <si>
    <t>000-00-8192</t>
  </si>
  <si>
    <t>212-35-5398</t>
  </si>
  <si>
    <t>111-86-9048</t>
  </si>
  <si>
    <t>119-48-0519</t>
  </si>
  <si>
    <t>062-64-7952</t>
  </si>
  <si>
    <t>122-62-6836</t>
  </si>
  <si>
    <t>108-62-6552</t>
  </si>
  <si>
    <t>080-70-7528</t>
  </si>
  <si>
    <t>164-72-0036</t>
  </si>
  <si>
    <t>000-00-0427</t>
  </si>
  <si>
    <t>000-00-2744</t>
  </si>
  <si>
    <t>449-94-2903</t>
  </si>
  <si>
    <t>076-58-8477</t>
  </si>
  <si>
    <t>130-76-9259</t>
  </si>
  <si>
    <t>000-00-0889</t>
  </si>
  <si>
    <t>116-66-2535</t>
  </si>
  <si>
    <t>086-62-9196</t>
  </si>
  <si>
    <t>359-58-3514</t>
  </si>
  <si>
    <t>063-58-3885</t>
  </si>
  <si>
    <t>085-58-9145</t>
  </si>
  <si>
    <t>103-84-2067</t>
  </si>
  <si>
    <t>070-40-1704</t>
  </si>
  <si>
    <t>000-00-3685</t>
  </si>
  <si>
    <t>084-92-6353</t>
  </si>
  <si>
    <t>438-49-9018</t>
  </si>
  <si>
    <t>120-66-3972</t>
  </si>
  <si>
    <t>080-72-5732</t>
  </si>
  <si>
    <t>050-84-9419</t>
  </si>
  <si>
    <t>100-54-7668</t>
  </si>
  <si>
    <t>075-88-0209</t>
  </si>
  <si>
    <t>130-98-8445</t>
  </si>
  <si>
    <t>101-84-3087</t>
  </si>
  <si>
    <t>059-42-2516</t>
  </si>
  <si>
    <t>000-00-7664</t>
  </si>
  <si>
    <t>000-00-4409</t>
  </si>
  <si>
    <t>253-90-6541</t>
  </si>
  <si>
    <t>462-87-0243</t>
  </si>
  <si>
    <t>000-00-6839</t>
  </si>
  <si>
    <t>091-80-0654</t>
  </si>
  <si>
    <t>115-52-9512</t>
  </si>
  <si>
    <t>065-62-0359</t>
  </si>
  <si>
    <t>087-44-7872</t>
  </si>
  <si>
    <t>065-78-6715</t>
  </si>
  <si>
    <t>594-74-4090</t>
  </si>
  <si>
    <t>590-71-1635</t>
  </si>
  <si>
    <t>107-62-2775</t>
  </si>
  <si>
    <t>108-60-3592</t>
  </si>
  <si>
    <t>056-64-0265</t>
  </si>
  <si>
    <t>116-52-7935</t>
  </si>
  <si>
    <t>591-54-8293</t>
  </si>
  <si>
    <t>108-60-0300</t>
  </si>
  <si>
    <t>090-62-1045</t>
  </si>
  <si>
    <t>053-50-6494</t>
  </si>
  <si>
    <t>085-66-0688</t>
  </si>
  <si>
    <t>068-88-0329</t>
  </si>
  <si>
    <t>096-46-5308</t>
  </si>
  <si>
    <t>756-90-2601</t>
  </si>
  <si>
    <t>085-60-7695</t>
  </si>
  <si>
    <t>055-58-4926</t>
  </si>
  <si>
    <t>593-13-5574</t>
  </si>
  <si>
    <t>090-40-9899</t>
  </si>
  <si>
    <t>113-64-5213</t>
  </si>
  <si>
    <t>083-80-8833</t>
  </si>
  <si>
    <t>052-58-8433</t>
  </si>
  <si>
    <t>584-41-4508</t>
  </si>
  <si>
    <t>581-61-7794</t>
  </si>
  <si>
    <t>057-84-7056</t>
  </si>
  <si>
    <t>114-74-5262</t>
  </si>
  <si>
    <t>058-90-5861</t>
  </si>
  <si>
    <t>115-90-2839</t>
  </si>
  <si>
    <t>063-84-0388</t>
  </si>
  <si>
    <t>097-72-4268</t>
  </si>
  <si>
    <t>120-44-0988</t>
  </si>
  <si>
    <t>138-32-3136</t>
  </si>
  <si>
    <t>113-40-8268</t>
  </si>
  <si>
    <t>065-50-7123</t>
  </si>
  <si>
    <t>128-46-8459</t>
  </si>
  <si>
    <t>098-58-0308</t>
  </si>
  <si>
    <t>113-70-9369</t>
  </si>
  <si>
    <t>092-76-6481</t>
  </si>
  <si>
    <t>096-84-7683</t>
  </si>
  <si>
    <t>372-84-5289</t>
  </si>
  <si>
    <t>094-82-8580</t>
  </si>
  <si>
    <t>127-76-3882</t>
  </si>
  <si>
    <t>220-88-5955</t>
  </si>
  <si>
    <t>085-72-7021</t>
  </si>
  <si>
    <t>088-94-5194</t>
  </si>
  <si>
    <t>114-72-1299</t>
  </si>
  <si>
    <t>584-56-5573</t>
  </si>
  <si>
    <t>370-02-4297</t>
  </si>
  <si>
    <t>543-45-6906</t>
  </si>
  <si>
    <t>109-60-8783</t>
  </si>
  <si>
    <t>107-48-9745</t>
  </si>
  <si>
    <t>685-63-5137</t>
  </si>
  <si>
    <t>097-70-5274</t>
  </si>
  <si>
    <t>117-70-7974</t>
  </si>
  <si>
    <t>119-90-8146</t>
  </si>
  <si>
    <t>126-70-9635</t>
  </si>
  <si>
    <t>584-58-3965</t>
  </si>
  <si>
    <t>105-38-0070</t>
  </si>
  <si>
    <t>000-00-2264</t>
  </si>
  <si>
    <t>128-88-4017</t>
  </si>
  <si>
    <t>069-92-0872</t>
  </si>
  <si>
    <t>080-68-7289</t>
  </si>
  <si>
    <t>128-26-5162</t>
  </si>
  <si>
    <t>050-62-1204</t>
  </si>
  <si>
    <t>115-78-4315</t>
  </si>
  <si>
    <t>095-60-0905</t>
  </si>
  <si>
    <t>096-70-7786</t>
  </si>
  <si>
    <t>554-37-1224</t>
  </si>
  <si>
    <t>643-91-2283</t>
  </si>
  <si>
    <t>106-84-7286</t>
  </si>
  <si>
    <t>000-00-5422</t>
  </si>
  <si>
    <t>107-84-0851</t>
  </si>
  <si>
    <t>212-68-3264</t>
  </si>
  <si>
    <t>113-72-8090</t>
  </si>
  <si>
    <t>100-62-6349</t>
  </si>
  <si>
    <t>073-70-5097</t>
  </si>
  <si>
    <t>040-68-3997</t>
  </si>
  <si>
    <t>733-05-3189</t>
  </si>
  <si>
    <t>075-94-6958</t>
  </si>
  <si>
    <t>115-62-3288</t>
  </si>
  <si>
    <t>093-90-9933</t>
  </si>
  <si>
    <t>393-75-4977</t>
  </si>
  <si>
    <t>083-80-6332</t>
  </si>
  <si>
    <t>065-56-8975</t>
  </si>
  <si>
    <t>279-84-6135</t>
  </si>
  <si>
    <t>064-78-0788</t>
  </si>
  <si>
    <t>113-52-6311</t>
  </si>
  <si>
    <t>087-86-2254</t>
  </si>
  <si>
    <t>113-88-0817</t>
  </si>
  <si>
    <t>584-79-0525</t>
  </si>
  <si>
    <t>138-06-2503</t>
  </si>
  <si>
    <t>133-62-9631</t>
  </si>
  <si>
    <t>565-57-5353</t>
  </si>
  <si>
    <t>104-58-3873</t>
  </si>
  <si>
    <t>123-54-9498</t>
  </si>
  <si>
    <t>111-54-5550</t>
  </si>
  <si>
    <t>094-56-8464</t>
  </si>
  <si>
    <t>122-44-0909</t>
  </si>
  <si>
    <t>103-34-4797</t>
  </si>
  <si>
    <t>128-98-8283</t>
  </si>
  <si>
    <t>080-76-5034</t>
  </si>
  <si>
    <t>800-05-9584</t>
  </si>
  <si>
    <t>126-48-1193</t>
  </si>
  <si>
    <t>100-50-3076</t>
  </si>
  <si>
    <t>124-92-8352</t>
  </si>
  <si>
    <t>205-44-4216</t>
  </si>
  <si>
    <t>580-06-7408</t>
  </si>
  <si>
    <t>860-67-5157</t>
  </si>
  <si>
    <t>166-46-1092</t>
  </si>
  <si>
    <t>098-36-9473</t>
  </si>
  <si>
    <t>072-52-9933</t>
  </si>
  <si>
    <t>000-00-4538</t>
  </si>
  <si>
    <t>105-50-3326</t>
  </si>
  <si>
    <t>101-34-6952</t>
  </si>
  <si>
    <t>583-72-8789</t>
  </si>
  <si>
    <t>116-44-1632</t>
  </si>
  <si>
    <t>237-27-4083</t>
  </si>
  <si>
    <t>598-28-2790</t>
  </si>
  <si>
    <t>092-66-9996</t>
  </si>
  <si>
    <t>063-92-5565</t>
  </si>
  <si>
    <t>106-52-9385</t>
  </si>
  <si>
    <t>088-82-5748</t>
  </si>
  <si>
    <t>108-92-9390</t>
  </si>
  <si>
    <t>203-58-0262</t>
  </si>
  <si>
    <t>109-78-6843</t>
  </si>
  <si>
    <t>118-54-7614</t>
  </si>
  <si>
    <t>120-94-3103</t>
  </si>
  <si>
    <t>078-68-8908</t>
  </si>
  <si>
    <t>089-02-0329</t>
  </si>
  <si>
    <t>733-26-4467</t>
  </si>
  <si>
    <t>101-34-7187</t>
  </si>
  <si>
    <t>582-95-7152</t>
  </si>
  <si>
    <t>269-58-7046</t>
  </si>
  <si>
    <t>083-40-9234</t>
  </si>
  <si>
    <t>083-96-6667</t>
  </si>
  <si>
    <t>094-87-1558</t>
  </si>
  <si>
    <t>085-54-6248</t>
  </si>
  <si>
    <t>062-96-0874</t>
  </si>
  <si>
    <t>092-68-8393</t>
  </si>
  <si>
    <t>051-70-7156</t>
  </si>
  <si>
    <t>091-42-9046</t>
  </si>
  <si>
    <t>115-96-5208</t>
  </si>
  <si>
    <t>583-78-7215</t>
  </si>
  <si>
    <t>060-46-4077</t>
  </si>
  <si>
    <t>071-50-5851</t>
  </si>
  <si>
    <t>259-35-7168</t>
  </si>
  <si>
    <t>103-58-4935</t>
  </si>
  <si>
    <t>000-00-1191</t>
  </si>
  <si>
    <t>078-48-5186</t>
  </si>
  <si>
    <t>056-72-5267</t>
  </si>
  <si>
    <t>246-96-4175</t>
  </si>
  <si>
    <t>089-48-3494</t>
  </si>
  <si>
    <t>121-54-5900</t>
  </si>
  <si>
    <t>062-96-0051</t>
  </si>
  <si>
    <t>111-98-9820</t>
  </si>
  <si>
    <t>132-82-2399</t>
  </si>
  <si>
    <t>111-98-0674</t>
  </si>
  <si>
    <t>119-76-8672</t>
  </si>
  <si>
    <t>580-37-4487</t>
  </si>
  <si>
    <t>107-96-9097</t>
  </si>
  <si>
    <t>584-40-5931</t>
  </si>
  <si>
    <t>105-56-7824</t>
  </si>
  <si>
    <t>080-54-3328</t>
  </si>
  <si>
    <t>732-20-4759</t>
  </si>
  <si>
    <t>089-74-7270</t>
  </si>
  <si>
    <t>094-92-8551</t>
  </si>
  <si>
    <t>055-64-8607</t>
  </si>
  <si>
    <t>060-58-1447</t>
  </si>
  <si>
    <t>111-44-5447</t>
  </si>
  <si>
    <t>580-29-8720</t>
  </si>
  <si>
    <t>133-58-6211</t>
  </si>
  <si>
    <t>584-04-8228</t>
  </si>
  <si>
    <t>115-68-4799</t>
  </si>
  <si>
    <t>085-56-5725</t>
  </si>
  <si>
    <t>071-58-4079</t>
  </si>
  <si>
    <t>078-76-6190</t>
  </si>
  <si>
    <t>113-52-7283</t>
  </si>
  <si>
    <t>093-54-8429</t>
  </si>
  <si>
    <t>668-12-5599</t>
  </si>
  <si>
    <t>111-46-5044</t>
  </si>
  <si>
    <t>598-52-6650</t>
  </si>
  <si>
    <t>089-62-7111</t>
  </si>
  <si>
    <t>587-01-4944</t>
  </si>
  <si>
    <t>101-84-6894</t>
  </si>
  <si>
    <t>052-58-1202</t>
  </si>
  <si>
    <t>010-76-2629</t>
  </si>
  <si>
    <t>215-67-9596</t>
  </si>
  <si>
    <t>596-46-7441</t>
  </si>
  <si>
    <t>082-88-4185</t>
  </si>
  <si>
    <t>132-90-8651</t>
  </si>
  <si>
    <t>115-60-4516</t>
  </si>
  <si>
    <t>060-90-4861</t>
  </si>
  <si>
    <t>103-70-5919</t>
  </si>
  <si>
    <t>125-68-3178</t>
  </si>
  <si>
    <t>116-76-4726</t>
  </si>
  <si>
    <t>580-68-6204</t>
  </si>
  <si>
    <t>159-42-4807</t>
  </si>
  <si>
    <t>000-00-8512</t>
  </si>
  <si>
    <t>107-96-0966</t>
  </si>
  <si>
    <t>133-28-5883</t>
  </si>
  <si>
    <t>061-54-7681</t>
  </si>
  <si>
    <t>736-14-5129</t>
  </si>
  <si>
    <t>598-52-7423</t>
  </si>
  <si>
    <t>059-88-6969</t>
  </si>
  <si>
    <t>099-44-0354</t>
  </si>
  <si>
    <t>071-86-4001</t>
  </si>
  <si>
    <t>116-54-1124</t>
  </si>
  <si>
    <t>056-62-8785</t>
  </si>
  <si>
    <t>580-31-6801</t>
  </si>
  <si>
    <t>096-36-3603</t>
  </si>
  <si>
    <t>125-40-4339</t>
  </si>
  <si>
    <t>117-68-8378</t>
  </si>
  <si>
    <t>106-32-1676</t>
  </si>
  <si>
    <t>064-58-1257</t>
  </si>
  <si>
    <t>090-68-1494</t>
  </si>
  <si>
    <t>100-46-9791</t>
  </si>
  <si>
    <t>129-56-5517</t>
  </si>
  <si>
    <t>066-54-2135</t>
  </si>
  <si>
    <t>584-08-3286</t>
  </si>
  <si>
    <t>066-58-9399</t>
  </si>
  <si>
    <t>368-98-8464</t>
  </si>
  <si>
    <t>057-54-9162</t>
  </si>
  <si>
    <t>071-44-6621</t>
  </si>
  <si>
    <t>119-72-0141</t>
  </si>
  <si>
    <t>090-84-8536</t>
  </si>
  <si>
    <t>114-96-7528</t>
  </si>
  <si>
    <t>094-76-8668</t>
  </si>
  <si>
    <t>110-52-2580</t>
  </si>
  <si>
    <t>107-60-8069</t>
  </si>
  <si>
    <t>109-60-1869</t>
  </si>
  <si>
    <t>132-80-0224</t>
  </si>
  <si>
    <t>524-63-4064</t>
  </si>
  <si>
    <t>057-56-9388</t>
  </si>
  <si>
    <t>104-58-8990</t>
  </si>
  <si>
    <t>070-60-1058</t>
  </si>
  <si>
    <t>085-64-5852</t>
  </si>
  <si>
    <t>097-46-4066</t>
  </si>
  <si>
    <t>057-58-8387</t>
  </si>
  <si>
    <t>129-58-2381</t>
  </si>
  <si>
    <t>129-36-3367</t>
  </si>
  <si>
    <t>133-96-8598</t>
  </si>
  <si>
    <t>247-65-3776</t>
  </si>
  <si>
    <t>108-88-7151</t>
  </si>
  <si>
    <t>075-74-5840</t>
  </si>
  <si>
    <t>131-54-0474</t>
  </si>
  <si>
    <t>000-00-0733</t>
  </si>
  <si>
    <t>105-68-5357</t>
  </si>
  <si>
    <t>002-70-8795</t>
  </si>
  <si>
    <t>062-44-2816</t>
  </si>
  <si>
    <t>569-43-5434</t>
  </si>
  <si>
    <t>060-60-3470</t>
  </si>
  <si>
    <t>060-02-3665</t>
  </si>
  <si>
    <t>108-28-2340</t>
  </si>
  <si>
    <t>084-62-0665</t>
  </si>
  <si>
    <t>096-36-8722</t>
  </si>
  <si>
    <t>091-64-4525</t>
  </si>
  <si>
    <t>202-82-8882</t>
  </si>
  <si>
    <t>128-84-3364</t>
  </si>
  <si>
    <t>422-76-4273</t>
  </si>
  <si>
    <t>066-86-5824</t>
  </si>
  <si>
    <t>110-90-0229</t>
  </si>
  <si>
    <t>072-66-2408</t>
  </si>
  <si>
    <t>000-00-1892</t>
  </si>
  <si>
    <t>124-92-1988</t>
  </si>
  <si>
    <t>107-24-8067</t>
  </si>
  <si>
    <t>100-60-0024</t>
  </si>
  <si>
    <t>055-76-9600</t>
  </si>
  <si>
    <t>730-14-5584</t>
  </si>
  <si>
    <t>123-56-6527</t>
  </si>
  <si>
    <t>181-32-1001</t>
  </si>
  <si>
    <t>072-86-8950</t>
  </si>
  <si>
    <t>102-52-7374</t>
  </si>
  <si>
    <t>071-78-0702</t>
  </si>
  <si>
    <t>125-44-3934</t>
  </si>
  <si>
    <t>070-88-7611</t>
  </si>
  <si>
    <t>058-50-4914</t>
  </si>
  <si>
    <t>383-87-9795</t>
  </si>
  <si>
    <t>100-54-7876</t>
  </si>
  <si>
    <t>111-78-6454</t>
  </si>
  <si>
    <t>060-50-7936</t>
  </si>
  <si>
    <t>100-74-6024</t>
  </si>
  <si>
    <t>076-62-1536</t>
  </si>
  <si>
    <t>118-66-9174</t>
  </si>
  <si>
    <t>051-84-7827</t>
  </si>
  <si>
    <t>428-66-0813</t>
  </si>
  <si>
    <t>081-56-5874</t>
  </si>
  <si>
    <t>089-50-6280</t>
  </si>
  <si>
    <t>029-64-3712</t>
  </si>
  <si>
    <t>093-72-3914</t>
  </si>
  <si>
    <t>026-58-8399</t>
  </si>
  <si>
    <t>104-34-4530</t>
  </si>
  <si>
    <t>127-60-7211</t>
  </si>
  <si>
    <t>104-78-4668</t>
  </si>
  <si>
    <t>070-34-1192</t>
  </si>
  <si>
    <t>729-10-3832</t>
  </si>
  <si>
    <t>088-40-4774</t>
  </si>
  <si>
    <t>079-50-0331</t>
  </si>
  <si>
    <t>097-56-3138</t>
  </si>
  <si>
    <t>118-46-2175</t>
  </si>
  <si>
    <t>131-56-7558</t>
  </si>
  <si>
    <t>050-48-7436</t>
  </si>
  <si>
    <t>082-56-6937</t>
  </si>
  <si>
    <t>412-61-1264</t>
  </si>
  <si>
    <t>083-86-5750</t>
  </si>
  <si>
    <t>118-44-7162</t>
  </si>
  <si>
    <t>496-80-9334</t>
  </si>
  <si>
    <t>062-02-1731</t>
  </si>
  <si>
    <t>086-80-5883</t>
  </si>
  <si>
    <t>057-86-4204</t>
  </si>
  <si>
    <t>000-00-7558</t>
  </si>
  <si>
    <t>097-56-7787</t>
  </si>
  <si>
    <t>093-34-8982</t>
  </si>
  <si>
    <t>079-58-8816</t>
  </si>
  <si>
    <t>373-64-5954</t>
  </si>
  <si>
    <t>078-72-3968</t>
  </si>
  <si>
    <t>153-24-0319</t>
  </si>
  <si>
    <t>098-58-9463</t>
  </si>
  <si>
    <t>059-86-9495</t>
  </si>
  <si>
    <t>478-21-9172</t>
  </si>
  <si>
    <t>128-86-1001</t>
  </si>
  <si>
    <t>091-44-1808</t>
  </si>
  <si>
    <t>104-32-0617</t>
  </si>
  <si>
    <t>644-78-3773</t>
  </si>
  <si>
    <t>074-90-9034</t>
  </si>
  <si>
    <t>195-64-4180</t>
  </si>
  <si>
    <t>114-68-3698</t>
  </si>
  <si>
    <t>099-84-9502</t>
  </si>
  <si>
    <t>126-64-4842</t>
  </si>
  <si>
    <t>611-26-9717</t>
  </si>
  <si>
    <t>108-93-2937</t>
  </si>
  <si>
    <t>106-66-0506</t>
  </si>
  <si>
    <t>085-36-3437</t>
  </si>
  <si>
    <t>110-64-2921</t>
  </si>
  <si>
    <t>110-78-3969</t>
  </si>
  <si>
    <t>104-80-7661</t>
  </si>
  <si>
    <t>099-52-9805</t>
  </si>
  <si>
    <t>000-00-7216</t>
  </si>
  <si>
    <t>062-52-4199</t>
  </si>
  <si>
    <t>099-44-7045</t>
  </si>
  <si>
    <t>050-92-6559</t>
  </si>
  <si>
    <t>426-65-1711</t>
  </si>
  <si>
    <t>093-82-7646</t>
  </si>
  <si>
    <t>126-52-6253</t>
  </si>
  <si>
    <t>099-70-1258</t>
  </si>
  <si>
    <t>121-56-4694</t>
  </si>
  <si>
    <t>075-64-1188</t>
  </si>
  <si>
    <t>073-50-5837</t>
  </si>
  <si>
    <t>177-42-0513</t>
  </si>
  <si>
    <t>052-48-9282</t>
  </si>
  <si>
    <t>078-58-6935</t>
  </si>
  <si>
    <t>217-27-9174</t>
  </si>
  <si>
    <t>107-86-5801</t>
  </si>
  <si>
    <t>078-64-5589</t>
  </si>
  <si>
    <t>149-90-5428</t>
  </si>
  <si>
    <t>171-74-3102</t>
  </si>
  <si>
    <t>106-90-2668</t>
  </si>
  <si>
    <t>115-36-7644</t>
  </si>
  <si>
    <t>059-66-6674</t>
  </si>
  <si>
    <t>351-66-8317</t>
  </si>
  <si>
    <t>128-96-0875</t>
  </si>
  <si>
    <t>058-90-0140</t>
  </si>
  <si>
    <t>055-60-2755</t>
  </si>
  <si>
    <t>054-40-6814</t>
  </si>
  <si>
    <t>094-02-9016</t>
  </si>
  <si>
    <t>132-60-7715</t>
  </si>
  <si>
    <t>103-70-6917</t>
  </si>
  <si>
    <t>125-90-1439</t>
  </si>
  <si>
    <t>120-70-4658</t>
  </si>
  <si>
    <t>076-82-6777</t>
  </si>
  <si>
    <t>078-58-9506</t>
  </si>
  <si>
    <t>061-34-2606</t>
  </si>
  <si>
    <t>433-73-3540</t>
  </si>
  <si>
    <t>102-50-9783</t>
  </si>
  <si>
    <t>580-12-6089</t>
  </si>
  <si>
    <t>073-58-2540</t>
  </si>
  <si>
    <t>104-86-4962</t>
  </si>
  <si>
    <t>090-72-9973</t>
  </si>
  <si>
    <t>087-98-5687</t>
  </si>
  <si>
    <t>107-40-3379</t>
  </si>
  <si>
    <t>057-60-4094</t>
  </si>
  <si>
    <t>204-66-1234</t>
  </si>
  <si>
    <t>091-92-7998</t>
  </si>
  <si>
    <t>069-58-3444</t>
  </si>
  <si>
    <t>060-96-0271</t>
  </si>
  <si>
    <t>065-44-6818</t>
  </si>
  <si>
    <t>070-44-3573</t>
  </si>
  <si>
    <t>116-82-3984</t>
  </si>
  <si>
    <t>055-82-2415</t>
  </si>
  <si>
    <t>127-60-0651</t>
  </si>
  <si>
    <t>063-48-3487</t>
  </si>
  <si>
    <t>102-58-2738</t>
  </si>
  <si>
    <t>118-82-5273</t>
  </si>
  <si>
    <t>122-56-0255</t>
  </si>
  <si>
    <t>113-42-2895</t>
  </si>
  <si>
    <t>089-44-4104</t>
  </si>
  <si>
    <t>008-39-7973</t>
  </si>
  <si>
    <t>122-82-8922</t>
  </si>
  <si>
    <t>089-70-4744</t>
  </si>
  <si>
    <t>076-62-4500</t>
  </si>
  <si>
    <t>056-68-5649</t>
  </si>
  <si>
    <t>067-70-8458</t>
  </si>
  <si>
    <t>091-42-0254</t>
  </si>
  <si>
    <t>079-80-4071</t>
  </si>
  <si>
    <t>130-58-1665</t>
  </si>
  <si>
    <t>071-62-5087</t>
  </si>
  <si>
    <t>075-46-2203</t>
  </si>
  <si>
    <t>127-78-2850</t>
  </si>
  <si>
    <t>124-60-8702</t>
  </si>
  <si>
    <t>057-34-1734</t>
  </si>
  <si>
    <t>123-72-3552</t>
  </si>
  <si>
    <t>103-44-9046</t>
  </si>
  <si>
    <t>323-92-4671</t>
  </si>
  <si>
    <t>114-92-7155</t>
  </si>
  <si>
    <t>118-64-5781</t>
  </si>
  <si>
    <t>050-36-4562</t>
  </si>
  <si>
    <t>067-58-3872</t>
  </si>
  <si>
    <t>598-30-1105</t>
  </si>
  <si>
    <t>090-58-8842</t>
  </si>
  <si>
    <t>051-62-2602</t>
  </si>
  <si>
    <t>120-48-2374</t>
  </si>
  <si>
    <t>053-86-3900</t>
  </si>
  <si>
    <t>039-94-3421</t>
  </si>
  <si>
    <t>124-74-6305</t>
  </si>
  <si>
    <t>070-70-8064</t>
  </si>
  <si>
    <t>100-72-5115</t>
  </si>
  <si>
    <t>112-60-3917</t>
  </si>
  <si>
    <t>124-88-9917</t>
  </si>
  <si>
    <t>127-60-5998</t>
  </si>
  <si>
    <t>111-58-9884</t>
  </si>
  <si>
    <t>076-56-8506</t>
  </si>
  <si>
    <t>086-96-9299</t>
  </si>
  <si>
    <t>096-66-5787</t>
  </si>
  <si>
    <t>000-00-5164</t>
  </si>
  <si>
    <t>106-48-9252</t>
  </si>
  <si>
    <t>090-44-8402</t>
  </si>
  <si>
    <t>059-62-4508</t>
  </si>
  <si>
    <t>065-68-3898</t>
  </si>
  <si>
    <t>623-08-2052</t>
  </si>
  <si>
    <t>210-50-8770</t>
  </si>
  <si>
    <t>106-60-3378</t>
  </si>
  <si>
    <t>100-70-2101</t>
  </si>
  <si>
    <t>000-00-9466</t>
  </si>
  <si>
    <t>315-86-5162</t>
  </si>
  <si>
    <t>100-46-9122</t>
  </si>
  <si>
    <t>000-00-1582</t>
  </si>
  <si>
    <t>099-86-7411</t>
  </si>
  <si>
    <t>060-56-5591</t>
  </si>
  <si>
    <t>082-60-0457</t>
  </si>
  <si>
    <t>069-78-7596</t>
  </si>
  <si>
    <t>074-72-0866</t>
  </si>
  <si>
    <t>134-58-0753</t>
  </si>
  <si>
    <t>061-54-3065</t>
  </si>
  <si>
    <t>073-58-8577</t>
  </si>
  <si>
    <t>120-58-5367</t>
  </si>
  <si>
    <t>769-52-7169</t>
  </si>
  <si>
    <t>373-25-7192</t>
  </si>
  <si>
    <t>103-58-9121</t>
  </si>
  <si>
    <t>114-56-7600</t>
  </si>
  <si>
    <t>132-70-4659</t>
  </si>
  <si>
    <t>591-08-9414</t>
  </si>
  <si>
    <t>487-04-3487</t>
  </si>
  <si>
    <t>133-90-8566</t>
  </si>
  <si>
    <t>225-65-4555</t>
  </si>
  <si>
    <t>018-86-5014</t>
  </si>
  <si>
    <t>043-90-3110</t>
  </si>
  <si>
    <t>120-68-7173</t>
  </si>
  <si>
    <t>598-12-3163</t>
  </si>
  <si>
    <t>166-80-9863</t>
  </si>
  <si>
    <t>116-68-5913</t>
  </si>
  <si>
    <t>258-81-6099</t>
  </si>
  <si>
    <t>090-72-3222</t>
  </si>
  <si>
    <t>115-76-4451</t>
  </si>
  <si>
    <t>129-59-4278</t>
  </si>
  <si>
    <t>054-64-6862</t>
  </si>
  <si>
    <t>109-94-9191</t>
  </si>
  <si>
    <t>128-90-6568</t>
  </si>
  <si>
    <t>053-60-8825</t>
  </si>
  <si>
    <t>082-68-5412</t>
  </si>
  <si>
    <t>086-70-2456</t>
  </si>
  <si>
    <t>073-52-0275</t>
  </si>
  <si>
    <t>094-68-6221</t>
  </si>
  <si>
    <t>115-44-9167</t>
  </si>
  <si>
    <t>052-46-5357</t>
  </si>
  <si>
    <t>117-56-1729</t>
  </si>
  <si>
    <t>061-44-4435</t>
  </si>
  <si>
    <t>079-68-6666</t>
  </si>
  <si>
    <t>872-08-3431</t>
  </si>
  <si>
    <t>247-19-4794</t>
  </si>
  <si>
    <t>106-78-5829</t>
  </si>
  <si>
    <t>120-64-2425</t>
  </si>
  <si>
    <t>070-46-7621</t>
  </si>
  <si>
    <t>063-78-5847</t>
  </si>
  <si>
    <t>115-86-3743</t>
  </si>
  <si>
    <t>131-80-5045</t>
  </si>
  <si>
    <t>111-52-6259</t>
  </si>
  <si>
    <t>070-86-6463</t>
  </si>
  <si>
    <t>087-58-9441</t>
  </si>
  <si>
    <t>067-66-8277</t>
  </si>
  <si>
    <t>057-90-4057</t>
  </si>
  <si>
    <t>058-60-7220</t>
  </si>
  <si>
    <t>109-86-2247</t>
  </si>
  <si>
    <t>600-32-5806</t>
  </si>
  <si>
    <t>077-96-6976</t>
  </si>
  <si>
    <t>594-18-4400</t>
  </si>
  <si>
    <t>050-82-7517</t>
  </si>
  <si>
    <t>133-90-1176</t>
  </si>
  <si>
    <t>590-54-9806</t>
  </si>
  <si>
    <t>590-46-0496</t>
  </si>
  <si>
    <t>098-82-7516</t>
  </si>
  <si>
    <t>067-68-4903</t>
  </si>
  <si>
    <t>058-54-7648</t>
  </si>
  <si>
    <t>105-74-4592</t>
  </si>
  <si>
    <t>119-96-4981</t>
  </si>
  <si>
    <t>096-68-0205</t>
  </si>
  <si>
    <t>065-74-5784</t>
  </si>
  <si>
    <t>122-92-4840</t>
  </si>
  <si>
    <t>123-90-0586</t>
  </si>
  <si>
    <t>116-56-4454</t>
  </si>
  <si>
    <t>120-44-2173</t>
  </si>
  <si>
    <t>124-60-7774</t>
  </si>
  <si>
    <t>055-88-0255</t>
  </si>
  <si>
    <t>072-54-9330</t>
  </si>
  <si>
    <t>128-48-3275</t>
  </si>
  <si>
    <t>119-56-8769</t>
  </si>
  <si>
    <t>070-38-8858</t>
  </si>
  <si>
    <t>065-40-7700</t>
  </si>
  <si>
    <t>072-58-6750</t>
  </si>
  <si>
    <t>118-82-5418</t>
  </si>
  <si>
    <t>111-58-9135</t>
  </si>
  <si>
    <t>119-40-9191</t>
  </si>
  <si>
    <t>581-64-4634</t>
  </si>
  <si>
    <t>638-05-1804</t>
  </si>
  <si>
    <t>079-56-7055</t>
  </si>
  <si>
    <t>000-00-9949</t>
  </si>
  <si>
    <t>267-68-3992</t>
  </si>
  <si>
    <t>086-86-4978</t>
  </si>
  <si>
    <t>115-62-3946</t>
  </si>
  <si>
    <t>050-38-5481</t>
  </si>
  <si>
    <t>076-84-4781</t>
  </si>
  <si>
    <t>089-52-0422</t>
  </si>
  <si>
    <t>076-74-6615</t>
  </si>
  <si>
    <t>131-42-9257</t>
  </si>
  <si>
    <t>130-80-6243</t>
  </si>
  <si>
    <t>131-40-1636</t>
  </si>
  <si>
    <t>055-30-5133</t>
  </si>
  <si>
    <t>747-91-0802</t>
  </si>
  <si>
    <t>082-56-4010</t>
  </si>
  <si>
    <t>019-48-7290</t>
  </si>
  <si>
    <t>134-68-4268</t>
  </si>
  <si>
    <t>121-40-2091</t>
  </si>
  <si>
    <t>106-46-8617</t>
  </si>
  <si>
    <t>000-00-4767</t>
  </si>
  <si>
    <t>051-84-2585</t>
  </si>
  <si>
    <t>000-00-0654</t>
  </si>
  <si>
    <t>096-30-0971</t>
  </si>
  <si>
    <t>122-84-9811</t>
  </si>
  <si>
    <t>069-86-3579</t>
  </si>
  <si>
    <t>000-00-0871</t>
  </si>
  <si>
    <t>427-63-2649</t>
  </si>
  <si>
    <t>000-00-7800</t>
  </si>
  <si>
    <t>059-58-7878</t>
  </si>
  <si>
    <t>113-88-7087</t>
  </si>
  <si>
    <t>106-94-4387</t>
  </si>
  <si>
    <t>110-56-3223</t>
  </si>
  <si>
    <t>781-22-7637</t>
  </si>
  <si>
    <t>602-89-3294</t>
  </si>
  <si>
    <t>057-80-5643</t>
  </si>
  <si>
    <t>063-44-9139</t>
  </si>
  <si>
    <t>190-76-0003</t>
  </si>
  <si>
    <t>120-92-8593</t>
  </si>
  <si>
    <t>112-54-7743</t>
  </si>
  <si>
    <t>057-88-5688</t>
  </si>
  <si>
    <t>142-70-2199</t>
  </si>
  <si>
    <t>076-34-4597</t>
  </si>
  <si>
    <t>783-34-4723</t>
  </si>
  <si>
    <t>066-66-3687</t>
  </si>
  <si>
    <t>105-84-8886</t>
  </si>
  <si>
    <t>108-86-4388</t>
  </si>
  <si>
    <t>111-98-9165</t>
  </si>
  <si>
    <t>110-86-3746</t>
  </si>
  <si>
    <t>729-24-8714</t>
  </si>
  <si>
    <t>097-56-2596</t>
  </si>
  <si>
    <t>090-96-1861</t>
  </si>
  <si>
    <t>106-68-9482</t>
  </si>
  <si>
    <t>086-62-0111</t>
  </si>
  <si>
    <t>051-68-6381</t>
  </si>
  <si>
    <t>100-52-3896</t>
  </si>
  <si>
    <t>121-82-2818</t>
  </si>
  <si>
    <t>087-48-0506</t>
  </si>
  <si>
    <t>100-40-4679</t>
  </si>
  <si>
    <t>248-21-2589</t>
  </si>
  <si>
    <t>731-01-6741</t>
  </si>
  <si>
    <t>099-86-5345</t>
  </si>
  <si>
    <t>131-44-7635</t>
  </si>
  <si>
    <t>063-64-3960</t>
  </si>
  <si>
    <t>095-90-1866</t>
  </si>
  <si>
    <t>104-82-2848</t>
  </si>
  <si>
    <t>094-98-6358</t>
  </si>
  <si>
    <t>128-64-6454</t>
  </si>
  <si>
    <t>098-98-7110</t>
  </si>
  <si>
    <t>057-88-7003</t>
  </si>
  <si>
    <t>115-80-5068</t>
  </si>
  <si>
    <t>082-80-6042</t>
  </si>
  <si>
    <t>037-93-4546</t>
  </si>
  <si>
    <t>129-84-5480</t>
  </si>
  <si>
    <t>067-62-5797</t>
  </si>
  <si>
    <t>090-40-9189</t>
  </si>
  <si>
    <t>065-90-5963</t>
  </si>
  <si>
    <t>131-90-7923</t>
  </si>
  <si>
    <t>603-30-0598</t>
  </si>
  <si>
    <t>109-48-0039</t>
  </si>
  <si>
    <t>126-66-0969</t>
  </si>
  <si>
    <t>116-56-2444</t>
  </si>
  <si>
    <t>083-56-1530</t>
  </si>
  <si>
    <t>079-70-2682</t>
  </si>
  <si>
    <t>000-00-6581</t>
  </si>
  <si>
    <t>132-78-1745</t>
  </si>
  <si>
    <t>102-66-3903</t>
  </si>
  <si>
    <t>078-56-4724</t>
  </si>
  <si>
    <t>092-80-4639</t>
  </si>
  <si>
    <t>063-54-1845</t>
  </si>
  <si>
    <t>083-78-9685</t>
  </si>
  <si>
    <t>126-50-9775</t>
  </si>
  <si>
    <t>115-64-6534</t>
  </si>
  <si>
    <t>089-64-5802</t>
  </si>
  <si>
    <t>599-42-2857</t>
  </si>
  <si>
    <t>114-70-4886</t>
  </si>
  <si>
    <t>085-58-1036</t>
  </si>
  <si>
    <t>583-33-6984</t>
  </si>
  <si>
    <t>060-66-9335</t>
  </si>
  <si>
    <t>100-86-2283</t>
  </si>
  <si>
    <t>104-64-5899</t>
  </si>
  <si>
    <t>894-96-0866</t>
  </si>
  <si>
    <t>000-00-1032</t>
  </si>
  <si>
    <t>093-78-7668</t>
  </si>
  <si>
    <t>000-00-7163</t>
  </si>
  <si>
    <t>089-52-0229</t>
  </si>
  <si>
    <t>094-58-1320</t>
  </si>
  <si>
    <t>070-68-5110</t>
  </si>
  <si>
    <t>582-13-8902</t>
  </si>
  <si>
    <t>584-75-9061</t>
  </si>
  <si>
    <t>054-90-7670</t>
  </si>
  <si>
    <t>582-58-2794</t>
  </si>
  <si>
    <t>584-04-4938</t>
  </si>
  <si>
    <t>052-44-7537</t>
  </si>
  <si>
    <t>073-64-7390</t>
  </si>
  <si>
    <t>098-46-2969</t>
  </si>
  <si>
    <t>120-56-0808</t>
  </si>
  <si>
    <t>264-92-1758</t>
  </si>
  <si>
    <t>074-62-8677</t>
  </si>
  <si>
    <t>083-68-6682</t>
  </si>
  <si>
    <t>111-58-7508</t>
  </si>
  <si>
    <t>133-82-3246</t>
  </si>
  <si>
    <t>055-48-1819</t>
  </si>
  <si>
    <t>080-58-2243</t>
  </si>
  <si>
    <t>064-54-7199</t>
  </si>
  <si>
    <t>087-66-6923</t>
  </si>
  <si>
    <t>000-00-1979</t>
  </si>
  <si>
    <t>612-74-6603</t>
  </si>
  <si>
    <t>224-74-4008</t>
  </si>
  <si>
    <t>082-66-5942</t>
  </si>
  <si>
    <t>249-55-6301</t>
  </si>
  <si>
    <t>057-68-3215</t>
  </si>
  <si>
    <t>148-21-1773</t>
  </si>
  <si>
    <t>118-56-2374</t>
  </si>
  <si>
    <t>582-53-8973</t>
  </si>
  <si>
    <t>113-70-9056</t>
  </si>
  <si>
    <t>583-91-9667</t>
  </si>
  <si>
    <t>817-55-8947</t>
  </si>
  <si>
    <t>125-44-7472</t>
  </si>
  <si>
    <t>099-56-8292</t>
  </si>
  <si>
    <t>085-56-9979</t>
  </si>
  <si>
    <t>079-60-0010</t>
  </si>
  <si>
    <t>098-50-1334</t>
  </si>
  <si>
    <t>421-41-5472</t>
  </si>
  <si>
    <t>103-42-8843</t>
  </si>
  <si>
    <t>088-40-4958</t>
  </si>
  <si>
    <t>092-54-5311</t>
  </si>
  <si>
    <t>082-40-2954</t>
  </si>
  <si>
    <t>082-40-1736</t>
  </si>
  <si>
    <t>583-48-8298</t>
  </si>
  <si>
    <t>081-42-9034</t>
  </si>
  <si>
    <t>080-84-2015</t>
  </si>
  <si>
    <t>895-74-5218</t>
  </si>
  <si>
    <t>051-36-7081</t>
  </si>
  <si>
    <t>109-80-2647</t>
  </si>
  <si>
    <t>085-62-3332</t>
  </si>
  <si>
    <t>086-48-2152</t>
  </si>
  <si>
    <t>081-62-3720</t>
  </si>
  <si>
    <t>102-48-7935</t>
  </si>
  <si>
    <t>091-56-0965</t>
  </si>
  <si>
    <t>000-00-8016</t>
  </si>
  <si>
    <t>083-66-4543</t>
  </si>
  <si>
    <t>000-00-2391</t>
  </si>
  <si>
    <t>056-62-2617</t>
  </si>
  <si>
    <t>580-72-1152</t>
  </si>
  <si>
    <t>127-90-4104</t>
  </si>
  <si>
    <t>081-02-7578</t>
  </si>
  <si>
    <t>054-66-6784</t>
  </si>
  <si>
    <t>119-74-8433</t>
  </si>
  <si>
    <t>083-98-7783</t>
  </si>
  <si>
    <t>596-10-0548</t>
  </si>
  <si>
    <t>131-94-9459</t>
  </si>
  <si>
    <t>351-25-1929</t>
  </si>
  <si>
    <t>075-56-2947</t>
  </si>
  <si>
    <t>214-17-0949</t>
  </si>
  <si>
    <t>100-48-1345</t>
  </si>
  <si>
    <t>063-78-5005</t>
  </si>
  <si>
    <t>101-58-9975</t>
  </si>
  <si>
    <t>076-90-0718</t>
  </si>
  <si>
    <t>060-76-6373</t>
  </si>
  <si>
    <t>597-34-9158</t>
  </si>
  <si>
    <t>056-50-8110</t>
  </si>
  <si>
    <t>052-36-9177</t>
  </si>
  <si>
    <t>348-62-0253</t>
  </si>
  <si>
    <t>072-58-3201</t>
  </si>
  <si>
    <t>069-66-9869</t>
  </si>
  <si>
    <t>071-44-0364</t>
  </si>
  <si>
    <t>072-38-6069</t>
  </si>
  <si>
    <t>084-52-0840</t>
  </si>
  <si>
    <t>223-48-3072</t>
  </si>
  <si>
    <t>122-40-9040</t>
  </si>
  <si>
    <t>081-56-0955</t>
  </si>
  <si>
    <t>120-80-0204</t>
  </si>
  <si>
    <t>070-44-8371</t>
  </si>
  <si>
    <t>119-74-3867</t>
  </si>
  <si>
    <t>091-58-9784</t>
  </si>
  <si>
    <t>110-68-7738</t>
  </si>
  <si>
    <t>055-88-3084</t>
  </si>
  <si>
    <t>591-96-7940</t>
  </si>
  <si>
    <t>088-68-0053</t>
  </si>
  <si>
    <t>056-40-1468</t>
  </si>
  <si>
    <t>090-68-9519</t>
  </si>
  <si>
    <t>069-54-8548</t>
  </si>
  <si>
    <t>050-02-6281</t>
  </si>
  <si>
    <t>110-52-7215</t>
  </si>
  <si>
    <t>089-66-8052</t>
  </si>
  <si>
    <t>592-03-5421</t>
  </si>
  <si>
    <t>798-60-9637</t>
  </si>
  <si>
    <t>121-68-0346</t>
  </si>
  <si>
    <t>106-62-5375</t>
  </si>
  <si>
    <t>113-40-7839</t>
  </si>
  <si>
    <t>118-66-6868</t>
  </si>
  <si>
    <t>063-80-4093</t>
  </si>
  <si>
    <t>876-85-4460</t>
  </si>
  <si>
    <t>130-64-2142</t>
  </si>
  <si>
    <t>131-58-0556</t>
  </si>
  <si>
    <t>073-56-4421</t>
  </si>
  <si>
    <t>673-76-1425</t>
  </si>
  <si>
    <t>112-68-1711</t>
  </si>
  <si>
    <t>073-58-1818</t>
  </si>
  <si>
    <t>058-50-5702</t>
  </si>
  <si>
    <t>063-78-4635</t>
  </si>
  <si>
    <t>125-58-8426</t>
  </si>
  <si>
    <t>116-78-1789</t>
  </si>
  <si>
    <t>081-42-5016</t>
  </si>
  <si>
    <t>246-65-7650</t>
  </si>
  <si>
    <t>114-62-8092</t>
  </si>
  <si>
    <t>079-40-7898</t>
  </si>
  <si>
    <t>123-06-3023</t>
  </si>
  <si>
    <t>108-48-9870</t>
  </si>
  <si>
    <t>117-62-7802</t>
  </si>
  <si>
    <t>063-74-6753</t>
  </si>
  <si>
    <t>524-27-9591</t>
  </si>
  <si>
    <t>609-24-9962</t>
  </si>
  <si>
    <t>074-12-4878</t>
  </si>
  <si>
    <t>519-39-2805</t>
  </si>
  <si>
    <t>075-44-2502</t>
  </si>
  <si>
    <t>067-62-8156</t>
  </si>
  <si>
    <t>108-78-8589</t>
  </si>
  <si>
    <t>063-46-8196</t>
  </si>
  <si>
    <t>198-72-0111</t>
  </si>
  <si>
    <t>069-54-1343</t>
  </si>
  <si>
    <t>055-56-6934</t>
  </si>
  <si>
    <t>603-70-6655</t>
  </si>
  <si>
    <t>121-62-9499</t>
  </si>
  <si>
    <t>083-62-4223</t>
  </si>
  <si>
    <t>091-66-0366</t>
  </si>
  <si>
    <t>597-16-7469</t>
  </si>
  <si>
    <t>092-72-7221</t>
  </si>
  <si>
    <t>131-40-4187</t>
  </si>
  <si>
    <t>134-62-9568</t>
  </si>
  <si>
    <t>118-64-4220</t>
  </si>
  <si>
    <t>078-66-7307</t>
  </si>
  <si>
    <t>083-64-9169</t>
  </si>
  <si>
    <t>107-46-5578</t>
  </si>
  <si>
    <t>583-50-8300</t>
  </si>
  <si>
    <t>120-52-4795</t>
  </si>
  <si>
    <t>083-98-0467</t>
  </si>
  <si>
    <t>070-40-3145</t>
  </si>
  <si>
    <t>129-58-8961</t>
  </si>
  <si>
    <t>202-42-6891</t>
  </si>
  <si>
    <t>230-63-1094</t>
  </si>
  <si>
    <t>009-74-0590</t>
  </si>
  <si>
    <t>088-68-8445</t>
  </si>
  <si>
    <t>120-80-0198</t>
  </si>
  <si>
    <t>133-48-4104</t>
  </si>
  <si>
    <t>101-40-5094</t>
  </si>
  <si>
    <t>077-64-1756</t>
  </si>
  <si>
    <t>066-54-7946</t>
  </si>
  <si>
    <t>098-48-3842</t>
  </si>
  <si>
    <t>107-60-0295</t>
  </si>
  <si>
    <t>105-86-3231</t>
  </si>
  <si>
    <t>070-48-0257</t>
  </si>
  <si>
    <t>065-58-0005</t>
  </si>
  <si>
    <t>120-94-3094</t>
  </si>
  <si>
    <t>117-64-9588</t>
  </si>
  <si>
    <t>103-82-0966</t>
  </si>
  <si>
    <t>132-54-6263</t>
  </si>
  <si>
    <t>624-50-1872</t>
  </si>
  <si>
    <t>073-56-9766</t>
  </si>
  <si>
    <t>107-62-4694</t>
  </si>
  <si>
    <t>242-31-3012</t>
  </si>
  <si>
    <t>006-88-6307</t>
  </si>
  <si>
    <t>091-42-0814</t>
  </si>
  <si>
    <t>065-46-0754</t>
  </si>
  <si>
    <t>057-68-2109</t>
  </si>
  <si>
    <t>061-68-9397</t>
  </si>
  <si>
    <t>000-00-9114</t>
  </si>
  <si>
    <t>000-00-3578</t>
  </si>
  <si>
    <t>126-66-7191</t>
  </si>
  <si>
    <t>073-92-8368</t>
  </si>
  <si>
    <t>054-54-3068</t>
  </si>
  <si>
    <t>120-52-9945</t>
  </si>
  <si>
    <t>071-48-5938</t>
  </si>
  <si>
    <t>071-88-4675</t>
  </si>
  <si>
    <t>109-48-2727</t>
  </si>
  <si>
    <t>106-56-1050</t>
  </si>
  <si>
    <t>082-84-6186</t>
  </si>
  <si>
    <t>146-35-7950</t>
  </si>
  <si>
    <t>068-68-6129</t>
  </si>
  <si>
    <t>000-00-9645</t>
  </si>
  <si>
    <t>000-00-6309</t>
  </si>
  <si>
    <t>000-00-8736</t>
  </si>
  <si>
    <t>133-90-1531</t>
  </si>
  <si>
    <t>062-48-9591</t>
  </si>
  <si>
    <t>074-78-2751</t>
  </si>
  <si>
    <t>096-48-3284</t>
  </si>
  <si>
    <t>128-50-3227</t>
  </si>
  <si>
    <t>596-09-6071</t>
  </si>
  <si>
    <t>092-40-7625</t>
  </si>
  <si>
    <t>134-28-7924</t>
  </si>
  <si>
    <t>109-92-2565</t>
  </si>
  <si>
    <t>000-00-4743</t>
  </si>
  <si>
    <t>105-60-4005</t>
  </si>
  <si>
    <t>078-58-6780</t>
  </si>
  <si>
    <t>065-64-9016</t>
  </si>
  <si>
    <t>128-48-5081</t>
  </si>
  <si>
    <t>109-72-9781</t>
  </si>
  <si>
    <t>071-48-6367</t>
  </si>
  <si>
    <t>074-92-1483</t>
  </si>
  <si>
    <t>000-00-5808</t>
  </si>
  <si>
    <t>069-72-5393</t>
  </si>
  <si>
    <t>088-34-7461</t>
  </si>
  <si>
    <t>098-50-5451</t>
  </si>
  <si>
    <t>133-76-2262</t>
  </si>
  <si>
    <t>073-48-3861</t>
  </si>
  <si>
    <t>057-58-5305</t>
  </si>
  <si>
    <t>118-44-9523</t>
  </si>
  <si>
    <t>133-70-1018</t>
  </si>
  <si>
    <t>098-48-1323</t>
  </si>
  <si>
    <t>116-72-0993</t>
  </si>
  <si>
    <t>115-75-7937</t>
  </si>
  <si>
    <t>071-82-1687</t>
  </si>
  <si>
    <t>119-76-9003</t>
  </si>
  <si>
    <t>000-00-8489</t>
  </si>
  <si>
    <t>076-82-7319</t>
  </si>
  <si>
    <t>562-39-4465</t>
  </si>
  <si>
    <t>110-82-1239</t>
  </si>
  <si>
    <t>262-93-0699</t>
  </si>
  <si>
    <t>085-52-2717</t>
  </si>
  <si>
    <t>126-66-9842</t>
  </si>
  <si>
    <t>087-50-0677</t>
  </si>
  <si>
    <t>000-00-3535</t>
  </si>
  <si>
    <t>133-94-2927</t>
  </si>
  <si>
    <t>123-58-5412</t>
  </si>
  <si>
    <t>466-94-5262</t>
  </si>
  <si>
    <t>063-58-1778</t>
  </si>
  <si>
    <t>074-66-7666</t>
  </si>
  <si>
    <t>116-48-9612</t>
  </si>
  <si>
    <t>089-88-3569</t>
  </si>
  <si>
    <t>122-92-9571</t>
  </si>
  <si>
    <t>094-76-4249</t>
  </si>
  <si>
    <t>089-78-8620</t>
  </si>
  <si>
    <t>114-70-4705</t>
  </si>
  <si>
    <t>053-94-7379</t>
  </si>
  <si>
    <t>082-74-2167</t>
  </si>
  <si>
    <t>134-60-5523</t>
  </si>
  <si>
    <t>074-50-5405</t>
  </si>
  <si>
    <t>108-80-0060</t>
  </si>
  <si>
    <t>064-48-9922</t>
  </si>
  <si>
    <t>134-92-0590</t>
  </si>
  <si>
    <t>056-84-1403</t>
  </si>
  <si>
    <t>090-84-3408</t>
  </si>
  <si>
    <t>118-76-8379</t>
  </si>
  <si>
    <t>105-68-4147</t>
  </si>
  <si>
    <t>115-40-5657</t>
  </si>
  <si>
    <t>086-72-2995</t>
  </si>
  <si>
    <t>238-47-0292</t>
  </si>
  <si>
    <t>102-69-2252</t>
  </si>
  <si>
    <t>058-82-8103</t>
  </si>
  <si>
    <t>106-76-9017</t>
  </si>
  <si>
    <t>084-78-2051</t>
  </si>
  <si>
    <t>110-60-4539</t>
  </si>
  <si>
    <t>088-94-2041</t>
  </si>
  <si>
    <t>147-11-9870</t>
  </si>
  <si>
    <t>122-54-8240</t>
  </si>
  <si>
    <t>149-32-3269</t>
  </si>
  <si>
    <t>154-50-2433</t>
  </si>
  <si>
    <t>030-58-4547</t>
  </si>
  <si>
    <t>028-52-0629</t>
  </si>
  <si>
    <t>116-50-0917</t>
  </si>
  <si>
    <t>319-62-8269</t>
  </si>
  <si>
    <t>090-50-8173</t>
  </si>
  <si>
    <t>Needs Correct Case # Format</t>
  </si>
  <si>
    <t>LT-086772-16/NY</t>
  </si>
  <si>
    <t>LT-250503/17/NY</t>
  </si>
  <si>
    <t>LT-051575-15/NY</t>
  </si>
  <si>
    <t>LT-252372-16/NY</t>
  </si>
  <si>
    <t>LT-008914-15/NY</t>
  </si>
  <si>
    <t>98611-AN-2018</t>
  </si>
  <si>
    <t>LT-45334-16/BX</t>
  </si>
  <si>
    <t>LT-007945-19/BX</t>
  </si>
  <si>
    <t>LT-045334-16/BX</t>
  </si>
  <si>
    <t>LT-072276-16/BX</t>
  </si>
  <si>
    <t>LT-010697-16/BX</t>
  </si>
  <si>
    <t>LT-057875-19/NY</t>
  </si>
  <si>
    <t>LT-059715-19/NY</t>
  </si>
  <si>
    <t>LT-52564-17/QU</t>
  </si>
  <si>
    <t>LT-051948-18/QU</t>
  </si>
  <si>
    <t>GV-110033-R</t>
  </si>
  <si>
    <t>LT-096221-18/KI</t>
  </si>
  <si>
    <t>LT-081490-18/KI</t>
  </si>
  <si>
    <t>LT-098894-17/KI</t>
  </si>
  <si>
    <t>LT-081179-19/KI</t>
  </si>
  <si>
    <t>LT-085502-17/KI</t>
  </si>
  <si>
    <t>LT-090956-18/KI</t>
  </si>
  <si>
    <t>LT-059294-19/KI</t>
  </si>
  <si>
    <t>LT-084636-19/KI</t>
  </si>
  <si>
    <t>LT-068560-18/KI</t>
  </si>
  <si>
    <t>19-1895371</t>
  </si>
  <si>
    <t>LT-063862-19/KI</t>
  </si>
  <si>
    <t>077933-18/KI</t>
  </si>
  <si>
    <t>040820/2019</t>
  </si>
  <si>
    <t>CV-064598-19/KI</t>
  </si>
  <si>
    <t>LT-077604-19/KI</t>
  </si>
  <si>
    <t>040820/19</t>
  </si>
  <si>
    <t>LT-058694-19/KI</t>
  </si>
  <si>
    <t>LT-074202-19/KI</t>
  </si>
  <si>
    <t>LT-069755-19/KI</t>
  </si>
  <si>
    <t>LT-073792-18/QU</t>
  </si>
  <si>
    <t>HM-130106-OM</t>
  </si>
  <si>
    <t>LT-066947-19/QU</t>
  </si>
  <si>
    <t>LT-58112-19/QU</t>
  </si>
  <si>
    <t>LT-059177-19/QU</t>
  </si>
  <si>
    <t>LT-073766-18/QU</t>
  </si>
  <si>
    <t>LT-050289-19/QU</t>
  </si>
  <si>
    <t>LT-065791-18/QU</t>
  </si>
  <si>
    <t>LT-072072-18/QU</t>
  </si>
  <si>
    <t>LT-068477-15/NY</t>
  </si>
  <si>
    <t>no case</t>
  </si>
  <si>
    <t>No case</t>
  </si>
  <si>
    <t>don't have it now</t>
  </si>
  <si>
    <t>LT-074654-17/NY</t>
  </si>
  <si>
    <t>LT-059900-19/NY</t>
  </si>
  <si>
    <t>LT-067085-17/NY</t>
  </si>
  <si>
    <t>LT-062831-17/NY</t>
  </si>
  <si>
    <t>LT-000289-19/NY</t>
  </si>
  <si>
    <t>LT-210014-18/HA</t>
  </si>
  <si>
    <t>LT-055849-17/NY</t>
  </si>
  <si>
    <t>LT-066798-17/NY</t>
  </si>
  <si>
    <t>LT-082231-17/NY</t>
  </si>
  <si>
    <t>LT-085454-16/NY</t>
  </si>
  <si>
    <t>LT-071137-17/NY</t>
  </si>
  <si>
    <t>LT-080515-17/NY</t>
  </si>
  <si>
    <t>LT-061022-19/NY</t>
  </si>
  <si>
    <t>LT-062598-17/NY</t>
  </si>
  <si>
    <t>155/18</t>
  </si>
  <si>
    <t>LT-054384-17/NY</t>
  </si>
  <si>
    <t>LT-071252-17/NY</t>
  </si>
  <si>
    <t>LT-069234-17/NY</t>
  </si>
  <si>
    <t>LT-056133-18/NY</t>
  </si>
  <si>
    <t>LT-057714-18/NY</t>
  </si>
  <si>
    <t>LT-057777-17/NY</t>
  </si>
  <si>
    <t>LT-251022-16/NY</t>
  </si>
  <si>
    <t>LT-072586-17/NY</t>
  </si>
  <si>
    <t>LT-250122-17/NY</t>
  </si>
  <si>
    <t>LT-073378-17/NY</t>
  </si>
  <si>
    <t>LT-000467-19/NY</t>
  </si>
  <si>
    <t>LT-068473-17/NY</t>
  </si>
  <si>
    <t>LT-060189-18/NY</t>
  </si>
  <si>
    <t>LT-062837-17/NY</t>
  </si>
  <si>
    <t>LT-064998-18/NY</t>
  </si>
  <si>
    <t>LT-058825-18/NY</t>
  </si>
  <si>
    <t>LT-057053-18/NY</t>
  </si>
  <si>
    <t>LT-074388-17/NY</t>
  </si>
  <si>
    <t>LT-084987-16/NY</t>
  </si>
  <si>
    <t>LT-042943-17/BX</t>
  </si>
  <si>
    <t>LT-051277-18/RI</t>
  </si>
  <si>
    <t>LT-051883-19/RI</t>
  </si>
  <si>
    <t>LT-052300-17/RI</t>
  </si>
  <si>
    <t>LT-053793-18/RI</t>
  </si>
  <si>
    <t>LT-050404-19/RI</t>
  </si>
  <si>
    <t>LT-050752-19/RI</t>
  </si>
  <si>
    <t>LT-050497-19/RI</t>
  </si>
  <si>
    <t>LT-052064-19/RI</t>
  </si>
  <si>
    <t>LT-051465-19/RT</t>
  </si>
  <si>
    <t>LT-051743-19/RI</t>
  </si>
  <si>
    <t>LT-000055-19/RI</t>
  </si>
  <si>
    <t>LT-053712-18/RI</t>
  </si>
  <si>
    <t>LT-051257-19/RI</t>
  </si>
  <si>
    <t>LT-066074-18/BX</t>
  </si>
  <si>
    <t>HN-310008-B</t>
  </si>
  <si>
    <t>GW-630035-B</t>
  </si>
  <si>
    <t>HT-630020-RO</t>
  </si>
  <si>
    <t>LT-002718-19/BX</t>
  </si>
  <si>
    <t>LT-020497-19/BX</t>
  </si>
  <si>
    <t>LT-009775-19/BX</t>
  </si>
  <si>
    <t>1683/19</t>
  </si>
  <si>
    <t>M-H-DEBGNZ-16-1034065</t>
  </si>
  <si>
    <t>LT-004917-16/BX</t>
  </si>
  <si>
    <t>LT-031800-19/BX</t>
  </si>
  <si>
    <t>LT-0044541-15/BX</t>
  </si>
  <si>
    <t>DM-210004-AD</t>
  </si>
  <si>
    <t>LT-012529-19/QU</t>
  </si>
  <si>
    <t>LT-070979-19/QU</t>
  </si>
  <si>
    <t>LT-024501-18/BX</t>
  </si>
  <si>
    <t>451618/2017</t>
  </si>
  <si>
    <t>LT-073808-17/BX</t>
  </si>
  <si>
    <t>LT-000228-17/BX</t>
  </si>
  <si>
    <t>LT-070061-19/KI</t>
  </si>
  <si>
    <t>LT-075242-16/KI</t>
  </si>
  <si>
    <t>LT-087511-16/KI</t>
  </si>
  <si>
    <t>GD-610056-OM</t>
  </si>
  <si>
    <t>GQ-610075-OR</t>
  </si>
  <si>
    <t>42003/2016E</t>
  </si>
  <si>
    <t>LT-019589-19/BX</t>
  </si>
  <si>
    <t>DU-610015-OM</t>
  </si>
  <si>
    <t>DU-610009-OM</t>
  </si>
  <si>
    <t>GT-630025-RT</t>
  </si>
  <si>
    <t>EU-630005-OM</t>
  </si>
  <si>
    <t>DU-610007-OM</t>
  </si>
  <si>
    <t>FM-630024-RT</t>
  </si>
  <si>
    <t>GT-610002-RO</t>
  </si>
  <si>
    <t>HP-610145-OR</t>
  </si>
  <si>
    <t>DU-610011-OM</t>
  </si>
  <si>
    <t>GQ-610056-OM</t>
  </si>
  <si>
    <t>GW-610013-B</t>
  </si>
  <si>
    <t>42003/2015E</t>
  </si>
  <si>
    <t>LT-013927-16/BX</t>
  </si>
  <si>
    <t>CX-063009-OM</t>
  </si>
  <si>
    <t>CV-042003-16/BX</t>
  </si>
  <si>
    <t>LT-032541-19/BX</t>
  </si>
  <si>
    <t>cv-022265-18/bx</t>
  </si>
  <si>
    <t>HU-610009-B</t>
  </si>
  <si>
    <t>35417401M</t>
  </si>
  <si>
    <t>LT-050911-16/KI</t>
  </si>
  <si>
    <t>GP-210025-R</t>
  </si>
  <si>
    <t>LT-000287-19/KI</t>
  </si>
  <si>
    <t>GP-210048-R</t>
  </si>
  <si>
    <t>5479/16</t>
  </si>
  <si>
    <t>LT-006147-18/KI</t>
  </si>
  <si>
    <t>LT-099814-17/KI</t>
  </si>
  <si>
    <t>LT-060707-17/KI</t>
  </si>
  <si>
    <t>LT-079443-17/KI</t>
  </si>
  <si>
    <t>LT-002013-15/KI</t>
  </si>
  <si>
    <t>19-40820</t>
  </si>
  <si>
    <t>LT-080844-19/KI</t>
  </si>
  <si>
    <t>LT-076747-19/KI</t>
  </si>
  <si>
    <t>LT-074647-19/KI</t>
  </si>
  <si>
    <t>LT-085791-19/KI</t>
  </si>
  <si>
    <t>LT-085378-19/KI</t>
  </si>
  <si>
    <t>LT-074147-17/QU</t>
  </si>
  <si>
    <t xml:space="preserve">LT-085567-18/KI </t>
  </si>
  <si>
    <t>GV-230153-OR</t>
  </si>
  <si>
    <t>HP-1619-19/KI</t>
  </si>
  <si>
    <t>HN-210044-B</t>
  </si>
  <si>
    <t>GR-210018-OM</t>
  </si>
  <si>
    <t>LT-092515-17/KI</t>
  </si>
  <si>
    <t>LT-080711-19/KI</t>
  </si>
  <si>
    <t>LT-091336-18/KI</t>
  </si>
  <si>
    <t>LT-086190-18/KI</t>
  </si>
  <si>
    <t>LT-000579-19/KI</t>
  </si>
  <si>
    <t>LT-097401-18/KI</t>
  </si>
  <si>
    <t>HS-210129-S</t>
  </si>
  <si>
    <t>LT-84412-19/KI</t>
  </si>
  <si>
    <t>LT-090492-18/KI</t>
  </si>
  <si>
    <t>LT-073148-19/KI</t>
  </si>
  <si>
    <t>M-H-G-16-1032856</t>
  </si>
  <si>
    <t>047991/2019</t>
  </si>
  <si>
    <t>045154/2019</t>
  </si>
  <si>
    <t>64581/19</t>
  </si>
  <si>
    <t>LT-078894-19/KI</t>
  </si>
  <si>
    <t>037984/2018</t>
  </si>
  <si>
    <t>LT-007444-18/KI</t>
  </si>
  <si>
    <t>521089/2017</t>
  </si>
  <si>
    <t>LT-064585-19/KI</t>
  </si>
  <si>
    <t>40820/2019</t>
  </si>
  <si>
    <t>001639/2019</t>
  </si>
  <si>
    <t>LT-050440-19/KI</t>
  </si>
  <si>
    <t>LT-059701-19/KI</t>
  </si>
  <si>
    <t>HR-210211-S</t>
  </si>
  <si>
    <t>LT-056440-19/KI</t>
  </si>
  <si>
    <t>LT-052865-19/KI</t>
  </si>
  <si>
    <t>LT-096618-18/KI</t>
  </si>
  <si>
    <t>LT-782831-18/KI</t>
  </si>
  <si>
    <t>LT 081197-19/KI</t>
  </si>
  <si>
    <t>LT-093067-18/KI</t>
  </si>
  <si>
    <t>LT-000802-19/KI</t>
  </si>
  <si>
    <t>LT-096652-18/KI</t>
  </si>
  <si>
    <t>60057/19</t>
  </si>
  <si>
    <t>LT-087145-18/KI</t>
  </si>
  <si>
    <t>LT-088674-18/KI</t>
  </si>
  <si>
    <t>LT-062145-19/KI</t>
  </si>
  <si>
    <t>LT-076250-18/KI</t>
  </si>
  <si>
    <t>LT-084995-19/KI</t>
  </si>
  <si>
    <t>LT-089594-18/KI</t>
  </si>
  <si>
    <t>LT-093578-18/KI</t>
  </si>
  <si>
    <t>LT-074239-19/KI</t>
  </si>
  <si>
    <t>LT-069262-19/KI</t>
  </si>
  <si>
    <t>LT-087502-18/KI</t>
  </si>
  <si>
    <t>LT-082926-19/KI</t>
  </si>
  <si>
    <t>LT-080728-19/KI</t>
  </si>
  <si>
    <t>LT-001912-16/KI</t>
  </si>
  <si>
    <t>none yet</t>
  </si>
  <si>
    <t>LT-054825-19/KI</t>
  </si>
  <si>
    <t>LT-084112-19/KI</t>
  </si>
  <si>
    <t>LT-074854-17/KI</t>
  </si>
  <si>
    <t>LT-077440-19/KI</t>
  </si>
  <si>
    <t>LT-069256-19/KI</t>
  </si>
  <si>
    <t>LT-050261-19/KI</t>
  </si>
  <si>
    <t>LT-075894-19/KI</t>
  </si>
  <si>
    <t>LT-075815-17/KI</t>
  </si>
  <si>
    <t>LT-081553-19/KI</t>
  </si>
  <si>
    <t>LT-050967-19/KI</t>
  </si>
  <si>
    <t>LT-095560-18/KI</t>
  </si>
  <si>
    <t>LT-086826-18/KI</t>
  </si>
  <si>
    <t>LT-088031-18/KI</t>
  </si>
  <si>
    <t>LT-051847-19/KI</t>
  </si>
  <si>
    <t>LT-062456-19/KI</t>
  </si>
  <si>
    <t>LT-088600-18/KI</t>
  </si>
  <si>
    <t>LT-067042-18/KI</t>
  </si>
  <si>
    <t>LT-055204-19/KI</t>
  </si>
  <si>
    <t>LT-077394-19/KI</t>
  </si>
  <si>
    <t>LT-075689-18/KI</t>
  </si>
  <si>
    <t>LT-080471-18/KI</t>
  </si>
  <si>
    <t>LT-059006-19/KI</t>
  </si>
  <si>
    <t>LT-082957-19/KI</t>
  </si>
  <si>
    <t>LT-054459-19/KI</t>
  </si>
  <si>
    <t>LT-088662-18/KI</t>
  </si>
  <si>
    <t>LT-082985-19/KI</t>
  </si>
  <si>
    <t>LT-077476-19/KI</t>
  </si>
  <si>
    <t>LT-057176-19/KI</t>
  </si>
  <si>
    <t>LT-091041-17/KI</t>
  </si>
  <si>
    <t>LT-053962-19/KI</t>
  </si>
  <si>
    <t>LT-082168-18/KI</t>
  </si>
  <si>
    <t>LT-075388-19/KI</t>
  </si>
  <si>
    <t>LT-082830-19/KI</t>
  </si>
  <si>
    <t>LT-080172-18/KI</t>
  </si>
  <si>
    <t>LT-078530-18/KI</t>
  </si>
  <si>
    <t>LT-089484-18/KI</t>
  </si>
  <si>
    <t>LT-072629-17/KI</t>
  </si>
  <si>
    <t>LT-063808-19/KI</t>
  </si>
  <si>
    <t>LT-061436-18/KI</t>
  </si>
  <si>
    <t>LT-083963-18/KI</t>
  </si>
  <si>
    <t>LT-097407-18/KI</t>
  </si>
  <si>
    <t>LT-063199-18/BX</t>
  </si>
  <si>
    <t>LT-033911-18/BX</t>
  </si>
  <si>
    <t>LT-021051-19/BX</t>
  </si>
  <si>
    <t>LT-085791-18/KI</t>
  </si>
  <si>
    <t>LT-080097-19/KI</t>
  </si>
  <si>
    <t>LT-072171-19/KI</t>
  </si>
  <si>
    <t>LT-077612-19/KI</t>
  </si>
  <si>
    <t>LT-072591-19/KI</t>
  </si>
  <si>
    <t>LT-067366-19/KI</t>
  </si>
  <si>
    <t>LT-080223-19/KI</t>
  </si>
  <si>
    <t>LT-083775-19/KI</t>
  </si>
  <si>
    <t>LT-079200-19/KI</t>
  </si>
  <si>
    <t>LT-083011-19/KI</t>
  </si>
  <si>
    <t>LT-074368-18/KI</t>
  </si>
  <si>
    <t>LT-082954-19/KI</t>
  </si>
  <si>
    <t>LT-095269-18/KI</t>
  </si>
  <si>
    <t>LT-052092-18/KI</t>
  </si>
  <si>
    <t>None yet</t>
  </si>
  <si>
    <t>LT-068239-19/KI</t>
  </si>
  <si>
    <t>LT-094403-17/KI</t>
  </si>
  <si>
    <t>LT-083037-18/KI</t>
  </si>
  <si>
    <t>LT-051481-19/KI</t>
  </si>
  <si>
    <t>LT-087846-18/KI</t>
  </si>
  <si>
    <t>LT-080838-19/KI</t>
  </si>
  <si>
    <t>LT-043271-16/BX</t>
  </si>
  <si>
    <t>LT-067687-18/NY</t>
  </si>
  <si>
    <t>LT-251353-19/NY</t>
  </si>
  <si>
    <t>LT-252431-18/NY</t>
  </si>
  <si>
    <t>LT-054723-19/NY</t>
  </si>
  <si>
    <t>ET-130078-OM</t>
  </si>
  <si>
    <t>No case yet</t>
  </si>
  <si>
    <t>LT-056710-18/QU</t>
  </si>
  <si>
    <t>NONE YET</t>
  </si>
  <si>
    <t>2017-01983 QC</t>
  </si>
  <si>
    <t>No Case yet</t>
  </si>
  <si>
    <t>02631/2019</t>
  </si>
  <si>
    <t>M-H-Z-19-71808</t>
  </si>
  <si>
    <t>LT-051565-18/KI</t>
  </si>
  <si>
    <t>LT-064740-18/KI</t>
  </si>
  <si>
    <t>LT-5030417-17/KI</t>
  </si>
  <si>
    <t>LT-018293-19/KI</t>
  </si>
  <si>
    <t>LT-079494-16/KI</t>
  </si>
  <si>
    <t>LT-095113-17/KI</t>
  </si>
  <si>
    <t>LT-600905-16/KI</t>
  </si>
  <si>
    <t>LT-076706-19/KI</t>
  </si>
  <si>
    <t>LT-064640-18/NY</t>
  </si>
  <si>
    <t>LT-062489-19/NY</t>
  </si>
  <si>
    <t>LT-061985-18/NY</t>
  </si>
  <si>
    <t>LT-062779-19/NY</t>
  </si>
  <si>
    <t>LT-151135-17/RI</t>
  </si>
  <si>
    <t>LT-051730-19/RI</t>
  </si>
  <si>
    <t>LT-053497-18/RI</t>
  </si>
  <si>
    <t>LT-053006-17/RI</t>
  </si>
  <si>
    <t>LT-051817-19/RI</t>
  </si>
  <si>
    <t>LT-052439-19/RI</t>
  </si>
  <si>
    <t>LT-010875-18/RI</t>
  </si>
  <si>
    <t>LT-051537-19/RI</t>
  </si>
  <si>
    <t>002704/2018</t>
  </si>
  <si>
    <t>003378-18/KI</t>
  </si>
  <si>
    <t>002704/2019</t>
  </si>
  <si>
    <t>2704/2018</t>
  </si>
  <si>
    <t>LT-064594-19/KI</t>
  </si>
  <si>
    <t>LT-071311-18/KI</t>
  </si>
  <si>
    <t>LT-073833-17/KI</t>
  </si>
  <si>
    <t>LT-077664-19/KI</t>
  </si>
  <si>
    <t>LT-080159-19/KI</t>
  </si>
  <si>
    <t>LT 00455/2018</t>
  </si>
  <si>
    <t>LT-003808-18/KI</t>
  </si>
  <si>
    <t>LT-071954-17/KI</t>
  </si>
  <si>
    <t>LT-061379-17/BX</t>
  </si>
  <si>
    <t>LT-003326-19/BX</t>
  </si>
  <si>
    <t>LT-041307-18/BX</t>
  </si>
  <si>
    <t>LT-013741-18/BX</t>
  </si>
  <si>
    <t>LT-019248-19/BX</t>
  </si>
  <si>
    <t>6612-19</t>
  </si>
  <si>
    <t>LT-022528-19/BX</t>
  </si>
  <si>
    <t>LT-070339-17/BX</t>
  </si>
  <si>
    <t>GQ-610014-B</t>
  </si>
  <si>
    <t>LT-019054-19/BX</t>
  </si>
  <si>
    <t>LT-052347-17/BX</t>
  </si>
  <si>
    <t>LT-030606-18/BX</t>
  </si>
  <si>
    <t>LT-061942-18/BX</t>
  </si>
  <si>
    <t>LT-056277-18/BX</t>
  </si>
  <si>
    <t>LT-073145-17/BX</t>
  </si>
  <si>
    <t>LT-028484-19/BX</t>
  </si>
  <si>
    <t>LT-016734-17/BX</t>
  </si>
  <si>
    <t>LT-024940-15/BX</t>
  </si>
  <si>
    <t>LT-021419-18/BX</t>
  </si>
  <si>
    <t>LT-012209-18/BX</t>
  </si>
  <si>
    <t>LT-023352-19/BX</t>
  </si>
  <si>
    <t>LT-3326-19/BX</t>
  </si>
  <si>
    <t>807198-19</t>
  </si>
  <si>
    <t>LT-033625-19/BX</t>
  </si>
  <si>
    <t>LT-028337-18/BX</t>
  </si>
  <si>
    <t>LT-057814-18/BX</t>
  </si>
  <si>
    <t>LT-046365-17/BX</t>
  </si>
  <si>
    <t>LT-040447-18/BX</t>
  </si>
  <si>
    <t>LT-051355-18/BX</t>
  </si>
  <si>
    <t>LT-061454-17/BX</t>
  </si>
  <si>
    <t>LT-103276-11/KI</t>
  </si>
  <si>
    <t>251206/15</t>
  </si>
  <si>
    <t>FO-610005-RO</t>
  </si>
  <si>
    <t>LT-071623-17/BX</t>
  </si>
  <si>
    <t>EO-610003-B</t>
  </si>
  <si>
    <t>LT-057505-18/BX</t>
  </si>
  <si>
    <t>EQ-610007-OM</t>
  </si>
  <si>
    <t>LT-005504-19/BX</t>
  </si>
  <si>
    <t>dont have it now</t>
  </si>
  <si>
    <t>LT-027466-18/BX</t>
  </si>
  <si>
    <t>no case as of 9/12/19</t>
  </si>
  <si>
    <t>LT-04976-17/BX</t>
  </si>
  <si>
    <t>LT-015538-19/BX</t>
  </si>
  <si>
    <t>LT-147428-18/BX</t>
  </si>
  <si>
    <t>LT-34592-19/BX</t>
  </si>
  <si>
    <t>LT-061424-16/BX</t>
  </si>
  <si>
    <t>HP-71022-17/BX</t>
  </si>
  <si>
    <t>no case as of 3/1/19</t>
  </si>
  <si>
    <t>LT-058350-18/BX</t>
  </si>
  <si>
    <t>905693-TD-2018</t>
  </si>
  <si>
    <t>no case as of 6/13/19</t>
  </si>
  <si>
    <t>LT-073728-17/BX</t>
  </si>
  <si>
    <t>451329/2018</t>
  </si>
  <si>
    <t>no case as of June 13, 2019</t>
  </si>
  <si>
    <t>no case as of March 2017</t>
  </si>
  <si>
    <t>no case as of 2/2/18</t>
  </si>
  <si>
    <t>LT-074318-17/BX</t>
  </si>
  <si>
    <t>LT-048819-18/BX</t>
  </si>
  <si>
    <t>LT-001441-18/BX</t>
  </si>
  <si>
    <t>LT-018971-16/BX</t>
  </si>
  <si>
    <t>no case as of 11/26/19</t>
  </si>
  <si>
    <t>LT-1046591/18</t>
  </si>
  <si>
    <t>LT-001241-18/BX</t>
  </si>
  <si>
    <t>no case as of 12/13/18</t>
  </si>
  <si>
    <t>no case of August 9, 2019</t>
  </si>
  <si>
    <t>LT-063326-18/BX</t>
  </si>
  <si>
    <t>LT-068503-19/QU</t>
  </si>
  <si>
    <t>LT-021605-18/NY</t>
  </si>
  <si>
    <t>LT-077170-18/NY</t>
  </si>
  <si>
    <t>LT-051585-18/NY</t>
  </si>
  <si>
    <t>508470/2019</t>
  </si>
  <si>
    <t>LT-072132-17/KI</t>
  </si>
  <si>
    <t>LT-080158-18/KI</t>
  </si>
  <si>
    <t>LT-070273-18/KI</t>
  </si>
  <si>
    <t>LT-508470-19/KI</t>
  </si>
  <si>
    <t>LT-050035-18/RI</t>
  </si>
  <si>
    <t>LT-074644-19/KI</t>
  </si>
  <si>
    <t>LT-059494-16/KI</t>
  </si>
  <si>
    <t>LT-72609-19/NY</t>
  </si>
  <si>
    <t>19N072583</t>
  </si>
  <si>
    <t>158628/2016</t>
  </si>
  <si>
    <t>LT-158628-16/KI</t>
  </si>
  <si>
    <t>SC 11164-16/QU</t>
  </si>
  <si>
    <t>FV-110029-RT</t>
  </si>
  <si>
    <t>LT-06805-17/QU</t>
  </si>
  <si>
    <t>HP 2384/2018</t>
  </si>
  <si>
    <t>LT-067376-18/KI</t>
  </si>
  <si>
    <t>21392/2014</t>
  </si>
  <si>
    <t>LT-063852-16/KI</t>
  </si>
  <si>
    <t>LT-051094-19/KI</t>
  </si>
  <si>
    <t>LT-007068-18/KI</t>
  </si>
  <si>
    <t>064266/2015</t>
  </si>
  <si>
    <t>LT-097495-15/KI</t>
  </si>
  <si>
    <t>50509/15</t>
  </si>
  <si>
    <t>LT-052530-18/RI</t>
  </si>
  <si>
    <t>LT-053102-17/RI</t>
  </si>
  <si>
    <t>LT-051012-15/RI</t>
  </si>
  <si>
    <t>LT-052664-18/RI</t>
  </si>
  <si>
    <t>LT-000088/18-RI</t>
  </si>
  <si>
    <t>18-3976/EDNY</t>
  </si>
  <si>
    <t>LT-050779-18/RI</t>
  </si>
  <si>
    <t>LT-051635-18/RI</t>
  </si>
  <si>
    <t>LT-050123-18/RI</t>
  </si>
  <si>
    <t>GS-210042-B</t>
  </si>
  <si>
    <t>EP-210063-OM</t>
  </si>
  <si>
    <t>S17727</t>
  </si>
  <si>
    <t>FN-210028-RT</t>
  </si>
  <si>
    <t>HP-003539-18/KI</t>
  </si>
  <si>
    <t>LT-003477-18/KI</t>
  </si>
  <si>
    <t>LT-000198-18/KI</t>
  </si>
  <si>
    <t>GS-210043-B</t>
  </si>
  <si>
    <t>5201089/17(SC)</t>
  </si>
  <si>
    <t>LT-003539-18/KI</t>
  </si>
  <si>
    <t>521089(SC)</t>
  </si>
  <si>
    <t>NO CASE</t>
  </si>
  <si>
    <t>FR-210086-OM</t>
  </si>
  <si>
    <t>HN-2100270-R</t>
  </si>
  <si>
    <t>HN 2100270 R</t>
  </si>
  <si>
    <t>GN-630012-B</t>
  </si>
  <si>
    <t>LT-023882-18/BX</t>
  </si>
  <si>
    <t>GW-630007-RO</t>
  </si>
  <si>
    <t>LT-015963-19/BX</t>
  </si>
  <si>
    <t>GM-610001-RV</t>
  </si>
  <si>
    <t>LT-052896-18/BX</t>
  </si>
  <si>
    <t>LT-038353-18/BX</t>
  </si>
  <si>
    <t>44743/19BX</t>
  </si>
  <si>
    <t>LT-054139-17/BX</t>
  </si>
  <si>
    <t>251206-15</t>
  </si>
  <si>
    <t>052896-18/BX</t>
  </si>
  <si>
    <t>LT-604733-18/BX</t>
  </si>
  <si>
    <t>LT-002538-18/BX</t>
  </si>
  <si>
    <t>LT-069662-17/BX</t>
  </si>
  <si>
    <t>LT-021724-18/BX</t>
  </si>
  <si>
    <t>LT-029555-18/BX</t>
  </si>
  <si>
    <t>LT-011691-18/BX</t>
  </si>
  <si>
    <t>LT-039359-18/BX</t>
  </si>
  <si>
    <t>LT-251206-15/BX</t>
  </si>
  <si>
    <t>LT-069318-17/BX</t>
  </si>
  <si>
    <t>LT-009219-18/BX</t>
  </si>
  <si>
    <t>LT-056405-18/BX</t>
  </si>
  <si>
    <t>LT-038054-18/BX</t>
  </si>
  <si>
    <t>LT-012964-18/BX</t>
  </si>
  <si>
    <t>LT-032896-18/BX</t>
  </si>
  <si>
    <t>LT-073312-17/BX</t>
  </si>
  <si>
    <t>LT-016731-19/BX</t>
  </si>
  <si>
    <t>GW-130070-OM</t>
  </si>
  <si>
    <t>LT-000811-19/QU</t>
  </si>
  <si>
    <t>LT-059000-19/QU</t>
  </si>
  <si>
    <t>LT-066533-19/QU</t>
  </si>
  <si>
    <t>LT-074285-18/QU</t>
  </si>
  <si>
    <t>LT-067949-19/QU</t>
  </si>
  <si>
    <t>LT-065486-19/QU</t>
  </si>
  <si>
    <t>LT-0622017-19/QU</t>
  </si>
  <si>
    <t>LT-065702-19/QU</t>
  </si>
  <si>
    <t>LT-000478-19/QU</t>
  </si>
  <si>
    <t>HN-110017-OM</t>
  </si>
  <si>
    <t>GW-130064-OM</t>
  </si>
  <si>
    <t>LT-059597-19/QU</t>
  </si>
  <si>
    <t>LT-062081-19/QU</t>
  </si>
  <si>
    <t>LT-056902-19/QU</t>
  </si>
  <si>
    <t>LT-053861-19/QU</t>
  </si>
  <si>
    <t>LT-063929-19/QU</t>
  </si>
  <si>
    <t>LT-062852-19/QU</t>
  </si>
  <si>
    <t>LT-064934-19/QU</t>
  </si>
  <si>
    <t>LT-059937-19/NY</t>
  </si>
  <si>
    <t>LT-059055-18/NY</t>
  </si>
  <si>
    <t>LT-067408-18/NY</t>
  </si>
  <si>
    <t>LT-064107-19/NY</t>
  </si>
  <si>
    <t>LT-063459-18/NY</t>
  </si>
  <si>
    <t>LT-067299-18/NY</t>
  </si>
  <si>
    <t>LT-050439-17/KI</t>
  </si>
  <si>
    <t>LT-103456-15/KI</t>
  </si>
  <si>
    <t>LT-073346-18/KI</t>
  </si>
  <si>
    <t>LT-057015-18/KI</t>
  </si>
  <si>
    <t>LT-099629-15/KI</t>
  </si>
  <si>
    <t>459/2019</t>
  </si>
  <si>
    <t>LT-066617-17/KI</t>
  </si>
  <si>
    <t>LT-074234-19/KI</t>
  </si>
  <si>
    <t>LT-064591-19/KI</t>
  </si>
  <si>
    <t>LT-086587-16/KI</t>
  </si>
  <si>
    <t>LT-065697-16/KI</t>
  </si>
  <si>
    <t>LT-065493-18/KI</t>
  </si>
  <si>
    <t>LT-059273-19/KI</t>
  </si>
  <si>
    <t>LT-050915-16/KI</t>
  </si>
  <si>
    <t>5479-16</t>
  </si>
  <si>
    <t>LT-050926-16/KI</t>
  </si>
  <si>
    <t>LT-050929-16/KI</t>
  </si>
  <si>
    <t>HP-963-18/NY</t>
  </si>
  <si>
    <t>LT-054967-19/NY</t>
  </si>
  <si>
    <t>LT-52114-NY</t>
  </si>
  <si>
    <t>LT-1860-18/NY</t>
  </si>
  <si>
    <t>FU-410107-S</t>
  </si>
  <si>
    <t>HP-000963-18/NY</t>
  </si>
  <si>
    <t>HP-775-18/NY</t>
  </si>
  <si>
    <t>LT-000029-19/NY</t>
  </si>
  <si>
    <t>LT-000361-19/NY</t>
  </si>
  <si>
    <t>LT-001264-19/NY</t>
  </si>
  <si>
    <t>HP-000936-18/NY</t>
  </si>
  <si>
    <t>LT-1189-17/NY</t>
  </si>
  <si>
    <t>HP- 963-18/NY</t>
  </si>
  <si>
    <t>LT-058939-17/NY</t>
  </si>
  <si>
    <t>FU-410110-S</t>
  </si>
  <si>
    <t>LT-069910-19/NY</t>
  </si>
  <si>
    <t>LT-053585-18/NY</t>
  </si>
  <si>
    <t>LT-1681-18/NY</t>
  </si>
  <si>
    <t>LT-251349-19/NY</t>
  </si>
  <si>
    <t>LT-074148-18/NY</t>
  </si>
  <si>
    <t>LT-702230-15/NY</t>
  </si>
  <si>
    <t>LT-078320-18/NY</t>
  </si>
  <si>
    <t>HP-001218-18/NY</t>
  </si>
  <si>
    <t>LT-067542-16/NY</t>
  </si>
  <si>
    <t>LT-1861-18/NY</t>
  </si>
  <si>
    <t>FU-410115-S</t>
  </si>
  <si>
    <t>LT-001861-18/NY</t>
  </si>
  <si>
    <t>FU-410113-S</t>
  </si>
  <si>
    <t>FU-410114-S</t>
  </si>
  <si>
    <t>LT-001680-18/NY</t>
  </si>
  <si>
    <t>LT-001681-18/NY</t>
  </si>
  <si>
    <t>FN-410009-B</t>
  </si>
  <si>
    <t>57324/16</t>
  </si>
  <si>
    <t>LT-068930-17/KI</t>
  </si>
  <si>
    <t>LT-062512-18/BX</t>
  </si>
  <si>
    <t>GM-410027-RO</t>
  </si>
  <si>
    <t>HP-1717-16/NY</t>
  </si>
  <si>
    <t>FW-430075-OM</t>
  </si>
  <si>
    <t>LT-052167-17/NY</t>
  </si>
  <si>
    <t>1717/16</t>
  </si>
  <si>
    <t>1717/2016</t>
  </si>
  <si>
    <t>GM410027RO</t>
  </si>
  <si>
    <t>SC-451014-19/NY</t>
  </si>
  <si>
    <t>LT-1717/2016NY</t>
  </si>
  <si>
    <t>HP-6066/17-NY</t>
  </si>
  <si>
    <t>LT-1717/16-NY</t>
  </si>
  <si>
    <t>LT-073424-17/NY</t>
  </si>
  <si>
    <t>LT-066018-18/NY</t>
  </si>
  <si>
    <t>LT-69321/18</t>
  </si>
  <si>
    <t>M-H-DG-16-1034390</t>
  </si>
  <si>
    <t>LT-062285-17/NY</t>
  </si>
  <si>
    <t>LT-067298-19/NY</t>
  </si>
  <si>
    <t>LT-082220-17/NY</t>
  </si>
  <si>
    <t>FW430075</t>
  </si>
  <si>
    <t>HP-711-17/NY</t>
  </si>
  <si>
    <t>450170/2019</t>
  </si>
  <si>
    <t>452978/2017</t>
  </si>
  <si>
    <t>LT-050961-19/RI</t>
  </si>
  <si>
    <t>LT-053238-18/RI</t>
  </si>
  <si>
    <t>LT-050902-19/RI</t>
  </si>
  <si>
    <t>LT-051773-19/RI</t>
  </si>
  <si>
    <t>LT-59931-16/QU</t>
  </si>
  <si>
    <t>HO-130078-OM</t>
  </si>
  <si>
    <t>LT-062947-19/QU</t>
  </si>
  <si>
    <t>LT-063650-19/QU</t>
  </si>
  <si>
    <t>HP-00578-19/QU</t>
  </si>
  <si>
    <t>LT-059797-19/QU</t>
  </si>
  <si>
    <t>LT-068609-19/QU</t>
  </si>
  <si>
    <t>LT-060260-19/QU</t>
  </si>
  <si>
    <t>LT-060176-19/QU</t>
  </si>
  <si>
    <t>LT-65750-19/QU</t>
  </si>
  <si>
    <t>LT-066423-19/QU</t>
  </si>
  <si>
    <t>LT-068470-19/QU</t>
  </si>
  <si>
    <t>LT-62408-19/QU</t>
  </si>
  <si>
    <t>LT-071267-18/QU</t>
  </si>
  <si>
    <t>LT-061685-19/QU</t>
  </si>
  <si>
    <t>CV-024411-15/QU</t>
  </si>
  <si>
    <t>LT-006354-19/QU</t>
  </si>
  <si>
    <t>LT-079371-19/KI</t>
  </si>
  <si>
    <t>LT-077855-19/KI</t>
  </si>
  <si>
    <t>300015/2019</t>
  </si>
  <si>
    <t>LT-062501-15/BX</t>
  </si>
  <si>
    <t>LT-067757-18/BX</t>
  </si>
  <si>
    <t>LT-049141-15/BX</t>
  </si>
  <si>
    <t>LT-043868-16/BX</t>
  </si>
  <si>
    <t>LT-013609-16/BX</t>
  </si>
  <si>
    <t>LT-805551-16/BX</t>
  </si>
  <si>
    <t>LT-070975-19/KI</t>
  </si>
  <si>
    <t>40822/2019</t>
  </si>
  <si>
    <t>29959-17</t>
  </si>
  <si>
    <t>LT-051039-19/QU</t>
  </si>
  <si>
    <t>LT-76153-18/QU</t>
  </si>
  <si>
    <t>GO-130021-RT</t>
  </si>
  <si>
    <t>GN-130029-RT</t>
  </si>
  <si>
    <t>LT-050339-19/QU</t>
  </si>
  <si>
    <t>LT-070725-18/QU</t>
  </si>
  <si>
    <t>LT-071051-18/QU</t>
  </si>
  <si>
    <t>LT-072264-18/QU</t>
  </si>
  <si>
    <t>LT-57536-19/QU</t>
  </si>
  <si>
    <t>LT-070871-18/QU</t>
  </si>
  <si>
    <t>LT-074637-18/QU</t>
  </si>
  <si>
    <t>LT-060144-18/QU</t>
  </si>
  <si>
    <t>LT-52542-19/QU</t>
  </si>
  <si>
    <t>LT-064508-19/QU</t>
  </si>
  <si>
    <t>LT-074290-18/QU</t>
  </si>
  <si>
    <t>LT-075756-18/QU</t>
  </si>
  <si>
    <t>LT-06300-18/QU</t>
  </si>
  <si>
    <t>LT-065949-18/QU</t>
  </si>
  <si>
    <t>LT-056245-19/QU</t>
  </si>
  <si>
    <t>LT-76674-16/QU</t>
  </si>
  <si>
    <t>LT-063787-18/QU</t>
  </si>
  <si>
    <t>LT-055254-19/QU</t>
  </si>
  <si>
    <t>LT-057468-19/QU</t>
  </si>
  <si>
    <t>LT-000956-18/NY</t>
  </si>
  <si>
    <t>19N000956</t>
  </si>
  <si>
    <t>LT-000775-18/NY</t>
  </si>
  <si>
    <t>LT-059882-18/NY</t>
  </si>
  <si>
    <t>LT-051925-18/NY</t>
  </si>
  <si>
    <t>LT-530701-18/NY</t>
  </si>
  <si>
    <t>LT-006082-17/NY</t>
  </si>
  <si>
    <t>LT-052566-18/NY</t>
  </si>
  <si>
    <t>LT-077054-18/KI</t>
  </si>
  <si>
    <t>65250/19</t>
  </si>
  <si>
    <t>LT-037529-19/BX</t>
  </si>
  <si>
    <t>LT-032562-19/BX</t>
  </si>
  <si>
    <t>36817-19</t>
  </si>
  <si>
    <t>LT-039855-19/BX</t>
  </si>
  <si>
    <t>LT-083566-17/KI</t>
  </si>
  <si>
    <t>LT-079886-19/KI</t>
  </si>
  <si>
    <t>LT-077020-17/KI</t>
  </si>
  <si>
    <t>LT-094203-18/KI</t>
  </si>
  <si>
    <t>LT-088141-17/KI</t>
  </si>
  <si>
    <t>LT-055593-18/KI</t>
  </si>
  <si>
    <t>596382/2015</t>
  </si>
  <si>
    <t>LT-202296-15/KI</t>
  </si>
  <si>
    <t>LT-082427-18/KI</t>
  </si>
  <si>
    <t>LT-054705-19/KI</t>
  </si>
  <si>
    <t>LT-074634-18/KI</t>
  </si>
  <si>
    <t>LT-062516-17/KI</t>
  </si>
  <si>
    <t>LT-082646-18/KI</t>
  </si>
  <si>
    <t>LT-083501-19/KI</t>
  </si>
  <si>
    <t>LT-017910-18/KI</t>
  </si>
  <si>
    <t>LT-098584-17/KI</t>
  </si>
  <si>
    <t>LT-076152-18/KI</t>
  </si>
  <si>
    <t>LT-054724-18/NY</t>
  </si>
  <si>
    <t>18N001743</t>
  </si>
  <si>
    <t>LT-064892-17/NY</t>
  </si>
  <si>
    <t>LT-003383-18/KI</t>
  </si>
  <si>
    <t>LT-052305-16/KI</t>
  </si>
  <si>
    <t>LT-068935-16/KI</t>
  </si>
  <si>
    <t>LT-252246-17/HA</t>
  </si>
  <si>
    <t>LT-252000-17/HA</t>
  </si>
  <si>
    <t>DO-110093-OM</t>
  </si>
  <si>
    <t>LT-068754-19/QU</t>
  </si>
  <si>
    <t>LT-073327-18/QU</t>
  </si>
  <si>
    <t>DO 110093 OM and DV110029RT</t>
  </si>
  <si>
    <t>LT-068615-19/QU</t>
  </si>
  <si>
    <t>LT-56760-19/QU</t>
  </si>
  <si>
    <t>LT-056873-19/QU</t>
  </si>
  <si>
    <t>LT-59994-19/QU</t>
  </si>
  <si>
    <t>LT-075056-18/QU</t>
  </si>
  <si>
    <t>HP 2906/17</t>
  </si>
  <si>
    <t>LT-083567-17/KI</t>
  </si>
  <si>
    <t>K&amp;T 99406/15</t>
  </si>
  <si>
    <t>not yet</t>
  </si>
  <si>
    <t>81895/17</t>
  </si>
  <si>
    <t>LT-067082-15/KI</t>
  </si>
  <si>
    <t>LT-090138-14/KI</t>
  </si>
  <si>
    <t>LT-079051-17/KI</t>
  </si>
  <si>
    <t>HP 671/16</t>
  </si>
  <si>
    <t>LT-078007-17/KI</t>
  </si>
  <si>
    <t>LT-251483-16/NY</t>
  </si>
  <si>
    <t>LT-72007-19/NY</t>
  </si>
  <si>
    <t>LT-078395-18/NY</t>
  </si>
  <si>
    <t>LT-0701110-19/NY</t>
  </si>
  <si>
    <t>LT-071783-15/KI</t>
  </si>
  <si>
    <t>LT-074071-18/KI</t>
  </si>
  <si>
    <t>LT-068621-18/KI</t>
  </si>
  <si>
    <t>CV-008370-17/QU</t>
  </si>
  <si>
    <t>LT-053425-19/QU</t>
  </si>
  <si>
    <t>LT-013923-19/BX</t>
  </si>
  <si>
    <t>LT-006844-19/BX</t>
  </si>
  <si>
    <t>LT-064823-17/BX</t>
  </si>
  <si>
    <t>LT-006718-18/BX</t>
  </si>
  <si>
    <t>LT-065173-17/BX</t>
  </si>
  <si>
    <t>LT-019064-19/BX</t>
  </si>
  <si>
    <t>LT-004595-19/BX</t>
  </si>
  <si>
    <t>LT-055235-18/BX</t>
  </si>
  <si>
    <t>TBD</t>
  </si>
  <si>
    <t>FT-610111-S</t>
  </si>
  <si>
    <t>LT-035197-18/BX</t>
  </si>
  <si>
    <t>FV-610044-OM</t>
  </si>
  <si>
    <t>LT-061263-17/BX</t>
  </si>
  <si>
    <t>LT-004595-19/KI</t>
  </si>
  <si>
    <t>LT-039207-17/BX</t>
  </si>
  <si>
    <t>LT-050675-18/BX</t>
  </si>
  <si>
    <t>LT-022658-17/BX</t>
  </si>
  <si>
    <t>LT-025075-18/BX</t>
  </si>
  <si>
    <t>HP-610081-OM</t>
  </si>
  <si>
    <t>GR-610030-R</t>
  </si>
  <si>
    <t>LT-050811-17/BX</t>
  </si>
  <si>
    <t>LT-059271-17/BX</t>
  </si>
  <si>
    <t>LT-042375-16/BX</t>
  </si>
  <si>
    <t>LT-029794-18/BX</t>
  </si>
  <si>
    <t>23508-18</t>
  </si>
  <si>
    <t>LT-022382-19/BX</t>
  </si>
  <si>
    <t>LT-024762-18/BX</t>
  </si>
  <si>
    <t>LT-056118-18/BX</t>
  </si>
  <si>
    <t>042029/2016</t>
  </si>
  <si>
    <t>LT-053329-18/BX</t>
  </si>
  <si>
    <t>LT-073919-17/BX</t>
  </si>
  <si>
    <t>LT-027333-19/BX</t>
  </si>
  <si>
    <t>LT-010331-19/BX</t>
  </si>
  <si>
    <t>LT-034793-17/BX</t>
  </si>
  <si>
    <t>LT-026221-18/BX</t>
  </si>
  <si>
    <t>LT-019679-18/BX</t>
  </si>
  <si>
    <t>LT-060424-17/BX</t>
  </si>
  <si>
    <t>HP-27243-18/BX</t>
  </si>
  <si>
    <t>42029/2016E</t>
  </si>
  <si>
    <t>LT-063023-17/BX</t>
  </si>
  <si>
    <t>LT-016914-18/BX</t>
  </si>
  <si>
    <t>LT-029594-16/BX</t>
  </si>
  <si>
    <t>LT-041049-18/BX</t>
  </si>
  <si>
    <t>LT-027413-19/BX</t>
  </si>
  <si>
    <t>LT-031016-19/BX</t>
  </si>
  <si>
    <t>V#0456358; LID#902252</t>
  </si>
  <si>
    <t>LT-017260-19/BX</t>
  </si>
  <si>
    <t>LT-064776-18/BX</t>
  </si>
  <si>
    <t>LT-053192-17/BX</t>
  </si>
  <si>
    <t>LT-056942-14/BX</t>
  </si>
  <si>
    <t>713493/2016</t>
  </si>
  <si>
    <t>LT-061637-17/QU</t>
  </si>
  <si>
    <t>LT-003794-17/BX</t>
  </si>
  <si>
    <t>LT-065694-17/KI</t>
  </si>
  <si>
    <t>LT-002246-17/KI</t>
  </si>
  <si>
    <t>LT-079777-18/KI</t>
  </si>
  <si>
    <t>LT-075062-19/KI</t>
  </si>
  <si>
    <t>LT-090458-18/KI</t>
  </si>
  <si>
    <t>LT-056822-18/KI</t>
  </si>
  <si>
    <t>LT-002378-19/KI</t>
  </si>
  <si>
    <t>LT-051332-19/KI</t>
  </si>
  <si>
    <t>LT-083648-18/KI</t>
  </si>
  <si>
    <t>LT-088140-18/KI</t>
  </si>
  <si>
    <t>85560/2015</t>
  </si>
  <si>
    <t>LT-059384-19/KI</t>
  </si>
  <si>
    <t>LT-059492-19/KI</t>
  </si>
  <si>
    <t>LT-064850-18/KI</t>
  </si>
  <si>
    <t>LT-052349-18/KI</t>
  </si>
  <si>
    <t>LT-062212-17/KI</t>
  </si>
  <si>
    <t>LT-062844-19/KI</t>
  </si>
  <si>
    <t>LT-088054-17/KI</t>
  </si>
  <si>
    <t>LT-058916-17/KI</t>
  </si>
  <si>
    <t>Will provide</t>
  </si>
  <si>
    <t>LT-075190-19/KI</t>
  </si>
  <si>
    <t>LT-051296-16/KI</t>
  </si>
  <si>
    <t>LT-051869-19/KI</t>
  </si>
  <si>
    <t>LT-087861-18/KI</t>
  </si>
  <si>
    <t>LT-055076-18/KI</t>
  </si>
  <si>
    <t>LT-080269-19/KI</t>
  </si>
  <si>
    <t>LT-051116-18/KI</t>
  </si>
  <si>
    <t>LT-077712-19/KI</t>
  </si>
  <si>
    <t>LT-069122-17/KI</t>
  </si>
  <si>
    <t>LT-066796-16/KI</t>
  </si>
  <si>
    <t>LT-061701-19/KI</t>
  </si>
  <si>
    <t>LT-065200-19/KI</t>
  </si>
  <si>
    <t>LT-066517-19/KI</t>
  </si>
  <si>
    <t>LT-056992-19/KI</t>
  </si>
  <si>
    <t>060836/2017</t>
  </si>
  <si>
    <t>LT-073674-19/KI</t>
  </si>
  <si>
    <t>No Case Yet</t>
  </si>
  <si>
    <t>LT-065317-19/KI</t>
  </si>
  <si>
    <t>LT-067359-19/KI</t>
  </si>
  <si>
    <t>LT-081766-19/KI</t>
  </si>
  <si>
    <t>LT-053103-19/KI</t>
  </si>
  <si>
    <t>LT-072629-18/KI</t>
  </si>
  <si>
    <t>LT-076809-19/KI</t>
  </si>
  <si>
    <t>LT-061783-19/KI</t>
  </si>
  <si>
    <t>LT-055564-19/KI</t>
  </si>
  <si>
    <t>LT-073248-19/KI</t>
  </si>
  <si>
    <t>055797/19</t>
  </si>
  <si>
    <t>LT-066319-19/KI</t>
  </si>
  <si>
    <t>LT-073440-19/KI</t>
  </si>
  <si>
    <t>LT-092177-18/KI</t>
  </si>
  <si>
    <t>LT-066745-18/KI</t>
  </si>
  <si>
    <t>LT-73248-19/KI</t>
  </si>
  <si>
    <t>CV06296-19</t>
  </si>
  <si>
    <t>CV-045613-10/NY</t>
  </si>
  <si>
    <t>0650057/2018</t>
  </si>
  <si>
    <t>D7869</t>
  </si>
  <si>
    <t>HR-610005-B</t>
  </si>
  <si>
    <t>LT-055447-18/KI</t>
  </si>
  <si>
    <t>LT-055688-18/KI</t>
  </si>
  <si>
    <t>LT-071758-17/KI</t>
  </si>
  <si>
    <t>LT-058898-15/KI</t>
  </si>
  <si>
    <t>LT-094841-14/KI</t>
  </si>
  <si>
    <t>LT-061308-19/NY</t>
  </si>
  <si>
    <t>appeal number</t>
  </si>
  <si>
    <t>LT-060956-18/KI</t>
  </si>
  <si>
    <t>LT-070286-16/KI</t>
  </si>
  <si>
    <t>2016-00034 KC</t>
  </si>
  <si>
    <t>LT-052673-19/RI</t>
  </si>
  <si>
    <t>LT-051938-18RI</t>
  </si>
  <si>
    <t>LT-052247-19/RI</t>
  </si>
  <si>
    <t>LT-051981-19/RI</t>
  </si>
  <si>
    <t>LT-052223-19/RI</t>
  </si>
  <si>
    <t>LT-053490-18/RI</t>
  </si>
  <si>
    <t>LT-001259-18/NY</t>
  </si>
  <si>
    <t>LT-063791-18/NY</t>
  </si>
  <si>
    <t>LT-058022-18/NY</t>
  </si>
  <si>
    <t>LT-071557-18/NY</t>
  </si>
  <si>
    <t>LT-065328-19/NY</t>
  </si>
  <si>
    <t>LT-054542-18/NY</t>
  </si>
  <si>
    <t>LT-69787/19-NY</t>
  </si>
  <si>
    <t>LT-014225-18/QU</t>
  </si>
  <si>
    <t>LT-56204-17/QU</t>
  </si>
  <si>
    <t>LT-56821-16/QU</t>
  </si>
  <si>
    <t>LT-050837-18/QU</t>
  </si>
  <si>
    <t>LT-66795-17/QU</t>
  </si>
  <si>
    <t>LT-068768-18/QU</t>
  </si>
  <si>
    <t>LT-046406-19/BX</t>
  </si>
  <si>
    <t>LT-054598-17/BX</t>
  </si>
  <si>
    <t>LT-014261-19/BX</t>
  </si>
  <si>
    <t>LT-052452-19/RI</t>
  </si>
  <si>
    <t>LT-052202-19/RI</t>
  </si>
  <si>
    <t>LT R19052519</t>
  </si>
  <si>
    <t>042106/2019</t>
  </si>
  <si>
    <t>LT-041109-19/BX</t>
  </si>
  <si>
    <t>807241/19-BX</t>
  </si>
  <si>
    <t>Lt-032881/BX</t>
  </si>
  <si>
    <t>LT-030302-19/BX</t>
  </si>
  <si>
    <t>EV-610038-RO</t>
  </si>
  <si>
    <t>DP-610083-OM</t>
  </si>
  <si>
    <t>DR 610026 OM, DP 610083 OM</t>
  </si>
  <si>
    <t>FP 0610060 RO</t>
  </si>
  <si>
    <t>EO-610012-B</t>
  </si>
  <si>
    <t>18-CV-10159</t>
  </si>
  <si>
    <t>42095/15</t>
  </si>
  <si>
    <t>LT-020087-18/BX</t>
  </si>
  <si>
    <t>LT-048820-18/BX</t>
  </si>
  <si>
    <t>LT-042095-15/BX</t>
  </si>
  <si>
    <t>18-10159</t>
  </si>
  <si>
    <t>42095/2015E</t>
  </si>
  <si>
    <t>42019/15</t>
  </si>
  <si>
    <t>LT-010159-18/BX</t>
  </si>
  <si>
    <t>LT-018643-18/BX</t>
  </si>
  <si>
    <t>LT-004359-19/BX</t>
  </si>
  <si>
    <t>FP0610060RO</t>
  </si>
  <si>
    <t>LT-029205-17/BX</t>
  </si>
  <si>
    <t>010159/2018</t>
  </si>
  <si>
    <t>LT-001882-19/BX</t>
  </si>
  <si>
    <t>LT-004227-19/BX</t>
  </si>
  <si>
    <t>HP 6100111 B</t>
  </si>
  <si>
    <t>LT-33778/19-BX</t>
  </si>
  <si>
    <t>17/26641-BX</t>
  </si>
  <si>
    <t>92657/18</t>
  </si>
  <si>
    <t>2018-00551 QC</t>
  </si>
  <si>
    <t>GS-2100080-D</t>
  </si>
  <si>
    <t>GS-2100050-D</t>
  </si>
  <si>
    <t>GS-210008-OD</t>
  </si>
  <si>
    <t>LT-059221-19/KI</t>
  </si>
  <si>
    <t>LT-058125-19/KI</t>
  </si>
  <si>
    <t>HP-003261-17/KI</t>
  </si>
  <si>
    <t>LT-3261-17/KI</t>
  </si>
  <si>
    <t>LT-094758-17/KI</t>
  </si>
  <si>
    <t>no current case</t>
  </si>
  <si>
    <t>LT-057216-18/KI</t>
  </si>
  <si>
    <t>040822/2019</t>
  </si>
  <si>
    <t>HP-000202-19/KI</t>
  </si>
  <si>
    <t>LT-066784-17/KI</t>
  </si>
  <si>
    <t>LT-064518-19/KI</t>
  </si>
  <si>
    <t>LT-000943-18/KI</t>
  </si>
  <si>
    <t>LT-093805-17/KI</t>
  </si>
  <si>
    <t>GS-210016-B</t>
  </si>
  <si>
    <t>LT-002909-18/KI</t>
  </si>
  <si>
    <t>LT-059459-19/KI</t>
  </si>
  <si>
    <t>GS210092</t>
  </si>
  <si>
    <t>LT-081762-18/KI</t>
  </si>
  <si>
    <t>HN-210013-B</t>
  </si>
  <si>
    <t>LT-080878-18/KI</t>
  </si>
  <si>
    <t>77335/2019</t>
  </si>
  <si>
    <t>81298/2019</t>
  </si>
  <si>
    <t>LT-077343-19/KI</t>
  </si>
  <si>
    <t>GS-210092</t>
  </si>
  <si>
    <t>LT-1516-19/KI</t>
  </si>
  <si>
    <t>64649/19</t>
  </si>
  <si>
    <t>77330/2019</t>
  </si>
  <si>
    <t>GX-210004-NC</t>
  </si>
  <si>
    <t>LT-087321-18/KI</t>
  </si>
  <si>
    <t>LT-093331-18/KI</t>
  </si>
  <si>
    <t>LT-077328-19/KI</t>
  </si>
  <si>
    <t>LT-057533-19/KI</t>
  </si>
  <si>
    <t>LT-093875-18/KI</t>
  </si>
  <si>
    <t>HT-630027-B</t>
  </si>
  <si>
    <t>19N001207</t>
  </si>
  <si>
    <t>LT-055068-19/NY</t>
  </si>
  <si>
    <t>LT-055526-19/NY</t>
  </si>
  <si>
    <t>LT-065538-18/NY</t>
  </si>
  <si>
    <t>LT-050711-18/QU</t>
  </si>
  <si>
    <t>LT-006044-19/QU</t>
  </si>
  <si>
    <t>LT-050274-18/RI</t>
  </si>
  <si>
    <t>GT-310007-RO</t>
  </si>
  <si>
    <t>LT-52735-19/RI</t>
  </si>
  <si>
    <t>FS310036R</t>
  </si>
  <si>
    <t>LT-052910-17/RI</t>
  </si>
  <si>
    <t>LT-052240-19/RI</t>
  </si>
  <si>
    <t>LT-051320-19/RI</t>
  </si>
  <si>
    <t>LT-051691-19/RI</t>
  </si>
  <si>
    <t>LT-051973-19/RI</t>
  </si>
  <si>
    <t>LT-051415-19/RI</t>
  </si>
  <si>
    <t>LT-051777-17/RI</t>
  </si>
  <si>
    <t>LT-050669-19/RI</t>
  </si>
  <si>
    <t>LT-051901-19/RI</t>
  </si>
  <si>
    <t>53382/18</t>
  </si>
  <si>
    <t>LT-050985-19/RI</t>
  </si>
  <si>
    <t>LT-052291-19/RI</t>
  </si>
  <si>
    <t>CV-151576-19/RI</t>
  </si>
  <si>
    <t>LT-052416-19/RI</t>
  </si>
  <si>
    <t>LT-050512-19/RI</t>
  </si>
  <si>
    <t>LT-050930-19/RI</t>
  </si>
  <si>
    <t>LT-081194-19/KI</t>
  </si>
  <si>
    <t>LT-081444-19/KI</t>
  </si>
  <si>
    <t>0001579/2017</t>
  </si>
  <si>
    <t>LT-079643-16/KI</t>
  </si>
  <si>
    <t>LT-051693-17/KI</t>
  </si>
  <si>
    <t>79644/16</t>
  </si>
  <si>
    <t>LT-061425-17/KI</t>
  </si>
  <si>
    <t>HP-1753-17/KI</t>
  </si>
  <si>
    <t>LT-100755-16/KI</t>
  </si>
  <si>
    <t>LT-000812-17/NY</t>
  </si>
  <si>
    <t>HP-000812-17/NY</t>
  </si>
  <si>
    <t>LT-057894-17/NY</t>
  </si>
  <si>
    <t>LT-083874-16/NY</t>
  </si>
  <si>
    <t>LT-066176-18/NY</t>
  </si>
  <si>
    <t>LT-063034-16/NY</t>
  </si>
  <si>
    <t>LT-014073-18/QU</t>
  </si>
  <si>
    <t>LT-014187-18/QU</t>
  </si>
  <si>
    <t>LT-070293-18/QU</t>
  </si>
  <si>
    <t>CV-019938/19</t>
  </si>
  <si>
    <t>78915/17 KI</t>
  </si>
  <si>
    <t>GS-210137-S</t>
  </si>
  <si>
    <t>LT-000278-19/KI</t>
  </si>
  <si>
    <t>GS-210134-S</t>
  </si>
  <si>
    <t>287-19/KI</t>
  </si>
  <si>
    <t>GS-210136-S</t>
  </si>
  <si>
    <t>FQ-220003-RE</t>
  </si>
  <si>
    <t>GP-210141-S</t>
  </si>
  <si>
    <t>LT-085508-16/KI</t>
  </si>
  <si>
    <t>GX-110098-OM</t>
  </si>
  <si>
    <t>LT-061952-19/QU</t>
  </si>
  <si>
    <t>LT-00447-19/QU</t>
  </si>
  <si>
    <t>LT-063006-19/QU</t>
  </si>
  <si>
    <t>LT-056405-19/QU</t>
  </si>
  <si>
    <t>LT-070434-19/QU</t>
  </si>
  <si>
    <t>LT-069019-19/QU</t>
  </si>
  <si>
    <t>LT-074016-19/QU</t>
  </si>
  <si>
    <t>LT-66608-18/QU</t>
  </si>
  <si>
    <t>LT-074577-17/QU</t>
  </si>
  <si>
    <t>LT-069569-18/QU</t>
  </si>
  <si>
    <t>LT-059281-18/QU</t>
  </si>
  <si>
    <t>LT-064764-18/QU</t>
  </si>
  <si>
    <t>LT-075708-17/QU</t>
  </si>
  <si>
    <t>LT-058760-18/QU</t>
  </si>
  <si>
    <t>LT-070113-19/QU</t>
  </si>
  <si>
    <t>LT-070880-18/QU</t>
  </si>
  <si>
    <t>LT-078025-18/QU</t>
  </si>
  <si>
    <t>30557-SCQ-2017</t>
  </si>
  <si>
    <t>LT-068254-19/QU</t>
  </si>
  <si>
    <t>LT-067845-19/QU</t>
  </si>
  <si>
    <t>SC 14-2018-QU</t>
  </si>
  <si>
    <t>LT-065718-19/QU</t>
  </si>
  <si>
    <t>GX-110104-OM</t>
  </si>
  <si>
    <t>GX-110120-OM</t>
  </si>
  <si>
    <t>LT-058531-18/QU</t>
  </si>
  <si>
    <t>LT-077528-18/QU</t>
  </si>
  <si>
    <t>LT-068258-18/QU</t>
  </si>
  <si>
    <t>LT-069717-17/QU</t>
  </si>
  <si>
    <t>LT-051427-19/QU</t>
  </si>
  <si>
    <t>LT-070890-18/QU</t>
  </si>
  <si>
    <t>LT-57248-17/QU</t>
  </si>
  <si>
    <t>LT-50122-16/QU</t>
  </si>
  <si>
    <t>LT-061510-18/QU</t>
  </si>
  <si>
    <t>LT-058444-19/QU</t>
  </si>
  <si>
    <t>LT-72321-18/QU</t>
  </si>
  <si>
    <t>LT-063919-18/QU</t>
  </si>
  <si>
    <t>LT-057354-18/QU</t>
  </si>
  <si>
    <t>CT-130020-B</t>
  </si>
  <si>
    <t>LT-071939-17/QU</t>
  </si>
  <si>
    <t>HP-00048-16/QU</t>
  </si>
  <si>
    <t>LT-059499-18/QU</t>
  </si>
  <si>
    <t>LT-053716-18/QU</t>
  </si>
  <si>
    <t>LT-56969-17/QU</t>
  </si>
  <si>
    <t>LT-061497-18/QU</t>
  </si>
  <si>
    <t>LT-11164/16-QU</t>
  </si>
  <si>
    <t>LT-000762-18/QU</t>
  </si>
  <si>
    <t>LT-071516-16/QU</t>
  </si>
  <si>
    <t>05302/2016</t>
  </si>
  <si>
    <t>LT-05302-16/QU</t>
  </si>
  <si>
    <t>LT-65097-18/QU</t>
  </si>
  <si>
    <t>LT-060153-19/QU</t>
  </si>
  <si>
    <t>LT-063754-18/QU</t>
  </si>
  <si>
    <t>LT-053713-18/QU</t>
  </si>
  <si>
    <t>LT-057362-18/QU</t>
  </si>
  <si>
    <t>LT-56209-17/QU</t>
  </si>
  <si>
    <t>LT-062908-17/QU</t>
  </si>
  <si>
    <t>LT-064508-18/QU</t>
  </si>
  <si>
    <t>LT-042995-18/BX</t>
  </si>
  <si>
    <t>LT-031267-17/BX</t>
  </si>
  <si>
    <t>LT-022753-18/BX</t>
  </si>
  <si>
    <t>LT-019692/BX</t>
  </si>
  <si>
    <t>LT-033527-19/BX</t>
  </si>
  <si>
    <t xml:space="preserve">LT-015989-19/BX </t>
  </si>
  <si>
    <t>LT-040788-19/BX</t>
  </si>
  <si>
    <t>HQ-610020-B</t>
  </si>
  <si>
    <t>LT-215431-19/BX</t>
  </si>
  <si>
    <t>LT-028918-18/BX</t>
  </si>
  <si>
    <t>LT-059335-18/BX</t>
  </si>
  <si>
    <t>LT-069604-16/BX</t>
  </si>
  <si>
    <t>LT-052162-18/BX</t>
  </si>
  <si>
    <t>LT-012360-19/BX</t>
  </si>
  <si>
    <t>LT-054056-18/BX</t>
  </si>
  <si>
    <t>LT-023768-19/BX</t>
  </si>
  <si>
    <t>LT-039030-18/BX</t>
  </si>
  <si>
    <t>LT-005278-19/BX</t>
  </si>
  <si>
    <t>LT-022754-18/BX</t>
  </si>
  <si>
    <t>LT-034725-18/BX</t>
  </si>
  <si>
    <t>LT-002141-19/BX</t>
  </si>
  <si>
    <t>LT-030591-18/BX</t>
  </si>
  <si>
    <t>LT-42995-18/BX</t>
  </si>
  <si>
    <t>LT-025217-18/BX</t>
  </si>
  <si>
    <t>LT-042887-19/BX</t>
  </si>
  <si>
    <t>LT-6258-18/KI</t>
  </si>
  <si>
    <t>LT-086257-18/KI</t>
  </si>
  <si>
    <t>LT-074577-18/KI</t>
  </si>
  <si>
    <t>LT-063688-19/KI</t>
  </si>
  <si>
    <t>LT-053872-19/KI</t>
  </si>
  <si>
    <t>LT-063687-19/KI</t>
  </si>
  <si>
    <t>LT-086265-17/KI</t>
  </si>
  <si>
    <t>LT-070268-16/NY</t>
  </si>
  <si>
    <t>LT-082466-17/NY</t>
  </si>
  <si>
    <t>LT-063076-19/NY</t>
  </si>
  <si>
    <t>LT-252109-14/NY</t>
  </si>
  <si>
    <t>LT-014518-17 NY</t>
  </si>
  <si>
    <t>LT-041050-18/BX</t>
  </si>
  <si>
    <t>LT-046932-15/BX</t>
  </si>
  <si>
    <t>LT-055015-18/NY</t>
  </si>
  <si>
    <t>LT-064064-19/NY</t>
  </si>
  <si>
    <t>LT-058049-18/NY</t>
  </si>
  <si>
    <t>LT-069807-18/NY</t>
  </si>
  <si>
    <t>LT-085172-19/KI</t>
  </si>
  <si>
    <t>LT-073534/19</t>
  </si>
  <si>
    <t>LT-066707-17/KI</t>
  </si>
  <si>
    <t>LT-103852-15/KI</t>
  </si>
  <si>
    <t>LT-046408-19/BX</t>
  </si>
  <si>
    <t>LT-032351-18/BX</t>
  </si>
  <si>
    <t>HP-630089-OM</t>
  </si>
  <si>
    <t>LT-051926-19/BX</t>
  </si>
  <si>
    <t>LT-037745-19/BX</t>
  </si>
  <si>
    <t>908893-TD-2019</t>
  </si>
  <si>
    <t>LT-044472-19/BX</t>
  </si>
  <si>
    <t>LT-035600-18/BX</t>
  </si>
  <si>
    <t>LT-019907-19/BX</t>
  </si>
  <si>
    <t>M-H-G-18-34527</t>
  </si>
  <si>
    <t>M-H-G-17-27485</t>
  </si>
  <si>
    <t>LT-053907-18/NY</t>
  </si>
  <si>
    <t>LT-090607-13/KI</t>
  </si>
  <si>
    <t>LT-057400-19/QU</t>
  </si>
  <si>
    <t>LT-077550-18/QU</t>
  </si>
  <si>
    <t>FPC#0615864</t>
  </si>
  <si>
    <t>LT-054735-19/QU</t>
  </si>
  <si>
    <t>LT-059214-19/QU</t>
  </si>
  <si>
    <t>LT-38482-19/BX</t>
  </si>
  <si>
    <t>LT-030790-17/BX</t>
  </si>
  <si>
    <t>LT-045585-18/BX</t>
  </si>
  <si>
    <t>LT-036275-16/BX</t>
  </si>
  <si>
    <t>LT-002778-18/BX</t>
  </si>
  <si>
    <t>LT-026290-18/BX</t>
  </si>
  <si>
    <t>LT-022380-18/BX</t>
  </si>
  <si>
    <t>LT-041745-18/BX</t>
  </si>
  <si>
    <t>LT-038308-18/BX</t>
  </si>
  <si>
    <t>FX-610016-B</t>
  </si>
  <si>
    <t>LT-032397-18/BX</t>
  </si>
  <si>
    <t>LT-052063-18/BX</t>
  </si>
  <si>
    <t>no case yet</t>
  </si>
  <si>
    <t>LT-3064-18/BX</t>
  </si>
  <si>
    <t>LT-061923-17/BX</t>
  </si>
  <si>
    <t>LT-032847-18/BX</t>
  </si>
  <si>
    <t>33520/19</t>
  </si>
  <si>
    <t>LT-006199-19/BX</t>
  </si>
  <si>
    <t>LT-084095-17/BX</t>
  </si>
  <si>
    <t>LT-022239-18/BX</t>
  </si>
  <si>
    <t>LT-012981-18/BX</t>
  </si>
  <si>
    <t>LT-038005-17/BX</t>
  </si>
  <si>
    <t>LT-033482-18/BX</t>
  </si>
  <si>
    <t>LT-033389-19/BX</t>
  </si>
  <si>
    <t>LT-027799-17/BX</t>
  </si>
  <si>
    <t>LT-036493-18/BX</t>
  </si>
  <si>
    <t>LT-022858-18/BX</t>
  </si>
  <si>
    <t>LT-46809-17/BX</t>
  </si>
  <si>
    <t>LT-047548-18/BX</t>
  </si>
  <si>
    <t>LT-055861-18/BX</t>
  </si>
  <si>
    <t>LT-021668-18/BX</t>
  </si>
  <si>
    <t>LT-35897/17</t>
  </si>
  <si>
    <t>LT-048446-17/KI</t>
  </si>
  <si>
    <t>LT-064979-18/BX</t>
  </si>
  <si>
    <t>42040/2016E</t>
  </si>
  <si>
    <t>LT-037648-18/BX</t>
  </si>
  <si>
    <t>LT-72788-17/BX</t>
  </si>
  <si>
    <t>LT-009744-18/BX</t>
  </si>
  <si>
    <t>LT-068049-18/BX</t>
  </si>
  <si>
    <t>LT-038093-17/BX</t>
  </si>
  <si>
    <t>LT-023121-18/BX</t>
  </si>
  <si>
    <t>LT-159854-18/BX</t>
  </si>
  <si>
    <t>LT-420401-16/BX</t>
  </si>
  <si>
    <t>LT-007171-18/BX</t>
  </si>
  <si>
    <t>LT-057233-18/BX</t>
  </si>
  <si>
    <t>LT-040718-17/BX</t>
  </si>
  <si>
    <t>LT-039103-19/BX</t>
  </si>
  <si>
    <t>LT-63480-18/BX</t>
  </si>
  <si>
    <t>LT-029158-18/BX</t>
  </si>
  <si>
    <t>LT-022424-17/BX</t>
  </si>
  <si>
    <t>LT-024796-17/BX</t>
  </si>
  <si>
    <t>LT-004368-18/BX</t>
  </si>
  <si>
    <t>LT-068336-17/BX</t>
  </si>
  <si>
    <t>LT-035387-19/BX</t>
  </si>
  <si>
    <t>LT-048357-18/BX</t>
  </si>
  <si>
    <t>LT-037431-17/BX</t>
  </si>
  <si>
    <t>LT-062727-17/BX</t>
  </si>
  <si>
    <t>LT-031637-18/BX</t>
  </si>
  <si>
    <t>LT-080056-17/NY</t>
  </si>
  <si>
    <t>LT-004186-17/BX</t>
  </si>
  <si>
    <t>LT-036266-18/BX</t>
  </si>
  <si>
    <t>LT-038079-18/BX</t>
  </si>
  <si>
    <t>LT-037856-19/BX</t>
  </si>
  <si>
    <t>LT-028334-18/BX</t>
  </si>
  <si>
    <t>LT-015208-18/BX</t>
  </si>
  <si>
    <t>LT-041506-19/BX</t>
  </si>
  <si>
    <t>CV-010679-19/BX</t>
  </si>
  <si>
    <t>LT: 46862/2019</t>
  </si>
  <si>
    <t>LT-43242/2019</t>
  </si>
  <si>
    <t>LT- 6073/17-NY</t>
  </si>
  <si>
    <t>LT-006070-17/NY</t>
  </si>
  <si>
    <t>HP-006070-17/NY</t>
  </si>
  <si>
    <t>LT/HP 6074/17-NY</t>
  </si>
  <si>
    <t>LT-051006-19/NY</t>
  </si>
  <si>
    <t>LT-058934-17/NY</t>
  </si>
  <si>
    <t>17N006073</t>
  </si>
  <si>
    <t>HP-17N006070-17/NY</t>
  </si>
  <si>
    <t>LT-70811-19/NY</t>
  </si>
  <si>
    <t>70426/18</t>
  </si>
  <si>
    <t>LT/HP-17N006070-17/NY</t>
  </si>
  <si>
    <t>LT/HP 6073/17-NY</t>
  </si>
  <si>
    <t>ES-410086-RV</t>
  </si>
  <si>
    <t>LT-000136-18/NY</t>
  </si>
  <si>
    <t>HP 6073/17-NY</t>
  </si>
  <si>
    <t>LT-000564-19/NY</t>
  </si>
  <si>
    <t>LT-062649-16/KI</t>
  </si>
  <si>
    <t>LT-062648-16/KI</t>
  </si>
  <si>
    <t>LT-003453-18/KI</t>
  </si>
  <si>
    <t>LT--6480-18/KI</t>
  </si>
  <si>
    <t>LT-050535-15/KI</t>
  </si>
  <si>
    <t>FR-210077-S</t>
  </si>
  <si>
    <t>LT-3402-17/KI</t>
  </si>
  <si>
    <t>3453/18</t>
  </si>
  <si>
    <t>LT-072687-19/KI</t>
  </si>
  <si>
    <t>004196/2018</t>
  </si>
  <si>
    <t>LT-058392-15/KI</t>
  </si>
  <si>
    <t>FR-210106-S</t>
  </si>
  <si>
    <t>LT-006480-18/KI</t>
  </si>
  <si>
    <t>LT-002608-18/KI</t>
  </si>
  <si>
    <t>FR-210111-S</t>
  </si>
  <si>
    <t>LT-050533-15/KI</t>
  </si>
  <si>
    <t>FR-210108-S</t>
  </si>
  <si>
    <t>FR-210110-S</t>
  </si>
  <si>
    <t>LT-070143-18/KI</t>
  </si>
  <si>
    <t>FR-210085-S</t>
  </si>
  <si>
    <t>LT-087474-18/KI</t>
  </si>
  <si>
    <t>LT-070144-18/KI</t>
  </si>
  <si>
    <t>FR-210078-S</t>
  </si>
  <si>
    <t>FR-210082-S</t>
  </si>
  <si>
    <t>LT-070145-18/KI</t>
  </si>
  <si>
    <t>FR-210083-S</t>
  </si>
  <si>
    <t>LT-250778-17/NY</t>
  </si>
  <si>
    <t>LT-061106-19/NY</t>
  </si>
  <si>
    <t>LT-058478-18/NY</t>
  </si>
  <si>
    <t>LT-062485-19/NY</t>
  </si>
  <si>
    <t>LT-085718-16/NY</t>
  </si>
  <si>
    <t>LT-079013-18/NY</t>
  </si>
  <si>
    <t>LT-075409-18/KI</t>
  </si>
  <si>
    <t>LT-072237-19/KI</t>
  </si>
  <si>
    <t>LT-081216-18/KI</t>
  </si>
  <si>
    <t>LT-054080-19/KI</t>
  </si>
  <si>
    <t>LT-077969-19/KI</t>
  </si>
  <si>
    <t>LT-066271-19/KI</t>
  </si>
  <si>
    <t>LT-057620-19/KI</t>
  </si>
  <si>
    <t>LT-096205-18/KI</t>
  </si>
  <si>
    <t>LT-058173-19/KI</t>
  </si>
  <si>
    <t>LT-079168-19/KI</t>
  </si>
  <si>
    <t>LT-081608-18/KI</t>
  </si>
  <si>
    <t>LT-069664-18/KI</t>
  </si>
  <si>
    <t>LT-082440-19/KI</t>
  </si>
  <si>
    <t>LT-071114-18/KI</t>
  </si>
  <si>
    <t>LT-076975-18/KI</t>
  </si>
  <si>
    <t>LT-088036-18/KI</t>
  </si>
  <si>
    <t>LT-079142-19/KI</t>
  </si>
  <si>
    <t>LT-087605-18/KI</t>
  </si>
  <si>
    <t>LT-065396-17/KI</t>
  </si>
  <si>
    <t>LT-081566-18/KI</t>
  </si>
  <si>
    <t>LT-066620-19/KI</t>
  </si>
  <si>
    <t>LT-092019-18/KI</t>
  </si>
  <si>
    <t>LT-053763-19/KI</t>
  </si>
  <si>
    <t>LT-061559-19/KI</t>
  </si>
  <si>
    <t>LT-075721-18/KI</t>
  </si>
  <si>
    <t>LT-059655-19/KI</t>
  </si>
  <si>
    <t>LT-092672-18/KI</t>
  </si>
  <si>
    <t>LT-075243-19/KI</t>
  </si>
  <si>
    <t>LT-058764-19/KI</t>
  </si>
  <si>
    <t>LT-052841-19/KI</t>
  </si>
  <si>
    <t>LT-077610-19/KI</t>
  </si>
  <si>
    <t>LT-053906-19/KI</t>
  </si>
  <si>
    <t>LT-089058-18/KI</t>
  </si>
  <si>
    <t>LT-063191-19/KI</t>
  </si>
  <si>
    <t>LT-065115-19/KI</t>
  </si>
  <si>
    <t>LT-086193-17/KI</t>
  </si>
  <si>
    <t>LT-066112-19/KI</t>
  </si>
  <si>
    <t>LT-067041-18/KI</t>
  </si>
  <si>
    <t>LT-074615-18/KI</t>
  </si>
  <si>
    <t>LT-064533-19/KI</t>
  </si>
  <si>
    <t>LT-090519-18/KI</t>
  </si>
  <si>
    <t>LT-076720-17/KI</t>
  </si>
  <si>
    <t>LT-004552-19/KI</t>
  </si>
  <si>
    <t>LT-068935-17/KI</t>
  </si>
  <si>
    <t>GP-410046-B</t>
  </si>
  <si>
    <t>GQ-430054-RT</t>
  </si>
  <si>
    <t>Needs Activity Indicator</t>
  </si>
  <si>
    <t>Filed for an Emergency Order to Show Cause</t>
  </si>
  <si>
    <t>Filed/Argued/Supplemented Dispositive or other Substantive Motion, Filed for an Emergency Order to Show Cause</t>
  </si>
  <si>
    <t>Counsel Assisted in Filing or Refiling of Answer, Filed/Argued/Supplemented Dispositive or other Substantive Motion</t>
  </si>
  <si>
    <t>Counsel Assisted in Filing or Refiling of Answer</t>
  </si>
  <si>
    <t>Commenced Trial, Conducted Evidentiary Hearing, Counsel Assisted in Filing or Refiling of Answer, Filed/Argued/Supplemented Dispositive or other Substantive Motion</t>
  </si>
  <si>
    <t>Filed/Argued/Supplemented Dispositive or other Substantive Motion</t>
  </si>
  <si>
    <t>Counsel Assisted in Filing or Refiling of Answer, Filed/Argued/Supplemented Dispositive or other Substantive Motion, Filed for an Emergency Order to Show Cause</t>
  </si>
  <si>
    <t>Counsel Assisted in Filing or Refiling of Answer, Filed for an Emergency Order to Show Cause</t>
  </si>
  <si>
    <t>Commenced Trial, Filed/Argued/Supplemented Dispositive or other Substantive Motion, Filed for an Emergency Order to Show Cause</t>
  </si>
  <si>
    <t>Needs Services Rendered</t>
  </si>
  <si>
    <t>Case Discontinued/Dismissed/Landlord Fails to Prosecute, Obtain Ongoing Rent Subsidy, Secured Order or Agreement for Repairs in Apartment/Building</t>
  </si>
  <si>
    <t>Case Discontinued/Dismissed/Landlord Fails to Prosecute, Secured Order or Agreement for Repairs in Apartment/Building</t>
  </si>
  <si>
    <t>Case Discontinued/Dismissed/Landlord Fails to Prosecute</t>
  </si>
  <si>
    <t>Obtain Ongoing Rent Subsidy, Other</t>
  </si>
  <si>
    <t>Case Resolved without Judgment of Eviction Against Client</t>
  </si>
  <si>
    <t>Case Discontinued/Dismissed/Landlord Fails to Prosecute, Other</t>
  </si>
  <si>
    <t>Case Discontinued/Dismissed/Landlord Fails to Prosecute, Case Resolved without Judgment of Eviction Against Client</t>
  </si>
  <si>
    <t>Obtain Ongoing Rent Subsidy</t>
  </si>
  <si>
    <t>Case Resolved without Judgment of Eviction Against Client, Obtained Succession Rights to Residence, Obtain Ongoing Rent Subsidy</t>
  </si>
  <si>
    <t>Case Resolved without Judgment of Eviction Against Client, Secured 6 Months or Longer in Residence</t>
  </si>
  <si>
    <t>Secured 6 Months or Longer in Residence</t>
  </si>
  <si>
    <t>Case Resolved without Judgment of Eviction Against Client, Secured 6 Months or Longer in Residence, Secured Rent Abatement</t>
  </si>
  <si>
    <t>Case Discontinued/Dismissed/Landlord Fails to Prosecute, Case Resolved without Judgment of Eviction Against Client, Secured Order or Agreement for Repairs in Apartment/Building</t>
  </si>
  <si>
    <t>Case Discontinued/Dismissed/Landlord Fails to Prosecute, Case Resolved without Judgment of Eviction Against Client, Obtained Renewal of Lease, Secured Order or Agreement for Repairs in Apartment/Building</t>
  </si>
  <si>
    <t>Obtained Renewal of Lease, Obtained Succession Rights to Residence</t>
  </si>
  <si>
    <t>Secured Order or Agreement for Repairs in Apartment/Building</t>
  </si>
  <si>
    <t>Case Resolved without Judgment of Eviction Against Client, Other, Secured 6 Months or Longer in Residence, Secured Order or Agreement for Repairs in Apartment/Building</t>
  </si>
  <si>
    <t>Other, Secured 6 Months or Longer in Residence</t>
  </si>
  <si>
    <t>Case Discontinued/Dismissed/Landlord Fails to Prosecute, Case Resolved without Judgment of Eviction Against Client, Obtained Renewal of Lease, Other, Secured Order or Agreement for Repairs in Apartment/Building</t>
  </si>
  <si>
    <t>Case Resolved without Judgment of Eviction Against Client, Other</t>
  </si>
  <si>
    <t>Case Resolved without Judgment of Eviction Against Client, Other, Secured 6 Months or Longer in Residence</t>
  </si>
  <si>
    <t>Case Discontinued/Dismissed/Landlord Fails to Prosecute, Other, Secured Order or Agreement for Repairs in Apartment/Building</t>
  </si>
  <si>
    <t>Other, Secured Rent Abatement</t>
  </si>
  <si>
    <t>Obtained Renewal of Lease, Other</t>
  </si>
  <si>
    <t>Obtained Negotiated Buyout</t>
  </si>
  <si>
    <t>Case Resolved without Judgment of Eviction Against Client, Obtain Ongoing Rent Subsidy, Other</t>
  </si>
  <si>
    <t>Restored Access to Personal Property, Secured Order or Agreement for Repairs in Apartment/Building, Secured Rent Abatement, Secured Rent Reduction</t>
  </si>
  <si>
    <t>Secured Order or Agreement for Repairs in Apartment/Building, Secured Rent Abatement</t>
  </si>
  <si>
    <t>Overcame Housing Discrimination, Secured Order or Agreement for Repairs in Apartment/Building</t>
  </si>
  <si>
    <t>Secured Rent Reduction</t>
  </si>
  <si>
    <t>Obtained Renewal of Lease</t>
  </si>
  <si>
    <t>Secured Rent Abatement</t>
  </si>
  <si>
    <t>Needs Outcome &amp; Date</t>
  </si>
  <si>
    <t>Needs Outcome Date</t>
  </si>
  <si>
    <t>Open</t>
  </si>
  <si>
    <t>Closed</t>
  </si>
  <si>
    <t>Client Allowed to Remain in Residence</t>
  </si>
  <si>
    <t>Client Required to be Displaced from Residence</t>
  </si>
  <si>
    <t>2019-07-16</t>
  </si>
  <si>
    <t>2019-04-24</t>
  </si>
  <si>
    <t>2018-06-30</t>
  </si>
  <si>
    <t>2019-08-21</t>
  </si>
  <si>
    <t>2019-02-15</t>
  </si>
  <si>
    <t>2018-10-20</t>
  </si>
  <si>
    <t>2018-02-05</t>
  </si>
  <si>
    <t>2018-11-08</t>
  </si>
  <si>
    <t>2018-07-11</t>
  </si>
  <si>
    <t>2018-05-16</t>
  </si>
  <si>
    <t>2018-11-20</t>
  </si>
  <si>
    <t>2019-03-20</t>
  </si>
  <si>
    <t>2017-11-22</t>
  </si>
  <si>
    <t>2019-05-01</t>
  </si>
  <si>
    <t>2019-06-19</t>
  </si>
  <si>
    <t>2019-08-16</t>
  </si>
  <si>
    <t>2019-01-11</t>
  </si>
  <si>
    <t>2019-04-01</t>
  </si>
  <si>
    <t>2019-03-18</t>
  </si>
  <si>
    <t>2019-10-31</t>
  </si>
  <si>
    <t>2019-07-31</t>
  </si>
  <si>
    <t>2019-12-02</t>
  </si>
  <si>
    <t>2019-09-03</t>
  </si>
  <si>
    <t>2018-07-27</t>
  </si>
  <si>
    <t>2018-02-16</t>
  </si>
  <si>
    <t>2019-06-27</t>
  </si>
  <si>
    <t>2018-09-22</t>
  </si>
  <si>
    <t>2018-04-27</t>
  </si>
  <si>
    <t>2018-09-13</t>
  </si>
  <si>
    <t>2018-06-06</t>
  </si>
  <si>
    <t>2018-11-13</t>
  </si>
  <si>
    <t>2019-11-26</t>
  </si>
  <si>
    <t>2019-01-30</t>
  </si>
  <si>
    <t>2019-02-24</t>
  </si>
  <si>
    <t>2018-11-27</t>
  </si>
  <si>
    <t>2019-04-17</t>
  </si>
  <si>
    <t>2019-10-14</t>
  </si>
  <si>
    <t>2019-09-30</t>
  </si>
  <si>
    <t>2019-03-30</t>
  </si>
  <si>
    <t>2019-11-01</t>
  </si>
  <si>
    <t>2019-09-17</t>
  </si>
  <si>
    <t>2019-09-16</t>
  </si>
  <si>
    <t>2019-07-10</t>
  </si>
  <si>
    <t>2019-11-21</t>
  </si>
  <si>
    <t>2019-12-04</t>
  </si>
  <si>
    <t>2019-10-09</t>
  </si>
  <si>
    <t>2019-09-06</t>
  </si>
  <si>
    <t>2019-09-04</t>
  </si>
  <si>
    <t>2018-10-01</t>
  </si>
  <si>
    <t>2018-10-19</t>
  </si>
  <si>
    <t>2018-12-11</t>
  </si>
  <si>
    <t>2018-10-30</t>
  </si>
  <si>
    <t>2019-02-22</t>
  </si>
  <si>
    <t>2019-03-12</t>
  </si>
  <si>
    <t>2018-11-19</t>
  </si>
  <si>
    <t>2019-03-27</t>
  </si>
  <si>
    <t>2018-11-28</t>
  </si>
  <si>
    <t>2019-10-25</t>
  </si>
  <si>
    <t>2019-09-25</t>
  </si>
  <si>
    <t>2019-11-12</t>
  </si>
  <si>
    <t>2019-10-18</t>
  </si>
  <si>
    <t>2019-11-14</t>
  </si>
  <si>
    <t>2018-08-31</t>
  </si>
  <si>
    <t>2018-07-16</t>
  </si>
  <si>
    <t>2019-11-08</t>
  </si>
  <si>
    <t>2019-10-30</t>
  </si>
  <si>
    <t>2018-05-10</t>
  </si>
  <si>
    <t>2019-07-18</t>
  </si>
  <si>
    <t>2019-07-22</t>
  </si>
  <si>
    <t>2019-04-05</t>
  </si>
  <si>
    <t>2019-11-02</t>
  </si>
  <si>
    <t>2019-01-25</t>
  </si>
  <si>
    <t>2018-11-14</t>
  </si>
  <si>
    <t>2019-11-27</t>
  </si>
  <si>
    <t>2019-07-17</t>
  </si>
  <si>
    <t>2019-05-30</t>
  </si>
  <si>
    <t>2019-10-23</t>
  </si>
  <si>
    <t>2018-06-28</t>
  </si>
  <si>
    <t>2019-10-22</t>
  </si>
  <si>
    <t>2018-08-01</t>
  </si>
  <si>
    <t>2018-08-22</t>
  </si>
  <si>
    <t>2018-10-02</t>
  </si>
  <si>
    <t>2019-01-24</t>
  </si>
  <si>
    <t>2019-09-13</t>
  </si>
  <si>
    <t>2019-01-31</t>
  </si>
  <si>
    <t>2018-05-09</t>
  </si>
  <si>
    <t>2017-04-25</t>
  </si>
  <si>
    <t>2018-12-05</t>
  </si>
  <si>
    <t>2019-08-14</t>
  </si>
  <si>
    <t>2018-11-30</t>
  </si>
  <si>
    <t>2018-08-29</t>
  </si>
  <si>
    <t>2018-01-03</t>
  </si>
  <si>
    <t>2019-03-28</t>
  </si>
  <si>
    <t>2018-08-16</t>
  </si>
  <si>
    <t>2018-07-03</t>
  </si>
  <si>
    <t>2018-07-02</t>
  </si>
  <si>
    <t>2018-12-18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</si>
</sst>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O476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20.7109375" style="1" customWidth="1"/>
    <col min="2" max="64" width="25.7109375" customWidth="1"/>
  </cols>
  <sheetData>
    <row r="1" spans="1:6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</row>
    <row r="2" spans="1:67">
      <c r="A2" s="1">
        <f>HYPERLINK("https://lsnyc.legalserver.org/matter/dynamic-profile/view/0807221","16-0807221")</f>
        <v>0</v>
      </c>
      <c r="B2" t="s">
        <v>67</v>
      </c>
      <c r="C2" t="s">
        <v>245</v>
      </c>
      <c r="D2" t="s">
        <v>250</v>
      </c>
      <c r="F2" t="s">
        <v>1083</v>
      </c>
      <c r="G2" t="s">
        <v>2876</v>
      </c>
      <c r="H2" t="s">
        <v>4754</v>
      </c>
      <c r="I2">
        <v>43</v>
      </c>
      <c r="J2" t="s">
        <v>7169</v>
      </c>
      <c r="K2">
        <v>10034</v>
      </c>
      <c r="N2" t="s">
        <v>7237</v>
      </c>
      <c r="O2" t="s">
        <v>7252</v>
      </c>
      <c r="P2">
        <v>1</v>
      </c>
      <c r="Q2">
        <v>1</v>
      </c>
      <c r="R2">
        <v>9.09</v>
      </c>
      <c r="U2">
        <v>1456</v>
      </c>
      <c r="W2">
        <v>182.13</v>
      </c>
      <c r="X2" t="s">
        <v>269</v>
      </c>
      <c r="Y2" t="s">
        <v>10858</v>
      </c>
      <c r="AA2" t="s">
        <v>10974</v>
      </c>
      <c r="AB2" t="s">
        <v>250</v>
      </c>
      <c r="AD2" t="s">
        <v>11082</v>
      </c>
      <c r="AF2" t="s">
        <v>11118</v>
      </c>
      <c r="AH2" t="s">
        <v>10975</v>
      </c>
      <c r="AJ2" t="s">
        <v>11128</v>
      </c>
      <c r="AK2" t="s">
        <v>7225</v>
      </c>
      <c r="AM2">
        <v>1450</v>
      </c>
      <c r="AO2">
        <v>50</v>
      </c>
      <c r="AQ2" t="s">
        <v>11156</v>
      </c>
      <c r="AS2" t="s">
        <v>11173</v>
      </c>
      <c r="AU2">
        <v>5</v>
      </c>
      <c r="AW2" t="s">
        <v>11187</v>
      </c>
      <c r="AZ2" t="s">
        <v>11221</v>
      </c>
      <c r="BE2" t="s">
        <v>11668</v>
      </c>
      <c r="BG2" t="s">
        <v>14365</v>
      </c>
      <c r="BM2" t="s">
        <v>15650</v>
      </c>
    </row>
    <row r="3" spans="1:67">
      <c r="A3" s="1">
        <f>HYPERLINK("https://lsnyc.legalserver.org/matter/dynamic-profile/view/1837674","17-1837674")</f>
        <v>0</v>
      </c>
      <c r="B3" t="s">
        <v>67</v>
      </c>
      <c r="C3" t="s">
        <v>245</v>
      </c>
      <c r="D3" t="s">
        <v>251</v>
      </c>
      <c r="F3" t="s">
        <v>1084</v>
      </c>
      <c r="G3" t="s">
        <v>2877</v>
      </c>
      <c r="H3" t="s">
        <v>4755</v>
      </c>
      <c r="I3">
        <v>2</v>
      </c>
      <c r="J3" t="s">
        <v>7169</v>
      </c>
      <c r="K3">
        <v>10035</v>
      </c>
      <c r="N3" t="s">
        <v>7237</v>
      </c>
      <c r="O3" t="s">
        <v>7253</v>
      </c>
      <c r="P3">
        <v>1</v>
      </c>
      <c r="Q3">
        <v>2</v>
      </c>
      <c r="R3">
        <v>108.72</v>
      </c>
      <c r="U3">
        <v>22200</v>
      </c>
      <c r="W3">
        <v>58.55</v>
      </c>
      <c r="X3" t="s">
        <v>564</v>
      </c>
      <c r="Y3" t="s">
        <v>10859</v>
      </c>
      <c r="AA3" t="s">
        <v>10974</v>
      </c>
      <c r="AB3" t="s">
        <v>809</v>
      </c>
      <c r="AD3" t="s">
        <v>11082</v>
      </c>
      <c r="AF3" t="s">
        <v>11118</v>
      </c>
      <c r="AH3" t="s">
        <v>10975</v>
      </c>
      <c r="AJ3" t="s">
        <v>11129</v>
      </c>
      <c r="AK3" t="s">
        <v>7225</v>
      </c>
      <c r="AM3">
        <v>1550</v>
      </c>
      <c r="AO3">
        <v>30</v>
      </c>
      <c r="AQ3" t="s">
        <v>11156</v>
      </c>
      <c r="AS3" t="s">
        <v>11173</v>
      </c>
      <c r="AU3">
        <v>5</v>
      </c>
      <c r="AW3" t="s">
        <v>11187</v>
      </c>
      <c r="AZ3" t="s">
        <v>11221</v>
      </c>
      <c r="BE3" t="s">
        <v>11669</v>
      </c>
      <c r="BG3" t="s">
        <v>14366</v>
      </c>
      <c r="BM3" t="s">
        <v>15650</v>
      </c>
    </row>
    <row r="4" spans="1:67">
      <c r="A4" s="1">
        <f>HYPERLINK("https://lsnyc.legalserver.org/matter/dynamic-profile/view/1842740","17-1842740")</f>
        <v>0</v>
      </c>
      <c r="B4" t="s">
        <v>67</v>
      </c>
      <c r="C4" t="s">
        <v>245</v>
      </c>
      <c r="D4" t="s">
        <v>252</v>
      </c>
      <c r="F4" t="s">
        <v>1085</v>
      </c>
      <c r="G4" t="s">
        <v>2878</v>
      </c>
      <c r="H4" t="s">
        <v>4756</v>
      </c>
      <c r="I4" t="s">
        <v>6401</v>
      </c>
      <c r="J4" t="s">
        <v>7169</v>
      </c>
      <c r="K4">
        <v>10002</v>
      </c>
      <c r="M4" t="s">
        <v>7224</v>
      </c>
      <c r="N4" t="s">
        <v>7237</v>
      </c>
      <c r="O4" t="s">
        <v>7254</v>
      </c>
      <c r="P4">
        <v>8</v>
      </c>
      <c r="Q4">
        <v>0</v>
      </c>
      <c r="R4">
        <v>173.18</v>
      </c>
      <c r="U4">
        <v>137920</v>
      </c>
      <c r="W4">
        <v>138.9</v>
      </c>
      <c r="X4" t="s">
        <v>528</v>
      </c>
      <c r="Y4" t="s">
        <v>10860</v>
      </c>
      <c r="Z4" t="s">
        <v>10972</v>
      </c>
      <c r="AA4" t="s">
        <v>10975</v>
      </c>
      <c r="AC4" t="s">
        <v>11081</v>
      </c>
      <c r="AF4" t="s">
        <v>11118</v>
      </c>
      <c r="AG4" t="s">
        <v>11124</v>
      </c>
      <c r="AI4" t="s">
        <v>11126</v>
      </c>
      <c r="AK4" t="s">
        <v>7225</v>
      </c>
      <c r="AL4" t="s">
        <v>11150</v>
      </c>
      <c r="AM4">
        <v>0</v>
      </c>
      <c r="AN4" t="s">
        <v>11151</v>
      </c>
      <c r="AO4" t="s">
        <v>11153</v>
      </c>
      <c r="AP4" t="s">
        <v>11155</v>
      </c>
      <c r="AR4" t="s">
        <v>11172</v>
      </c>
      <c r="AT4" t="s">
        <v>11184</v>
      </c>
      <c r="AU4">
        <v>0</v>
      </c>
      <c r="AW4" t="s">
        <v>11188</v>
      </c>
      <c r="AX4" t="s">
        <v>11212</v>
      </c>
      <c r="AZ4" t="s">
        <v>11221</v>
      </c>
      <c r="BE4" t="s">
        <v>11670</v>
      </c>
      <c r="BF4" t="s">
        <v>14364</v>
      </c>
      <c r="BM4" t="s">
        <v>15650</v>
      </c>
    </row>
    <row r="5" spans="1:67">
      <c r="A5" s="1">
        <f>HYPERLINK("https://lsnyc.legalserver.org/matter/dynamic-profile/view/1861365","18-1861365")</f>
        <v>0</v>
      </c>
      <c r="B5" t="s">
        <v>67</v>
      </c>
      <c r="C5" t="s">
        <v>245</v>
      </c>
      <c r="D5" t="s">
        <v>253</v>
      </c>
      <c r="E5" t="s">
        <v>497</v>
      </c>
      <c r="F5" t="s">
        <v>1086</v>
      </c>
      <c r="G5" t="s">
        <v>2879</v>
      </c>
      <c r="H5" t="s">
        <v>4757</v>
      </c>
      <c r="I5">
        <v>507</v>
      </c>
      <c r="J5" t="s">
        <v>7169</v>
      </c>
      <c r="K5">
        <v>10037</v>
      </c>
      <c r="L5" t="s">
        <v>7216</v>
      </c>
      <c r="N5" t="s">
        <v>7237</v>
      </c>
      <c r="O5" t="s">
        <v>7255</v>
      </c>
      <c r="P5">
        <v>2</v>
      </c>
      <c r="Q5">
        <v>3</v>
      </c>
      <c r="R5">
        <v>74.78</v>
      </c>
      <c r="U5">
        <v>22000</v>
      </c>
      <c r="W5">
        <v>0.1</v>
      </c>
      <c r="X5" t="s">
        <v>497</v>
      </c>
      <c r="Y5" t="s">
        <v>10861</v>
      </c>
      <c r="AA5" t="s">
        <v>10974</v>
      </c>
      <c r="AB5" t="s">
        <v>849</v>
      </c>
      <c r="AD5" t="s">
        <v>11083</v>
      </c>
      <c r="AF5" t="s">
        <v>11119</v>
      </c>
      <c r="AH5" t="s">
        <v>10975</v>
      </c>
      <c r="AJ5" t="s">
        <v>11130</v>
      </c>
      <c r="AK5" t="s">
        <v>7225</v>
      </c>
      <c r="AM5">
        <v>1720.8</v>
      </c>
      <c r="AO5">
        <v>173</v>
      </c>
      <c r="AQ5" t="s">
        <v>11157</v>
      </c>
      <c r="AS5" t="s">
        <v>11174</v>
      </c>
      <c r="AU5">
        <v>4</v>
      </c>
      <c r="AW5" t="s">
        <v>11187</v>
      </c>
      <c r="AZ5" t="s">
        <v>11221</v>
      </c>
      <c r="BE5" t="s">
        <v>11671</v>
      </c>
      <c r="BG5" t="s">
        <v>14367</v>
      </c>
      <c r="BM5" t="s">
        <v>15651</v>
      </c>
    </row>
    <row r="6" spans="1:67">
      <c r="A6" s="1">
        <f>HYPERLINK("https://lsnyc.legalserver.org/matter/dynamic-profile/view/0832882","17-0832882")</f>
        <v>0</v>
      </c>
      <c r="B6" t="s">
        <v>67</v>
      </c>
      <c r="C6" t="s">
        <v>245</v>
      </c>
      <c r="D6" t="s">
        <v>254</v>
      </c>
      <c r="F6" t="s">
        <v>1087</v>
      </c>
      <c r="G6" t="s">
        <v>2880</v>
      </c>
      <c r="H6" t="s">
        <v>4758</v>
      </c>
      <c r="I6">
        <v>905</v>
      </c>
      <c r="J6" t="s">
        <v>7169</v>
      </c>
      <c r="K6">
        <v>10029</v>
      </c>
      <c r="N6" t="s">
        <v>7238</v>
      </c>
      <c r="O6" t="s">
        <v>7256</v>
      </c>
      <c r="P6">
        <v>1</v>
      </c>
      <c r="Q6">
        <v>0</v>
      </c>
      <c r="R6">
        <v>166.97</v>
      </c>
      <c r="U6">
        <v>20136</v>
      </c>
      <c r="W6">
        <v>114.06</v>
      </c>
      <c r="X6" t="s">
        <v>386</v>
      </c>
      <c r="Y6" t="s">
        <v>10859</v>
      </c>
      <c r="AA6" t="s">
        <v>10974</v>
      </c>
      <c r="AB6" t="s">
        <v>10977</v>
      </c>
      <c r="AD6" t="s">
        <v>11084</v>
      </c>
      <c r="AF6" t="s">
        <v>11118</v>
      </c>
      <c r="AH6" t="s">
        <v>10975</v>
      </c>
      <c r="AJ6" t="s">
        <v>11129</v>
      </c>
      <c r="AK6" t="s">
        <v>7225</v>
      </c>
      <c r="AM6">
        <v>860</v>
      </c>
      <c r="AO6">
        <v>31</v>
      </c>
      <c r="AQ6" t="s">
        <v>11158</v>
      </c>
      <c r="AS6" t="s">
        <v>11173</v>
      </c>
      <c r="AU6">
        <v>43</v>
      </c>
      <c r="AW6" t="s">
        <v>11189</v>
      </c>
      <c r="AZ6" t="s">
        <v>11221</v>
      </c>
      <c r="BE6" t="s">
        <v>11672</v>
      </c>
      <c r="BF6" t="s">
        <v>14364</v>
      </c>
      <c r="BM6" t="s">
        <v>15650</v>
      </c>
    </row>
    <row r="7" spans="1:67">
      <c r="A7" s="1">
        <f>HYPERLINK("https://lsnyc.legalserver.org/matter/dynamic-profile/view/0798517","16-0798517")</f>
        <v>0</v>
      </c>
      <c r="B7" t="s">
        <v>67</v>
      </c>
      <c r="C7" t="s">
        <v>245</v>
      </c>
      <c r="D7" t="s">
        <v>255</v>
      </c>
      <c r="F7" t="s">
        <v>1084</v>
      </c>
      <c r="G7" t="s">
        <v>2877</v>
      </c>
      <c r="H7" t="s">
        <v>4755</v>
      </c>
      <c r="I7">
        <v>2</v>
      </c>
      <c r="J7" t="s">
        <v>7169</v>
      </c>
      <c r="K7">
        <v>10035</v>
      </c>
      <c r="N7" t="s">
        <v>7237</v>
      </c>
      <c r="O7" t="s">
        <v>7253</v>
      </c>
      <c r="P7">
        <v>1</v>
      </c>
      <c r="Q7">
        <v>2</v>
      </c>
      <c r="R7">
        <v>89.29000000000001</v>
      </c>
      <c r="U7">
        <v>18000</v>
      </c>
      <c r="W7">
        <v>50</v>
      </c>
      <c r="X7" t="s">
        <v>638</v>
      </c>
      <c r="Y7" t="s">
        <v>10859</v>
      </c>
      <c r="AA7" t="s">
        <v>10974</v>
      </c>
      <c r="AB7" t="s">
        <v>492</v>
      </c>
      <c r="AD7" t="s">
        <v>11085</v>
      </c>
      <c r="AF7" t="s">
        <v>11118</v>
      </c>
      <c r="AH7" t="s">
        <v>10975</v>
      </c>
      <c r="AJ7" t="s">
        <v>11131</v>
      </c>
      <c r="AK7" t="s">
        <v>7225</v>
      </c>
      <c r="AM7">
        <v>1500</v>
      </c>
      <c r="AO7">
        <v>30</v>
      </c>
      <c r="AQ7" t="s">
        <v>11157</v>
      </c>
      <c r="AS7" t="s">
        <v>11173</v>
      </c>
      <c r="AU7">
        <v>4</v>
      </c>
      <c r="AW7" t="s">
        <v>11187</v>
      </c>
      <c r="AY7" t="s">
        <v>11213</v>
      </c>
      <c r="AZ7" t="s">
        <v>11221</v>
      </c>
      <c r="BE7" t="s">
        <v>11669</v>
      </c>
      <c r="BF7" t="s">
        <v>14364</v>
      </c>
      <c r="BG7" t="s">
        <v>11173</v>
      </c>
      <c r="BM7" t="s">
        <v>15650</v>
      </c>
    </row>
    <row r="8" spans="1:67">
      <c r="A8" s="1">
        <f>HYPERLINK("https://lsnyc.legalserver.org/matter/dynamic-profile/view/1833850","17-1833850")</f>
        <v>0</v>
      </c>
      <c r="B8" t="s">
        <v>67</v>
      </c>
      <c r="C8" t="s">
        <v>245</v>
      </c>
      <c r="D8" t="s">
        <v>256</v>
      </c>
      <c r="F8" t="s">
        <v>1088</v>
      </c>
      <c r="G8" t="s">
        <v>2881</v>
      </c>
      <c r="H8" t="s">
        <v>4759</v>
      </c>
      <c r="I8" t="s">
        <v>6402</v>
      </c>
      <c r="J8" t="s">
        <v>7169</v>
      </c>
      <c r="K8">
        <v>10035</v>
      </c>
      <c r="N8" t="s">
        <v>7237</v>
      </c>
      <c r="O8" t="s">
        <v>7257</v>
      </c>
      <c r="P8">
        <v>1</v>
      </c>
      <c r="Q8">
        <v>0</v>
      </c>
      <c r="R8">
        <v>75.12</v>
      </c>
      <c r="U8">
        <v>9060</v>
      </c>
      <c r="W8">
        <v>30</v>
      </c>
      <c r="X8" t="s">
        <v>954</v>
      </c>
      <c r="Y8" t="s">
        <v>10859</v>
      </c>
      <c r="AA8" t="s">
        <v>10974</v>
      </c>
      <c r="AB8" t="s">
        <v>648</v>
      </c>
      <c r="AD8" t="s">
        <v>11082</v>
      </c>
      <c r="AF8" t="s">
        <v>11118</v>
      </c>
      <c r="AH8" t="s">
        <v>10975</v>
      </c>
      <c r="AJ8" t="s">
        <v>11130</v>
      </c>
      <c r="AK8" t="s">
        <v>7225</v>
      </c>
      <c r="AM8">
        <v>2423</v>
      </c>
      <c r="AO8">
        <v>341</v>
      </c>
      <c r="AQ8" t="s">
        <v>11157</v>
      </c>
      <c r="AS8" t="s">
        <v>11174</v>
      </c>
      <c r="AU8">
        <v>17</v>
      </c>
      <c r="AW8" t="s">
        <v>11187</v>
      </c>
      <c r="AZ8" t="s">
        <v>11221</v>
      </c>
      <c r="BE8" t="s">
        <v>11673</v>
      </c>
      <c r="BG8" t="s">
        <v>14368</v>
      </c>
      <c r="BM8" t="s">
        <v>15650</v>
      </c>
    </row>
    <row r="9" spans="1:67">
      <c r="A9" s="1">
        <f>HYPERLINK("https://lsnyc.legalserver.org/matter/dynamic-profile/view/0824964","17-0824964")</f>
        <v>0</v>
      </c>
      <c r="B9" t="s">
        <v>67</v>
      </c>
      <c r="C9" t="s">
        <v>245</v>
      </c>
      <c r="D9" t="s">
        <v>257</v>
      </c>
      <c r="F9" t="s">
        <v>1089</v>
      </c>
      <c r="G9" t="s">
        <v>2882</v>
      </c>
      <c r="H9" t="s">
        <v>4760</v>
      </c>
      <c r="I9">
        <v>2</v>
      </c>
      <c r="J9" t="s">
        <v>7169</v>
      </c>
      <c r="K9">
        <v>10035</v>
      </c>
      <c r="N9" t="s">
        <v>7237</v>
      </c>
      <c r="O9" t="s">
        <v>7258</v>
      </c>
      <c r="P9">
        <v>1</v>
      </c>
      <c r="Q9">
        <v>1</v>
      </c>
      <c r="R9">
        <v>64.92</v>
      </c>
      <c r="U9">
        <v>10400</v>
      </c>
      <c r="W9">
        <v>12.02</v>
      </c>
      <c r="X9" t="s">
        <v>827</v>
      </c>
      <c r="Y9" t="s">
        <v>10859</v>
      </c>
      <c r="Z9" t="s">
        <v>10972</v>
      </c>
      <c r="AA9" t="s">
        <v>10976</v>
      </c>
      <c r="AB9" t="s">
        <v>257</v>
      </c>
      <c r="AD9" t="s">
        <v>11086</v>
      </c>
      <c r="AF9" t="s">
        <v>11118</v>
      </c>
      <c r="AH9" t="s">
        <v>10975</v>
      </c>
      <c r="AJ9" t="s">
        <v>11130</v>
      </c>
      <c r="AK9" t="s">
        <v>7225</v>
      </c>
      <c r="AM9">
        <v>1020</v>
      </c>
      <c r="AO9">
        <v>6</v>
      </c>
      <c r="AQ9" t="s">
        <v>11157</v>
      </c>
      <c r="AS9" t="s">
        <v>11173</v>
      </c>
      <c r="AU9">
        <v>12</v>
      </c>
      <c r="AW9" t="s">
        <v>11187</v>
      </c>
      <c r="AZ9" t="s">
        <v>11221</v>
      </c>
      <c r="BE9" t="s">
        <v>11674</v>
      </c>
      <c r="BF9" t="s">
        <v>14364</v>
      </c>
      <c r="BM9" t="s">
        <v>15650</v>
      </c>
    </row>
    <row r="10" spans="1:67">
      <c r="A10" s="1">
        <f>HYPERLINK("https://lsnyc.legalserver.org/matter/dynamic-profile/view/0810298","16-0810298")</f>
        <v>0</v>
      </c>
      <c r="B10" t="s">
        <v>67</v>
      </c>
      <c r="C10" t="s">
        <v>245</v>
      </c>
      <c r="D10" t="s">
        <v>258</v>
      </c>
      <c r="F10" t="s">
        <v>1087</v>
      </c>
      <c r="G10" t="s">
        <v>2880</v>
      </c>
      <c r="H10" t="s">
        <v>4758</v>
      </c>
      <c r="I10">
        <v>905</v>
      </c>
      <c r="J10" t="s">
        <v>7169</v>
      </c>
      <c r="K10">
        <v>10029</v>
      </c>
      <c r="N10" t="s">
        <v>7237</v>
      </c>
      <c r="O10" t="s">
        <v>7256</v>
      </c>
      <c r="P10">
        <v>1</v>
      </c>
      <c r="Q10">
        <v>0</v>
      </c>
      <c r="R10">
        <v>145.05</v>
      </c>
      <c r="U10">
        <v>17232</v>
      </c>
      <c r="W10">
        <v>298.1</v>
      </c>
      <c r="X10" t="s">
        <v>958</v>
      </c>
      <c r="Y10" t="s">
        <v>207</v>
      </c>
      <c r="AA10" t="s">
        <v>10974</v>
      </c>
      <c r="AB10" t="s">
        <v>258</v>
      </c>
      <c r="AD10" t="s">
        <v>11083</v>
      </c>
      <c r="AF10" t="s">
        <v>11118</v>
      </c>
      <c r="AH10" t="s">
        <v>10975</v>
      </c>
      <c r="AJ10" t="s">
        <v>11130</v>
      </c>
      <c r="AK10" t="s">
        <v>7225</v>
      </c>
      <c r="AM10">
        <v>860</v>
      </c>
      <c r="AO10">
        <v>31</v>
      </c>
      <c r="AQ10" t="s">
        <v>11159</v>
      </c>
      <c r="AS10" t="s">
        <v>11173</v>
      </c>
      <c r="AU10">
        <v>38</v>
      </c>
      <c r="AW10" t="s">
        <v>11189</v>
      </c>
      <c r="AZ10" t="s">
        <v>11221</v>
      </c>
      <c r="BE10" t="s">
        <v>11672</v>
      </c>
      <c r="BG10" t="s">
        <v>14369</v>
      </c>
      <c r="BM10" t="s">
        <v>15650</v>
      </c>
    </row>
    <row r="11" spans="1:67">
      <c r="A11" s="1">
        <f>HYPERLINK("https://lsnyc.legalserver.org/matter/dynamic-profile/view/1883827","18-1883827")</f>
        <v>0</v>
      </c>
      <c r="B11" t="s">
        <v>68</v>
      </c>
      <c r="C11" t="s">
        <v>245</v>
      </c>
      <c r="D11" t="s">
        <v>259</v>
      </c>
      <c r="F11" t="s">
        <v>1087</v>
      </c>
      <c r="G11" t="s">
        <v>2880</v>
      </c>
      <c r="H11" t="s">
        <v>4758</v>
      </c>
      <c r="I11">
        <v>905</v>
      </c>
      <c r="J11" t="s">
        <v>7169</v>
      </c>
      <c r="K11">
        <v>10029</v>
      </c>
      <c r="N11" t="s">
        <v>7237</v>
      </c>
      <c r="O11" t="s">
        <v>7256</v>
      </c>
      <c r="P11">
        <v>1</v>
      </c>
      <c r="Q11">
        <v>0</v>
      </c>
      <c r="R11">
        <v>141.94</v>
      </c>
      <c r="U11">
        <v>17232</v>
      </c>
      <c r="W11">
        <v>33.3</v>
      </c>
      <c r="X11" t="s">
        <v>497</v>
      </c>
      <c r="Y11" t="s">
        <v>10862</v>
      </c>
      <c r="AA11" t="s">
        <v>10974</v>
      </c>
      <c r="AB11" t="s">
        <v>259</v>
      </c>
      <c r="AD11" t="s">
        <v>11087</v>
      </c>
      <c r="AF11" t="s">
        <v>11120</v>
      </c>
      <c r="AH11" t="s">
        <v>10975</v>
      </c>
      <c r="AJ11" t="s">
        <v>11129</v>
      </c>
      <c r="AK11" t="s">
        <v>7225</v>
      </c>
      <c r="AM11">
        <v>860</v>
      </c>
      <c r="AO11">
        <v>31</v>
      </c>
      <c r="AQ11" t="s">
        <v>11159</v>
      </c>
      <c r="AS11" t="s">
        <v>11173</v>
      </c>
      <c r="AU11">
        <v>40</v>
      </c>
      <c r="AW11" t="s">
        <v>11189</v>
      </c>
      <c r="AZ11" t="s">
        <v>11221</v>
      </c>
      <c r="BE11" t="s">
        <v>11672</v>
      </c>
      <c r="BF11" t="s">
        <v>14364</v>
      </c>
      <c r="BM11" t="s">
        <v>15650</v>
      </c>
    </row>
    <row r="12" spans="1:67">
      <c r="A12" s="1">
        <f>HYPERLINK("https://lsnyc.legalserver.org/matter/dynamic-profile/view/1903859","19-1903859")</f>
        <v>0</v>
      </c>
      <c r="B12" t="s">
        <v>68</v>
      </c>
      <c r="C12" t="s">
        <v>245</v>
      </c>
      <c r="D12" t="s">
        <v>260</v>
      </c>
      <c r="F12" t="s">
        <v>1090</v>
      </c>
      <c r="G12" t="s">
        <v>2308</v>
      </c>
      <c r="H12" t="s">
        <v>4761</v>
      </c>
      <c r="I12">
        <v>10</v>
      </c>
      <c r="J12" t="s">
        <v>7169</v>
      </c>
      <c r="K12">
        <v>10025</v>
      </c>
      <c r="N12" t="s">
        <v>7237</v>
      </c>
      <c r="O12" t="s">
        <v>7259</v>
      </c>
      <c r="P12">
        <v>1</v>
      </c>
      <c r="Q12">
        <v>0</v>
      </c>
      <c r="R12">
        <v>160.92</v>
      </c>
      <c r="U12">
        <v>20098.56</v>
      </c>
      <c r="W12">
        <v>3</v>
      </c>
      <c r="X12" t="s">
        <v>260</v>
      </c>
      <c r="Y12" t="s">
        <v>10859</v>
      </c>
      <c r="AA12" t="s">
        <v>10974</v>
      </c>
      <c r="AB12" t="s">
        <v>260</v>
      </c>
      <c r="AD12" t="s">
        <v>11088</v>
      </c>
      <c r="AF12" t="s">
        <v>11120</v>
      </c>
      <c r="AH12" t="s">
        <v>10975</v>
      </c>
      <c r="AJ12" t="s">
        <v>11132</v>
      </c>
      <c r="AK12" t="s">
        <v>7225</v>
      </c>
      <c r="AM12">
        <v>679.8200000000001</v>
      </c>
      <c r="AO12">
        <v>16</v>
      </c>
      <c r="AQ12" t="s">
        <v>11160</v>
      </c>
      <c r="AS12" t="s">
        <v>11173</v>
      </c>
      <c r="AU12">
        <v>40</v>
      </c>
      <c r="AW12" t="s">
        <v>11189</v>
      </c>
      <c r="AY12" t="s">
        <v>11213</v>
      </c>
      <c r="BA12" t="s">
        <v>11222</v>
      </c>
      <c r="BE12" t="s">
        <v>11675</v>
      </c>
      <c r="BF12" t="s">
        <v>14364</v>
      </c>
      <c r="BM12" t="s">
        <v>15650</v>
      </c>
    </row>
    <row r="13" spans="1:67">
      <c r="A13" s="1">
        <f>HYPERLINK("https://lsnyc.legalserver.org/matter/dynamic-profile/view/1867094","18-1867094")</f>
        <v>0</v>
      </c>
      <c r="B13" t="s">
        <v>68</v>
      </c>
      <c r="C13" t="s">
        <v>245</v>
      </c>
      <c r="D13" t="s">
        <v>261</v>
      </c>
      <c r="F13" t="s">
        <v>1091</v>
      </c>
      <c r="G13" t="s">
        <v>2883</v>
      </c>
      <c r="H13" t="s">
        <v>4762</v>
      </c>
      <c r="I13" t="s">
        <v>6403</v>
      </c>
      <c r="J13" t="s">
        <v>7169</v>
      </c>
      <c r="K13">
        <v>10002</v>
      </c>
      <c r="N13" t="s">
        <v>7239</v>
      </c>
      <c r="O13" t="s">
        <v>7260</v>
      </c>
      <c r="P13">
        <v>2</v>
      </c>
      <c r="Q13">
        <v>1</v>
      </c>
      <c r="R13">
        <v>113.86</v>
      </c>
      <c r="S13" t="s">
        <v>10254</v>
      </c>
      <c r="T13" t="s">
        <v>10275</v>
      </c>
      <c r="U13">
        <v>23660</v>
      </c>
      <c r="W13">
        <v>18.8</v>
      </c>
      <c r="X13" t="s">
        <v>638</v>
      </c>
      <c r="Y13" t="s">
        <v>10863</v>
      </c>
      <c r="AA13" t="s">
        <v>10974</v>
      </c>
      <c r="AB13" t="s">
        <v>676</v>
      </c>
      <c r="AD13" t="s">
        <v>11089</v>
      </c>
      <c r="AF13" t="s">
        <v>10384</v>
      </c>
      <c r="AH13" t="s">
        <v>10975</v>
      </c>
      <c r="AJ13" t="s">
        <v>11133</v>
      </c>
      <c r="AK13" t="s">
        <v>11149</v>
      </c>
      <c r="AM13">
        <v>230</v>
      </c>
      <c r="AO13">
        <v>1861</v>
      </c>
      <c r="AQ13" t="s">
        <v>11161</v>
      </c>
      <c r="AR13" t="s">
        <v>11172</v>
      </c>
      <c r="AU13">
        <v>3</v>
      </c>
      <c r="AW13" t="s">
        <v>11187</v>
      </c>
      <c r="AZ13" t="s">
        <v>11221</v>
      </c>
      <c r="BE13" t="s">
        <v>11676</v>
      </c>
      <c r="BF13" t="s">
        <v>14364</v>
      </c>
      <c r="BG13" t="s">
        <v>14370</v>
      </c>
      <c r="BM13" t="s">
        <v>15650</v>
      </c>
    </row>
    <row r="14" spans="1:67">
      <c r="A14" s="1">
        <f>HYPERLINK("https://lsnyc.legalserver.org/matter/dynamic-profile/view/1914866","19-1914866")</f>
        <v>0</v>
      </c>
      <c r="B14" t="s">
        <v>69</v>
      </c>
      <c r="C14" t="s">
        <v>245</v>
      </c>
      <c r="D14" t="s">
        <v>262</v>
      </c>
      <c r="E14" t="s">
        <v>638</v>
      </c>
      <c r="F14" t="s">
        <v>1092</v>
      </c>
      <c r="G14" t="s">
        <v>2884</v>
      </c>
      <c r="H14" t="s">
        <v>4763</v>
      </c>
      <c r="I14">
        <v>54</v>
      </c>
      <c r="J14" t="s">
        <v>7169</v>
      </c>
      <c r="K14">
        <v>10034</v>
      </c>
      <c r="L14" t="s">
        <v>7217</v>
      </c>
      <c r="N14" t="s">
        <v>7237</v>
      </c>
      <c r="O14" t="s">
        <v>7261</v>
      </c>
      <c r="P14">
        <v>2</v>
      </c>
      <c r="Q14">
        <v>0</v>
      </c>
      <c r="R14">
        <v>123.62</v>
      </c>
      <c r="U14">
        <v>20904</v>
      </c>
      <c r="W14">
        <v>3.2</v>
      </c>
      <c r="X14" t="s">
        <v>638</v>
      </c>
      <c r="Y14" t="s">
        <v>127</v>
      </c>
      <c r="AA14" t="s">
        <v>10974</v>
      </c>
      <c r="AB14" t="s">
        <v>262</v>
      </c>
      <c r="AD14" t="s">
        <v>11088</v>
      </c>
      <c r="AF14" t="s">
        <v>10384</v>
      </c>
      <c r="AH14" t="s">
        <v>10975</v>
      </c>
      <c r="AJ14" t="s">
        <v>11129</v>
      </c>
      <c r="AK14" t="s">
        <v>7225</v>
      </c>
      <c r="AM14">
        <v>932.5700000000001</v>
      </c>
      <c r="AO14">
        <v>25</v>
      </c>
      <c r="AQ14" t="s">
        <v>11157</v>
      </c>
      <c r="AS14" t="s">
        <v>11175</v>
      </c>
      <c r="AU14">
        <v>37</v>
      </c>
      <c r="AW14" t="s">
        <v>11189</v>
      </c>
      <c r="BA14" t="s">
        <v>11222</v>
      </c>
      <c r="BE14" t="s">
        <v>11677</v>
      </c>
      <c r="BF14" t="s">
        <v>14364</v>
      </c>
      <c r="BM14" t="s">
        <v>15651</v>
      </c>
    </row>
    <row r="15" spans="1:67">
      <c r="A15" s="1">
        <f>HYPERLINK("https://lsnyc.legalserver.org/matter/dynamic-profile/view/1910458","19-1910458")</f>
        <v>0</v>
      </c>
      <c r="B15" t="s">
        <v>69</v>
      </c>
      <c r="C15" t="s">
        <v>245</v>
      </c>
      <c r="D15" t="s">
        <v>263</v>
      </c>
      <c r="E15" t="s">
        <v>638</v>
      </c>
      <c r="F15" t="s">
        <v>1093</v>
      </c>
      <c r="G15" t="s">
        <v>2885</v>
      </c>
      <c r="H15" t="s">
        <v>4764</v>
      </c>
      <c r="I15" t="s">
        <v>6404</v>
      </c>
      <c r="J15" t="s">
        <v>7169</v>
      </c>
      <c r="K15">
        <v>10032</v>
      </c>
      <c r="L15" t="s">
        <v>7217</v>
      </c>
      <c r="N15" t="s">
        <v>7237</v>
      </c>
      <c r="O15" t="s">
        <v>7262</v>
      </c>
      <c r="P15">
        <v>2</v>
      </c>
      <c r="Q15">
        <v>0</v>
      </c>
      <c r="R15">
        <v>62.95</v>
      </c>
      <c r="U15">
        <v>10644</v>
      </c>
      <c r="W15">
        <v>2.3</v>
      </c>
      <c r="X15" t="s">
        <v>312</v>
      </c>
      <c r="Y15" t="s">
        <v>127</v>
      </c>
      <c r="AA15" t="s">
        <v>10974</v>
      </c>
      <c r="AB15" t="s">
        <v>263</v>
      </c>
      <c r="AD15" t="s">
        <v>11088</v>
      </c>
      <c r="AF15" t="s">
        <v>10384</v>
      </c>
      <c r="AH15" t="s">
        <v>10975</v>
      </c>
      <c r="AJ15" t="s">
        <v>11130</v>
      </c>
      <c r="AK15" t="s">
        <v>7225</v>
      </c>
      <c r="AM15">
        <v>1243</v>
      </c>
      <c r="AO15">
        <v>41</v>
      </c>
      <c r="AQ15" t="s">
        <v>11157</v>
      </c>
      <c r="AS15" t="s">
        <v>11173</v>
      </c>
      <c r="AU15">
        <v>23</v>
      </c>
      <c r="AW15" t="s">
        <v>11187</v>
      </c>
      <c r="BA15" t="s">
        <v>11222</v>
      </c>
      <c r="BE15" t="s">
        <v>11678</v>
      </c>
      <c r="BF15" t="s">
        <v>14364</v>
      </c>
      <c r="BM15" t="s">
        <v>15651</v>
      </c>
    </row>
    <row r="16" spans="1:67">
      <c r="A16" s="1">
        <f>HYPERLINK("https://lsnyc.legalserver.org/matter/dynamic-profile/view/1914982","19-1914982")</f>
        <v>0</v>
      </c>
      <c r="B16" t="s">
        <v>69</v>
      </c>
      <c r="C16" t="s">
        <v>245</v>
      </c>
      <c r="D16" t="s">
        <v>264</v>
      </c>
      <c r="F16" t="s">
        <v>1094</v>
      </c>
      <c r="G16" t="s">
        <v>2886</v>
      </c>
      <c r="H16" t="s">
        <v>4765</v>
      </c>
      <c r="I16" t="s">
        <v>6405</v>
      </c>
      <c r="J16" t="s">
        <v>7169</v>
      </c>
      <c r="K16">
        <v>10040</v>
      </c>
      <c r="N16" t="s">
        <v>7237</v>
      </c>
      <c r="O16" t="s">
        <v>7263</v>
      </c>
      <c r="P16">
        <v>2</v>
      </c>
      <c r="Q16">
        <v>0</v>
      </c>
      <c r="R16">
        <v>141.93</v>
      </c>
      <c r="U16">
        <v>24000</v>
      </c>
      <c r="W16">
        <v>2.9</v>
      </c>
      <c r="X16" t="s">
        <v>264</v>
      </c>
      <c r="Y16" t="s">
        <v>127</v>
      </c>
      <c r="AA16" t="s">
        <v>10974</v>
      </c>
      <c r="AB16" t="s">
        <v>264</v>
      </c>
      <c r="AD16" t="s">
        <v>11088</v>
      </c>
      <c r="AF16" t="s">
        <v>10384</v>
      </c>
      <c r="AH16" t="s">
        <v>10975</v>
      </c>
      <c r="AJ16" t="s">
        <v>11129</v>
      </c>
      <c r="AK16" t="s">
        <v>7225</v>
      </c>
      <c r="AM16">
        <v>1353.72</v>
      </c>
      <c r="AO16">
        <v>45</v>
      </c>
      <c r="AQ16" t="s">
        <v>11157</v>
      </c>
      <c r="AS16" t="s">
        <v>11175</v>
      </c>
      <c r="AU16">
        <v>34</v>
      </c>
      <c r="AW16" t="s">
        <v>11189</v>
      </c>
      <c r="BA16" t="s">
        <v>11222</v>
      </c>
      <c r="BE16" t="s">
        <v>11679</v>
      </c>
      <c r="BF16" t="s">
        <v>14364</v>
      </c>
      <c r="BM16" t="s">
        <v>15650</v>
      </c>
    </row>
    <row r="17" spans="1:65">
      <c r="A17" s="1">
        <f>HYPERLINK("https://lsnyc.legalserver.org/matter/dynamic-profile/view/1912286","19-1912286")</f>
        <v>0</v>
      </c>
      <c r="B17" t="s">
        <v>69</v>
      </c>
      <c r="C17" t="s">
        <v>245</v>
      </c>
      <c r="D17" t="s">
        <v>265</v>
      </c>
      <c r="E17" t="s">
        <v>638</v>
      </c>
      <c r="F17" t="s">
        <v>1095</v>
      </c>
      <c r="G17" t="s">
        <v>2887</v>
      </c>
      <c r="H17" t="s">
        <v>4766</v>
      </c>
      <c r="I17" t="s">
        <v>6406</v>
      </c>
      <c r="J17" t="s">
        <v>7169</v>
      </c>
      <c r="K17">
        <v>10033</v>
      </c>
      <c r="L17" t="s">
        <v>7217</v>
      </c>
      <c r="N17" t="s">
        <v>7237</v>
      </c>
      <c r="O17" t="s">
        <v>7264</v>
      </c>
      <c r="P17">
        <v>2</v>
      </c>
      <c r="Q17">
        <v>0</v>
      </c>
      <c r="R17">
        <v>255.47</v>
      </c>
      <c r="U17">
        <v>43200</v>
      </c>
      <c r="W17">
        <v>6.25</v>
      </c>
      <c r="X17" t="s">
        <v>536</v>
      </c>
      <c r="Y17" t="s">
        <v>127</v>
      </c>
      <c r="AA17" t="s">
        <v>10974</v>
      </c>
      <c r="AB17" t="s">
        <v>265</v>
      </c>
      <c r="AD17" t="s">
        <v>11088</v>
      </c>
      <c r="AF17" t="s">
        <v>10384</v>
      </c>
      <c r="AH17" t="s">
        <v>10975</v>
      </c>
      <c r="AJ17" t="s">
        <v>11129</v>
      </c>
      <c r="AK17" t="s">
        <v>7225</v>
      </c>
      <c r="AM17">
        <v>1319.95</v>
      </c>
      <c r="AO17">
        <v>480</v>
      </c>
      <c r="AQ17" t="s">
        <v>11157</v>
      </c>
      <c r="AS17" t="s">
        <v>11175</v>
      </c>
      <c r="AU17">
        <v>18</v>
      </c>
      <c r="AW17" t="s">
        <v>11187</v>
      </c>
      <c r="BA17" t="s">
        <v>11222</v>
      </c>
      <c r="BE17" t="s">
        <v>11680</v>
      </c>
      <c r="BF17" t="s">
        <v>14364</v>
      </c>
      <c r="BM17" t="s">
        <v>15651</v>
      </c>
    </row>
    <row r="18" spans="1:65">
      <c r="A18" s="1">
        <f>HYPERLINK("https://lsnyc.legalserver.org/matter/dynamic-profile/view/1914220","19-1914220")</f>
        <v>0</v>
      </c>
      <c r="B18" t="s">
        <v>69</v>
      </c>
      <c r="C18" t="s">
        <v>245</v>
      </c>
      <c r="D18" t="s">
        <v>266</v>
      </c>
      <c r="F18" t="s">
        <v>1096</v>
      </c>
      <c r="G18" t="s">
        <v>2888</v>
      </c>
      <c r="H18" t="s">
        <v>4767</v>
      </c>
      <c r="I18">
        <v>31</v>
      </c>
      <c r="J18" t="s">
        <v>7169</v>
      </c>
      <c r="K18">
        <v>10034</v>
      </c>
      <c r="N18" t="s">
        <v>7237</v>
      </c>
      <c r="O18" t="s">
        <v>7265</v>
      </c>
      <c r="P18">
        <v>2</v>
      </c>
      <c r="Q18">
        <v>0</v>
      </c>
      <c r="R18">
        <v>413.96</v>
      </c>
      <c r="U18">
        <v>70000</v>
      </c>
      <c r="W18">
        <v>1</v>
      </c>
      <c r="X18" t="s">
        <v>301</v>
      </c>
      <c r="Y18" t="s">
        <v>127</v>
      </c>
      <c r="AA18" t="s">
        <v>10974</v>
      </c>
      <c r="AB18" t="s">
        <v>266</v>
      </c>
      <c r="AC18" t="s">
        <v>11081</v>
      </c>
      <c r="AF18" t="s">
        <v>11121</v>
      </c>
      <c r="AH18" t="s">
        <v>10975</v>
      </c>
      <c r="AJ18" t="s">
        <v>11130</v>
      </c>
      <c r="AK18" t="s">
        <v>7225</v>
      </c>
      <c r="AM18">
        <v>1159.32</v>
      </c>
      <c r="AO18">
        <v>26</v>
      </c>
      <c r="AQ18" t="s">
        <v>11157</v>
      </c>
      <c r="AS18" t="s">
        <v>11173</v>
      </c>
      <c r="AU18">
        <v>22</v>
      </c>
      <c r="AW18" t="s">
        <v>11189</v>
      </c>
      <c r="BA18" t="s">
        <v>11222</v>
      </c>
      <c r="BD18" t="s">
        <v>11667</v>
      </c>
      <c r="BF18" t="s">
        <v>14364</v>
      </c>
      <c r="BM18" t="s">
        <v>15650</v>
      </c>
    </row>
    <row r="19" spans="1:65">
      <c r="A19" s="1">
        <f>HYPERLINK("https://lsnyc.legalserver.org/matter/dynamic-profile/view/1903544","19-1903544")</f>
        <v>0</v>
      </c>
      <c r="B19" t="s">
        <v>69</v>
      </c>
      <c r="C19" t="s">
        <v>245</v>
      </c>
      <c r="D19" t="s">
        <v>267</v>
      </c>
      <c r="E19" t="s">
        <v>638</v>
      </c>
      <c r="F19" t="s">
        <v>1097</v>
      </c>
      <c r="G19" t="s">
        <v>2889</v>
      </c>
      <c r="H19" t="s">
        <v>4763</v>
      </c>
      <c r="I19">
        <v>5</v>
      </c>
      <c r="J19" t="s">
        <v>7169</v>
      </c>
      <c r="K19">
        <v>10034</v>
      </c>
      <c r="L19" t="s">
        <v>7217</v>
      </c>
      <c r="N19" t="s">
        <v>7237</v>
      </c>
      <c r="O19" t="s">
        <v>7266</v>
      </c>
      <c r="P19">
        <v>2</v>
      </c>
      <c r="Q19">
        <v>0</v>
      </c>
      <c r="R19">
        <v>141.93</v>
      </c>
      <c r="U19">
        <v>24000</v>
      </c>
      <c r="W19">
        <v>8.300000000000001</v>
      </c>
      <c r="X19" t="s">
        <v>449</v>
      </c>
      <c r="Y19" t="s">
        <v>127</v>
      </c>
      <c r="AA19" t="s">
        <v>10974</v>
      </c>
      <c r="AB19" t="s">
        <v>267</v>
      </c>
      <c r="AD19" t="s">
        <v>11088</v>
      </c>
      <c r="AF19" t="s">
        <v>10384</v>
      </c>
      <c r="AH19" t="s">
        <v>10975</v>
      </c>
      <c r="AJ19" t="s">
        <v>11129</v>
      </c>
      <c r="AK19" t="s">
        <v>7225</v>
      </c>
      <c r="AM19">
        <v>694.16</v>
      </c>
      <c r="AO19">
        <v>25</v>
      </c>
      <c r="AP19" t="s">
        <v>11155</v>
      </c>
      <c r="AS19" t="s">
        <v>11175</v>
      </c>
      <c r="AT19" t="s">
        <v>11184</v>
      </c>
      <c r="AU19">
        <v>0</v>
      </c>
      <c r="AW19" t="s">
        <v>11187</v>
      </c>
      <c r="BA19" t="s">
        <v>11222</v>
      </c>
      <c r="BE19" t="s">
        <v>11681</v>
      </c>
      <c r="BF19" t="s">
        <v>14364</v>
      </c>
      <c r="BM19" t="s">
        <v>15651</v>
      </c>
    </row>
    <row r="20" spans="1:65">
      <c r="A20" s="1">
        <f>HYPERLINK("https://lsnyc.legalserver.org/matter/dynamic-profile/view/1914227","19-1914227")</f>
        <v>0</v>
      </c>
      <c r="B20" t="s">
        <v>69</v>
      </c>
      <c r="C20" t="s">
        <v>245</v>
      </c>
      <c r="D20" t="s">
        <v>266</v>
      </c>
      <c r="F20" t="s">
        <v>1098</v>
      </c>
      <c r="G20" t="s">
        <v>2890</v>
      </c>
      <c r="H20" t="s">
        <v>4768</v>
      </c>
      <c r="I20">
        <v>46</v>
      </c>
      <c r="J20" t="s">
        <v>7169</v>
      </c>
      <c r="K20">
        <v>10034</v>
      </c>
      <c r="N20" t="s">
        <v>7237</v>
      </c>
      <c r="O20" t="s">
        <v>7267</v>
      </c>
      <c r="P20">
        <v>2</v>
      </c>
      <c r="Q20">
        <v>0</v>
      </c>
      <c r="R20">
        <v>79.98</v>
      </c>
      <c r="U20">
        <v>13524</v>
      </c>
      <c r="W20">
        <v>1.4</v>
      </c>
      <c r="X20" t="s">
        <v>638</v>
      </c>
      <c r="Y20" t="s">
        <v>127</v>
      </c>
      <c r="AA20" t="s">
        <v>10974</v>
      </c>
      <c r="AB20" t="s">
        <v>266</v>
      </c>
      <c r="AD20" t="s">
        <v>11088</v>
      </c>
      <c r="AF20" t="s">
        <v>10384</v>
      </c>
      <c r="AH20" t="s">
        <v>10975</v>
      </c>
      <c r="AJ20" t="s">
        <v>11129</v>
      </c>
      <c r="AK20" t="s">
        <v>7225</v>
      </c>
      <c r="AM20">
        <v>867.85</v>
      </c>
      <c r="AO20">
        <v>28</v>
      </c>
      <c r="AQ20" t="s">
        <v>11157</v>
      </c>
      <c r="AS20" t="s">
        <v>11175</v>
      </c>
      <c r="AU20">
        <v>24</v>
      </c>
      <c r="AW20" t="s">
        <v>11189</v>
      </c>
      <c r="BA20" t="s">
        <v>11222</v>
      </c>
      <c r="BE20" t="s">
        <v>11682</v>
      </c>
      <c r="BF20" t="s">
        <v>14364</v>
      </c>
      <c r="BM20" t="s">
        <v>15650</v>
      </c>
    </row>
    <row r="21" spans="1:65">
      <c r="A21" s="1">
        <f>HYPERLINK("https://lsnyc.legalserver.org/matter/dynamic-profile/view/1901004","19-1901004")</f>
        <v>0</v>
      </c>
      <c r="B21" t="s">
        <v>69</v>
      </c>
      <c r="C21" t="s">
        <v>245</v>
      </c>
      <c r="D21" t="s">
        <v>268</v>
      </c>
      <c r="E21" t="s">
        <v>638</v>
      </c>
      <c r="F21" t="s">
        <v>1099</v>
      </c>
      <c r="G21" t="s">
        <v>2891</v>
      </c>
      <c r="H21" t="s">
        <v>4769</v>
      </c>
      <c r="I21" t="s">
        <v>6407</v>
      </c>
      <c r="J21" t="s">
        <v>7169</v>
      </c>
      <c r="K21">
        <v>10034</v>
      </c>
      <c r="L21" t="s">
        <v>7217</v>
      </c>
      <c r="N21" t="s">
        <v>7237</v>
      </c>
      <c r="O21" t="s">
        <v>7268</v>
      </c>
      <c r="P21">
        <v>1</v>
      </c>
      <c r="Q21">
        <v>0</v>
      </c>
      <c r="R21">
        <v>160.13</v>
      </c>
      <c r="U21">
        <v>20000</v>
      </c>
      <c r="W21">
        <v>5.4</v>
      </c>
      <c r="X21" t="s">
        <v>536</v>
      </c>
      <c r="Y21" t="s">
        <v>127</v>
      </c>
      <c r="AA21" t="s">
        <v>10974</v>
      </c>
      <c r="AB21" t="s">
        <v>268</v>
      </c>
      <c r="AD21" t="s">
        <v>11090</v>
      </c>
      <c r="AF21" t="s">
        <v>10384</v>
      </c>
      <c r="AH21" t="s">
        <v>10975</v>
      </c>
      <c r="AJ21" t="s">
        <v>11130</v>
      </c>
      <c r="AK21" t="s">
        <v>7225</v>
      </c>
      <c r="AM21">
        <v>703.4</v>
      </c>
      <c r="AO21">
        <v>67</v>
      </c>
      <c r="AQ21" t="s">
        <v>11157</v>
      </c>
      <c r="AS21" t="s">
        <v>11173</v>
      </c>
      <c r="AU21">
        <v>19</v>
      </c>
      <c r="AW21" t="s">
        <v>11187</v>
      </c>
      <c r="BA21" t="s">
        <v>11222</v>
      </c>
      <c r="BB21" t="s">
        <v>11224</v>
      </c>
      <c r="BC21" t="s">
        <v>11225</v>
      </c>
      <c r="BE21" t="s">
        <v>11683</v>
      </c>
      <c r="BF21" t="s">
        <v>14364</v>
      </c>
      <c r="BM21" t="s">
        <v>15651</v>
      </c>
    </row>
    <row r="22" spans="1:65">
      <c r="A22" s="1">
        <f>HYPERLINK("https://lsnyc.legalserver.org/matter/dynamic-profile/view/1910406","19-1910406")</f>
        <v>0</v>
      </c>
      <c r="B22" t="s">
        <v>69</v>
      </c>
      <c r="C22" t="s">
        <v>245</v>
      </c>
      <c r="D22" t="s">
        <v>263</v>
      </c>
      <c r="E22" t="s">
        <v>638</v>
      </c>
      <c r="F22" t="s">
        <v>1100</v>
      </c>
      <c r="G22" t="s">
        <v>2892</v>
      </c>
      <c r="H22" t="s">
        <v>4770</v>
      </c>
      <c r="J22" t="s">
        <v>7169</v>
      </c>
      <c r="K22">
        <v>10033</v>
      </c>
      <c r="L22" t="s">
        <v>7217</v>
      </c>
      <c r="N22" t="s">
        <v>7237</v>
      </c>
      <c r="O22" t="s">
        <v>7269</v>
      </c>
      <c r="P22">
        <v>2</v>
      </c>
      <c r="Q22">
        <v>0</v>
      </c>
      <c r="R22">
        <v>179.82</v>
      </c>
      <c r="U22">
        <v>30408</v>
      </c>
      <c r="W22">
        <v>1.9</v>
      </c>
      <c r="X22" t="s">
        <v>273</v>
      </c>
      <c r="Y22" t="s">
        <v>127</v>
      </c>
      <c r="AA22" t="s">
        <v>10974</v>
      </c>
      <c r="AB22" t="s">
        <v>263</v>
      </c>
      <c r="AD22" t="s">
        <v>11088</v>
      </c>
      <c r="AF22" t="s">
        <v>10384</v>
      </c>
      <c r="AH22" t="s">
        <v>10975</v>
      </c>
      <c r="AJ22" t="s">
        <v>11129</v>
      </c>
      <c r="AK22" t="s">
        <v>7225</v>
      </c>
      <c r="AM22">
        <v>811.77</v>
      </c>
      <c r="AO22">
        <v>24</v>
      </c>
      <c r="AQ22" t="s">
        <v>11157</v>
      </c>
      <c r="AS22" t="s">
        <v>11175</v>
      </c>
      <c r="AU22">
        <v>45</v>
      </c>
      <c r="AW22" t="s">
        <v>11189</v>
      </c>
      <c r="BA22" t="s">
        <v>11222</v>
      </c>
      <c r="BE22" t="s">
        <v>11684</v>
      </c>
      <c r="BF22" t="s">
        <v>14364</v>
      </c>
      <c r="BM22" t="s">
        <v>15651</v>
      </c>
    </row>
    <row r="23" spans="1:65">
      <c r="A23" s="1">
        <f>HYPERLINK("https://lsnyc.legalserver.org/matter/dynamic-profile/view/1909580","19-1909580")</f>
        <v>0</v>
      </c>
      <c r="B23" t="s">
        <v>69</v>
      </c>
      <c r="C23" t="s">
        <v>245</v>
      </c>
      <c r="D23" t="s">
        <v>269</v>
      </c>
      <c r="F23" t="s">
        <v>1101</v>
      </c>
      <c r="G23" t="s">
        <v>2893</v>
      </c>
      <c r="H23" t="s">
        <v>4771</v>
      </c>
      <c r="I23" t="s">
        <v>6408</v>
      </c>
      <c r="J23" t="s">
        <v>7169</v>
      </c>
      <c r="K23">
        <v>10040</v>
      </c>
      <c r="N23" t="s">
        <v>7237</v>
      </c>
      <c r="O23" t="s">
        <v>7270</v>
      </c>
      <c r="P23">
        <v>1</v>
      </c>
      <c r="Q23">
        <v>0</v>
      </c>
      <c r="R23">
        <v>0</v>
      </c>
      <c r="U23">
        <v>0</v>
      </c>
      <c r="W23">
        <v>1.4</v>
      </c>
      <c r="X23" t="s">
        <v>273</v>
      </c>
      <c r="Y23" t="s">
        <v>127</v>
      </c>
      <c r="AA23" t="s">
        <v>10974</v>
      </c>
      <c r="AB23" t="s">
        <v>269</v>
      </c>
      <c r="AD23" t="s">
        <v>11088</v>
      </c>
      <c r="AF23" t="s">
        <v>10384</v>
      </c>
      <c r="AH23" t="s">
        <v>10975</v>
      </c>
      <c r="AJ23" t="s">
        <v>11129</v>
      </c>
      <c r="AK23" t="s">
        <v>7225</v>
      </c>
      <c r="AM23">
        <v>843.6</v>
      </c>
      <c r="AO23">
        <v>42</v>
      </c>
      <c r="AQ23" t="s">
        <v>11157</v>
      </c>
      <c r="AS23" t="s">
        <v>11175</v>
      </c>
      <c r="AU23">
        <v>24</v>
      </c>
      <c r="AW23" t="s">
        <v>11189</v>
      </c>
      <c r="BA23" t="s">
        <v>11222</v>
      </c>
      <c r="BE23" t="s">
        <v>11685</v>
      </c>
      <c r="BF23" t="s">
        <v>14364</v>
      </c>
      <c r="BM23" t="s">
        <v>15650</v>
      </c>
    </row>
    <row r="24" spans="1:65">
      <c r="A24" s="1">
        <f>HYPERLINK("https://lsnyc.legalserver.org/matter/dynamic-profile/view/1909408","19-1909408")</f>
        <v>0</v>
      </c>
      <c r="B24" t="s">
        <v>69</v>
      </c>
      <c r="C24" t="s">
        <v>245</v>
      </c>
      <c r="D24" t="s">
        <v>270</v>
      </c>
      <c r="F24" t="s">
        <v>1102</v>
      </c>
      <c r="G24" t="s">
        <v>2894</v>
      </c>
      <c r="H24" t="s">
        <v>4772</v>
      </c>
      <c r="I24" t="s">
        <v>6409</v>
      </c>
      <c r="J24" t="s">
        <v>7169</v>
      </c>
      <c r="K24">
        <v>10032</v>
      </c>
      <c r="N24" t="s">
        <v>7237</v>
      </c>
      <c r="O24" t="s">
        <v>7271</v>
      </c>
      <c r="P24">
        <v>1</v>
      </c>
      <c r="Q24">
        <v>1</v>
      </c>
      <c r="R24">
        <v>0</v>
      </c>
      <c r="U24">
        <v>0</v>
      </c>
      <c r="W24">
        <v>0.1</v>
      </c>
      <c r="X24" t="s">
        <v>269</v>
      </c>
      <c r="Y24" t="s">
        <v>127</v>
      </c>
      <c r="AA24" t="s">
        <v>10974</v>
      </c>
      <c r="AD24" t="s">
        <v>11091</v>
      </c>
      <c r="AF24" t="s">
        <v>10384</v>
      </c>
      <c r="AH24" t="s">
        <v>10975</v>
      </c>
      <c r="AJ24" t="s">
        <v>11129</v>
      </c>
      <c r="AK24" t="s">
        <v>7225</v>
      </c>
      <c r="AM24">
        <v>858.16</v>
      </c>
      <c r="AO24">
        <v>42</v>
      </c>
      <c r="AQ24" t="s">
        <v>11157</v>
      </c>
      <c r="AS24" t="s">
        <v>11176</v>
      </c>
      <c r="AU24">
        <v>35</v>
      </c>
      <c r="AW24" t="s">
        <v>11189</v>
      </c>
      <c r="AX24" t="s">
        <v>11212</v>
      </c>
      <c r="AZ24" t="s">
        <v>11221</v>
      </c>
      <c r="BA24" t="s">
        <v>11173</v>
      </c>
      <c r="BE24" t="s">
        <v>11686</v>
      </c>
      <c r="BF24" t="s">
        <v>14364</v>
      </c>
      <c r="BM24" t="s">
        <v>15650</v>
      </c>
    </row>
    <row r="25" spans="1:65">
      <c r="A25" s="1">
        <f>HYPERLINK("https://lsnyc.legalserver.org/matter/dynamic-profile/view/1912109","19-1912109")</f>
        <v>0</v>
      </c>
      <c r="B25" t="s">
        <v>69</v>
      </c>
      <c r="C25" t="s">
        <v>245</v>
      </c>
      <c r="D25" t="s">
        <v>271</v>
      </c>
      <c r="F25" t="s">
        <v>1103</v>
      </c>
      <c r="G25" t="s">
        <v>2895</v>
      </c>
      <c r="H25" t="s">
        <v>4773</v>
      </c>
      <c r="I25">
        <v>311</v>
      </c>
      <c r="J25" t="s">
        <v>7169</v>
      </c>
      <c r="K25">
        <v>10034</v>
      </c>
      <c r="N25" t="s">
        <v>7237</v>
      </c>
      <c r="O25" t="s">
        <v>7272</v>
      </c>
      <c r="P25">
        <v>2</v>
      </c>
      <c r="Q25">
        <v>0</v>
      </c>
      <c r="R25">
        <v>145.48</v>
      </c>
      <c r="U25">
        <v>24600</v>
      </c>
      <c r="W25">
        <v>4.8</v>
      </c>
      <c r="X25" t="s">
        <v>262</v>
      </c>
      <c r="Y25" t="s">
        <v>127</v>
      </c>
      <c r="AA25" t="s">
        <v>10974</v>
      </c>
      <c r="AB25" t="s">
        <v>271</v>
      </c>
      <c r="AD25" t="s">
        <v>11088</v>
      </c>
      <c r="AF25" t="s">
        <v>10384</v>
      </c>
      <c r="AH25" t="s">
        <v>10975</v>
      </c>
      <c r="AJ25" t="s">
        <v>11129</v>
      </c>
      <c r="AK25" t="s">
        <v>7225</v>
      </c>
      <c r="AM25">
        <v>846.63</v>
      </c>
      <c r="AO25">
        <v>72</v>
      </c>
      <c r="AQ25" t="s">
        <v>11157</v>
      </c>
      <c r="AS25" t="s">
        <v>11175</v>
      </c>
      <c r="AU25">
        <v>35</v>
      </c>
      <c r="AW25" t="s">
        <v>11187</v>
      </c>
      <c r="BA25" t="s">
        <v>11222</v>
      </c>
      <c r="BE25" t="s">
        <v>11687</v>
      </c>
      <c r="BF25" t="s">
        <v>14364</v>
      </c>
      <c r="BM25" t="s">
        <v>15650</v>
      </c>
    </row>
    <row r="26" spans="1:65">
      <c r="A26" s="1">
        <f>HYPERLINK("https://lsnyc.legalserver.org/matter/dynamic-profile/view/1913749","19-1913749")</f>
        <v>0</v>
      </c>
      <c r="B26" t="s">
        <v>69</v>
      </c>
      <c r="C26" t="s">
        <v>245</v>
      </c>
      <c r="D26" t="s">
        <v>272</v>
      </c>
      <c r="F26" t="s">
        <v>1104</v>
      </c>
      <c r="G26" t="s">
        <v>2896</v>
      </c>
      <c r="H26" t="s">
        <v>4774</v>
      </c>
      <c r="I26" t="s">
        <v>6410</v>
      </c>
      <c r="J26" t="s">
        <v>7169</v>
      </c>
      <c r="K26">
        <v>10027</v>
      </c>
      <c r="N26" t="s">
        <v>7237</v>
      </c>
      <c r="O26" t="s">
        <v>7273</v>
      </c>
      <c r="P26">
        <v>1</v>
      </c>
      <c r="Q26">
        <v>0</v>
      </c>
      <c r="R26">
        <v>113.07</v>
      </c>
      <c r="U26">
        <v>14122.8</v>
      </c>
      <c r="W26">
        <v>5.8</v>
      </c>
      <c r="X26" t="s">
        <v>528</v>
      </c>
      <c r="Y26" t="s">
        <v>127</v>
      </c>
      <c r="AA26" t="s">
        <v>10974</v>
      </c>
      <c r="AB26" t="s">
        <v>272</v>
      </c>
      <c r="AD26" t="s">
        <v>11088</v>
      </c>
      <c r="AF26" t="s">
        <v>10384</v>
      </c>
      <c r="AH26" t="s">
        <v>10975</v>
      </c>
      <c r="AJ26" t="s">
        <v>11129</v>
      </c>
      <c r="AK26" t="s">
        <v>7225</v>
      </c>
      <c r="AM26">
        <v>433.33</v>
      </c>
      <c r="AO26">
        <v>23</v>
      </c>
      <c r="AQ26" t="s">
        <v>11157</v>
      </c>
      <c r="AS26" t="s">
        <v>11175</v>
      </c>
      <c r="AT26" t="s">
        <v>11184</v>
      </c>
      <c r="AU26">
        <v>0</v>
      </c>
      <c r="AV26" t="s">
        <v>11186</v>
      </c>
      <c r="BA26" t="s">
        <v>11222</v>
      </c>
      <c r="BE26" t="s">
        <v>11688</v>
      </c>
      <c r="BF26" t="s">
        <v>14364</v>
      </c>
      <c r="BM26" t="s">
        <v>15650</v>
      </c>
    </row>
    <row r="27" spans="1:65">
      <c r="A27" s="1">
        <f>HYPERLINK("https://lsnyc.legalserver.org/matter/dynamic-profile/view/1913352","19-1913352")</f>
        <v>0</v>
      </c>
      <c r="B27" t="s">
        <v>70</v>
      </c>
      <c r="C27" t="s">
        <v>245</v>
      </c>
      <c r="D27" t="s">
        <v>273</v>
      </c>
      <c r="F27" t="s">
        <v>1105</v>
      </c>
      <c r="G27" t="s">
        <v>2897</v>
      </c>
      <c r="H27" t="s">
        <v>4775</v>
      </c>
      <c r="I27" t="s">
        <v>6411</v>
      </c>
      <c r="J27" t="s">
        <v>7169</v>
      </c>
      <c r="K27">
        <v>10035</v>
      </c>
      <c r="N27" t="s">
        <v>7240</v>
      </c>
      <c r="O27" t="s">
        <v>7274</v>
      </c>
      <c r="P27">
        <v>1</v>
      </c>
      <c r="Q27">
        <v>0</v>
      </c>
      <c r="R27">
        <v>400.32</v>
      </c>
      <c r="U27">
        <v>50000</v>
      </c>
      <c r="W27">
        <v>0</v>
      </c>
      <c r="Y27" t="s">
        <v>10859</v>
      </c>
      <c r="AA27" t="s">
        <v>10974</v>
      </c>
      <c r="AB27" t="s">
        <v>925</v>
      </c>
      <c r="AD27" t="s">
        <v>11092</v>
      </c>
      <c r="AF27" t="s">
        <v>11120</v>
      </c>
      <c r="AH27" t="s">
        <v>10975</v>
      </c>
      <c r="AI27" t="s">
        <v>11126</v>
      </c>
      <c r="AK27" t="s">
        <v>7225</v>
      </c>
      <c r="AM27">
        <v>1390</v>
      </c>
      <c r="AN27" t="s">
        <v>11151</v>
      </c>
      <c r="AO27" t="s">
        <v>11153</v>
      </c>
      <c r="AQ27" t="s">
        <v>11157</v>
      </c>
      <c r="AR27" t="s">
        <v>11172</v>
      </c>
      <c r="AU27">
        <v>19</v>
      </c>
      <c r="AW27" t="s">
        <v>11187</v>
      </c>
      <c r="AY27" t="s">
        <v>11213</v>
      </c>
      <c r="BA27" t="s">
        <v>11222</v>
      </c>
      <c r="BE27" t="s">
        <v>11689</v>
      </c>
      <c r="BF27" t="s">
        <v>14364</v>
      </c>
      <c r="BM27" t="s">
        <v>15650</v>
      </c>
    </row>
    <row r="28" spans="1:65">
      <c r="A28" s="1">
        <f>HYPERLINK("https://lsnyc.legalserver.org/matter/dynamic-profile/view/1901021","19-1901021")</f>
        <v>0</v>
      </c>
      <c r="B28" t="s">
        <v>70</v>
      </c>
      <c r="C28" t="s">
        <v>245</v>
      </c>
      <c r="D28" t="s">
        <v>268</v>
      </c>
      <c r="F28" t="s">
        <v>1106</v>
      </c>
      <c r="G28" t="s">
        <v>2898</v>
      </c>
      <c r="H28" t="s">
        <v>4776</v>
      </c>
      <c r="I28">
        <v>801</v>
      </c>
      <c r="J28" t="s">
        <v>7169</v>
      </c>
      <c r="K28">
        <v>10029</v>
      </c>
      <c r="N28" t="s">
        <v>7240</v>
      </c>
      <c r="O28" t="s">
        <v>7275</v>
      </c>
      <c r="P28">
        <v>1</v>
      </c>
      <c r="Q28">
        <v>0</v>
      </c>
      <c r="R28">
        <v>340.27</v>
      </c>
      <c r="U28">
        <v>42500</v>
      </c>
      <c r="W28">
        <v>8.5</v>
      </c>
      <c r="X28" t="s">
        <v>546</v>
      </c>
      <c r="Y28" t="s">
        <v>10859</v>
      </c>
      <c r="AA28" t="s">
        <v>10974</v>
      </c>
      <c r="AB28" t="s">
        <v>268</v>
      </c>
      <c r="AD28" t="s">
        <v>11092</v>
      </c>
      <c r="AF28" t="s">
        <v>11120</v>
      </c>
      <c r="AH28" t="s">
        <v>10975</v>
      </c>
      <c r="AJ28" t="s">
        <v>11132</v>
      </c>
      <c r="AK28" t="s">
        <v>7225</v>
      </c>
      <c r="AM28">
        <v>987</v>
      </c>
      <c r="AO28">
        <v>108</v>
      </c>
      <c r="AQ28" t="s">
        <v>11161</v>
      </c>
      <c r="AS28" t="s">
        <v>11174</v>
      </c>
      <c r="AU28">
        <v>20</v>
      </c>
      <c r="AW28" t="s">
        <v>11187</v>
      </c>
      <c r="AY28" t="s">
        <v>11213</v>
      </c>
      <c r="BA28" t="s">
        <v>11222</v>
      </c>
      <c r="BE28" t="s">
        <v>11690</v>
      </c>
      <c r="BF28" t="s">
        <v>14364</v>
      </c>
      <c r="BM28" t="s">
        <v>15650</v>
      </c>
    </row>
    <row r="29" spans="1:65">
      <c r="A29" s="1">
        <f>HYPERLINK("https://lsnyc.legalserver.org/matter/dynamic-profile/view/1896914","19-1896914")</f>
        <v>0</v>
      </c>
      <c r="B29" t="s">
        <v>70</v>
      </c>
      <c r="C29" t="s">
        <v>245</v>
      </c>
      <c r="D29" t="s">
        <v>274</v>
      </c>
      <c r="F29" t="s">
        <v>1107</v>
      </c>
      <c r="G29" t="s">
        <v>1149</v>
      </c>
      <c r="H29" t="s">
        <v>4777</v>
      </c>
      <c r="I29" t="s">
        <v>6412</v>
      </c>
      <c r="J29" t="s">
        <v>7169</v>
      </c>
      <c r="K29">
        <v>10029</v>
      </c>
      <c r="N29" t="s">
        <v>7240</v>
      </c>
      <c r="O29" t="s">
        <v>7276</v>
      </c>
      <c r="P29">
        <v>1</v>
      </c>
      <c r="Q29">
        <v>0</v>
      </c>
      <c r="R29">
        <v>228.15</v>
      </c>
      <c r="U29">
        <v>28496</v>
      </c>
      <c r="W29">
        <v>6</v>
      </c>
      <c r="X29" t="s">
        <v>659</v>
      </c>
      <c r="Y29" t="s">
        <v>10859</v>
      </c>
      <c r="AA29" t="s">
        <v>10974</v>
      </c>
      <c r="AB29" t="s">
        <v>274</v>
      </c>
      <c r="AD29" t="s">
        <v>11092</v>
      </c>
      <c r="AF29" t="s">
        <v>11120</v>
      </c>
      <c r="AH29" t="s">
        <v>10975</v>
      </c>
      <c r="AJ29" t="s">
        <v>11132</v>
      </c>
      <c r="AK29" t="s">
        <v>7225</v>
      </c>
      <c r="AM29">
        <v>650</v>
      </c>
      <c r="AO29">
        <v>33</v>
      </c>
      <c r="AQ29" t="s">
        <v>11159</v>
      </c>
      <c r="AS29" t="s">
        <v>11173</v>
      </c>
      <c r="AU29">
        <v>31</v>
      </c>
      <c r="AW29" t="s">
        <v>11187</v>
      </c>
      <c r="AY29" t="s">
        <v>11213</v>
      </c>
      <c r="BA29" t="s">
        <v>11222</v>
      </c>
      <c r="BE29" t="s">
        <v>11691</v>
      </c>
      <c r="BF29" t="s">
        <v>14364</v>
      </c>
      <c r="BM29" t="s">
        <v>15650</v>
      </c>
    </row>
    <row r="30" spans="1:65">
      <c r="A30" s="1">
        <f>HYPERLINK("https://lsnyc.legalserver.org/matter/dynamic-profile/view/1900479","19-1900479")</f>
        <v>0</v>
      </c>
      <c r="B30" t="s">
        <v>70</v>
      </c>
      <c r="C30" t="s">
        <v>245</v>
      </c>
      <c r="D30" t="s">
        <v>275</v>
      </c>
      <c r="F30" t="s">
        <v>1108</v>
      </c>
      <c r="G30" t="s">
        <v>2899</v>
      </c>
      <c r="H30" t="s">
        <v>4778</v>
      </c>
      <c r="I30" t="s">
        <v>6405</v>
      </c>
      <c r="J30" t="s">
        <v>7169</v>
      </c>
      <c r="K30">
        <v>10029</v>
      </c>
      <c r="N30" t="s">
        <v>7240</v>
      </c>
      <c r="O30" t="s">
        <v>7277</v>
      </c>
      <c r="P30">
        <v>1</v>
      </c>
      <c r="Q30">
        <v>2</v>
      </c>
      <c r="R30">
        <v>124.89</v>
      </c>
      <c r="U30">
        <v>26640</v>
      </c>
      <c r="W30">
        <v>8.25</v>
      </c>
      <c r="X30" t="s">
        <v>276</v>
      </c>
      <c r="Y30" t="s">
        <v>10859</v>
      </c>
      <c r="AA30" t="s">
        <v>10974</v>
      </c>
      <c r="AB30" t="s">
        <v>364</v>
      </c>
      <c r="AD30" t="s">
        <v>11092</v>
      </c>
      <c r="AF30" t="s">
        <v>11120</v>
      </c>
      <c r="AH30" t="s">
        <v>10975</v>
      </c>
      <c r="AI30" t="s">
        <v>11126</v>
      </c>
      <c r="AK30" t="s">
        <v>7225</v>
      </c>
      <c r="AM30">
        <v>1138</v>
      </c>
      <c r="AO30">
        <v>10</v>
      </c>
      <c r="AQ30" t="s">
        <v>11157</v>
      </c>
      <c r="AS30" t="s">
        <v>11173</v>
      </c>
      <c r="AU30">
        <v>15</v>
      </c>
      <c r="AW30" t="s">
        <v>11187</v>
      </c>
      <c r="AY30" t="s">
        <v>11213</v>
      </c>
      <c r="BA30" t="s">
        <v>11222</v>
      </c>
      <c r="BE30" t="s">
        <v>11692</v>
      </c>
      <c r="BF30" t="s">
        <v>14364</v>
      </c>
      <c r="BM30" t="s">
        <v>15650</v>
      </c>
    </row>
    <row r="31" spans="1:65">
      <c r="A31" s="1">
        <f>HYPERLINK("https://lsnyc.legalserver.org/matter/dynamic-profile/view/1913318","19-1913318")</f>
        <v>0</v>
      </c>
      <c r="B31" t="s">
        <v>70</v>
      </c>
      <c r="C31" t="s">
        <v>245</v>
      </c>
      <c r="D31" t="s">
        <v>273</v>
      </c>
      <c r="F31" t="s">
        <v>1109</v>
      </c>
      <c r="G31" t="s">
        <v>2308</v>
      </c>
      <c r="H31" t="s">
        <v>4779</v>
      </c>
      <c r="I31" t="s">
        <v>6413</v>
      </c>
      <c r="J31" t="s">
        <v>7169</v>
      </c>
      <c r="K31">
        <v>10029</v>
      </c>
      <c r="N31" t="s">
        <v>7240</v>
      </c>
      <c r="O31" t="s">
        <v>7278</v>
      </c>
      <c r="P31">
        <v>2</v>
      </c>
      <c r="Q31">
        <v>2</v>
      </c>
      <c r="R31">
        <v>145.63</v>
      </c>
      <c r="U31">
        <v>37500</v>
      </c>
      <c r="W31">
        <v>0.25</v>
      </c>
      <c r="X31" t="s">
        <v>614</v>
      </c>
      <c r="Y31" t="s">
        <v>10859</v>
      </c>
      <c r="AA31" t="s">
        <v>10974</v>
      </c>
      <c r="AB31" t="s">
        <v>265</v>
      </c>
      <c r="AD31" t="s">
        <v>11092</v>
      </c>
      <c r="AF31" t="s">
        <v>11120</v>
      </c>
      <c r="AH31" t="s">
        <v>10975</v>
      </c>
      <c r="AJ31" t="s">
        <v>11129</v>
      </c>
      <c r="AK31" t="s">
        <v>7225</v>
      </c>
      <c r="AM31">
        <v>986</v>
      </c>
      <c r="AO31">
        <v>24</v>
      </c>
      <c r="AQ31" t="s">
        <v>11162</v>
      </c>
      <c r="AS31" t="s">
        <v>11173</v>
      </c>
      <c r="AU31">
        <v>1</v>
      </c>
      <c r="AW31" t="s">
        <v>11189</v>
      </c>
      <c r="AY31" t="s">
        <v>11213</v>
      </c>
      <c r="BA31" t="s">
        <v>11222</v>
      </c>
      <c r="BE31" t="s">
        <v>11693</v>
      </c>
      <c r="BF31" t="s">
        <v>14364</v>
      </c>
      <c r="BM31" t="s">
        <v>15650</v>
      </c>
    </row>
    <row r="32" spans="1:65">
      <c r="A32" s="1">
        <f>HYPERLINK("https://lsnyc.legalserver.org/matter/dynamic-profile/view/1902748","19-1902748")</f>
        <v>0</v>
      </c>
      <c r="B32" t="s">
        <v>70</v>
      </c>
      <c r="C32" t="s">
        <v>245</v>
      </c>
      <c r="D32" t="s">
        <v>276</v>
      </c>
      <c r="F32" t="s">
        <v>1110</v>
      </c>
      <c r="G32" t="s">
        <v>2900</v>
      </c>
      <c r="H32" t="s">
        <v>4780</v>
      </c>
      <c r="I32" t="s">
        <v>6414</v>
      </c>
      <c r="J32" t="s">
        <v>7169</v>
      </c>
      <c r="K32">
        <v>10035</v>
      </c>
      <c r="N32" t="s">
        <v>7240</v>
      </c>
      <c r="O32" t="s">
        <v>7279</v>
      </c>
      <c r="P32">
        <v>1</v>
      </c>
      <c r="Q32">
        <v>3</v>
      </c>
      <c r="R32">
        <v>141.36</v>
      </c>
      <c r="U32">
        <v>36400</v>
      </c>
      <c r="W32">
        <v>30</v>
      </c>
      <c r="X32" t="s">
        <v>976</v>
      </c>
      <c r="Y32" t="s">
        <v>10859</v>
      </c>
      <c r="AA32" t="s">
        <v>10974</v>
      </c>
      <c r="AB32" t="s">
        <v>276</v>
      </c>
      <c r="AD32" t="s">
        <v>11092</v>
      </c>
      <c r="AF32" t="s">
        <v>11120</v>
      </c>
      <c r="AH32" t="s">
        <v>10975</v>
      </c>
      <c r="AJ32" t="s">
        <v>11132</v>
      </c>
      <c r="AK32" t="s">
        <v>7225</v>
      </c>
      <c r="AM32">
        <v>847</v>
      </c>
      <c r="AO32">
        <v>60</v>
      </c>
      <c r="AQ32" t="s">
        <v>11157</v>
      </c>
      <c r="AS32" t="s">
        <v>11174</v>
      </c>
      <c r="AU32">
        <v>14</v>
      </c>
      <c r="AW32" t="s">
        <v>11187</v>
      </c>
      <c r="AY32" t="s">
        <v>11213</v>
      </c>
      <c r="BA32" t="s">
        <v>11222</v>
      </c>
      <c r="BE32" t="s">
        <v>11694</v>
      </c>
      <c r="BF32" t="s">
        <v>14364</v>
      </c>
      <c r="BM32" t="s">
        <v>15650</v>
      </c>
    </row>
    <row r="33" spans="1:67">
      <c r="A33" s="1">
        <f>HYPERLINK("https://lsnyc.legalserver.org/matter/dynamic-profile/view/0823967","17-0823967")</f>
        <v>0</v>
      </c>
      <c r="B33" t="s">
        <v>71</v>
      </c>
      <c r="C33" t="s">
        <v>246</v>
      </c>
      <c r="D33" t="s">
        <v>277</v>
      </c>
      <c r="F33" t="s">
        <v>1111</v>
      </c>
      <c r="G33" t="s">
        <v>1491</v>
      </c>
      <c r="H33" t="s">
        <v>4781</v>
      </c>
      <c r="J33" t="s">
        <v>7170</v>
      </c>
      <c r="K33">
        <v>10467</v>
      </c>
      <c r="N33" t="s">
        <v>7237</v>
      </c>
      <c r="O33" t="s">
        <v>7280</v>
      </c>
      <c r="P33">
        <v>2</v>
      </c>
      <c r="Q33">
        <v>2</v>
      </c>
      <c r="R33">
        <v>40.25</v>
      </c>
      <c r="S33" t="s">
        <v>283</v>
      </c>
      <c r="U33">
        <v>9780</v>
      </c>
      <c r="W33">
        <v>0</v>
      </c>
      <c r="Y33" t="s">
        <v>10864</v>
      </c>
      <c r="AA33" t="s">
        <v>10974</v>
      </c>
      <c r="AB33" t="s">
        <v>277</v>
      </c>
      <c r="AD33" t="s">
        <v>11093</v>
      </c>
      <c r="AF33" t="s">
        <v>11118</v>
      </c>
      <c r="AH33" t="s">
        <v>10974</v>
      </c>
      <c r="AJ33" t="s">
        <v>11130</v>
      </c>
      <c r="AK33" t="s">
        <v>7225</v>
      </c>
      <c r="AL33" t="s">
        <v>11150</v>
      </c>
      <c r="AM33">
        <v>0</v>
      </c>
      <c r="AO33">
        <v>30</v>
      </c>
      <c r="AQ33" t="s">
        <v>11157</v>
      </c>
      <c r="AR33" t="s">
        <v>11172</v>
      </c>
      <c r="AT33" t="s">
        <v>11184</v>
      </c>
      <c r="AU33">
        <v>0</v>
      </c>
      <c r="AW33" t="s">
        <v>11187</v>
      </c>
      <c r="AZ33" t="s">
        <v>11221</v>
      </c>
      <c r="BE33" t="s">
        <v>11695</v>
      </c>
      <c r="BF33" t="s">
        <v>14364</v>
      </c>
      <c r="BG33" t="s">
        <v>14371</v>
      </c>
      <c r="BM33" t="s">
        <v>15650</v>
      </c>
    </row>
    <row r="34" spans="1:67">
      <c r="A34" s="1">
        <f>HYPERLINK("https://lsnyc.legalserver.org/matter/dynamic-profile/view/0822230","16-0822230")</f>
        <v>0</v>
      </c>
      <c r="B34" t="s">
        <v>71</v>
      </c>
      <c r="C34" t="s">
        <v>246</v>
      </c>
      <c r="D34" t="s">
        <v>278</v>
      </c>
      <c r="F34" t="s">
        <v>1112</v>
      </c>
      <c r="G34" t="s">
        <v>2901</v>
      </c>
      <c r="H34" t="s">
        <v>4781</v>
      </c>
      <c r="I34" t="s">
        <v>6415</v>
      </c>
      <c r="J34" t="s">
        <v>7170</v>
      </c>
      <c r="K34">
        <v>10467</v>
      </c>
      <c r="N34" t="s">
        <v>7237</v>
      </c>
      <c r="O34" t="s">
        <v>7281</v>
      </c>
      <c r="P34">
        <v>1</v>
      </c>
      <c r="Q34">
        <v>1</v>
      </c>
      <c r="R34">
        <v>44.94</v>
      </c>
      <c r="S34" t="s">
        <v>283</v>
      </c>
      <c r="U34">
        <v>7200</v>
      </c>
      <c r="W34">
        <v>0</v>
      </c>
      <c r="Y34" t="s">
        <v>10864</v>
      </c>
      <c r="AA34" t="s">
        <v>10974</v>
      </c>
      <c r="AB34" t="s">
        <v>10978</v>
      </c>
      <c r="AD34" t="s">
        <v>11093</v>
      </c>
      <c r="AF34" t="s">
        <v>11118</v>
      </c>
      <c r="AH34" t="s">
        <v>10974</v>
      </c>
      <c r="AJ34" t="s">
        <v>11130</v>
      </c>
      <c r="AK34" t="s">
        <v>7225</v>
      </c>
      <c r="AM34">
        <v>1530.48</v>
      </c>
      <c r="AO34">
        <v>30</v>
      </c>
      <c r="AQ34" t="s">
        <v>11163</v>
      </c>
      <c r="AS34" t="s">
        <v>11174</v>
      </c>
      <c r="AU34">
        <v>4</v>
      </c>
      <c r="AW34" t="s">
        <v>11187</v>
      </c>
      <c r="AZ34" t="s">
        <v>11221</v>
      </c>
      <c r="BD34" t="s">
        <v>11667</v>
      </c>
      <c r="BF34" t="s">
        <v>14364</v>
      </c>
      <c r="BG34" t="s">
        <v>14371</v>
      </c>
      <c r="BM34" t="s">
        <v>15650</v>
      </c>
    </row>
    <row r="35" spans="1:67">
      <c r="A35" s="1">
        <f>HYPERLINK("https://lsnyc.legalserver.org/matter/dynamic-profile/view/1878127","18-1878127")</f>
        <v>0</v>
      </c>
      <c r="B35" t="s">
        <v>71</v>
      </c>
      <c r="C35" t="s">
        <v>246</v>
      </c>
      <c r="D35" t="s">
        <v>279</v>
      </c>
      <c r="F35" t="s">
        <v>1113</v>
      </c>
      <c r="G35" t="s">
        <v>2902</v>
      </c>
      <c r="J35" t="s">
        <v>7170</v>
      </c>
      <c r="K35">
        <v>10453</v>
      </c>
      <c r="N35" t="s">
        <v>7241</v>
      </c>
      <c r="O35" t="s">
        <v>7282</v>
      </c>
      <c r="P35">
        <v>2</v>
      </c>
      <c r="Q35">
        <v>0</v>
      </c>
      <c r="R35">
        <v>37.91</v>
      </c>
      <c r="U35">
        <v>6240</v>
      </c>
      <c r="W35">
        <v>2.1</v>
      </c>
      <c r="X35" t="s">
        <v>323</v>
      </c>
      <c r="Y35" t="s">
        <v>71</v>
      </c>
      <c r="AA35" t="s">
        <v>10974</v>
      </c>
      <c r="AB35" t="s">
        <v>323</v>
      </c>
      <c r="AD35" t="s">
        <v>11094</v>
      </c>
      <c r="AF35" t="s">
        <v>11120</v>
      </c>
      <c r="AH35" t="s">
        <v>10975</v>
      </c>
      <c r="AJ35" t="s">
        <v>11129</v>
      </c>
      <c r="AK35" t="s">
        <v>7225</v>
      </c>
      <c r="AM35">
        <v>1636.37</v>
      </c>
      <c r="AN35" t="s">
        <v>11151</v>
      </c>
      <c r="AO35" t="s">
        <v>11153</v>
      </c>
      <c r="AQ35" t="s">
        <v>11157</v>
      </c>
      <c r="AS35" t="s">
        <v>11174</v>
      </c>
      <c r="AU35">
        <v>1</v>
      </c>
      <c r="AW35" t="s">
        <v>11187</v>
      </c>
      <c r="AZ35" t="s">
        <v>11221</v>
      </c>
      <c r="BE35" t="s">
        <v>11696</v>
      </c>
      <c r="BF35" t="s">
        <v>14364</v>
      </c>
      <c r="BM35" t="s">
        <v>15650</v>
      </c>
    </row>
    <row r="36" spans="1:67">
      <c r="A36" s="1">
        <f>HYPERLINK("https://lsnyc.legalserver.org/matter/dynamic-profile/view/0823988","17-0823988")</f>
        <v>0</v>
      </c>
      <c r="B36" t="s">
        <v>71</v>
      </c>
      <c r="C36" t="s">
        <v>246</v>
      </c>
      <c r="D36" t="s">
        <v>277</v>
      </c>
      <c r="F36" t="s">
        <v>1114</v>
      </c>
      <c r="G36" t="s">
        <v>2903</v>
      </c>
      <c r="H36" t="s">
        <v>4781</v>
      </c>
      <c r="I36" t="s">
        <v>6412</v>
      </c>
      <c r="J36" t="s">
        <v>7170</v>
      </c>
      <c r="K36">
        <v>10467</v>
      </c>
      <c r="N36" t="s">
        <v>7237</v>
      </c>
      <c r="O36" t="s">
        <v>7283</v>
      </c>
      <c r="P36">
        <v>2</v>
      </c>
      <c r="Q36">
        <v>0</v>
      </c>
      <c r="R36">
        <v>82.40000000000001</v>
      </c>
      <c r="S36" t="s">
        <v>283</v>
      </c>
      <c r="U36">
        <v>13200</v>
      </c>
      <c r="W36">
        <v>0</v>
      </c>
      <c r="Y36" t="s">
        <v>10864</v>
      </c>
      <c r="AA36" t="s">
        <v>10974</v>
      </c>
      <c r="AB36" t="s">
        <v>277</v>
      </c>
      <c r="AD36" t="s">
        <v>11093</v>
      </c>
      <c r="AF36" t="s">
        <v>11118</v>
      </c>
      <c r="AH36" t="s">
        <v>10974</v>
      </c>
      <c r="AJ36" t="s">
        <v>11130</v>
      </c>
      <c r="AK36" t="s">
        <v>7225</v>
      </c>
      <c r="AM36">
        <v>1432</v>
      </c>
      <c r="AO36">
        <v>30</v>
      </c>
      <c r="AQ36" t="s">
        <v>11163</v>
      </c>
      <c r="AR36" t="s">
        <v>11172</v>
      </c>
      <c r="AU36">
        <v>3</v>
      </c>
      <c r="AW36" t="s">
        <v>11187</v>
      </c>
      <c r="AZ36" t="s">
        <v>11221</v>
      </c>
      <c r="BE36" t="s">
        <v>11697</v>
      </c>
      <c r="BF36" t="s">
        <v>14364</v>
      </c>
      <c r="BG36" t="s">
        <v>14371</v>
      </c>
      <c r="BM36" t="s">
        <v>15650</v>
      </c>
    </row>
    <row r="37" spans="1:67">
      <c r="A37" s="1">
        <f>HYPERLINK("https://lsnyc.legalserver.org/matter/dynamic-profile/view/1901850","19-1901850")</f>
        <v>0</v>
      </c>
      <c r="B37" t="s">
        <v>71</v>
      </c>
      <c r="C37" t="s">
        <v>246</v>
      </c>
      <c r="D37" t="s">
        <v>280</v>
      </c>
      <c r="F37" t="s">
        <v>1115</v>
      </c>
      <c r="G37" t="s">
        <v>2904</v>
      </c>
      <c r="H37" t="s">
        <v>4782</v>
      </c>
      <c r="I37" t="s">
        <v>6416</v>
      </c>
      <c r="J37" t="s">
        <v>7170</v>
      </c>
      <c r="K37">
        <v>10453</v>
      </c>
      <c r="N37" t="s">
        <v>7237</v>
      </c>
      <c r="O37" t="s">
        <v>491</v>
      </c>
      <c r="P37">
        <v>1</v>
      </c>
      <c r="Q37">
        <v>2</v>
      </c>
      <c r="R37">
        <v>21.88</v>
      </c>
      <c r="U37">
        <v>4668</v>
      </c>
      <c r="V37" t="s">
        <v>10281</v>
      </c>
      <c r="W37">
        <v>4.3</v>
      </c>
      <c r="X37" t="s">
        <v>866</v>
      </c>
      <c r="Y37" t="s">
        <v>71</v>
      </c>
      <c r="AA37" t="s">
        <v>10974</v>
      </c>
      <c r="AB37" t="s">
        <v>10979</v>
      </c>
      <c r="AD37" t="s">
        <v>11082</v>
      </c>
      <c r="AF37" t="s">
        <v>11118</v>
      </c>
      <c r="AH37" t="s">
        <v>10975</v>
      </c>
      <c r="AJ37" t="s">
        <v>11129</v>
      </c>
      <c r="AK37" t="s">
        <v>7225</v>
      </c>
      <c r="AM37">
        <v>1152.86</v>
      </c>
      <c r="AN37" t="s">
        <v>11151</v>
      </c>
      <c r="AO37" t="s">
        <v>11153</v>
      </c>
      <c r="AQ37" t="s">
        <v>11157</v>
      </c>
      <c r="AS37" t="s">
        <v>11176</v>
      </c>
      <c r="AU37">
        <v>6</v>
      </c>
      <c r="AW37" t="s">
        <v>11189</v>
      </c>
      <c r="AY37" t="s">
        <v>11214</v>
      </c>
      <c r="BA37" t="s">
        <v>11222</v>
      </c>
      <c r="BB37" t="s">
        <v>11224</v>
      </c>
      <c r="BC37" t="s">
        <v>11226</v>
      </c>
      <c r="BE37" t="s">
        <v>11698</v>
      </c>
      <c r="BG37" t="s">
        <v>14372</v>
      </c>
      <c r="BI37" t="s">
        <v>15606</v>
      </c>
      <c r="BK37" t="s">
        <v>15616</v>
      </c>
      <c r="BM37" t="s">
        <v>15650</v>
      </c>
      <c r="BN37" t="s">
        <v>15652</v>
      </c>
      <c r="BO37" t="s">
        <v>15654</v>
      </c>
    </row>
    <row r="38" spans="1:67">
      <c r="A38" s="1">
        <f>HYPERLINK("https://lsnyc.legalserver.org/matter/dynamic-profile/view/0822732","16-0822732")</f>
        <v>0</v>
      </c>
      <c r="B38" t="s">
        <v>71</v>
      </c>
      <c r="C38" t="s">
        <v>246</v>
      </c>
      <c r="D38" t="s">
        <v>281</v>
      </c>
      <c r="F38" t="s">
        <v>1116</v>
      </c>
      <c r="G38" t="s">
        <v>2905</v>
      </c>
      <c r="H38" t="s">
        <v>4781</v>
      </c>
      <c r="I38" t="s">
        <v>6417</v>
      </c>
      <c r="J38" t="s">
        <v>7170</v>
      </c>
      <c r="K38">
        <v>10467</v>
      </c>
      <c r="N38" t="s">
        <v>7237</v>
      </c>
      <c r="O38" t="s">
        <v>7284</v>
      </c>
      <c r="P38">
        <v>1</v>
      </c>
      <c r="Q38">
        <v>0</v>
      </c>
      <c r="R38">
        <v>85.15000000000001</v>
      </c>
      <c r="S38" t="s">
        <v>283</v>
      </c>
      <c r="U38">
        <v>10116</v>
      </c>
      <c r="W38">
        <v>0.5</v>
      </c>
      <c r="X38" t="s">
        <v>511</v>
      </c>
      <c r="Y38" t="s">
        <v>10864</v>
      </c>
      <c r="AA38" t="s">
        <v>10974</v>
      </c>
      <c r="AB38" t="s">
        <v>281</v>
      </c>
      <c r="AD38" t="s">
        <v>11093</v>
      </c>
      <c r="AF38" t="s">
        <v>11118</v>
      </c>
      <c r="AH38" t="s">
        <v>10974</v>
      </c>
      <c r="AJ38" t="s">
        <v>11134</v>
      </c>
      <c r="AK38" t="s">
        <v>7225</v>
      </c>
      <c r="AM38">
        <v>1705</v>
      </c>
      <c r="AO38">
        <v>30</v>
      </c>
      <c r="AQ38" t="s">
        <v>11163</v>
      </c>
      <c r="AS38" t="s">
        <v>11174</v>
      </c>
      <c r="AU38">
        <v>4</v>
      </c>
      <c r="AW38" t="s">
        <v>11187</v>
      </c>
      <c r="AZ38" t="s">
        <v>11221</v>
      </c>
      <c r="BD38" t="s">
        <v>11667</v>
      </c>
      <c r="BF38" t="s">
        <v>14364</v>
      </c>
      <c r="BG38" t="s">
        <v>14371</v>
      </c>
      <c r="BM38" t="s">
        <v>15650</v>
      </c>
    </row>
    <row r="39" spans="1:67">
      <c r="A39" s="1">
        <f>HYPERLINK("https://lsnyc.legalserver.org/matter/dynamic-profile/view/1847305","17-1847305")</f>
        <v>0</v>
      </c>
      <c r="B39" t="s">
        <v>71</v>
      </c>
      <c r="C39" t="s">
        <v>246</v>
      </c>
      <c r="D39" t="s">
        <v>282</v>
      </c>
      <c r="F39" t="s">
        <v>1117</v>
      </c>
      <c r="G39" t="s">
        <v>2906</v>
      </c>
      <c r="H39" t="s">
        <v>4781</v>
      </c>
      <c r="I39" t="s">
        <v>6418</v>
      </c>
      <c r="J39" t="s">
        <v>7170</v>
      </c>
      <c r="K39">
        <v>10467</v>
      </c>
      <c r="N39" t="s">
        <v>7237</v>
      </c>
      <c r="O39" t="s">
        <v>7285</v>
      </c>
      <c r="P39">
        <v>1</v>
      </c>
      <c r="Q39">
        <v>1</v>
      </c>
      <c r="R39">
        <v>253.08</v>
      </c>
      <c r="S39" t="s">
        <v>283</v>
      </c>
      <c r="U39">
        <v>41101</v>
      </c>
      <c r="W39">
        <v>1</v>
      </c>
      <c r="X39" t="s">
        <v>425</v>
      </c>
      <c r="Y39" t="s">
        <v>10865</v>
      </c>
      <c r="AA39" t="s">
        <v>10974</v>
      </c>
      <c r="AB39" t="s">
        <v>374</v>
      </c>
      <c r="AD39" t="s">
        <v>11093</v>
      </c>
      <c r="AF39" t="s">
        <v>11118</v>
      </c>
      <c r="AH39" t="s">
        <v>10974</v>
      </c>
      <c r="AJ39" t="s">
        <v>11130</v>
      </c>
      <c r="AK39" t="s">
        <v>7225</v>
      </c>
      <c r="AM39">
        <v>957</v>
      </c>
      <c r="AO39">
        <v>30</v>
      </c>
      <c r="AQ39" t="s">
        <v>11157</v>
      </c>
      <c r="AS39" t="s">
        <v>11173</v>
      </c>
      <c r="AU39">
        <v>5</v>
      </c>
      <c r="AW39" t="s">
        <v>11187</v>
      </c>
      <c r="AZ39" t="s">
        <v>11221</v>
      </c>
      <c r="BE39" t="s">
        <v>11699</v>
      </c>
      <c r="BF39" t="s">
        <v>14364</v>
      </c>
      <c r="BG39" t="s">
        <v>14371</v>
      </c>
      <c r="BM39" t="s">
        <v>15650</v>
      </c>
    </row>
    <row r="40" spans="1:67">
      <c r="A40" s="1">
        <f>HYPERLINK("https://lsnyc.legalserver.org/matter/dynamic-profile/view/0822235","16-0822235")</f>
        <v>0</v>
      </c>
      <c r="B40" t="s">
        <v>71</v>
      </c>
      <c r="C40" t="s">
        <v>246</v>
      </c>
      <c r="D40" t="s">
        <v>283</v>
      </c>
      <c r="F40" t="s">
        <v>1118</v>
      </c>
      <c r="G40" t="s">
        <v>2907</v>
      </c>
      <c r="H40" t="s">
        <v>4781</v>
      </c>
      <c r="I40" t="s">
        <v>6419</v>
      </c>
      <c r="J40" t="s">
        <v>7170</v>
      </c>
      <c r="K40">
        <v>10467</v>
      </c>
      <c r="N40" t="s">
        <v>7237</v>
      </c>
      <c r="O40" t="s">
        <v>7286</v>
      </c>
      <c r="P40">
        <v>1</v>
      </c>
      <c r="Q40">
        <v>4</v>
      </c>
      <c r="R40">
        <v>73.14</v>
      </c>
      <c r="S40" t="s">
        <v>283</v>
      </c>
      <c r="U40">
        <v>20800</v>
      </c>
      <c r="W40">
        <v>0.5</v>
      </c>
      <c r="X40" t="s">
        <v>504</v>
      </c>
      <c r="Y40" t="s">
        <v>10864</v>
      </c>
      <c r="AA40" t="s">
        <v>10974</v>
      </c>
      <c r="AB40" t="s">
        <v>283</v>
      </c>
      <c r="AD40" t="s">
        <v>11093</v>
      </c>
      <c r="AF40" t="s">
        <v>11118</v>
      </c>
      <c r="AH40" t="s">
        <v>10974</v>
      </c>
      <c r="AJ40" t="s">
        <v>11130</v>
      </c>
      <c r="AK40" t="s">
        <v>7225</v>
      </c>
      <c r="AM40">
        <v>1550</v>
      </c>
      <c r="AO40">
        <v>30</v>
      </c>
      <c r="AQ40" t="s">
        <v>11163</v>
      </c>
      <c r="AS40" t="s">
        <v>11174</v>
      </c>
      <c r="AU40">
        <v>3</v>
      </c>
      <c r="AW40" t="s">
        <v>11187</v>
      </c>
      <c r="AZ40" t="s">
        <v>11221</v>
      </c>
      <c r="BE40" t="s">
        <v>11700</v>
      </c>
      <c r="BG40" t="s">
        <v>14373</v>
      </c>
      <c r="BM40" t="s">
        <v>15650</v>
      </c>
    </row>
    <row r="41" spans="1:67">
      <c r="A41" s="1">
        <f>HYPERLINK("https://lsnyc.legalserver.org/matter/dynamic-profile/view/1877294","18-1877294")</f>
        <v>0</v>
      </c>
      <c r="B41" t="s">
        <v>71</v>
      </c>
      <c r="C41" t="s">
        <v>246</v>
      </c>
      <c r="D41" t="s">
        <v>284</v>
      </c>
      <c r="F41" t="s">
        <v>1119</v>
      </c>
      <c r="G41" t="s">
        <v>2908</v>
      </c>
      <c r="H41" t="s">
        <v>4783</v>
      </c>
      <c r="I41" t="s">
        <v>6420</v>
      </c>
      <c r="J41" t="s">
        <v>7170</v>
      </c>
      <c r="K41">
        <v>10452</v>
      </c>
      <c r="N41" t="s">
        <v>7237</v>
      </c>
      <c r="O41" t="s">
        <v>7287</v>
      </c>
      <c r="P41">
        <v>4</v>
      </c>
      <c r="Q41">
        <v>1</v>
      </c>
      <c r="R41">
        <v>205.3</v>
      </c>
      <c r="S41" t="s">
        <v>465</v>
      </c>
      <c r="T41" t="s">
        <v>10276</v>
      </c>
      <c r="U41">
        <v>60400</v>
      </c>
      <c r="V41" t="s">
        <v>10282</v>
      </c>
      <c r="W41">
        <v>43.7</v>
      </c>
      <c r="X41" t="s">
        <v>591</v>
      </c>
      <c r="Y41" t="s">
        <v>10866</v>
      </c>
      <c r="AA41" t="s">
        <v>10974</v>
      </c>
      <c r="AB41" t="s">
        <v>284</v>
      </c>
      <c r="AD41" t="s">
        <v>11082</v>
      </c>
      <c r="AF41" t="s">
        <v>11118</v>
      </c>
      <c r="AH41" t="s">
        <v>10975</v>
      </c>
      <c r="AJ41" t="s">
        <v>11135</v>
      </c>
      <c r="AK41" t="s">
        <v>7225</v>
      </c>
      <c r="AM41">
        <v>1405.42</v>
      </c>
      <c r="AO41">
        <v>129</v>
      </c>
      <c r="AQ41" t="s">
        <v>11157</v>
      </c>
      <c r="AS41" t="s">
        <v>11173</v>
      </c>
      <c r="AU41">
        <v>7</v>
      </c>
      <c r="AW41" t="s">
        <v>11187</v>
      </c>
      <c r="AY41" t="s">
        <v>11214</v>
      </c>
      <c r="AZ41" t="s">
        <v>11221</v>
      </c>
      <c r="BE41" t="s">
        <v>11701</v>
      </c>
      <c r="BG41" t="s">
        <v>14374</v>
      </c>
      <c r="BI41" t="s">
        <v>15607</v>
      </c>
      <c r="BK41" t="s">
        <v>15617</v>
      </c>
      <c r="BM41" t="s">
        <v>15650</v>
      </c>
      <c r="BN41" t="s">
        <v>15652</v>
      </c>
      <c r="BO41" t="s">
        <v>15655</v>
      </c>
    </row>
    <row r="42" spans="1:67">
      <c r="A42" s="1">
        <f>HYPERLINK("https://lsnyc.legalserver.org/matter/dynamic-profile/view/0822169","16-0822169")</f>
        <v>0</v>
      </c>
      <c r="B42" t="s">
        <v>71</v>
      </c>
      <c r="C42" t="s">
        <v>246</v>
      </c>
      <c r="D42" t="s">
        <v>283</v>
      </c>
      <c r="F42" t="s">
        <v>1120</v>
      </c>
      <c r="G42" t="s">
        <v>2909</v>
      </c>
      <c r="H42" t="s">
        <v>4781</v>
      </c>
      <c r="I42" t="s">
        <v>6421</v>
      </c>
      <c r="J42" t="s">
        <v>7170</v>
      </c>
      <c r="K42">
        <v>10467</v>
      </c>
      <c r="N42" t="s">
        <v>7237</v>
      </c>
      <c r="O42" t="s">
        <v>7288</v>
      </c>
      <c r="P42">
        <v>1</v>
      </c>
      <c r="Q42">
        <v>0</v>
      </c>
      <c r="R42">
        <v>80.81</v>
      </c>
      <c r="S42" t="s">
        <v>283</v>
      </c>
      <c r="U42">
        <v>9600</v>
      </c>
      <c r="W42">
        <v>0.1</v>
      </c>
      <c r="X42" t="s">
        <v>676</v>
      </c>
      <c r="Y42" t="s">
        <v>10864</v>
      </c>
      <c r="AA42" t="s">
        <v>10974</v>
      </c>
      <c r="AB42" t="s">
        <v>283</v>
      </c>
      <c r="AD42" t="s">
        <v>11093</v>
      </c>
      <c r="AF42" t="s">
        <v>11118</v>
      </c>
      <c r="AH42" t="s">
        <v>10974</v>
      </c>
      <c r="AJ42" t="s">
        <v>11130</v>
      </c>
      <c r="AK42" t="s">
        <v>7225</v>
      </c>
      <c r="AM42">
        <v>1300</v>
      </c>
      <c r="AO42">
        <v>30</v>
      </c>
      <c r="AQ42" t="s">
        <v>11163</v>
      </c>
      <c r="AS42" t="s">
        <v>11174</v>
      </c>
      <c r="AU42">
        <v>5</v>
      </c>
      <c r="AW42" t="s">
        <v>11187</v>
      </c>
      <c r="AZ42" t="s">
        <v>11221</v>
      </c>
      <c r="BE42" t="s">
        <v>11702</v>
      </c>
      <c r="BF42" t="s">
        <v>14364</v>
      </c>
      <c r="BG42" t="s">
        <v>14371</v>
      </c>
      <c r="BM42" t="s">
        <v>15650</v>
      </c>
    </row>
    <row r="43" spans="1:67">
      <c r="A43" s="1">
        <f>HYPERLINK("https://lsnyc.legalserver.org/matter/dynamic-profile/view/1862376","18-1862376")</f>
        <v>0</v>
      </c>
      <c r="B43" t="s">
        <v>71</v>
      </c>
      <c r="C43" t="s">
        <v>246</v>
      </c>
      <c r="D43" t="s">
        <v>285</v>
      </c>
      <c r="F43" t="s">
        <v>1121</v>
      </c>
      <c r="G43" t="s">
        <v>2910</v>
      </c>
      <c r="H43" t="s">
        <v>4784</v>
      </c>
      <c r="I43" t="s">
        <v>6422</v>
      </c>
      <c r="J43" t="s">
        <v>7170</v>
      </c>
      <c r="K43">
        <v>10457</v>
      </c>
      <c r="N43" t="s">
        <v>7241</v>
      </c>
      <c r="O43" t="s">
        <v>7289</v>
      </c>
      <c r="P43">
        <v>1</v>
      </c>
      <c r="Q43">
        <v>1</v>
      </c>
      <c r="R43">
        <v>16.99</v>
      </c>
      <c r="U43">
        <v>2796</v>
      </c>
      <c r="W43">
        <v>1</v>
      </c>
      <c r="X43" t="s">
        <v>285</v>
      </c>
      <c r="Y43" t="s">
        <v>10867</v>
      </c>
      <c r="AA43" t="s">
        <v>10974</v>
      </c>
      <c r="AB43" t="s">
        <v>285</v>
      </c>
      <c r="AD43" t="s">
        <v>11095</v>
      </c>
      <c r="AF43" t="s">
        <v>11120</v>
      </c>
      <c r="AH43" t="s">
        <v>10975</v>
      </c>
      <c r="AJ43" t="s">
        <v>11104</v>
      </c>
      <c r="AK43" t="s">
        <v>7225</v>
      </c>
      <c r="AM43">
        <v>1521</v>
      </c>
      <c r="AO43">
        <v>32</v>
      </c>
      <c r="AQ43" t="s">
        <v>11157</v>
      </c>
      <c r="AS43" t="s">
        <v>11174</v>
      </c>
      <c r="AU43">
        <v>3</v>
      </c>
      <c r="AW43" t="s">
        <v>11187</v>
      </c>
      <c r="AZ43" t="s">
        <v>11221</v>
      </c>
      <c r="BE43" t="s">
        <v>11703</v>
      </c>
      <c r="BF43" t="s">
        <v>14364</v>
      </c>
      <c r="BM43" t="s">
        <v>15650</v>
      </c>
    </row>
    <row r="44" spans="1:67">
      <c r="A44" s="1">
        <f>HYPERLINK("https://lsnyc.legalserver.org/matter/dynamic-profile/view/0800192","16-0800192")</f>
        <v>0</v>
      </c>
      <c r="B44" t="s">
        <v>71</v>
      </c>
      <c r="C44" t="s">
        <v>246</v>
      </c>
      <c r="D44" t="s">
        <v>286</v>
      </c>
      <c r="F44" t="s">
        <v>1122</v>
      </c>
      <c r="G44" t="s">
        <v>2911</v>
      </c>
      <c r="H44" t="s">
        <v>4785</v>
      </c>
      <c r="I44" t="s">
        <v>6423</v>
      </c>
      <c r="J44" t="s">
        <v>7170</v>
      </c>
      <c r="K44">
        <v>10453</v>
      </c>
      <c r="N44" t="s">
        <v>7237</v>
      </c>
      <c r="O44" t="s">
        <v>7290</v>
      </c>
      <c r="P44">
        <v>2</v>
      </c>
      <c r="Q44">
        <v>1</v>
      </c>
      <c r="R44">
        <v>54.17</v>
      </c>
      <c r="U44">
        <v>10920</v>
      </c>
      <c r="W44">
        <v>37.75</v>
      </c>
      <c r="X44" t="s">
        <v>1067</v>
      </c>
      <c r="Y44" t="s">
        <v>10868</v>
      </c>
      <c r="AA44" t="s">
        <v>10974</v>
      </c>
      <c r="AB44" t="s">
        <v>286</v>
      </c>
      <c r="AD44" t="s">
        <v>11083</v>
      </c>
      <c r="AF44" t="s">
        <v>11118</v>
      </c>
      <c r="AG44" t="s">
        <v>11124</v>
      </c>
      <c r="AJ44" t="s">
        <v>11136</v>
      </c>
      <c r="AK44" t="s">
        <v>7225</v>
      </c>
      <c r="AM44">
        <v>1541.43</v>
      </c>
      <c r="AN44" t="s">
        <v>11151</v>
      </c>
      <c r="AO44" t="s">
        <v>11153</v>
      </c>
      <c r="AQ44" t="s">
        <v>11157</v>
      </c>
      <c r="AS44" t="s">
        <v>11173</v>
      </c>
      <c r="AU44">
        <v>2</v>
      </c>
      <c r="AW44" t="s">
        <v>11189</v>
      </c>
      <c r="AZ44" t="s">
        <v>11221</v>
      </c>
      <c r="BE44" t="s">
        <v>11704</v>
      </c>
      <c r="BG44" t="s">
        <v>14375</v>
      </c>
      <c r="BI44" t="s">
        <v>15608</v>
      </c>
      <c r="BK44" t="s">
        <v>15618</v>
      </c>
      <c r="BM44" t="s">
        <v>15650</v>
      </c>
      <c r="BN44" t="s">
        <v>15652</v>
      </c>
      <c r="BO44" t="s">
        <v>15656</v>
      </c>
    </row>
    <row r="45" spans="1:67">
      <c r="A45" s="1">
        <f>HYPERLINK("https://lsnyc.legalserver.org/matter/dynamic-profile/view/1847334","17-1847334")</f>
        <v>0</v>
      </c>
      <c r="B45" t="s">
        <v>71</v>
      </c>
      <c r="C45" t="s">
        <v>246</v>
      </c>
      <c r="D45" t="s">
        <v>282</v>
      </c>
      <c r="F45" t="s">
        <v>1123</v>
      </c>
      <c r="G45" t="s">
        <v>2912</v>
      </c>
      <c r="H45" t="s">
        <v>4781</v>
      </c>
      <c r="I45" t="s">
        <v>6424</v>
      </c>
      <c r="J45" t="s">
        <v>7170</v>
      </c>
      <c r="K45">
        <v>10467</v>
      </c>
      <c r="N45" t="s">
        <v>7237</v>
      </c>
      <c r="O45" t="s">
        <v>7291</v>
      </c>
      <c r="P45">
        <v>2</v>
      </c>
      <c r="Q45">
        <v>0</v>
      </c>
      <c r="R45">
        <v>350.99</v>
      </c>
      <c r="S45" t="s">
        <v>283</v>
      </c>
      <c r="U45">
        <v>57000</v>
      </c>
      <c r="W45">
        <v>0.8</v>
      </c>
      <c r="X45" t="s">
        <v>282</v>
      </c>
      <c r="Y45" t="s">
        <v>10865</v>
      </c>
      <c r="AA45" t="s">
        <v>10974</v>
      </c>
      <c r="AB45" t="s">
        <v>374</v>
      </c>
      <c r="AD45" t="s">
        <v>11093</v>
      </c>
      <c r="AF45" t="s">
        <v>11118</v>
      </c>
      <c r="AH45" t="s">
        <v>10974</v>
      </c>
      <c r="AJ45" t="s">
        <v>11130</v>
      </c>
      <c r="AK45" t="s">
        <v>7225</v>
      </c>
      <c r="AM45">
        <v>1017</v>
      </c>
      <c r="AO45">
        <v>30</v>
      </c>
      <c r="AQ45" t="s">
        <v>11157</v>
      </c>
      <c r="AS45" t="s">
        <v>11174</v>
      </c>
      <c r="AU45">
        <v>5</v>
      </c>
      <c r="AV45" t="s">
        <v>11186</v>
      </c>
      <c r="AZ45" t="s">
        <v>11221</v>
      </c>
      <c r="BE45" t="s">
        <v>11705</v>
      </c>
      <c r="BF45" t="s">
        <v>14364</v>
      </c>
      <c r="BG45" t="s">
        <v>14371</v>
      </c>
      <c r="BM45" t="s">
        <v>15650</v>
      </c>
    </row>
    <row r="46" spans="1:67">
      <c r="A46" s="1">
        <f>HYPERLINK("https://lsnyc.legalserver.org/matter/dynamic-profile/view/1847345","17-1847345")</f>
        <v>0</v>
      </c>
      <c r="B46" t="s">
        <v>71</v>
      </c>
      <c r="C46" t="s">
        <v>246</v>
      </c>
      <c r="D46" t="s">
        <v>282</v>
      </c>
      <c r="F46" t="s">
        <v>1124</v>
      </c>
      <c r="G46" t="s">
        <v>2913</v>
      </c>
      <c r="H46" t="s">
        <v>4781</v>
      </c>
      <c r="I46" t="s">
        <v>6425</v>
      </c>
      <c r="J46" t="s">
        <v>7170</v>
      </c>
      <c r="K46">
        <v>10467</v>
      </c>
      <c r="N46" t="s">
        <v>7237</v>
      </c>
      <c r="O46" t="s">
        <v>7292</v>
      </c>
      <c r="P46">
        <v>2</v>
      </c>
      <c r="Q46">
        <v>2</v>
      </c>
      <c r="R46">
        <v>168.94</v>
      </c>
      <c r="S46" t="s">
        <v>283</v>
      </c>
      <c r="U46">
        <v>41560</v>
      </c>
      <c r="W46">
        <v>1.7</v>
      </c>
      <c r="X46" t="s">
        <v>1028</v>
      </c>
      <c r="Y46" t="s">
        <v>10865</v>
      </c>
      <c r="AA46" t="s">
        <v>10974</v>
      </c>
      <c r="AB46" t="s">
        <v>374</v>
      </c>
      <c r="AD46" t="s">
        <v>11093</v>
      </c>
      <c r="AF46" t="s">
        <v>11118</v>
      </c>
      <c r="AH46" t="s">
        <v>10974</v>
      </c>
      <c r="AJ46" t="s">
        <v>11130</v>
      </c>
      <c r="AK46" t="s">
        <v>7225</v>
      </c>
      <c r="AM46">
        <v>608</v>
      </c>
      <c r="AO46">
        <v>30</v>
      </c>
      <c r="AQ46" t="s">
        <v>11157</v>
      </c>
      <c r="AS46" t="s">
        <v>11174</v>
      </c>
      <c r="AU46">
        <v>7</v>
      </c>
      <c r="AW46" t="s">
        <v>11187</v>
      </c>
      <c r="AZ46" t="s">
        <v>11221</v>
      </c>
      <c r="BE46" t="s">
        <v>11706</v>
      </c>
      <c r="BF46" t="s">
        <v>14364</v>
      </c>
      <c r="BG46" t="s">
        <v>14371</v>
      </c>
      <c r="BM46" t="s">
        <v>15650</v>
      </c>
    </row>
    <row r="47" spans="1:67">
      <c r="A47" s="1">
        <f>HYPERLINK("https://lsnyc.legalserver.org/matter/dynamic-profile/view/1901257","19-1901257")</f>
        <v>0</v>
      </c>
      <c r="B47" t="s">
        <v>72</v>
      </c>
      <c r="C47" t="s">
        <v>245</v>
      </c>
      <c r="D47" t="s">
        <v>287</v>
      </c>
      <c r="F47" t="s">
        <v>1125</v>
      </c>
      <c r="G47" t="s">
        <v>2914</v>
      </c>
      <c r="H47" t="s">
        <v>4786</v>
      </c>
      <c r="I47" t="s">
        <v>6426</v>
      </c>
      <c r="J47" t="s">
        <v>7169</v>
      </c>
      <c r="K47">
        <v>10023</v>
      </c>
      <c r="N47" t="s">
        <v>7237</v>
      </c>
      <c r="O47" t="s">
        <v>7293</v>
      </c>
      <c r="P47">
        <v>1</v>
      </c>
      <c r="Q47">
        <v>0</v>
      </c>
      <c r="R47">
        <v>84.64</v>
      </c>
      <c r="U47">
        <v>10572</v>
      </c>
      <c r="W47">
        <v>0.6</v>
      </c>
      <c r="X47" t="s">
        <v>287</v>
      </c>
      <c r="Y47" t="s">
        <v>10859</v>
      </c>
      <c r="AA47" t="s">
        <v>10974</v>
      </c>
      <c r="AB47" t="s">
        <v>287</v>
      </c>
      <c r="AD47" t="s">
        <v>11082</v>
      </c>
      <c r="AF47" t="s">
        <v>11119</v>
      </c>
      <c r="AH47" t="s">
        <v>10975</v>
      </c>
      <c r="AJ47" t="s">
        <v>11137</v>
      </c>
      <c r="AK47" t="s">
        <v>7225</v>
      </c>
      <c r="AM47">
        <v>364.74</v>
      </c>
      <c r="AN47" t="s">
        <v>11151</v>
      </c>
      <c r="AO47" t="s">
        <v>11153</v>
      </c>
      <c r="AQ47" t="s">
        <v>11157</v>
      </c>
      <c r="AS47" t="s">
        <v>11173</v>
      </c>
      <c r="AU47">
        <v>44</v>
      </c>
      <c r="AW47" t="s">
        <v>11187</v>
      </c>
      <c r="AY47" t="s">
        <v>11213</v>
      </c>
      <c r="BA47" t="s">
        <v>11222</v>
      </c>
      <c r="BE47" t="s">
        <v>11707</v>
      </c>
      <c r="BG47" t="s">
        <v>14376</v>
      </c>
      <c r="BM47" t="s">
        <v>15650</v>
      </c>
    </row>
    <row r="48" spans="1:67">
      <c r="A48" s="1">
        <f>HYPERLINK("https://lsnyc.legalserver.org/matter/dynamic-profile/view/1901265","19-1901265")</f>
        <v>0</v>
      </c>
      <c r="B48" t="s">
        <v>72</v>
      </c>
      <c r="C48" t="s">
        <v>245</v>
      </c>
      <c r="D48" t="s">
        <v>287</v>
      </c>
      <c r="F48" t="s">
        <v>1126</v>
      </c>
      <c r="G48" t="s">
        <v>2915</v>
      </c>
      <c r="H48" t="s">
        <v>4787</v>
      </c>
      <c r="I48">
        <v>8</v>
      </c>
      <c r="J48" t="s">
        <v>7169</v>
      </c>
      <c r="K48">
        <v>10128</v>
      </c>
      <c r="N48" t="s">
        <v>7237</v>
      </c>
      <c r="O48" t="s">
        <v>7294</v>
      </c>
      <c r="P48">
        <v>1</v>
      </c>
      <c r="Q48">
        <v>0</v>
      </c>
      <c r="R48">
        <v>124.9</v>
      </c>
      <c r="U48">
        <v>15600</v>
      </c>
      <c r="W48">
        <v>1</v>
      </c>
      <c r="X48" t="s">
        <v>287</v>
      </c>
      <c r="Y48" t="s">
        <v>10859</v>
      </c>
      <c r="AA48" t="s">
        <v>10974</v>
      </c>
      <c r="AB48" t="s">
        <v>287</v>
      </c>
      <c r="AD48" t="s">
        <v>11082</v>
      </c>
      <c r="AF48" t="s">
        <v>11119</v>
      </c>
      <c r="AH48" t="s">
        <v>10975</v>
      </c>
      <c r="AJ48" t="s">
        <v>11138</v>
      </c>
      <c r="AK48" t="s">
        <v>7225</v>
      </c>
      <c r="AM48">
        <v>1138.34</v>
      </c>
      <c r="AO48">
        <v>20</v>
      </c>
      <c r="AP48" t="s">
        <v>11155</v>
      </c>
      <c r="AS48" t="s">
        <v>11173</v>
      </c>
      <c r="AU48">
        <v>20</v>
      </c>
      <c r="AW48" t="s">
        <v>11187</v>
      </c>
      <c r="AY48" t="s">
        <v>11215</v>
      </c>
      <c r="BA48" t="s">
        <v>11222</v>
      </c>
      <c r="BD48" t="s">
        <v>11667</v>
      </c>
      <c r="BG48" t="s">
        <v>14377</v>
      </c>
      <c r="BM48" t="s">
        <v>15650</v>
      </c>
    </row>
    <row r="49" spans="1:67">
      <c r="A49" s="1">
        <f>HYPERLINK("https://lsnyc.legalserver.org/matter/dynamic-profile/view/0827377","17-0827377")</f>
        <v>0</v>
      </c>
      <c r="B49" t="s">
        <v>73</v>
      </c>
      <c r="C49" t="s">
        <v>247</v>
      </c>
      <c r="D49" t="s">
        <v>288</v>
      </c>
      <c r="F49" t="s">
        <v>1127</v>
      </c>
      <c r="G49" t="s">
        <v>2916</v>
      </c>
      <c r="H49" t="s">
        <v>4788</v>
      </c>
      <c r="I49" t="s">
        <v>6427</v>
      </c>
      <c r="J49" t="s">
        <v>7171</v>
      </c>
      <c r="K49">
        <v>11373</v>
      </c>
      <c r="N49" t="s">
        <v>7237</v>
      </c>
      <c r="O49" t="s">
        <v>7295</v>
      </c>
      <c r="P49">
        <v>1</v>
      </c>
      <c r="Q49">
        <v>1</v>
      </c>
      <c r="R49">
        <v>54.31</v>
      </c>
      <c r="S49" t="s">
        <v>10254</v>
      </c>
      <c r="T49" t="s">
        <v>10275</v>
      </c>
      <c r="U49">
        <v>11760</v>
      </c>
      <c r="W49">
        <v>34.75</v>
      </c>
      <c r="X49" t="s">
        <v>341</v>
      </c>
      <c r="Y49" t="s">
        <v>10869</v>
      </c>
      <c r="AA49" t="s">
        <v>10974</v>
      </c>
      <c r="AB49" t="s">
        <v>288</v>
      </c>
      <c r="AD49" t="s">
        <v>11083</v>
      </c>
      <c r="AF49" t="s">
        <v>11118</v>
      </c>
      <c r="AH49" t="s">
        <v>10975</v>
      </c>
      <c r="AJ49" t="s">
        <v>11133</v>
      </c>
      <c r="AK49" t="s">
        <v>11149</v>
      </c>
      <c r="AM49">
        <v>900</v>
      </c>
      <c r="AO49">
        <v>8</v>
      </c>
      <c r="AQ49" t="s">
        <v>11156</v>
      </c>
      <c r="AS49" t="s">
        <v>11173</v>
      </c>
      <c r="AU49">
        <v>1</v>
      </c>
      <c r="AW49" t="s">
        <v>11187</v>
      </c>
      <c r="AZ49" t="s">
        <v>11221</v>
      </c>
      <c r="BE49" t="s">
        <v>11708</v>
      </c>
      <c r="BF49" t="s">
        <v>14364</v>
      </c>
      <c r="BG49" t="s">
        <v>14378</v>
      </c>
      <c r="BM49" t="s">
        <v>15650</v>
      </c>
    </row>
    <row r="50" spans="1:67">
      <c r="A50" s="1">
        <f>HYPERLINK("https://lsnyc.legalserver.org/matter/dynamic-profile/view/1861395","18-1861395")</f>
        <v>0</v>
      </c>
      <c r="B50" t="s">
        <v>73</v>
      </c>
      <c r="C50" t="s">
        <v>247</v>
      </c>
      <c r="D50" t="s">
        <v>253</v>
      </c>
      <c r="F50" t="s">
        <v>1128</v>
      </c>
      <c r="G50" t="s">
        <v>2917</v>
      </c>
      <c r="H50" t="s">
        <v>4789</v>
      </c>
      <c r="I50" t="s">
        <v>6428</v>
      </c>
      <c r="J50" t="s">
        <v>7172</v>
      </c>
      <c r="K50">
        <v>11691</v>
      </c>
      <c r="N50" t="s">
        <v>7237</v>
      </c>
      <c r="O50" t="s">
        <v>7296</v>
      </c>
      <c r="P50">
        <v>1</v>
      </c>
      <c r="Q50">
        <v>0</v>
      </c>
      <c r="R50">
        <v>86.09999999999999</v>
      </c>
      <c r="U50">
        <v>10452</v>
      </c>
      <c r="V50" t="s">
        <v>10283</v>
      </c>
      <c r="W50">
        <v>32.15</v>
      </c>
      <c r="X50" t="s">
        <v>497</v>
      </c>
      <c r="Y50" t="s">
        <v>10870</v>
      </c>
      <c r="AA50" t="s">
        <v>10974</v>
      </c>
      <c r="AB50" t="s">
        <v>253</v>
      </c>
      <c r="AD50" t="s">
        <v>11083</v>
      </c>
      <c r="AF50" t="s">
        <v>11118</v>
      </c>
      <c r="AH50" t="s">
        <v>10975</v>
      </c>
      <c r="AJ50" t="s">
        <v>11138</v>
      </c>
      <c r="AK50" t="s">
        <v>7225</v>
      </c>
      <c r="AM50">
        <v>906</v>
      </c>
      <c r="AO50">
        <v>375</v>
      </c>
      <c r="AQ50" t="s">
        <v>11158</v>
      </c>
      <c r="AS50" t="s">
        <v>11174</v>
      </c>
      <c r="AU50">
        <v>8</v>
      </c>
      <c r="AW50" t="s">
        <v>11187</v>
      </c>
      <c r="AZ50" t="s">
        <v>11221</v>
      </c>
      <c r="BB50" t="s">
        <v>11224</v>
      </c>
      <c r="BC50" t="s">
        <v>11227</v>
      </c>
      <c r="BE50" t="s">
        <v>11709</v>
      </c>
      <c r="BG50" t="s">
        <v>14379</v>
      </c>
      <c r="BM50" t="s">
        <v>15650</v>
      </c>
    </row>
    <row r="51" spans="1:67">
      <c r="A51" s="1">
        <f>HYPERLINK("https://lsnyc.legalserver.org/matter/dynamic-profile/view/1860830","18-1860830")</f>
        <v>0</v>
      </c>
      <c r="B51" t="s">
        <v>73</v>
      </c>
      <c r="C51" t="s">
        <v>247</v>
      </c>
      <c r="D51" t="s">
        <v>289</v>
      </c>
      <c r="F51" t="s">
        <v>1129</v>
      </c>
      <c r="G51" t="s">
        <v>2918</v>
      </c>
      <c r="H51" t="s">
        <v>4790</v>
      </c>
      <c r="I51" t="s">
        <v>6420</v>
      </c>
      <c r="J51" t="s">
        <v>7173</v>
      </c>
      <c r="K51">
        <v>11354</v>
      </c>
      <c r="N51" t="s">
        <v>7238</v>
      </c>
      <c r="O51" t="s">
        <v>7297</v>
      </c>
      <c r="P51">
        <v>1</v>
      </c>
      <c r="Q51">
        <v>0</v>
      </c>
      <c r="R51">
        <v>49.42</v>
      </c>
      <c r="U51">
        <v>6000</v>
      </c>
      <c r="W51">
        <v>10.9</v>
      </c>
      <c r="X51" t="s">
        <v>634</v>
      </c>
      <c r="Y51" t="s">
        <v>10870</v>
      </c>
      <c r="AA51" t="s">
        <v>10974</v>
      </c>
      <c r="AB51" t="s">
        <v>289</v>
      </c>
      <c r="AD51" t="s">
        <v>11096</v>
      </c>
      <c r="AF51" t="s">
        <v>11122</v>
      </c>
      <c r="AH51" t="s">
        <v>10975</v>
      </c>
      <c r="AJ51" t="s">
        <v>11139</v>
      </c>
      <c r="AK51" t="s">
        <v>7225</v>
      </c>
      <c r="AM51">
        <v>1500</v>
      </c>
      <c r="AO51">
        <v>16</v>
      </c>
      <c r="AQ51" t="s">
        <v>11157</v>
      </c>
      <c r="AS51" t="s">
        <v>11173</v>
      </c>
      <c r="AU51">
        <v>2</v>
      </c>
      <c r="AW51" t="s">
        <v>11190</v>
      </c>
      <c r="AZ51" t="s">
        <v>11221</v>
      </c>
      <c r="BC51" t="s">
        <v>11228</v>
      </c>
      <c r="BE51" t="s">
        <v>11710</v>
      </c>
      <c r="BG51" t="s">
        <v>14380</v>
      </c>
      <c r="BM51" t="s">
        <v>15650</v>
      </c>
    </row>
    <row r="52" spans="1:67">
      <c r="A52" s="1">
        <f>HYPERLINK("https://lsnyc.legalserver.org/matter/dynamic-profile/view/1887422","19-1887422")</f>
        <v>0</v>
      </c>
      <c r="B52" t="s">
        <v>74</v>
      </c>
      <c r="C52" t="s">
        <v>248</v>
      </c>
      <c r="D52" t="s">
        <v>290</v>
      </c>
      <c r="F52" t="s">
        <v>1130</v>
      </c>
      <c r="G52" t="s">
        <v>2919</v>
      </c>
      <c r="H52" t="s">
        <v>4791</v>
      </c>
      <c r="I52">
        <v>2</v>
      </c>
      <c r="J52" t="s">
        <v>7174</v>
      </c>
      <c r="K52">
        <v>11233</v>
      </c>
      <c r="N52" t="s">
        <v>7237</v>
      </c>
      <c r="O52" t="s">
        <v>7298</v>
      </c>
      <c r="P52">
        <v>6</v>
      </c>
      <c r="Q52">
        <v>0</v>
      </c>
      <c r="R52">
        <v>35.57</v>
      </c>
      <c r="U52">
        <v>12000</v>
      </c>
      <c r="W52">
        <v>0</v>
      </c>
      <c r="Y52" t="s">
        <v>101</v>
      </c>
      <c r="AA52" t="s">
        <v>10974</v>
      </c>
      <c r="AB52" t="s">
        <v>593</v>
      </c>
      <c r="AD52" t="s">
        <v>11083</v>
      </c>
      <c r="AF52" t="s">
        <v>10384</v>
      </c>
      <c r="AH52" t="s">
        <v>10975</v>
      </c>
      <c r="AI52" t="s">
        <v>11126</v>
      </c>
      <c r="AK52" t="s">
        <v>7225</v>
      </c>
      <c r="AL52" t="s">
        <v>11150</v>
      </c>
      <c r="AM52">
        <v>0</v>
      </c>
      <c r="AO52">
        <v>2</v>
      </c>
      <c r="AQ52" t="s">
        <v>11156</v>
      </c>
      <c r="AS52" t="s">
        <v>11173</v>
      </c>
      <c r="AU52">
        <v>6</v>
      </c>
      <c r="AW52" t="s">
        <v>11187</v>
      </c>
      <c r="BA52" t="s">
        <v>11222</v>
      </c>
      <c r="BE52" t="s">
        <v>11711</v>
      </c>
      <c r="BG52" t="s">
        <v>14381</v>
      </c>
      <c r="BM52" t="s">
        <v>15650</v>
      </c>
    </row>
    <row r="53" spans="1:67">
      <c r="A53" s="1">
        <f>HYPERLINK("https://lsnyc.legalserver.org/matter/dynamic-profile/view/1876323","18-1876323")</f>
        <v>0</v>
      </c>
      <c r="B53" t="s">
        <v>74</v>
      </c>
      <c r="C53" t="s">
        <v>248</v>
      </c>
      <c r="D53" t="s">
        <v>291</v>
      </c>
      <c r="F53" t="s">
        <v>1131</v>
      </c>
      <c r="G53" t="s">
        <v>2920</v>
      </c>
      <c r="H53" t="s">
        <v>4792</v>
      </c>
      <c r="I53" t="s">
        <v>6429</v>
      </c>
      <c r="J53" t="s">
        <v>7174</v>
      </c>
      <c r="K53">
        <v>11212</v>
      </c>
      <c r="N53" t="s">
        <v>7237</v>
      </c>
      <c r="O53" t="s">
        <v>7299</v>
      </c>
      <c r="P53">
        <v>2</v>
      </c>
      <c r="Q53">
        <v>0</v>
      </c>
      <c r="R53">
        <v>139.73</v>
      </c>
      <c r="U53">
        <v>23000</v>
      </c>
      <c r="W53">
        <v>24.6</v>
      </c>
      <c r="X53" t="s">
        <v>327</v>
      </c>
      <c r="Y53" t="s">
        <v>225</v>
      </c>
      <c r="AA53" t="s">
        <v>10974</v>
      </c>
      <c r="AB53" t="s">
        <v>1028</v>
      </c>
      <c r="AD53" t="s">
        <v>11082</v>
      </c>
      <c r="AF53" t="s">
        <v>11118</v>
      </c>
      <c r="AH53" t="s">
        <v>10975</v>
      </c>
      <c r="AI53" t="s">
        <v>11126</v>
      </c>
      <c r="AK53" t="s">
        <v>7225</v>
      </c>
      <c r="AM53">
        <v>1268.75</v>
      </c>
      <c r="AN53" t="s">
        <v>11151</v>
      </c>
      <c r="AO53" t="s">
        <v>11153</v>
      </c>
      <c r="AQ53" t="s">
        <v>11157</v>
      </c>
      <c r="AR53" t="s">
        <v>11172</v>
      </c>
      <c r="AU53">
        <v>6</v>
      </c>
      <c r="AW53" t="s">
        <v>11187</v>
      </c>
      <c r="AY53" t="s">
        <v>11213</v>
      </c>
      <c r="BA53" t="s">
        <v>11222</v>
      </c>
      <c r="BE53" t="s">
        <v>11712</v>
      </c>
      <c r="BG53" t="s">
        <v>14382</v>
      </c>
      <c r="BM53" t="s">
        <v>15650</v>
      </c>
      <c r="BN53" t="s">
        <v>15652</v>
      </c>
      <c r="BO53" t="s">
        <v>15657</v>
      </c>
    </row>
    <row r="54" spans="1:67">
      <c r="A54" s="1">
        <f>HYPERLINK("https://lsnyc.legalserver.org/matter/dynamic-profile/view/1856175","18-1856175")</f>
        <v>0</v>
      </c>
      <c r="B54" t="s">
        <v>74</v>
      </c>
      <c r="C54" t="s">
        <v>248</v>
      </c>
      <c r="D54" t="s">
        <v>292</v>
      </c>
      <c r="F54" t="s">
        <v>1108</v>
      </c>
      <c r="G54" t="s">
        <v>2921</v>
      </c>
      <c r="H54" t="s">
        <v>4793</v>
      </c>
      <c r="I54" t="s">
        <v>6430</v>
      </c>
      <c r="J54" t="s">
        <v>7174</v>
      </c>
      <c r="K54">
        <v>11233</v>
      </c>
      <c r="N54" t="s">
        <v>7237</v>
      </c>
      <c r="O54" t="s">
        <v>7300</v>
      </c>
      <c r="P54">
        <v>3</v>
      </c>
      <c r="Q54">
        <v>0</v>
      </c>
      <c r="R54">
        <v>95.84</v>
      </c>
      <c r="U54">
        <v>19570</v>
      </c>
      <c r="W54">
        <v>94.92</v>
      </c>
      <c r="X54" t="s">
        <v>271</v>
      </c>
      <c r="Y54" t="s">
        <v>225</v>
      </c>
      <c r="AA54" t="s">
        <v>10974</v>
      </c>
      <c r="AB54" t="s">
        <v>292</v>
      </c>
      <c r="AD54" t="s">
        <v>11083</v>
      </c>
      <c r="AF54" t="s">
        <v>11118</v>
      </c>
      <c r="AH54" t="s">
        <v>10975</v>
      </c>
      <c r="AJ54" t="s">
        <v>11129</v>
      </c>
      <c r="AK54" t="s">
        <v>7225</v>
      </c>
      <c r="AM54">
        <v>370.26</v>
      </c>
      <c r="AO54">
        <v>6</v>
      </c>
      <c r="AQ54" t="s">
        <v>11157</v>
      </c>
      <c r="AR54" t="s">
        <v>11172</v>
      </c>
      <c r="AU54">
        <v>41</v>
      </c>
      <c r="AW54" t="s">
        <v>11187</v>
      </c>
      <c r="AZ54" t="s">
        <v>11221</v>
      </c>
      <c r="BB54" t="s">
        <v>11224</v>
      </c>
      <c r="BC54">
        <v>3499647</v>
      </c>
      <c r="BE54" t="s">
        <v>11713</v>
      </c>
      <c r="BG54" t="s">
        <v>14383</v>
      </c>
      <c r="BM54" t="s">
        <v>15650</v>
      </c>
    </row>
    <row r="55" spans="1:67">
      <c r="A55" s="1">
        <f>HYPERLINK("https://lsnyc.legalserver.org/matter/dynamic-profile/view/1913612","19-1913612")</f>
        <v>0</v>
      </c>
      <c r="B55" t="s">
        <v>74</v>
      </c>
      <c r="C55" t="s">
        <v>248</v>
      </c>
      <c r="D55" t="s">
        <v>293</v>
      </c>
      <c r="F55" t="s">
        <v>1132</v>
      </c>
      <c r="G55" t="s">
        <v>2922</v>
      </c>
      <c r="H55" t="s">
        <v>4794</v>
      </c>
      <c r="I55" t="s">
        <v>6431</v>
      </c>
      <c r="J55" t="s">
        <v>7174</v>
      </c>
      <c r="K55">
        <v>11233</v>
      </c>
      <c r="N55" t="s">
        <v>7237</v>
      </c>
      <c r="O55" t="s">
        <v>7301</v>
      </c>
      <c r="P55">
        <v>1</v>
      </c>
      <c r="Q55">
        <v>0</v>
      </c>
      <c r="R55">
        <v>25.71</v>
      </c>
      <c r="U55">
        <v>3211</v>
      </c>
      <c r="W55">
        <v>0</v>
      </c>
      <c r="Y55" t="s">
        <v>225</v>
      </c>
      <c r="AA55" t="s">
        <v>10974</v>
      </c>
      <c r="AB55" t="s">
        <v>273</v>
      </c>
      <c r="AD55" t="s">
        <v>11083</v>
      </c>
      <c r="AE55" t="s">
        <v>11117</v>
      </c>
      <c r="AH55" t="s">
        <v>10975</v>
      </c>
      <c r="AJ55" t="s">
        <v>11129</v>
      </c>
      <c r="AK55" t="s">
        <v>7225</v>
      </c>
      <c r="AL55" t="s">
        <v>11150</v>
      </c>
      <c r="AM55">
        <v>0</v>
      </c>
      <c r="AO55">
        <v>13</v>
      </c>
      <c r="AQ55" t="s">
        <v>11157</v>
      </c>
      <c r="AS55" t="s">
        <v>11173</v>
      </c>
      <c r="AU55">
        <v>7</v>
      </c>
      <c r="AW55" t="s">
        <v>11187</v>
      </c>
      <c r="AY55" t="s">
        <v>11213</v>
      </c>
      <c r="BA55" t="s">
        <v>11222</v>
      </c>
      <c r="BB55" t="s">
        <v>11224</v>
      </c>
      <c r="BC55" t="s">
        <v>11229</v>
      </c>
      <c r="BE55" t="s">
        <v>11714</v>
      </c>
      <c r="BG55" t="s">
        <v>14384</v>
      </c>
      <c r="BM55" t="s">
        <v>15650</v>
      </c>
    </row>
    <row r="56" spans="1:67">
      <c r="A56" s="1">
        <f>HYPERLINK("https://lsnyc.legalserver.org/matter/dynamic-profile/view/1851112","17-1851112")</f>
        <v>0</v>
      </c>
      <c r="B56" t="s">
        <v>74</v>
      </c>
      <c r="C56" t="s">
        <v>248</v>
      </c>
      <c r="D56" t="s">
        <v>294</v>
      </c>
      <c r="F56" t="s">
        <v>1133</v>
      </c>
      <c r="G56" t="s">
        <v>2923</v>
      </c>
      <c r="H56" t="s">
        <v>4795</v>
      </c>
      <c r="I56" t="s">
        <v>6432</v>
      </c>
      <c r="J56" t="s">
        <v>7174</v>
      </c>
      <c r="K56">
        <v>11233</v>
      </c>
      <c r="N56" t="s">
        <v>7237</v>
      </c>
      <c r="O56" t="s">
        <v>7302</v>
      </c>
      <c r="P56">
        <v>1</v>
      </c>
      <c r="Q56">
        <v>1</v>
      </c>
      <c r="R56">
        <v>138.49</v>
      </c>
      <c r="U56">
        <v>22490</v>
      </c>
      <c r="W56">
        <v>110.25</v>
      </c>
      <c r="X56" t="s">
        <v>634</v>
      </c>
      <c r="Y56" t="s">
        <v>225</v>
      </c>
      <c r="AA56" t="s">
        <v>10974</v>
      </c>
      <c r="AB56" t="s">
        <v>485</v>
      </c>
      <c r="AD56" t="s">
        <v>11083</v>
      </c>
      <c r="AF56" t="s">
        <v>11118</v>
      </c>
      <c r="AH56" t="s">
        <v>10975</v>
      </c>
      <c r="AJ56" t="s">
        <v>11140</v>
      </c>
      <c r="AK56" t="s">
        <v>7225</v>
      </c>
      <c r="AM56">
        <v>1175</v>
      </c>
      <c r="AO56">
        <v>6</v>
      </c>
      <c r="AQ56" t="s">
        <v>11157</v>
      </c>
      <c r="AS56" t="s">
        <v>11173</v>
      </c>
      <c r="AU56">
        <v>8</v>
      </c>
      <c r="AW56" t="s">
        <v>11187</v>
      </c>
      <c r="AZ56" t="s">
        <v>11221</v>
      </c>
      <c r="BC56" t="s">
        <v>11228</v>
      </c>
      <c r="BE56" t="s">
        <v>11715</v>
      </c>
      <c r="BG56" t="s">
        <v>14385</v>
      </c>
      <c r="BM56" t="s">
        <v>15650</v>
      </c>
    </row>
    <row r="57" spans="1:67">
      <c r="A57" s="1">
        <f>HYPERLINK("https://lsnyc.legalserver.org/matter/dynamic-profile/view/1895988","19-1895988")</f>
        <v>0</v>
      </c>
      <c r="B57" t="s">
        <v>74</v>
      </c>
      <c r="C57" t="s">
        <v>248</v>
      </c>
      <c r="D57" t="s">
        <v>295</v>
      </c>
      <c r="F57" t="s">
        <v>1134</v>
      </c>
      <c r="G57" t="s">
        <v>2924</v>
      </c>
      <c r="H57" t="s">
        <v>4796</v>
      </c>
      <c r="I57" t="s">
        <v>6433</v>
      </c>
      <c r="J57" t="s">
        <v>7174</v>
      </c>
      <c r="K57">
        <v>11212</v>
      </c>
      <c r="N57" t="s">
        <v>7237</v>
      </c>
      <c r="O57" t="s">
        <v>7303</v>
      </c>
      <c r="P57">
        <v>2</v>
      </c>
      <c r="Q57">
        <v>2</v>
      </c>
      <c r="R57">
        <v>170.87</v>
      </c>
      <c r="U57">
        <v>44000</v>
      </c>
      <c r="W57">
        <v>22.5</v>
      </c>
      <c r="X57" t="s">
        <v>735</v>
      </c>
      <c r="Y57" t="s">
        <v>101</v>
      </c>
      <c r="AA57" t="s">
        <v>10974</v>
      </c>
      <c r="AB57" t="s">
        <v>602</v>
      </c>
      <c r="AD57" t="s">
        <v>11082</v>
      </c>
      <c r="AF57" t="s">
        <v>11118</v>
      </c>
      <c r="AG57" t="s">
        <v>11124</v>
      </c>
      <c r="AJ57" t="s">
        <v>11129</v>
      </c>
      <c r="AK57" t="s">
        <v>7225</v>
      </c>
      <c r="AL57" t="s">
        <v>11150</v>
      </c>
      <c r="AM57">
        <v>0</v>
      </c>
      <c r="AO57">
        <v>42</v>
      </c>
      <c r="AQ57" t="s">
        <v>11157</v>
      </c>
      <c r="AR57" t="s">
        <v>11172</v>
      </c>
      <c r="AT57" t="s">
        <v>11184</v>
      </c>
      <c r="AU57">
        <v>0</v>
      </c>
      <c r="AW57" t="s">
        <v>11187</v>
      </c>
      <c r="AZ57" t="s">
        <v>11221</v>
      </c>
      <c r="BD57" t="s">
        <v>11667</v>
      </c>
      <c r="BG57" t="s">
        <v>14386</v>
      </c>
      <c r="BM57" t="s">
        <v>15650</v>
      </c>
    </row>
    <row r="58" spans="1:67">
      <c r="A58" s="1">
        <f>HYPERLINK("https://lsnyc.legalserver.org/matter/dynamic-profile/view/1893686","19-1893686")</f>
        <v>0</v>
      </c>
      <c r="B58" t="s">
        <v>74</v>
      </c>
      <c r="C58" t="s">
        <v>248</v>
      </c>
      <c r="D58" t="s">
        <v>296</v>
      </c>
      <c r="F58" t="s">
        <v>1135</v>
      </c>
      <c r="G58" t="s">
        <v>2925</v>
      </c>
      <c r="H58" t="s">
        <v>4797</v>
      </c>
      <c r="I58" t="s">
        <v>6417</v>
      </c>
      <c r="J58" t="s">
        <v>7174</v>
      </c>
      <c r="K58">
        <v>11221</v>
      </c>
      <c r="N58" t="s">
        <v>7237</v>
      </c>
      <c r="O58" t="s">
        <v>7304</v>
      </c>
      <c r="P58">
        <v>2</v>
      </c>
      <c r="Q58">
        <v>0</v>
      </c>
      <c r="R58">
        <v>49.75</v>
      </c>
      <c r="U58">
        <v>8412</v>
      </c>
      <c r="W58">
        <v>16.5</v>
      </c>
      <c r="X58" t="s">
        <v>314</v>
      </c>
      <c r="Y58" t="s">
        <v>225</v>
      </c>
      <c r="AA58" t="s">
        <v>10974</v>
      </c>
      <c r="AB58" t="s">
        <v>483</v>
      </c>
      <c r="AD58" t="s">
        <v>11082</v>
      </c>
      <c r="AF58" t="s">
        <v>11118</v>
      </c>
      <c r="AH58" t="s">
        <v>10975</v>
      </c>
      <c r="AI58" t="s">
        <v>11126</v>
      </c>
      <c r="AK58" t="s">
        <v>7225</v>
      </c>
      <c r="AM58">
        <v>1050</v>
      </c>
      <c r="AN58" t="s">
        <v>11151</v>
      </c>
      <c r="AO58" t="s">
        <v>11153</v>
      </c>
      <c r="AQ58" t="s">
        <v>11157</v>
      </c>
      <c r="AS58" t="s">
        <v>11174</v>
      </c>
      <c r="AU58">
        <v>15</v>
      </c>
      <c r="AV58" t="s">
        <v>11186</v>
      </c>
      <c r="AY58" t="s">
        <v>11213</v>
      </c>
      <c r="AZ58" t="s">
        <v>11221</v>
      </c>
      <c r="BC58" t="s">
        <v>11230</v>
      </c>
      <c r="BE58" t="s">
        <v>11716</v>
      </c>
      <c r="BG58" t="s">
        <v>14387</v>
      </c>
      <c r="BM58" t="s">
        <v>15650</v>
      </c>
    </row>
    <row r="59" spans="1:67">
      <c r="A59" s="1">
        <f>HYPERLINK("https://lsnyc.legalserver.org/matter/dynamic-profile/view/1914687","19-1914687")</f>
        <v>0</v>
      </c>
      <c r="B59" t="s">
        <v>74</v>
      </c>
      <c r="C59" t="s">
        <v>248</v>
      </c>
      <c r="D59" t="s">
        <v>297</v>
      </c>
      <c r="F59" t="s">
        <v>1136</v>
      </c>
      <c r="G59" t="s">
        <v>2926</v>
      </c>
      <c r="H59" t="s">
        <v>4798</v>
      </c>
      <c r="I59" t="s">
        <v>6434</v>
      </c>
      <c r="J59" t="s">
        <v>7174</v>
      </c>
      <c r="K59">
        <v>11233</v>
      </c>
      <c r="N59" t="s">
        <v>7237</v>
      </c>
      <c r="O59" t="s">
        <v>7305</v>
      </c>
      <c r="P59">
        <v>1</v>
      </c>
      <c r="Q59">
        <v>1</v>
      </c>
      <c r="R59">
        <v>14.19</v>
      </c>
      <c r="U59">
        <v>2400</v>
      </c>
      <c r="W59">
        <v>0</v>
      </c>
      <c r="Y59" t="s">
        <v>225</v>
      </c>
      <c r="Z59" t="s">
        <v>10972</v>
      </c>
      <c r="AA59" t="s">
        <v>10975</v>
      </c>
      <c r="AD59" t="s">
        <v>11082</v>
      </c>
      <c r="AE59" t="s">
        <v>11117</v>
      </c>
      <c r="AH59" t="s">
        <v>10975</v>
      </c>
      <c r="AJ59" t="s">
        <v>11129</v>
      </c>
      <c r="AK59" t="s">
        <v>7225</v>
      </c>
      <c r="AM59">
        <v>858</v>
      </c>
      <c r="AO59">
        <v>700</v>
      </c>
      <c r="AQ59" t="s">
        <v>11157</v>
      </c>
      <c r="AS59" t="s">
        <v>11174</v>
      </c>
      <c r="AU59">
        <v>16</v>
      </c>
      <c r="AW59" t="s">
        <v>11187</v>
      </c>
      <c r="AY59" t="s">
        <v>11213</v>
      </c>
      <c r="AZ59" t="s">
        <v>11221</v>
      </c>
      <c r="BA59" t="s">
        <v>11173</v>
      </c>
      <c r="BB59" t="s">
        <v>11224</v>
      </c>
      <c r="BC59" t="s">
        <v>11231</v>
      </c>
      <c r="BE59" t="s">
        <v>11717</v>
      </c>
      <c r="BG59" t="s">
        <v>14388</v>
      </c>
      <c r="BM59" t="s">
        <v>15650</v>
      </c>
    </row>
    <row r="60" spans="1:67">
      <c r="A60" s="1">
        <f>HYPERLINK("https://lsnyc.legalserver.org/matter/dynamic-profile/view/1869885","18-1869885")</f>
        <v>0</v>
      </c>
      <c r="B60" t="s">
        <v>74</v>
      </c>
      <c r="C60" t="s">
        <v>248</v>
      </c>
      <c r="D60" t="s">
        <v>298</v>
      </c>
      <c r="F60" t="s">
        <v>1137</v>
      </c>
      <c r="G60" t="s">
        <v>2927</v>
      </c>
      <c r="H60" t="s">
        <v>4799</v>
      </c>
      <c r="I60" t="s">
        <v>6435</v>
      </c>
      <c r="J60" t="s">
        <v>7174</v>
      </c>
      <c r="K60">
        <v>11223</v>
      </c>
      <c r="N60" t="s">
        <v>7237</v>
      </c>
      <c r="O60" t="s">
        <v>7306</v>
      </c>
      <c r="P60">
        <v>1</v>
      </c>
      <c r="Q60">
        <v>0</v>
      </c>
      <c r="R60">
        <v>187.81</v>
      </c>
      <c r="T60" t="s">
        <v>10277</v>
      </c>
      <c r="U60">
        <v>22800</v>
      </c>
      <c r="W60">
        <v>38.25</v>
      </c>
      <c r="X60" t="s">
        <v>306</v>
      </c>
      <c r="Y60" t="s">
        <v>225</v>
      </c>
      <c r="AA60" t="s">
        <v>10974</v>
      </c>
      <c r="AB60" t="s">
        <v>298</v>
      </c>
      <c r="AD60" t="s">
        <v>11083</v>
      </c>
      <c r="AF60" t="s">
        <v>11118</v>
      </c>
      <c r="AH60" t="s">
        <v>10975</v>
      </c>
      <c r="AJ60" t="s">
        <v>11129</v>
      </c>
      <c r="AK60" t="s">
        <v>7225</v>
      </c>
      <c r="AM60">
        <v>1122.77</v>
      </c>
      <c r="AO60">
        <v>63</v>
      </c>
      <c r="AQ60" t="s">
        <v>11157</v>
      </c>
      <c r="AS60" t="s">
        <v>11173</v>
      </c>
      <c r="AU60">
        <v>8</v>
      </c>
      <c r="AW60" t="s">
        <v>11187</v>
      </c>
      <c r="AZ60" t="s">
        <v>11221</v>
      </c>
      <c r="BE60" t="s">
        <v>11718</v>
      </c>
      <c r="BG60" t="s">
        <v>14389</v>
      </c>
      <c r="BM60" t="s">
        <v>15650</v>
      </c>
    </row>
    <row r="61" spans="1:67">
      <c r="A61" s="1">
        <f>HYPERLINK("https://lsnyc.legalserver.org/matter/dynamic-profile/view/1895371","19-1895371")</f>
        <v>0</v>
      </c>
      <c r="B61" t="s">
        <v>74</v>
      </c>
      <c r="C61" t="s">
        <v>248</v>
      </c>
      <c r="D61" t="s">
        <v>299</v>
      </c>
      <c r="F61" t="s">
        <v>1138</v>
      </c>
      <c r="G61" t="s">
        <v>1728</v>
      </c>
      <c r="H61" t="s">
        <v>4800</v>
      </c>
      <c r="I61" t="s">
        <v>6436</v>
      </c>
      <c r="J61" t="s">
        <v>7174</v>
      </c>
      <c r="K61">
        <v>11221</v>
      </c>
      <c r="N61" t="s">
        <v>7242</v>
      </c>
      <c r="O61" t="s">
        <v>7307</v>
      </c>
      <c r="P61">
        <v>1</v>
      </c>
      <c r="Q61">
        <v>1</v>
      </c>
      <c r="R61">
        <v>236.55</v>
      </c>
      <c r="U61">
        <v>40000</v>
      </c>
      <c r="V61" t="s">
        <v>10284</v>
      </c>
      <c r="W61">
        <v>0</v>
      </c>
      <c r="Y61" t="s">
        <v>225</v>
      </c>
      <c r="AA61" t="s">
        <v>10974</v>
      </c>
      <c r="AB61" t="s">
        <v>299</v>
      </c>
      <c r="AD61" t="s">
        <v>11097</v>
      </c>
      <c r="AF61" t="s">
        <v>11123</v>
      </c>
      <c r="AH61" t="s">
        <v>10974</v>
      </c>
      <c r="AJ61" t="s">
        <v>11141</v>
      </c>
      <c r="AK61" t="s">
        <v>7225</v>
      </c>
      <c r="AM61">
        <v>880.65</v>
      </c>
      <c r="AO61">
        <v>12</v>
      </c>
      <c r="AQ61" t="s">
        <v>11157</v>
      </c>
      <c r="AS61" t="s">
        <v>11173</v>
      </c>
      <c r="AU61">
        <v>17</v>
      </c>
      <c r="AW61" t="s">
        <v>11187</v>
      </c>
      <c r="BA61" t="s">
        <v>11222</v>
      </c>
      <c r="BC61" t="s">
        <v>11173</v>
      </c>
      <c r="BE61" t="s">
        <v>11719</v>
      </c>
      <c r="BF61" t="s">
        <v>14364</v>
      </c>
      <c r="BG61" t="s">
        <v>14390</v>
      </c>
      <c r="BM61" t="s">
        <v>15650</v>
      </c>
    </row>
    <row r="62" spans="1:67">
      <c r="A62" s="1">
        <f>HYPERLINK("https://lsnyc.legalserver.org/matter/dynamic-profile/view/1895320","19-1895320")</f>
        <v>0</v>
      </c>
      <c r="B62" t="s">
        <v>74</v>
      </c>
      <c r="C62" t="s">
        <v>248</v>
      </c>
      <c r="D62" t="s">
        <v>299</v>
      </c>
      <c r="F62" t="s">
        <v>1139</v>
      </c>
      <c r="G62" t="s">
        <v>2928</v>
      </c>
      <c r="H62" t="s">
        <v>4801</v>
      </c>
      <c r="I62" t="s">
        <v>6437</v>
      </c>
      <c r="J62" t="s">
        <v>7174</v>
      </c>
      <c r="K62">
        <v>11221</v>
      </c>
      <c r="N62" t="s">
        <v>7242</v>
      </c>
      <c r="O62" t="s">
        <v>7308</v>
      </c>
      <c r="P62">
        <v>1</v>
      </c>
      <c r="Q62">
        <v>0</v>
      </c>
      <c r="R62">
        <v>150.68</v>
      </c>
      <c r="U62">
        <v>18820</v>
      </c>
      <c r="V62" t="s">
        <v>10285</v>
      </c>
      <c r="W62">
        <v>0</v>
      </c>
      <c r="Y62" t="s">
        <v>225</v>
      </c>
      <c r="AA62" t="s">
        <v>10974</v>
      </c>
      <c r="AB62" t="s">
        <v>299</v>
      </c>
      <c r="AD62" t="s">
        <v>11097</v>
      </c>
      <c r="AF62" t="s">
        <v>11123</v>
      </c>
      <c r="AH62" t="s">
        <v>10974</v>
      </c>
      <c r="AJ62" t="s">
        <v>11141</v>
      </c>
      <c r="AK62" t="s">
        <v>7225</v>
      </c>
      <c r="AM62">
        <v>790</v>
      </c>
      <c r="AO62">
        <v>13</v>
      </c>
      <c r="AQ62" t="s">
        <v>11157</v>
      </c>
      <c r="AS62" t="s">
        <v>11173</v>
      </c>
      <c r="AU62">
        <v>20</v>
      </c>
      <c r="AW62" t="s">
        <v>11187</v>
      </c>
      <c r="BA62" t="s">
        <v>11222</v>
      </c>
      <c r="BC62" t="s">
        <v>11173</v>
      </c>
      <c r="BE62" t="s">
        <v>11720</v>
      </c>
      <c r="BF62" t="s">
        <v>14364</v>
      </c>
      <c r="BM62" t="s">
        <v>15650</v>
      </c>
    </row>
    <row r="63" spans="1:67">
      <c r="A63" s="1">
        <f>HYPERLINK("https://lsnyc.legalserver.org/matter/dynamic-profile/view/1914323","19-1914323")</f>
        <v>0</v>
      </c>
      <c r="B63" t="s">
        <v>74</v>
      </c>
      <c r="C63" t="s">
        <v>248</v>
      </c>
      <c r="D63" t="s">
        <v>266</v>
      </c>
      <c r="F63" t="s">
        <v>1140</v>
      </c>
      <c r="G63" t="s">
        <v>2913</v>
      </c>
      <c r="H63" t="s">
        <v>4802</v>
      </c>
      <c r="I63">
        <v>461</v>
      </c>
      <c r="J63" t="s">
        <v>7174</v>
      </c>
      <c r="K63">
        <v>11208</v>
      </c>
      <c r="N63" t="s">
        <v>7237</v>
      </c>
      <c r="O63" t="s">
        <v>7309</v>
      </c>
      <c r="P63">
        <v>2</v>
      </c>
      <c r="Q63">
        <v>1</v>
      </c>
      <c r="R63">
        <v>11.25</v>
      </c>
      <c r="U63">
        <v>2400</v>
      </c>
      <c r="W63">
        <v>0</v>
      </c>
      <c r="Y63" t="s">
        <v>225</v>
      </c>
      <c r="AA63" t="s">
        <v>10974</v>
      </c>
      <c r="AB63" t="s">
        <v>735</v>
      </c>
      <c r="AD63" t="s">
        <v>11082</v>
      </c>
      <c r="AE63" t="s">
        <v>11117</v>
      </c>
      <c r="AH63" t="s">
        <v>10975</v>
      </c>
      <c r="AJ63" t="s">
        <v>11135</v>
      </c>
      <c r="AK63" t="s">
        <v>7225</v>
      </c>
      <c r="AM63">
        <v>1667</v>
      </c>
      <c r="AO63">
        <v>266</v>
      </c>
      <c r="AQ63" t="s">
        <v>11157</v>
      </c>
      <c r="AS63" t="s">
        <v>11174</v>
      </c>
      <c r="AU63">
        <v>15</v>
      </c>
      <c r="AW63" t="s">
        <v>11187</v>
      </c>
      <c r="AY63" t="s">
        <v>11215</v>
      </c>
      <c r="BA63" t="s">
        <v>11223</v>
      </c>
      <c r="BB63" t="s">
        <v>11224</v>
      </c>
      <c r="BC63" t="s">
        <v>11232</v>
      </c>
      <c r="BE63" t="s">
        <v>11721</v>
      </c>
      <c r="BG63" t="s">
        <v>14391</v>
      </c>
      <c r="BM63" t="s">
        <v>15650</v>
      </c>
    </row>
    <row r="64" spans="1:67">
      <c r="A64" s="1">
        <f>HYPERLINK("https://lsnyc.legalserver.org/matter/dynamic-profile/view/1875900","18-1875900")</f>
        <v>0</v>
      </c>
      <c r="B64" t="s">
        <v>74</v>
      </c>
      <c r="C64" t="s">
        <v>248</v>
      </c>
      <c r="D64" t="s">
        <v>300</v>
      </c>
      <c r="F64" t="s">
        <v>1141</v>
      </c>
      <c r="G64" t="s">
        <v>2929</v>
      </c>
      <c r="H64" t="s">
        <v>4803</v>
      </c>
      <c r="I64" t="s">
        <v>6438</v>
      </c>
      <c r="J64" t="s">
        <v>7174</v>
      </c>
      <c r="K64">
        <v>11237</v>
      </c>
      <c r="N64" t="s">
        <v>7237</v>
      </c>
      <c r="O64" t="s">
        <v>7310</v>
      </c>
      <c r="P64">
        <v>5</v>
      </c>
      <c r="Q64">
        <v>0</v>
      </c>
      <c r="R64">
        <v>75.12</v>
      </c>
      <c r="U64">
        <v>22100</v>
      </c>
      <c r="W64">
        <v>13</v>
      </c>
      <c r="X64" t="s">
        <v>959</v>
      </c>
      <c r="Y64" t="s">
        <v>212</v>
      </c>
      <c r="AA64" t="s">
        <v>10974</v>
      </c>
      <c r="AB64" t="s">
        <v>300</v>
      </c>
      <c r="AD64" t="s">
        <v>11082</v>
      </c>
      <c r="AF64" t="s">
        <v>10384</v>
      </c>
      <c r="AH64" t="s">
        <v>10975</v>
      </c>
      <c r="AI64" t="s">
        <v>11126</v>
      </c>
      <c r="AK64" t="s">
        <v>7225</v>
      </c>
      <c r="AL64" t="s">
        <v>11150</v>
      </c>
      <c r="AM64">
        <v>0</v>
      </c>
      <c r="AN64" t="s">
        <v>11151</v>
      </c>
      <c r="AO64" t="s">
        <v>11153</v>
      </c>
      <c r="AP64" t="s">
        <v>11155</v>
      </c>
      <c r="AR64" t="s">
        <v>11172</v>
      </c>
      <c r="AT64" t="s">
        <v>11184</v>
      </c>
      <c r="AU64">
        <v>0</v>
      </c>
      <c r="AW64" t="s">
        <v>11187</v>
      </c>
      <c r="AZ64" t="s">
        <v>11221</v>
      </c>
      <c r="BD64" t="s">
        <v>11667</v>
      </c>
      <c r="BF64" t="s">
        <v>14364</v>
      </c>
      <c r="BG64" t="s">
        <v>14392</v>
      </c>
      <c r="BM64" t="s">
        <v>15650</v>
      </c>
    </row>
    <row r="65" spans="1:65">
      <c r="A65" s="1">
        <f>HYPERLINK("https://lsnyc.legalserver.org/matter/dynamic-profile/view/1914162","19-1914162")</f>
        <v>0</v>
      </c>
      <c r="B65" t="s">
        <v>74</v>
      </c>
      <c r="C65" t="s">
        <v>248</v>
      </c>
      <c r="D65" t="s">
        <v>301</v>
      </c>
      <c r="F65" t="s">
        <v>1142</v>
      </c>
      <c r="G65" t="s">
        <v>2930</v>
      </c>
      <c r="H65" t="s">
        <v>4804</v>
      </c>
      <c r="I65" t="s">
        <v>6437</v>
      </c>
      <c r="J65" t="s">
        <v>7174</v>
      </c>
      <c r="K65">
        <v>11212</v>
      </c>
      <c r="N65" t="s">
        <v>7237</v>
      </c>
      <c r="O65" t="s">
        <v>7311</v>
      </c>
      <c r="P65">
        <v>1</v>
      </c>
      <c r="Q65">
        <v>2</v>
      </c>
      <c r="R65">
        <v>97.27</v>
      </c>
      <c r="U65">
        <v>20748</v>
      </c>
      <c r="W65">
        <v>1</v>
      </c>
      <c r="X65" t="s">
        <v>301</v>
      </c>
      <c r="Y65" t="s">
        <v>10871</v>
      </c>
      <c r="Z65" t="s">
        <v>10972</v>
      </c>
      <c r="AA65" t="s">
        <v>10975</v>
      </c>
      <c r="AD65" t="s">
        <v>11082</v>
      </c>
      <c r="AE65" t="s">
        <v>11117</v>
      </c>
      <c r="AH65" t="s">
        <v>10975</v>
      </c>
      <c r="AI65" t="s">
        <v>11126</v>
      </c>
      <c r="AK65" t="s">
        <v>7225</v>
      </c>
      <c r="AM65">
        <v>1100</v>
      </c>
      <c r="AO65">
        <v>6</v>
      </c>
      <c r="AQ65" t="s">
        <v>11157</v>
      </c>
      <c r="AR65" t="s">
        <v>11172</v>
      </c>
      <c r="AU65">
        <v>9</v>
      </c>
      <c r="AW65" t="s">
        <v>11187</v>
      </c>
      <c r="AY65" t="s">
        <v>11213</v>
      </c>
      <c r="AZ65" t="s">
        <v>11221</v>
      </c>
      <c r="BA65" t="s">
        <v>11173</v>
      </c>
      <c r="BE65" t="s">
        <v>11722</v>
      </c>
      <c r="BF65" t="s">
        <v>14364</v>
      </c>
      <c r="BM65" t="s">
        <v>15650</v>
      </c>
    </row>
    <row r="66" spans="1:65">
      <c r="A66" s="1">
        <f>HYPERLINK("https://lsnyc.legalserver.org/matter/dynamic-profile/view/1895274","19-1895274")</f>
        <v>0</v>
      </c>
      <c r="B66" t="s">
        <v>74</v>
      </c>
      <c r="C66" t="s">
        <v>248</v>
      </c>
      <c r="D66" t="s">
        <v>299</v>
      </c>
      <c r="F66" t="s">
        <v>1143</v>
      </c>
      <c r="G66" t="s">
        <v>2931</v>
      </c>
      <c r="H66" t="s">
        <v>4805</v>
      </c>
      <c r="I66" t="s">
        <v>6417</v>
      </c>
      <c r="J66" t="s">
        <v>7174</v>
      </c>
      <c r="K66">
        <v>11221</v>
      </c>
      <c r="N66" t="s">
        <v>7237</v>
      </c>
      <c r="O66" t="s">
        <v>7312</v>
      </c>
      <c r="P66">
        <v>3</v>
      </c>
      <c r="Q66">
        <v>0</v>
      </c>
      <c r="R66">
        <v>134.08</v>
      </c>
      <c r="U66">
        <v>28600</v>
      </c>
      <c r="W66">
        <v>21.2</v>
      </c>
      <c r="X66" t="s">
        <v>263</v>
      </c>
      <c r="Y66" t="s">
        <v>101</v>
      </c>
      <c r="AA66" t="s">
        <v>10974</v>
      </c>
      <c r="AB66" t="s">
        <v>10980</v>
      </c>
      <c r="AD66" t="s">
        <v>11090</v>
      </c>
      <c r="AF66" t="s">
        <v>11123</v>
      </c>
      <c r="AH66" t="s">
        <v>10974</v>
      </c>
      <c r="AJ66" t="s">
        <v>11104</v>
      </c>
      <c r="AK66" t="s">
        <v>7225</v>
      </c>
      <c r="AM66">
        <v>1292.5</v>
      </c>
      <c r="AN66" t="s">
        <v>11151</v>
      </c>
      <c r="AO66" t="s">
        <v>11153</v>
      </c>
      <c r="AP66" t="s">
        <v>11155</v>
      </c>
      <c r="AS66" t="s">
        <v>11173</v>
      </c>
      <c r="AU66">
        <v>13</v>
      </c>
      <c r="AW66" t="s">
        <v>11187</v>
      </c>
      <c r="BA66" t="s">
        <v>11222</v>
      </c>
      <c r="BE66" t="s">
        <v>11723</v>
      </c>
      <c r="BG66" t="s">
        <v>14393</v>
      </c>
      <c r="BM66" t="s">
        <v>15650</v>
      </c>
    </row>
    <row r="67" spans="1:65">
      <c r="A67" s="1">
        <f>HYPERLINK("https://lsnyc.legalserver.org/matter/dynamic-profile/view/1895330","19-1895330")</f>
        <v>0</v>
      </c>
      <c r="B67" t="s">
        <v>74</v>
      </c>
      <c r="C67" t="s">
        <v>248</v>
      </c>
      <c r="D67" t="s">
        <v>299</v>
      </c>
      <c r="F67" t="s">
        <v>1144</v>
      </c>
      <c r="G67" t="s">
        <v>2932</v>
      </c>
      <c r="H67" t="s">
        <v>4800</v>
      </c>
      <c r="I67" t="s">
        <v>6424</v>
      </c>
      <c r="J67" t="s">
        <v>7174</v>
      </c>
      <c r="K67">
        <v>11221</v>
      </c>
      <c r="N67" t="s">
        <v>7242</v>
      </c>
      <c r="O67" t="s">
        <v>7313</v>
      </c>
      <c r="P67">
        <v>1</v>
      </c>
      <c r="Q67">
        <v>0</v>
      </c>
      <c r="R67">
        <v>384.31</v>
      </c>
      <c r="U67">
        <v>48000</v>
      </c>
      <c r="V67" t="s">
        <v>10286</v>
      </c>
      <c r="W67">
        <v>0</v>
      </c>
      <c r="Y67" t="s">
        <v>225</v>
      </c>
      <c r="AA67" t="s">
        <v>10974</v>
      </c>
      <c r="AB67" t="s">
        <v>299</v>
      </c>
      <c r="AD67" t="s">
        <v>11097</v>
      </c>
      <c r="AF67" t="s">
        <v>11123</v>
      </c>
      <c r="AH67" t="s">
        <v>10974</v>
      </c>
      <c r="AJ67" t="s">
        <v>11141</v>
      </c>
      <c r="AK67" t="s">
        <v>7225</v>
      </c>
      <c r="AM67">
        <v>780</v>
      </c>
      <c r="AO67">
        <v>12</v>
      </c>
      <c r="AQ67" t="s">
        <v>11157</v>
      </c>
      <c r="AS67" t="s">
        <v>11173</v>
      </c>
      <c r="AU67">
        <v>15</v>
      </c>
      <c r="AW67" t="s">
        <v>11187</v>
      </c>
      <c r="AZ67" t="s">
        <v>11221</v>
      </c>
      <c r="BA67" t="s">
        <v>11173</v>
      </c>
      <c r="BE67" t="s">
        <v>11724</v>
      </c>
      <c r="BF67" t="s">
        <v>14364</v>
      </c>
      <c r="BM67" t="s">
        <v>15650</v>
      </c>
    </row>
    <row r="68" spans="1:65">
      <c r="A68" s="1">
        <f>HYPERLINK("https://lsnyc.legalserver.org/matter/dynamic-profile/view/1895315","19-1895315")</f>
        <v>0</v>
      </c>
      <c r="B68" t="s">
        <v>74</v>
      </c>
      <c r="C68" t="s">
        <v>248</v>
      </c>
      <c r="D68" t="s">
        <v>299</v>
      </c>
      <c r="F68" t="s">
        <v>1143</v>
      </c>
      <c r="G68" t="s">
        <v>2933</v>
      </c>
      <c r="H68" t="s">
        <v>4805</v>
      </c>
      <c r="I68" t="s">
        <v>6417</v>
      </c>
      <c r="J68" t="s">
        <v>7174</v>
      </c>
      <c r="K68">
        <v>11221</v>
      </c>
      <c r="N68" t="s">
        <v>7237</v>
      </c>
      <c r="O68" t="s">
        <v>7312</v>
      </c>
      <c r="P68">
        <v>2</v>
      </c>
      <c r="Q68">
        <v>0</v>
      </c>
      <c r="R68">
        <v>184.51</v>
      </c>
      <c r="U68">
        <v>31200</v>
      </c>
      <c r="W68">
        <v>12</v>
      </c>
      <c r="X68" t="s">
        <v>332</v>
      </c>
      <c r="Y68" t="s">
        <v>225</v>
      </c>
      <c r="AA68" t="s">
        <v>10974</v>
      </c>
      <c r="AB68" t="s">
        <v>299</v>
      </c>
      <c r="AD68" t="s">
        <v>11097</v>
      </c>
      <c r="AF68" t="s">
        <v>11118</v>
      </c>
      <c r="AH68" t="s">
        <v>10974</v>
      </c>
      <c r="AI68" t="s">
        <v>11126</v>
      </c>
      <c r="AK68" t="s">
        <v>7225</v>
      </c>
      <c r="AM68">
        <v>1292.5</v>
      </c>
      <c r="AO68">
        <v>16</v>
      </c>
      <c r="AQ68" t="s">
        <v>11157</v>
      </c>
      <c r="AS68" t="s">
        <v>11173</v>
      </c>
      <c r="AU68">
        <v>10</v>
      </c>
      <c r="AW68" t="s">
        <v>11187</v>
      </c>
      <c r="BA68" t="s">
        <v>11222</v>
      </c>
      <c r="BE68" t="s">
        <v>11725</v>
      </c>
      <c r="BG68" t="s">
        <v>14394</v>
      </c>
      <c r="BM68" t="s">
        <v>15650</v>
      </c>
    </row>
    <row r="69" spans="1:65">
      <c r="A69" s="1">
        <f>HYPERLINK("https://lsnyc.legalserver.org/matter/dynamic-profile/view/1908630","19-1908630")</f>
        <v>0</v>
      </c>
      <c r="B69" t="s">
        <v>74</v>
      </c>
      <c r="C69" t="s">
        <v>248</v>
      </c>
      <c r="D69" t="s">
        <v>302</v>
      </c>
      <c r="F69" t="s">
        <v>1145</v>
      </c>
      <c r="G69" t="s">
        <v>2934</v>
      </c>
      <c r="H69" t="s">
        <v>4806</v>
      </c>
      <c r="I69">
        <v>219</v>
      </c>
      <c r="J69" t="s">
        <v>7174</v>
      </c>
      <c r="K69">
        <v>11212</v>
      </c>
      <c r="N69" t="s">
        <v>7237</v>
      </c>
      <c r="O69" t="s">
        <v>7314</v>
      </c>
      <c r="P69">
        <v>1</v>
      </c>
      <c r="Q69">
        <v>0</v>
      </c>
      <c r="R69">
        <v>38.24</v>
      </c>
      <c r="U69">
        <v>4776</v>
      </c>
      <c r="W69">
        <v>9.1</v>
      </c>
      <c r="X69" t="s">
        <v>264</v>
      </c>
      <c r="Y69" t="s">
        <v>10872</v>
      </c>
      <c r="AA69" t="s">
        <v>10974</v>
      </c>
      <c r="AB69" t="s">
        <v>263</v>
      </c>
      <c r="AD69" t="s">
        <v>11082</v>
      </c>
      <c r="AF69" t="s">
        <v>11121</v>
      </c>
      <c r="AH69" t="s">
        <v>10975</v>
      </c>
      <c r="AJ69" t="s">
        <v>11140</v>
      </c>
      <c r="AK69" t="s">
        <v>7225</v>
      </c>
      <c r="AM69">
        <v>895.23</v>
      </c>
      <c r="AO69">
        <v>132</v>
      </c>
      <c r="AQ69" t="s">
        <v>11157</v>
      </c>
      <c r="AR69" t="s">
        <v>11172</v>
      </c>
      <c r="AU69">
        <v>1</v>
      </c>
      <c r="AW69" t="s">
        <v>11187</v>
      </c>
      <c r="AY69" t="s">
        <v>11213</v>
      </c>
      <c r="BA69" t="s">
        <v>11222</v>
      </c>
      <c r="BC69" t="s">
        <v>11230</v>
      </c>
      <c r="BE69" t="s">
        <v>11726</v>
      </c>
      <c r="BG69" t="s">
        <v>14395</v>
      </c>
      <c r="BM69" t="s">
        <v>15650</v>
      </c>
    </row>
    <row r="70" spans="1:65">
      <c r="A70" s="1">
        <f>HYPERLINK("https://lsnyc.legalserver.org/matter/dynamic-profile/view/1895340","19-1895340")</f>
        <v>0</v>
      </c>
      <c r="B70" t="s">
        <v>74</v>
      </c>
      <c r="C70" t="s">
        <v>248</v>
      </c>
      <c r="D70" t="s">
        <v>299</v>
      </c>
      <c r="F70" t="s">
        <v>1146</v>
      </c>
      <c r="G70" t="s">
        <v>2935</v>
      </c>
      <c r="H70" t="s">
        <v>4800</v>
      </c>
      <c r="I70" t="s">
        <v>6437</v>
      </c>
      <c r="J70" t="s">
        <v>7174</v>
      </c>
      <c r="K70">
        <v>11221</v>
      </c>
      <c r="N70" t="s">
        <v>7242</v>
      </c>
      <c r="O70" t="s">
        <v>7315</v>
      </c>
      <c r="P70">
        <v>5</v>
      </c>
      <c r="Q70">
        <v>2</v>
      </c>
      <c r="R70">
        <v>133.3</v>
      </c>
      <c r="U70">
        <v>52000</v>
      </c>
      <c r="V70" t="s">
        <v>10287</v>
      </c>
      <c r="W70">
        <v>3</v>
      </c>
      <c r="X70" t="s">
        <v>666</v>
      </c>
      <c r="Y70" t="s">
        <v>225</v>
      </c>
      <c r="AA70" t="s">
        <v>10974</v>
      </c>
      <c r="AB70" t="s">
        <v>299</v>
      </c>
      <c r="AD70" t="s">
        <v>11097</v>
      </c>
      <c r="AF70" t="s">
        <v>11123</v>
      </c>
      <c r="AH70" t="s">
        <v>10974</v>
      </c>
      <c r="AJ70" t="s">
        <v>11141</v>
      </c>
      <c r="AK70" t="s">
        <v>7225</v>
      </c>
      <c r="AM70">
        <v>834</v>
      </c>
      <c r="AO70">
        <v>12</v>
      </c>
      <c r="AQ70" t="s">
        <v>11157</v>
      </c>
      <c r="AS70" t="s">
        <v>11173</v>
      </c>
      <c r="AU70">
        <v>26</v>
      </c>
      <c r="AW70" t="s">
        <v>11187</v>
      </c>
      <c r="BA70" t="s">
        <v>11222</v>
      </c>
      <c r="BC70" t="s">
        <v>11173</v>
      </c>
      <c r="BE70" t="s">
        <v>11727</v>
      </c>
      <c r="BF70" t="s">
        <v>14364</v>
      </c>
      <c r="BG70" t="s">
        <v>14396</v>
      </c>
      <c r="BM70" t="s">
        <v>15650</v>
      </c>
    </row>
    <row r="71" spans="1:65">
      <c r="A71" s="1">
        <f>HYPERLINK("https://lsnyc.legalserver.org/matter/dynamic-profile/view/1845584","17-1845584")</f>
        <v>0</v>
      </c>
      <c r="B71" t="s">
        <v>74</v>
      </c>
      <c r="C71" t="s">
        <v>248</v>
      </c>
      <c r="D71" t="s">
        <v>303</v>
      </c>
      <c r="F71" t="s">
        <v>1147</v>
      </c>
      <c r="G71" t="s">
        <v>2936</v>
      </c>
      <c r="H71" t="s">
        <v>4807</v>
      </c>
      <c r="I71" t="s">
        <v>6415</v>
      </c>
      <c r="J71" t="s">
        <v>7174</v>
      </c>
      <c r="K71">
        <v>11210</v>
      </c>
      <c r="N71" t="s">
        <v>7237</v>
      </c>
      <c r="O71" t="s">
        <v>7316</v>
      </c>
      <c r="P71">
        <v>2</v>
      </c>
      <c r="Q71">
        <v>0</v>
      </c>
      <c r="R71">
        <v>182.02</v>
      </c>
      <c r="U71">
        <v>29560</v>
      </c>
      <c r="W71">
        <v>0.1</v>
      </c>
      <c r="X71" t="s">
        <v>10803</v>
      </c>
      <c r="Y71" t="s">
        <v>225</v>
      </c>
      <c r="AA71" t="s">
        <v>10974</v>
      </c>
      <c r="AB71" t="s">
        <v>849</v>
      </c>
      <c r="AC71" t="s">
        <v>11081</v>
      </c>
      <c r="AF71" t="s">
        <v>10384</v>
      </c>
      <c r="AG71" t="s">
        <v>11124</v>
      </c>
      <c r="AI71" t="s">
        <v>11126</v>
      </c>
      <c r="AK71" t="s">
        <v>7225</v>
      </c>
      <c r="AM71">
        <v>1350</v>
      </c>
      <c r="AO71">
        <v>12</v>
      </c>
      <c r="AQ71" t="s">
        <v>11157</v>
      </c>
      <c r="AR71" t="s">
        <v>11172</v>
      </c>
      <c r="AU71">
        <v>4</v>
      </c>
      <c r="AW71" t="s">
        <v>11187</v>
      </c>
      <c r="AZ71" t="s">
        <v>11221</v>
      </c>
      <c r="BE71" t="s">
        <v>11728</v>
      </c>
      <c r="BF71" t="s">
        <v>14364</v>
      </c>
      <c r="BM71" t="s">
        <v>15650</v>
      </c>
    </row>
    <row r="72" spans="1:65">
      <c r="A72" s="1">
        <f>HYPERLINK("https://lsnyc.legalserver.org/matter/dynamic-profile/view/1908072","19-1908072")</f>
        <v>0</v>
      </c>
      <c r="B72" t="s">
        <v>74</v>
      </c>
      <c r="C72" t="s">
        <v>248</v>
      </c>
      <c r="D72" t="s">
        <v>304</v>
      </c>
      <c r="F72" t="s">
        <v>1148</v>
      </c>
      <c r="G72" t="s">
        <v>2937</v>
      </c>
      <c r="H72" t="s">
        <v>4808</v>
      </c>
      <c r="I72" t="s">
        <v>6426</v>
      </c>
      <c r="J72" t="s">
        <v>7174</v>
      </c>
      <c r="K72">
        <v>11233</v>
      </c>
      <c r="N72" t="s">
        <v>7237</v>
      </c>
      <c r="O72" t="s">
        <v>7317</v>
      </c>
      <c r="P72">
        <v>1</v>
      </c>
      <c r="Q72">
        <v>0</v>
      </c>
      <c r="R72">
        <v>175.53</v>
      </c>
      <c r="U72">
        <v>21924</v>
      </c>
      <c r="W72">
        <v>6.5</v>
      </c>
      <c r="X72" t="s">
        <v>563</v>
      </c>
      <c r="Y72" t="s">
        <v>10873</v>
      </c>
      <c r="AA72" t="s">
        <v>10974</v>
      </c>
      <c r="AB72" t="s">
        <v>660</v>
      </c>
      <c r="AD72" t="s">
        <v>11082</v>
      </c>
      <c r="AF72" t="s">
        <v>11118</v>
      </c>
      <c r="AH72" t="s">
        <v>10975</v>
      </c>
      <c r="AI72" t="s">
        <v>11126</v>
      </c>
      <c r="AK72" t="s">
        <v>7225</v>
      </c>
      <c r="AM72">
        <v>1132</v>
      </c>
      <c r="AO72">
        <v>6</v>
      </c>
      <c r="AQ72" t="s">
        <v>11157</v>
      </c>
      <c r="AR72" t="s">
        <v>11172</v>
      </c>
      <c r="AU72">
        <v>10</v>
      </c>
      <c r="AW72" t="s">
        <v>11187</v>
      </c>
      <c r="AY72" t="s">
        <v>11214</v>
      </c>
      <c r="BA72" t="s">
        <v>11222</v>
      </c>
      <c r="BE72" t="s">
        <v>11729</v>
      </c>
      <c r="BG72" t="s">
        <v>14397</v>
      </c>
      <c r="BM72" t="s">
        <v>15650</v>
      </c>
    </row>
    <row r="73" spans="1:65">
      <c r="A73" s="1">
        <f>HYPERLINK("https://lsnyc.legalserver.org/matter/dynamic-profile/view/1912981","19-1912981")</f>
        <v>0</v>
      </c>
      <c r="B73" t="s">
        <v>74</v>
      </c>
      <c r="C73" t="s">
        <v>248</v>
      </c>
      <c r="D73" t="s">
        <v>305</v>
      </c>
      <c r="F73" t="s">
        <v>1149</v>
      </c>
      <c r="G73" t="s">
        <v>2938</v>
      </c>
      <c r="H73" t="s">
        <v>4809</v>
      </c>
      <c r="I73" t="s">
        <v>6439</v>
      </c>
      <c r="J73" t="s">
        <v>7174</v>
      </c>
      <c r="K73">
        <v>11212</v>
      </c>
      <c r="N73" t="s">
        <v>7237</v>
      </c>
      <c r="O73" t="s">
        <v>7318</v>
      </c>
      <c r="P73">
        <v>1</v>
      </c>
      <c r="Q73">
        <v>1</v>
      </c>
      <c r="R73">
        <v>248.37</v>
      </c>
      <c r="U73">
        <v>42000</v>
      </c>
      <c r="V73" t="s">
        <v>10288</v>
      </c>
      <c r="W73">
        <v>0</v>
      </c>
      <c r="Y73" t="s">
        <v>225</v>
      </c>
      <c r="AA73" t="s">
        <v>10974</v>
      </c>
      <c r="AB73" t="s">
        <v>599</v>
      </c>
      <c r="AD73" t="s">
        <v>11082</v>
      </c>
      <c r="AE73" t="s">
        <v>11117</v>
      </c>
      <c r="AH73" t="s">
        <v>10975</v>
      </c>
      <c r="AJ73" t="s">
        <v>11137</v>
      </c>
      <c r="AK73" t="s">
        <v>7225</v>
      </c>
      <c r="AM73">
        <v>1331</v>
      </c>
      <c r="AO73">
        <v>101</v>
      </c>
      <c r="AQ73" t="s">
        <v>11157</v>
      </c>
      <c r="AS73" t="s">
        <v>11173</v>
      </c>
      <c r="AU73">
        <v>21</v>
      </c>
      <c r="AW73" t="s">
        <v>11187</v>
      </c>
      <c r="AY73" t="s">
        <v>11213</v>
      </c>
      <c r="BA73" t="s">
        <v>11222</v>
      </c>
      <c r="BC73" t="s">
        <v>11228</v>
      </c>
      <c r="BE73" t="s">
        <v>11730</v>
      </c>
      <c r="BG73" t="s">
        <v>14398</v>
      </c>
      <c r="BM73" t="s">
        <v>15650</v>
      </c>
    </row>
    <row r="74" spans="1:65">
      <c r="A74" s="1">
        <f>HYPERLINK("https://lsnyc.legalserver.org/matter/dynamic-profile/view/1895326","19-1895326")</f>
        <v>0</v>
      </c>
      <c r="B74" t="s">
        <v>74</v>
      </c>
      <c r="C74" t="s">
        <v>248</v>
      </c>
      <c r="D74" t="s">
        <v>299</v>
      </c>
      <c r="F74" t="s">
        <v>1150</v>
      </c>
      <c r="G74" t="s">
        <v>2939</v>
      </c>
      <c r="H74" t="s">
        <v>4801</v>
      </c>
      <c r="I74" t="s">
        <v>6440</v>
      </c>
      <c r="J74" t="s">
        <v>7174</v>
      </c>
      <c r="K74">
        <v>11221</v>
      </c>
      <c r="N74" t="s">
        <v>7242</v>
      </c>
      <c r="O74" t="s">
        <v>7319</v>
      </c>
      <c r="P74">
        <v>3</v>
      </c>
      <c r="Q74">
        <v>2</v>
      </c>
      <c r="R74">
        <v>265.16</v>
      </c>
      <c r="U74">
        <v>80000</v>
      </c>
      <c r="V74" t="s">
        <v>10289</v>
      </c>
      <c r="W74">
        <v>0</v>
      </c>
      <c r="Y74" t="s">
        <v>225</v>
      </c>
      <c r="AA74" t="s">
        <v>10974</v>
      </c>
      <c r="AB74" t="s">
        <v>299</v>
      </c>
      <c r="AD74" t="s">
        <v>11097</v>
      </c>
      <c r="AF74" t="s">
        <v>11123</v>
      </c>
      <c r="AH74" t="s">
        <v>10974</v>
      </c>
      <c r="AJ74" t="s">
        <v>11141</v>
      </c>
      <c r="AK74" t="s">
        <v>7225</v>
      </c>
      <c r="AM74">
        <v>732</v>
      </c>
      <c r="AO74">
        <v>13</v>
      </c>
      <c r="AQ74" t="s">
        <v>11157</v>
      </c>
      <c r="AS74" t="s">
        <v>11173</v>
      </c>
      <c r="AU74">
        <v>25</v>
      </c>
      <c r="AW74" t="s">
        <v>11187</v>
      </c>
      <c r="BA74" t="s">
        <v>11222</v>
      </c>
      <c r="BC74" t="s">
        <v>11173</v>
      </c>
      <c r="BE74" t="s">
        <v>11731</v>
      </c>
      <c r="BF74" t="s">
        <v>14364</v>
      </c>
      <c r="BM74" t="s">
        <v>15650</v>
      </c>
    </row>
    <row r="75" spans="1:65">
      <c r="A75" s="1">
        <f>HYPERLINK("https://lsnyc.legalserver.org/matter/dynamic-profile/view/1911183","19-1911183")</f>
        <v>0</v>
      </c>
      <c r="B75" t="s">
        <v>74</v>
      </c>
      <c r="C75" t="s">
        <v>248</v>
      </c>
      <c r="D75" t="s">
        <v>306</v>
      </c>
      <c r="F75" t="s">
        <v>1151</v>
      </c>
      <c r="G75" t="s">
        <v>2940</v>
      </c>
      <c r="H75" t="s">
        <v>4810</v>
      </c>
      <c r="J75" t="s">
        <v>7174</v>
      </c>
      <c r="K75">
        <v>11212</v>
      </c>
      <c r="N75" t="s">
        <v>7237</v>
      </c>
      <c r="O75" t="s">
        <v>7280</v>
      </c>
      <c r="P75">
        <v>3</v>
      </c>
      <c r="Q75">
        <v>2</v>
      </c>
      <c r="R75">
        <v>48.54</v>
      </c>
      <c r="U75">
        <v>14644</v>
      </c>
      <c r="W75">
        <v>0</v>
      </c>
      <c r="Y75" t="s">
        <v>10874</v>
      </c>
      <c r="AA75" t="s">
        <v>10974</v>
      </c>
      <c r="AB75" t="s">
        <v>306</v>
      </c>
      <c r="AD75" t="s">
        <v>11097</v>
      </c>
      <c r="AE75" t="s">
        <v>11117</v>
      </c>
      <c r="AH75" t="s">
        <v>10975</v>
      </c>
      <c r="AJ75" t="s">
        <v>11132</v>
      </c>
      <c r="AK75" t="s">
        <v>7225</v>
      </c>
      <c r="AL75" t="s">
        <v>11150</v>
      </c>
      <c r="AM75">
        <v>0</v>
      </c>
      <c r="AO75">
        <v>46</v>
      </c>
      <c r="AQ75" t="s">
        <v>11157</v>
      </c>
      <c r="AS75" t="s">
        <v>11173</v>
      </c>
      <c r="AU75">
        <v>3</v>
      </c>
      <c r="AW75" t="s">
        <v>11189</v>
      </c>
      <c r="AY75" t="s">
        <v>11214</v>
      </c>
      <c r="BA75" t="s">
        <v>11222</v>
      </c>
      <c r="BC75" t="s">
        <v>11233</v>
      </c>
      <c r="BE75" t="s">
        <v>11732</v>
      </c>
      <c r="BG75" t="s">
        <v>14399</v>
      </c>
      <c r="BM75" t="s">
        <v>15650</v>
      </c>
    </row>
    <row r="76" spans="1:65">
      <c r="A76" s="1">
        <f>HYPERLINK("https://lsnyc.legalserver.org/matter/dynamic-profile/view/1895385","19-1895385")</f>
        <v>0</v>
      </c>
      <c r="B76" t="s">
        <v>74</v>
      </c>
      <c r="C76" t="s">
        <v>248</v>
      </c>
      <c r="D76" t="s">
        <v>299</v>
      </c>
      <c r="F76" t="s">
        <v>1152</v>
      </c>
      <c r="G76" t="s">
        <v>2941</v>
      </c>
      <c r="H76" t="s">
        <v>4800</v>
      </c>
      <c r="I76" t="s">
        <v>6405</v>
      </c>
      <c r="J76" t="s">
        <v>7174</v>
      </c>
      <c r="K76">
        <v>11221</v>
      </c>
      <c r="N76" t="s">
        <v>7242</v>
      </c>
      <c r="O76" t="s">
        <v>7320</v>
      </c>
      <c r="P76">
        <v>1</v>
      </c>
      <c r="Q76">
        <v>0</v>
      </c>
      <c r="R76">
        <v>166.53</v>
      </c>
      <c r="U76">
        <v>20800</v>
      </c>
      <c r="V76" t="s">
        <v>10290</v>
      </c>
      <c r="W76">
        <v>60.5</v>
      </c>
      <c r="X76" t="s">
        <v>614</v>
      </c>
      <c r="Y76" t="s">
        <v>225</v>
      </c>
      <c r="AA76" t="s">
        <v>10974</v>
      </c>
      <c r="AB76" t="s">
        <v>299</v>
      </c>
      <c r="AD76" t="s">
        <v>11097</v>
      </c>
      <c r="AF76" t="s">
        <v>11123</v>
      </c>
      <c r="AH76" t="s">
        <v>10974</v>
      </c>
      <c r="AJ76" t="s">
        <v>11134</v>
      </c>
      <c r="AK76" t="s">
        <v>7225</v>
      </c>
      <c r="AM76">
        <v>763</v>
      </c>
      <c r="AO76">
        <v>12</v>
      </c>
      <c r="AQ76" t="s">
        <v>11157</v>
      </c>
      <c r="AS76" t="s">
        <v>11173</v>
      </c>
      <c r="AU76">
        <v>10</v>
      </c>
      <c r="AW76" t="s">
        <v>11187</v>
      </c>
      <c r="BA76" t="s">
        <v>11222</v>
      </c>
      <c r="BE76" t="s">
        <v>11733</v>
      </c>
      <c r="BF76" t="s">
        <v>14364</v>
      </c>
      <c r="BG76" t="s">
        <v>14390</v>
      </c>
      <c r="BM76" t="s">
        <v>15650</v>
      </c>
    </row>
    <row r="77" spans="1:65">
      <c r="A77" s="1">
        <f>HYPERLINK("https://lsnyc.legalserver.org/matter/dynamic-profile/view/1902656","19-1902656")</f>
        <v>0</v>
      </c>
      <c r="B77" t="s">
        <v>74</v>
      </c>
      <c r="C77" t="s">
        <v>248</v>
      </c>
      <c r="D77" t="s">
        <v>307</v>
      </c>
      <c r="F77" t="s">
        <v>1153</v>
      </c>
      <c r="G77" t="s">
        <v>2942</v>
      </c>
      <c r="H77" t="s">
        <v>4811</v>
      </c>
      <c r="I77" t="s">
        <v>6413</v>
      </c>
      <c r="J77" t="s">
        <v>7174</v>
      </c>
      <c r="K77">
        <v>11233</v>
      </c>
      <c r="N77" t="s">
        <v>7237</v>
      </c>
      <c r="O77" t="s">
        <v>7321</v>
      </c>
      <c r="P77">
        <v>1</v>
      </c>
      <c r="Q77">
        <v>0</v>
      </c>
      <c r="R77">
        <v>0</v>
      </c>
      <c r="U77">
        <v>0</v>
      </c>
      <c r="W77">
        <v>5</v>
      </c>
      <c r="X77" t="s">
        <v>611</v>
      </c>
      <c r="Y77" t="s">
        <v>225</v>
      </c>
      <c r="AA77" t="s">
        <v>10974</v>
      </c>
      <c r="AB77" t="s">
        <v>307</v>
      </c>
      <c r="AD77" t="s">
        <v>11086</v>
      </c>
      <c r="AE77" t="s">
        <v>11117</v>
      </c>
      <c r="AH77" t="s">
        <v>10975</v>
      </c>
      <c r="AJ77" t="s">
        <v>11131</v>
      </c>
      <c r="AK77" t="s">
        <v>7225</v>
      </c>
      <c r="AM77">
        <v>333</v>
      </c>
      <c r="AO77">
        <v>6</v>
      </c>
      <c r="AQ77" t="s">
        <v>11156</v>
      </c>
      <c r="AS77" t="s">
        <v>11174</v>
      </c>
      <c r="AU77">
        <v>10</v>
      </c>
      <c r="AW77" t="s">
        <v>11187</v>
      </c>
      <c r="AY77" t="s">
        <v>11213</v>
      </c>
      <c r="BA77" t="s">
        <v>11222</v>
      </c>
      <c r="BC77" t="s">
        <v>11234</v>
      </c>
      <c r="BE77" t="s">
        <v>11734</v>
      </c>
      <c r="BF77" t="s">
        <v>14364</v>
      </c>
      <c r="BG77" t="s">
        <v>11173</v>
      </c>
      <c r="BM77" t="s">
        <v>15650</v>
      </c>
    </row>
    <row r="78" spans="1:65">
      <c r="A78" s="1">
        <f>HYPERLINK("https://lsnyc.legalserver.org/matter/dynamic-profile/view/1864351","18-1864351")</f>
        <v>0</v>
      </c>
      <c r="B78" t="s">
        <v>74</v>
      </c>
      <c r="C78" t="s">
        <v>248</v>
      </c>
      <c r="D78" t="s">
        <v>308</v>
      </c>
      <c r="F78" t="s">
        <v>1154</v>
      </c>
      <c r="G78" t="s">
        <v>2692</v>
      </c>
      <c r="H78" t="s">
        <v>4812</v>
      </c>
      <c r="I78" t="s">
        <v>6426</v>
      </c>
      <c r="J78" t="s">
        <v>7174</v>
      </c>
      <c r="K78">
        <v>11233</v>
      </c>
      <c r="N78" t="s">
        <v>7237</v>
      </c>
      <c r="O78" t="s">
        <v>7322</v>
      </c>
      <c r="P78">
        <v>2</v>
      </c>
      <c r="Q78">
        <v>1</v>
      </c>
      <c r="R78">
        <v>115.32</v>
      </c>
      <c r="S78" t="s">
        <v>10254</v>
      </c>
      <c r="T78" t="s">
        <v>10275</v>
      </c>
      <c r="U78">
        <v>23964</v>
      </c>
      <c r="W78">
        <v>3</v>
      </c>
      <c r="X78" t="s">
        <v>308</v>
      </c>
      <c r="Y78" t="s">
        <v>74</v>
      </c>
      <c r="AA78" t="s">
        <v>10974</v>
      </c>
      <c r="AB78" t="s">
        <v>871</v>
      </c>
      <c r="AD78" t="s">
        <v>11096</v>
      </c>
      <c r="AF78" t="s">
        <v>11122</v>
      </c>
      <c r="AG78" t="s">
        <v>11124</v>
      </c>
      <c r="AJ78" t="s">
        <v>11133</v>
      </c>
      <c r="AK78" t="s">
        <v>11149</v>
      </c>
      <c r="AM78">
        <v>1477</v>
      </c>
      <c r="AO78">
        <v>15</v>
      </c>
      <c r="AQ78" t="s">
        <v>11157</v>
      </c>
      <c r="AS78" t="s">
        <v>11177</v>
      </c>
      <c r="AU78">
        <v>9</v>
      </c>
      <c r="AW78" t="s">
        <v>11187</v>
      </c>
      <c r="AZ78" t="s">
        <v>11221</v>
      </c>
      <c r="BB78" t="s">
        <v>11224</v>
      </c>
      <c r="BC78">
        <v>8844652</v>
      </c>
      <c r="BE78" t="s">
        <v>11735</v>
      </c>
      <c r="BF78" t="s">
        <v>14364</v>
      </c>
      <c r="BM78" t="s">
        <v>15650</v>
      </c>
    </row>
    <row r="79" spans="1:65">
      <c r="A79" s="1">
        <f>HYPERLINK("https://lsnyc.legalserver.org/matter/dynamic-profile/view/1915199","19-1915199")</f>
        <v>0</v>
      </c>
      <c r="B79" t="s">
        <v>75</v>
      </c>
      <c r="C79" t="s">
        <v>248</v>
      </c>
      <c r="D79" t="s">
        <v>309</v>
      </c>
      <c r="F79" t="s">
        <v>1155</v>
      </c>
      <c r="G79" t="s">
        <v>2943</v>
      </c>
      <c r="H79" t="s">
        <v>4813</v>
      </c>
      <c r="I79">
        <v>23</v>
      </c>
      <c r="J79" t="s">
        <v>7174</v>
      </c>
      <c r="K79">
        <v>11225</v>
      </c>
      <c r="N79" t="s">
        <v>7237</v>
      </c>
      <c r="O79" t="s">
        <v>7323</v>
      </c>
      <c r="P79">
        <v>1</v>
      </c>
      <c r="Q79">
        <v>0</v>
      </c>
      <c r="R79">
        <v>74.08</v>
      </c>
      <c r="T79" t="s">
        <v>10278</v>
      </c>
      <c r="U79">
        <v>9252</v>
      </c>
      <c r="W79">
        <v>0.25</v>
      </c>
      <c r="X79" t="s">
        <v>548</v>
      </c>
      <c r="Y79" t="s">
        <v>165</v>
      </c>
      <c r="AA79" t="s">
        <v>10974</v>
      </c>
      <c r="AB79" t="s">
        <v>311</v>
      </c>
      <c r="AD79" t="s">
        <v>11098</v>
      </c>
      <c r="AF79" t="s">
        <v>11122</v>
      </c>
      <c r="AH79" t="s">
        <v>10975</v>
      </c>
      <c r="AJ79" t="s">
        <v>11129</v>
      </c>
      <c r="AK79" t="s">
        <v>7225</v>
      </c>
      <c r="AL79" t="s">
        <v>11150</v>
      </c>
      <c r="AM79">
        <v>0</v>
      </c>
      <c r="AN79" t="s">
        <v>11151</v>
      </c>
      <c r="AO79" t="s">
        <v>11153</v>
      </c>
      <c r="AP79" t="s">
        <v>11155</v>
      </c>
      <c r="AR79" t="s">
        <v>11172</v>
      </c>
      <c r="AU79">
        <v>40</v>
      </c>
      <c r="AW79" t="s">
        <v>11189</v>
      </c>
      <c r="AY79" t="s">
        <v>11213</v>
      </c>
      <c r="BA79" t="s">
        <v>11222</v>
      </c>
      <c r="BE79" t="s">
        <v>11736</v>
      </c>
      <c r="BF79" t="s">
        <v>14364</v>
      </c>
      <c r="BM79" t="s">
        <v>15650</v>
      </c>
    </row>
    <row r="80" spans="1:65">
      <c r="A80" s="1">
        <f>HYPERLINK("https://lsnyc.legalserver.org/matter/dynamic-profile/view/1902821","19-1902821")</f>
        <v>0</v>
      </c>
      <c r="B80" t="s">
        <v>76</v>
      </c>
      <c r="C80" t="s">
        <v>247</v>
      </c>
      <c r="D80" t="s">
        <v>276</v>
      </c>
      <c r="F80" t="s">
        <v>1156</v>
      </c>
      <c r="G80" t="s">
        <v>2944</v>
      </c>
      <c r="H80" t="s">
        <v>4814</v>
      </c>
      <c r="I80" t="s">
        <v>6441</v>
      </c>
      <c r="J80" t="s">
        <v>7175</v>
      </c>
      <c r="K80">
        <v>11423</v>
      </c>
      <c r="N80" t="s">
        <v>7237</v>
      </c>
      <c r="O80" t="s">
        <v>7324</v>
      </c>
      <c r="P80">
        <v>1</v>
      </c>
      <c r="Q80">
        <v>3</v>
      </c>
      <c r="R80">
        <v>0</v>
      </c>
      <c r="U80">
        <v>0</v>
      </c>
      <c r="W80">
        <v>17.76</v>
      </c>
      <c r="X80" t="s">
        <v>638</v>
      </c>
      <c r="Y80" t="s">
        <v>10875</v>
      </c>
      <c r="AA80" t="s">
        <v>10974</v>
      </c>
      <c r="AB80" t="s">
        <v>310</v>
      </c>
      <c r="AD80" t="s">
        <v>11082</v>
      </c>
      <c r="AF80" t="s">
        <v>11118</v>
      </c>
      <c r="AH80" t="s">
        <v>10975</v>
      </c>
      <c r="AJ80" t="s">
        <v>11138</v>
      </c>
      <c r="AK80" t="s">
        <v>7225</v>
      </c>
      <c r="AM80">
        <v>1700</v>
      </c>
      <c r="AO80">
        <v>3</v>
      </c>
      <c r="AQ80" t="s">
        <v>11164</v>
      </c>
      <c r="AS80" t="s">
        <v>11173</v>
      </c>
      <c r="AU80">
        <v>4</v>
      </c>
      <c r="AW80" t="s">
        <v>11191</v>
      </c>
      <c r="AY80" t="s">
        <v>11214</v>
      </c>
      <c r="BA80" t="s">
        <v>11222</v>
      </c>
      <c r="BB80" t="s">
        <v>11224</v>
      </c>
      <c r="BC80" t="s">
        <v>11235</v>
      </c>
      <c r="BD80" t="s">
        <v>11667</v>
      </c>
      <c r="BG80" t="s">
        <v>14400</v>
      </c>
      <c r="BM80" t="s">
        <v>15650</v>
      </c>
    </row>
    <row r="81" spans="1:65">
      <c r="A81" s="1">
        <f>HYPERLINK("https://lsnyc.legalserver.org/matter/dynamic-profile/view/1903492","19-1903492")</f>
        <v>0</v>
      </c>
      <c r="B81" t="s">
        <v>76</v>
      </c>
      <c r="C81" t="s">
        <v>247</v>
      </c>
      <c r="D81" t="s">
        <v>310</v>
      </c>
      <c r="F81" t="s">
        <v>1122</v>
      </c>
      <c r="G81" t="s">
        <v>2945</v>
      </c>
      <c r="H81" t="s">
        <v>4815</v>
      </c>
      <c r="I81" t="s">
        <v>6442</v>
      </c>
      <c r="J81" t="s">
        <v>7173</v>
      </c>
      <c r="K81">
        <v>11354</v>
      </c>
      <c r="N81" t="s">
        <v>7237</v>
      </c>
      <c r="O81" t="s">
        <v>7325</v>
      </c>
      <c r="P81">
        <v>2</v>
      </c>
      <c r="Q81">
        <v>0</v>
      </c>
      <c r="R81">
        <v>0</v>
      </c>
      <c r="U81">
        <v>0</v>
      </c>
      <c r="W81">
        <v>0.15</v>
      </c>
      <c r="X81" t="s">
        <v>310</v>
      </c>
      <c r="Y81" t="s">
        <v>76</v>
      </c>
      <c r="AA81" t="s">
        <v>10974</v>
      </c>
      <c r="AB81" t="s">
        <v>310</v>
      </c>
      <c r="AD81" t="s">
        <v>11098</v>
      </c>
      <c r="AF81" t="s">
        <v>11122</v>
      </c>
      <c r="AH81" t="s">
        <v>10974</v>
      </c>
      <c r="AJ81" t="s">
        <v>11131</v>
      </c>
      <c r="AK81" t="s">
        <v>7225</v>
      </c>
      <c r="AM81">
        <v>1000</v>
      </c>
      <c r="AO81">
        <v>91</v>
      </c>
      <c r="AQ81" t="s">
        <v>11157</v>
      </c>
      <c r="AS81" t="s">
        <v>11173</v>
      </c>
      <c r="AU81">
        <v>26</v>
      </c>
      <c r="AW81" t="s">
        <v>11189</v>
      </c>
      <c r="AY81" t="s">
        <v>11213</v>
      </c>
      <c r="BA81" t="s">
        <v>11222</v>
      </c>
      <c r="BB81" t="s">
        <v>11224</v>
      </c>
      <c r="BC81" t="s">
        <v>11236</v>
      </c>
      <c r="BE81" t="s">
        <v>11236</v>
      </c>
      <c r="BG81" t="s">
        <v>14401</v>
      </c>
      <c r="BM81" t="s">
        <v>15650</v>
      </c>
    </row>
    <row r="82" spans="1:65">
      <c r="A82" s="1">
        <f>HYPERLINK("https://lsnyc.legalserver.org/matter/dynamic-profile/view/1903788","19-1903788")</f>
        <v>0</v>
      </c>
      <c r="B82" t="s">
        <v>76</v>
      </c>
      <c r="C82" t="s">
        <v>247</v>
      </c>
      <c r="D82" t="s">
        <v>311</v>
      </c>
      <c r="F82" t="s">
        <v>1157</v>
      </c>
      <c r="G82" t="s">
        <v>2946</v>
      </c>
      <c r="H82" t="s">
        <v>4816</v>
      </c>
      <c r="I82" t="s">
        <v>6443</v>
      </c>
      <c r="J82" t="s">
        <v>7173</v>
      </c>
      <c r="K82">
        <v>11354</v>
      </c>
      <c r="N82" t="s">
        <v>7237</v>
      </c>
      <c r="O82" t="s">
        <v>7326</v>
      </c>
      <c r="P82">
        <v>1</v>
      </c>
      <c r="Q82">
        <v>0</v>
      </c>
      <c r="R82">
        <v>96.08</v>
      </c>
      <c r="U82">
        <v>12000</v>
      </c>
      <c r="W82">
        <v>0.15</v>
      </c>
      <c r="X82" t="s">
        <v>311</v>
      </c>
      <c r="Y82" t="s">
        <v>76</v>
      </c>
      <c r="AA82" t="s">
        <v>10974</v>
      </c>
      <c r="AB82" t="s">
        <v>310</v>
      </c>
      <c r="AD82" t="s">
        <v>11098</v>
      </c>
      <c r="AF82" t="s">
        <v>11122</v>
      </c>
      <c r="AH82" t="s">
        <v>10974</v>
      </c>
      <c r="AJ82" t="s">
        <v>11131</v>
      </c>
      <c r="AK82" t="s">
        <v>7225</v>
      </c>
      <c r="AM82">
        <v>598.66</v>
      </c>
      <c r="AO82">
        <v>91</v>
      </c>
      <c r="AQ82" t="s">
        <v>11157</v>
      </c>
      <c r="AS82" t="s">
        <v>11174</v>
      </c>
      <c r="AU82">
        <v>45</v>
      </c>
      <c r="AW82" t="s">
        <v>11187</v>
      </c>
      <c r="AY82" t="s">
        <v>11213</v>
      </c>
      <c r="BA82" t="s">
        <v>11222</v>
      </c>
      <c r="BB82" t="s">
        <v>11224</v>
      </c>
      <c r="BC82" t="s">
        <v>11236</v>
      </c>
      <c r="BE82" t="s">
        <v>11236</v>
      </c>
      <c r="BG82" t="s">
        <v>14401</v>
      </c>
      <c r="BM82" t="s">
        <v>15650</v>
      </c>
    </row>
    <row r="83" spans="1:65">
      <c r="A83" s="1">
        <f>HYPERLINK("https://lsnyc.legalserver.org/matter/dynamic-profile/view/1914520","19-1914520")</f>
        <v>0</v>
      </c>
      <c r="B83" t="s">
        <v>76</v>
      </c>
      <c r="C83" t="s">
        <v>247</v>
      </c>
      <c r="D83" t="s">
        <v>312</v>
      </c>
      <c r="F83" t="s">
        <v>1158</v>
      </c>
      <c r="G83" t="s">
        <v>2947</v>
      </c>
      <c r="H83" t="s">
        <v>4817</v>
      </c>
      <c r="I83" t="s">
        <v>6444</v>
      </c>
      <c r="J83" t="s">
        <v>7176</v>
      </c>
      <c r="K83">
        <v>11368</v>
      </c>
      <c r="N83" t="s">
        <v>7237</v>
      </c>
      <c r="O83" t="s">
        <v>7327</v>
      </c>
      <c r="P83">
        <v>4</v>
      </c>
      <c r="Q83">
        <v>0</v>
      </c>
      <c r="R83">
        <v>272.62</v>
      </c>
      <c r="U83">
        <v>70200</v>
      </c>
      <c r="W83">
        <v>0.5</v>
      </c>
      <c r="X83" t="s">
        <v>312</v>
      </c>
      <c r="Y83" t="s">
        <v>10870</v>
      </c>
      <c r="AA83" t="s">
        <v>10974</v>
      </c>
      <c r="AB83" t="s">
        <v>312</v>
      </c>
      <c r="AD83" t="s">
        <v>11090</v>
      </c>
      <c r="AF83" t="s">
        <v>10384</v>
      </c>
      <c r="AH83" t="s">
        <v>10974</v>
      </c>
      <c r="AJ83" t="s">
        <v>11134</v>
      </c>
      <c r="AK83" t="s">
        <v>7225</v>
      </c>
      <c r="AM83">
        <v>2275</v>
      </c>
      <c r="AO83">
        <v>232</v>
      </c>
      <c r="AQ83" t="s">
        <v>11157</v>
      </c>
      <c r="AS83" t="s">
        <v>11173</v>
      </c>
      <c r="AT83" t="s">
        <v>11184</v>
      </c>
      <c r="AU83">
        <v>0</v>
      </c>
      <c r="AW83" t="s">
        <v>11189</v>
      </c>
      <c r="BA83" t="s">
        <v>11222</v>
      </c>
      <c r="BE83" t="s">
        <v>11236</v>
      </c>
      <c r="BF83" t="s">
        <v>14364</v>
      </c>
      <c r="BM83" t="s">
        <v>15650</v>
      </c>
    </row>
    <row r="84" spans="1:65">
      <c r="A84" s="1">
        <f>HYPERLINK("https://lsnyc.legalserver.org/matter/dynamic-profile/view/1900930","19-1900930")</f>
        <v>0</v>
      </c>
      <c r="B84" t="s">
        <v>76</v>
      </c>
      <c r="C84" t="s">
        <v>247</v>
      </c>
      <c r="D84" t="s">
        <v>313</v>
      </c>
      <c r="F84" t="s">
        <v>1149</v>
      </c>
      <c r="G84" t="s">
        <v>2912</v>
      </c>
      <c r="H84" t="s">
        <v>4818</v>
      </c>
      <c r="I84" t="s">
        <v>6445</v>
      </c>
      <c r="J84" t="s">
        <v>7173</v>
      </c>
      <c r="K84">
        <v>11354</v>
      </c>
      <c r="N84" t="s">
        <v>7237</v>
      </c>
      <c r="O84" t="s">
        <v>7328</v>
      </c>
      <c r="P84">
        <v>2</v>
      </c>
      <c r="Q84">
        <v>0</v>
      </c>
      <c r="R84">
        <v>141.93</v>
      </c>
      <c r="U84">
        <v>24000</v>
      </c>
      <c r="W84">
        <v>26.05</v>
      </c>
      <c r="X84" t="s">
        <v>426</v>
      </c>
      <c r="Y84" t="s">
        <v>76</v>
      </c>
      <c r="AA84" t="s">
        <v>10974</v>
      </c>
      <c r="AB84" t="s">
        <v>313</v>
      </c>
      <c r="AD84" t="s">
        <v>11098</v>
      </c>
      <c r="AF84" t="s">
        <v>11122</v>
      </c>
      <c r="AH84" t="s">
        <v>10974</v>
      </c>
      <c r="AJ84" t="s">
        <v>11139</v>
      </c>
      <c r="AK84" t="s">
        <v>7225</v>
      </c>
      <c r="AM84">
        <v>1000</v>
      </c>
      <c r="AO84">
        <v>91</v>
      </c>
      <c r="AQ84" t="s">
        <v>11157</v>
      </c>
      <c r="AS84" t="s">
        <v>11173</v>
      </c>
      <c r="AU84">
        <v>25</v>
      </c>
      <c r="AW84" t="s">
        <v>11189</v>
      </c>
      <c r="AY84" t="s">
        <v>11213</v>
      </c>
      <c r="BA84" t="s">
        <v>11222</v>
      </c>
      <c r="BB84" t="s">
        <v>11224</v>
      </c>
      <c r="BC84" t="s">
        <v>11236</v>
      </c>
      <c r="BE84" t="s">
        <v>11236</v>
      </c>
      <c r="BG84" t="s">
        <v>14401</v>
      </c>
      <c r="BM84" t="s">
        <v>15650</v>
      </c>
    </row>
    <row r="85" spans="1:65">
      <c r="A85" s="1">
        <f>HYPERLINK("https://lsnyc.legalserver.org/matter/dynamic-profile/view/1912952","19-1912952")</f>
        <v>0</v>
      </c>
      <c r="B85" t="s">
        <v>76</v>
      </c>
      <c r="C85" t="s">
        <v>247</v>
      </c>
      <c r="D85" t="s">
        <v>305</v>
      </c>
      <c r="F85" t="s">
        <v>1159</v>
      </c>
      <c r="G85" t="s">
        <v>2912</v>
      </c>
      <c r="H85" t="s">
        <v>4819</v>
      </c>
      <c r="I85" t="s">
        <v>6446</v>
      </c>
      <c r="J85" t="s">
        <v>7176</v>
      </c>
      <c r="K85">
        <v>11368</v>
      </c>
      <c r="N85" t="s">
        <v>7237</v>
      </c>
      <c r="O85" t="s">
        <v>7329</v>
      </c>
      <c r="P85">
        <v>2</v>
      </c>
      <c r="Q85">
        <v>2</v>
      </c>
      <c r="R85">
        <v>80.78</v>
      </c>
      <c r="U85">
        <v>20800</v>
      </c>
      <c r="W85">
        <v>3.55</v>
      </c>
      <c r="X85" t="s">
        <v>548</v>
      </c>
      <c r="Y85" t="s">
        <v>10870</v>
      </c>
      <c r="AA85" t="s">
        <v>10974</v>
      </c>
      <c r="AB85" t="s">
        <v>305</v>
      </c>
      <c r="AD85" t="s">
        <v>11083</v>
      </c>
      <c r="AF85" t="s">
        <v>11118</v>
      </c>
      <c r="AH85" t="s">
        <v>10975</v>
      </c>
      <c r="AJ85" t="s">
        <v>11135</v>
      </c>
      <c r="AK85" t="s">
        <v>7225</v>
      </c>
      <c r="AM85">
        <v>2000</v>
      </c>
      <c r="AO85">
        <v>2</v>
      </c>
      <c r="AQ85" t="s">
        <v>11164</v>
      </c>
      <c r="AS85" t="s">
        <v>11173</v>
      </c>
      <c r="AU85">
        <v>2</v>
      </c>
      <c r="AW85" t="s">
        <v>11189</v>
      </c>
      <c r="AY85" t="s">
        <v>11213</v>
      </c>
      <c r="BA85" t="s">
        <v>11222</v>
      </c>
      <c r="BB85" t="s">
        <v>11224</v>
      </c>
      <c r="BC85" t="s">
        <v>11236</v>
      </c>
      <c r="BE85" t="s">
        <v>11236</v>
      </c>
      <c r="BG85" t="s">
        <v>14402</v>
      </c>
      <c r="BM85" t="s">
        <v>15650</v>
      </c>
    </row>
    <row r="86" spans="1:65">
      <c r="A86" s="1">
        <f>HYPERLINK("https://lsnyc.legalserver.org/matter/dynamic-profile/view/1903496","19-1903496")</f>
        <v>0</v>
      </c>
      <c r="B86" t="s">
        <v>76</v>
      </c>
      <c r="C86" t="s">
        <v>247</v>
      </c>
      <c r="D86" t="s">
        <v>267</v>
      </c>
      <c r="F86" t="s">
        <v>1160</v>
      </c>
      <c r="G86" t="s">
        <v>2948</v>
      </c>
      <c r="H86" t="s">
        <v>4816</v>
      </c>
      <c r="I86" t="s">
        <v>6447</v>
      </c>
      <c r="J86" t="s">
        <v>7173</v>
      </c>
      <c r="K86">
        <v>11354</v>
      </c>
      <c r="N86" t="s">
        <v>7237</v>
      </c>
      <c r="O86" t="s">
        <v>7330</v>
      </c>
      <c r="P86">
        <v>2</v>
      </c>
      <c r="Q86">
        <v>0</v>
      </c>
      <c r="R86">
        <v>177.41</v>
      </c>
      <c r="U86">
        <v>30000</v>
      </c>
      <c r="W86">
        <v>0.15</v>
      </c>
      <c r="X86" t="s">
        <v>267</v>
      </c>
      <c r="Y86" t="s">
        <v>76</v>
      </c>
      <c r="AA86" t="s">
        <v>10974</v>
      </c>
      <c r="AB86" t="s">
        <v>267</v>
      </c>
      <c r="AD86" t="s">
        <v>11098</v>
      </c>
      <c r="AF86" t="s">
        <v>11122</v>
      </c>
      <c r="AH86" t="s">
        <v>10974</v>
      </c>
      <c r="AJ86" t="s">
        <v>11131</v>
      </c>
      <c r="AK86" t="s">
        <v>7225</v>
      </c>
      <c r="AM86">
        <v>1666.84</v>
      </c>
      <c r="AO86">
        <v>91</v>
      </c>
      <c r="AQ86" t="s">
        <v>11157</v>
      </c>
      <c r="AS86" t="s">
        <v>11173</v>
      </c>
      <c r="AU86">
        <v>7</v>
      </c>
      <c r="AW86" t="s">
        <v>11189</v>
      </c>
      <c r="AY86" t="s">
        <v>11213</v>
      </c>
      <c r="BA86" t="s">
        <v>11222</v>
      </c>
      <c r="BB86" t="s">
        <v>11224</v>
      </c>
      <c r="BC86" t="s">
        <v>11236</v>
      </c>
      <c r="BE86" t="s">
        <v>11236</v>
      </c>
      <c r="BG86" t="s">
        <v>14401</v>
      </c>
      <c r="BM86" t="s">
        <v>15650</v>
      </c>
    </row>
    <row r="87" spans="1:65">
      <c r="A87" s="1">
        <f>HYPERLINK("https://lsnyc.legalserver.org/matter/dynamic-profile/view/1900070","19-1900070")</f>
        <v>0</v>
      </c>
      <c r="B87" t="s">
        <v>76</v>
      </c>
      <c r="C87" t="s">
        <v>247</v>
      </c>
      <c r="D87" t="s">
        <v>314</v>
      </c>
      <c r="F87" t="s">
        <v>1161</v>
      </c>
      <c r="G87" t="s">
        <v>2949</v>
      </c>
      <c r="H87" t="s">
        <v>4820</v>
      </c>
      <c r="I87" t="s">
        <v>6448</v>
      </c>
      <c r="J87" t="s">
        <v>7173</v>
      </c>
      <c r="K87">
        <v>11354</v>
      </c>
      <c r="N87" t="s">
        <v>7237</v>
      </c>
      <c r="O87" t="s">
        <v>7331</v>
      </c>
      <c r="P87">
        <v>1</v>
      </c>
      <c r="Q87">
        <v>0</v>
      </c>
      <c r="R87">
        <v>74.08</v>
      </c>
      <c r="U87">
        <v>9252</v>
      </c>
      <c r="W87">
        <v>32.69</v>
      </c>
      <c r="X87" t="s">
        <v>638</v>
      </c>
      <c r="Y87" t="s">
        <v>76</v>
      </c>
      <c r="AA87" t="s">
        <v>10974</v>
      </c>
      <c r="AB87" t="s">
        <v>314</v>
      </c>
      <c r="AD87" t="s">
        <v>11083</v>
      </c>
      <c r="AF87" t="s">
        <v>11118</v>
      </c>
      <c r="AH87" t="s">
        <v>10975</v>
      </c>
      <c r="AJ87" t="s">
        <v>11138</v>
      </c>
      <c r="AK87" t="s">
        <v>7225</v>
      </c>
      <c r="AM87">
        <v>500</v>
      </c>
      <c r="AO87">
        <v>175</v>
      </c>
      <c r="AQ87" t="s">
        <v>11157</v>
      </c>
      <c r="AS87" t="s">
        <v>11173</v>
      </c>
      <c r="AU87">
        <v>3</v>
      </c>
      <c r="AW87" t="s">
        <v>11187</v>
      </c>
      <c r="AY87" t="s">
        <v>11213</v>
      </c>
      <c r="BA87" t="s">
        <v>11222</v>
      </c>
      <c r="BB87" t="s">
        <v>11224</v>
      </c>
      <c r="BC87" t="s">
        <v>11236</v>
      </c>
      <c r="BE87" t="s">
        <v>11737</v>
      </c>
      <c r="BF87" t="s">
        <v>14364</v>
      </c>
      <c r="BG87" t="s">
        <v>14403</v>
      </c>
      <c r="BM87" t="s">
        <v>15650</v>
      </c>
    </row>
    <row r="88" spans="1:65">
      <c r="A88" s="1">
        <f>HYPERLINK("https://lsnyc.legalserver.org/matter/dynamic-profile/view/1900309","19-1900309")</f>
        <v>0</v>
      </c>
      <c r="B88" t="s">
        <v>76</v>
      </c>
      <c r="C88" t="s">
        <v>247</v>
      </c>
      <c r="D88" t="s">
        <v>315</v>
      </c>
      <c r="F88" t="s">
        <v>1162</v>
      </c>
      <c r="G88" t="s">
        <v>2950</v>
      </c>
      <c r="H88" t="s">
        <v>4821</v>
      </c>
      <c r="I88" t="s">
        <v>6441</v>
      </c>
      <c r="J88" t="s">
        <v>7173</v>
      </c>
      <c r="K88">
        <v>11358</v>
      </c>
      <c r="N88" t="s">
        <v>7237</v>
      </c>
      <c r="O88" t="s">
        <v>7332</v>
      </c>
      <c r="P88">
        <v>3</v>
      </c>
      <c r="Q88">
        <v>1</v>
      </c>
      <c r="R88">
        <v>137.86</v>
      </c>
      <c r="U88">
        <v>35500</v>
      </c>
      <c r="W88">
        <v>30.15</v>
      </c>
      <c r="X88" t="s">
        <v>638</v>
      </c>
      <c r="Y88" t="s">
        <v>10876</v>
      </c>
      <c r="AA88" t="s">
        <v>10974</v>
      </c>
      <c r="AB88" t="s">
        <v>549</v>
      </c>
      <c r="AD88" t="s">
        <v>11082</v>
      </c>
      <c r="AF88" t="s">
        <v>11118</v>
      </c>
      <c r="AH88" t="s">
        <v>10975</v>
      </c>
      <c r="AJ88" t="s">
        <v>11104</v>
      </c>
      <c r="AK88" t="s">
        <v>7225</v>
      </c>
      <c r="AM88">
        <v>2300</v>
      </c>
      <c r="AO88">
        <v>2</v>
      </c>
      <c r="AQ88" t="s">
        <v>11165</v>
      </c>
      <c r="AS88" t="s">
        <v>11173</v>
      </c>
      <c r="AU88">
        <v>1</v>
      </c>
      <c r="AW88" t="s">
        <v>11187</v>
      </c>
      <c r="AY88" t="s">
        <v>11213</v>
      </c>
      <c r="BA88" t="s">
        <v>11222</v>
      </c>
      <c r="BB88" t="s">
        <v>11224</v>
      </c>
      <c r="BC88" t="s">
        <v>11236</v>
      </c>
      <c r="BE88" t="s">
        <v>11738</v>
      </c>
      <c r="BG88" t="s">
        <v>14404</v>
      </c>
      <c r="BM88" t="s">
        <v>15650</v>
      </c>
    </row>
    <row r="89" spans="1:65">
      <c r="A89" s="1">
        <f>HYPERLINK("https://lsnyc.legalserver.org/matter/dynamic-profile/view/1912877","19-1912877")</f>
        <v>0</v>
      </c>
      <c r="B89" t="s">
        <v>76</v>
      </c>
      <c r="C89" t="s">
        <v>247</v>
      </c>
      <c r="D89" t="s">
        <v>316</v>
      </c>
      <c r="F89" t="s">
        <v>1155</v>
      </c>
      <c r="G89" t="s">
        <v>2951</v>
      </c>
      <c r="H89" t="s">
        <v>4822</v>
      </c>
      <c r="I89" t="s">
        <v>6449</v>
      </c>
      <c r="J89" t="s">
        <v>7173</v>
      </c>
      <c r="K89">
        <v>11358</v>
      </c>
      <c r="N89" t="s">
        <v>7237</v>
      </c>
      <c r="O89" t="s">
        <v>7333</v>
      </c>
      <c r="P89">
        <v>2</v>
      </c>
      <c r="Q89">
        <v>2</v>
      </c>
      <c r="R89">
        <v>60.58</v>
      </c>
      <c r="U89">
        <v>15600</v>
      </c>
      <c r="W89">
        <v>3.1</v>
      </c>
      <c r="X89" t="s">
        <v>436</v>
      </c>
      <c r="Y89" t="s">
        <v>10877</v>
      </c>
      <c r="AA89" t="s">
        <v>10974</v>
      </c>
      <c r="AB89" t="s">
        <v>10981</v>
      </c>
      <c r="AD89" t="s">
        <v>11090</v>
      </c>
      <c r="AF89" t="s">
        <v>10384</v>
      </c>
      <c r="AH89" t="s">
        <v>10975</v>
      </c>
      <c r="AJ89" t="s">
        <v>11137</v>
      </c>
      <c r="AK89" t="s">
        <v>7225</v>
      </c>
      <c r="AM89">
        <v>1483</v>
      </c>
      <c r="AO89">
        <v>4</v>
      </c>
      <c r="AQ89" t="s">
        <v>11157</v>
      </c>
      <c r="AS89" t="s">
        <v>11173</v>
      </c>
      <c r="AU89">
        <v>11</v>
      </c>
      <c r="AW89" t="s">
        <v>11187</v>
      </c>
      <c r="AY89" t="s">
        <v>11213</v>
      </c>
      <c r="AZ89" t="s">
        <v>11221</v>
      </c>
      <c r="BE89" t="s">
        <v>11739</v>
      </c>
      <c r="BF89" t="s">
        <v>14364</v>
      </c>
      <c r="BM89" t="s">
        <v>15650</v>
      </c>
    </row>
    <row r="90" spans="1:65">
      <c r="A90" s="1">
        <f>HYPERLINK("https://lsnyc.legalserver.org/matter/dynamic-profile/view/1910273","19-1910273")</f>
        <v>0</v>
      </c>
      <c r="B90" t="s">
        <v>76</v>
      </c>
      <c r="C90" t="s">
        <v>247</v>
      </c>
      <c r="D90" t="s">
        <v>317</v>
      </c>
      <c r="F90" t="s">
        <v>1163</v>
      </c>
      <c r="G90" t="s">
        <v>2952</v>
      </c>
      <c r="H90" t="s">
        <v>4823</v>
      </c>
      <c r="J90" t="s">
        <v>7177</v>
      </c>
      <c r="K90">
        <v>11435</v>
      </c>
      <c r="N90" t="s">
        <v>7237</v>
      </c>
      <c r="O90" t="s">
        <v>7334</v>
      </c>
      <c r="P90">
        <v>2</v>
      </c>
      <c r="Q90">
        <v>3</v>
      </c>
      <c r="R90">
        <v>178.99</v>
      </c>
      <c r="U90">
        <v>54000</v>
      </c>
      <c r="W90">
        <v>0.3</v>
      </c>
      <c r="X90" t="s">
        <v>317</v>
      </c>
      <c r="Y90" t="s">
        <v>76</v>
      </c>
      <c r="AA90" t="s">
        <v>10974</v>
      </c>
      <c r="AB90" t="s">
        <v>317</v>
      </c>
      <c r="AD90" t="s">
        <v>11090</v>
      </c>
      <c r="AF90" t="s">
        <v>10384</v>
      </c>
      <c r="AH90" t="s">
        <v>10975</v>
      </c>
      <c r="AJ90" t="s">
        <v>11131</v>
      </c>
      <c r="AK90" t="s">
        <v>7225</v>
      </c>
      <c r="AM90">
        <v>2010</v>
      </c>
      <c r="AO90">
        <v>2</v>
      </c>
      <c r="AQ90" t="s">
        <v>11156</v>
      </c>
      <c r="AS90" t="s">
        <v>11173</v>
      </c>
      <c r="AU90">
        <v>-1</v>
      </c>
      <c r="AW90" t="s">
        <v>11187</v>
      </c>
      <c r="AY90" t="s">
        <v>11213</v>
      </c>
      <c r="BA90" t="s">
        <v>11222</v>
      </c>
      <c r="BE90" t="s">
        <v>11740</v>
      </c>
      <c r="BF90" t="s">
        <v>14364</v>
      </c>
      <c r="BM90" t="s">
        <v>15650</v>
      </c>
    </row>
    <row r="91" spans="1:65">
      <c r="A91" s="1">
        <f>HYPERLINK("https://lsnyc.legalserver.org/matter/dynamic-profile/view/1903490","19-1903490")</f>
        <v>0</v>
      </c>
      <c r="B91" t="s">
        <v>76</v>
      </c>
      <c r="C91" t="s">
        <v>247</v>
      </c>
      <c r="D91" t="s">
        <v>310</v>
      </c>
      <c r="F91" t="s">
        <v>1149</v>
      </c>
      <c r="G91" t="s">
        <v>2953</v>
      </c>
      <c r="H91" t="s">
        <v>4815</v>
      </c>
      <c r="I91" t="s">
        <v>6450</v>
      </c>
      <c r="J91" t="s">
        <v>7173</v>
      </c>
      <c r="K91">
        <v>11354</v>
      </c>
      <c r="N91" t="s">
        <v>7237</v>
      </c>
      <c r="O91" t="s">
        <v>7335</v>
      </c>
      <c r="P91">
        <v>2</v>
      </c>
      <c r="Q91">
        <v>0</v>
      </c>
      <c r="R91">
        <v>100.53</v>
      </c>
      <c r="U91">
        <v>17000</v>
      </c>
      <c r="W91">
        <v>0.15</v>
      </c>
      <c r="X91" t="s">
        <v>310</v>
      </c>
      <c r="Y91" t="s">
        <v>76</v>
      </c>
      <c r="AA91" t="s">
        <v>10974</v>
      </c>
      <c r="AB91" t="s">
        <v>310</v>
      </c>
      <c r="AD91" t="s">
        <v>11098</v>
      </c>
      <c r="AF91" t="s">
        <v>11122</v>
      </c>
      <c r="AH91" t="s">
        <v>10974</v>
      </c>
      <c r="AJ91" t="s">
        <v>11134</v>
      </c>
      <c r="AK91" t="s">
        <v>7225</v>
      </c>
      <c r="AM91">
        <v>1044.47</v>
      </c>
      <c r="AO91">
        <v>91</v>
      </c>
      <c r="AQ91" t="s">
        <v>11157</v>
      </c>
      <c r="AS91" t="s">
        <v>11173</v>
      </c>
      <c r="AU91">
        <v>17</v>
      </c>
      <c r="AW91" t="s">
        <v>11189</v>
      </c>
      <c r="AY91" t="s">
        <v>11213</v>
      </c>
      <c r="BA91" t="s">
        <v>11222</v>
      </c>
      <c r="BB91" t="s">
        <v>11224</v>
      </c>
      <c r="BC91" t="s">
        <v>11236</v>
      </c>
      <c r="BE91" t="s">
        <v>11236</v>
      </c>
      <c r="BG91" t="s">
        <v>14401</v>
      </c>
      <c r="BM91" t="s">
        <v>15650</v>
      </c>
    </row>
    <row r="92" spans="1:65">
      <c r="A92" s="1">
        <f>HYPERLINK("https://lsnyc.legalserver.org/matter/dynamic-profile/view/1889400","19-1889400")</f>
        <v>0</v>
      </c>
      <c r="B92" t="s">
        <v>76</v>
      </c>
      <c r="C92" t="s">
        <v>247</v>
      </c>
      <c r="D92" t="s">
        <v>318</v>
      </c>
      <c r="F92" t="s">
        <v>1164</v>
      </c>
      <c r="G92" t="s">
        <v>2954</v>
      </c>
      <c r="H92" t="s">
        <v>4824</v>
      </c>
      <c r="I92" t="s">
        <v>6451</v>
      </c>
      <c r="J92" t="s">
        <v>7175</v>
      </c>
      <c r="K92">
        <v>11423</v>
      </c>
      <c r="N92" t="s">
        <v>7237</v>
      </c>
      <c r="O92" t="s">
        <v>7336</v>
      </c>
      <c r="P92">
        <v>1</v>
      </c>
      <c r="Q92">
        <v>0</v>
      </c>
      <c r="R92">
        <v>145.72</v>
      </c>
      <c r="U92">
        <v>18200</v>
      </c>
      <c r="W92">
        <v>21.5</v>
      </c>
      <c r="X92" t="s">
        <v>638</v>
      </c>
      <c r="Y92" t="s">
        <v>202</v>
      </c>
      <c r="AA92" t="s">
        <v>10974</v>
      </c>
      <c r="AB92" t="s">
        <v>505</v>
      </c>
      <c r="AD92" t="s">
        <v>11082</v>
      </c>
      <c r="AF92" t="s">
        <v>11118</v>
      </c>
      <c r="AH92" t="s">
        <v>10975</v>
      </c>
      <c r="AJ92" t="s">
        <v>11138</v>
      </c>
      <c r="AK92" t="s">
        <v>7225</v>
      </c>
      <c r="AM92">
        <v>1050</v>
      </c>
      <c r="AO92">
        <v>48</v>
      </c>
      <c r="AQ92" t="s">
        <v>11157</v>
      </c>
      <c r="AS92" t="s">
        <v>11173</v>
      </c>
      <c r="AU92">
        <v>3</v>
      </c>
      <c r="AW92" t="s">
        <v>11187</v>
      </c>
      <c r="AY92" t="s">
        <v>11214</v>
      </c>
      <c r="AZ92" t="s">
        <v>11221</v>
      </c>
      <c r="BE92" t="s">
        <v>11741</v>
      </c>
      <c r="BG92" t="s">
        <v>14405</v>
      </c>
      <c r="BM92" t="s">
        <v>15650</v>
      </c>
    </row>
    <row r="93" spans="1:65">
      <c r="A93" s="1">
        <f>HYPERLINK("https://lsnyc.legalserver.org/matter/dynamic-profile/view/1903497","19-1903497")</f>
        <v>0</v>
      </c>
      <c r="B93" t="s">
        <v>76</v>
      </c>
      <c r="C93" t="s">
        <v>247</v>
      </c>
      <c r="D93" t="s">
        <v>311</v>
      </c>
      <c r="F93" t="s">
        <v>1165</v>
      </c>
      <c r="G93" t="s">
        <v>2955</v>
      </c>
      <c r="H93" t="s">
        <v>4816</v>
      </c>
      <c r="I93" t="s">
        <v>6452</v>
      </c>
      <c r="J93" t="s">
        <v>7173</v>
      </c>
      <c r="K93">
        <v>11354</v>
      </c>
      <c r="N93" t="s">
        <v>7237</v>
      </c>
      <c r="O93" t="s">
        <v>7337</v>
      </c>
      <c r="P93">
        <v>2</v>
      </c>
      <c r="Q93">
        <v>0</v>
      </c>
      <c r="R93">
        <v>147.84</v>
      </c>
      <c r="U93">
        <v>25000</v>
      </c>
      <c r="W93">
        <v>0.15</v>
      </c>
      <c r="X93" t="s">
        <v>311</v>
      </c>
      <c r="Y93" t="s">
        <v>76</v>
      </c>
      <c r="AA93" t="s">
        <v>10974</v>
      </c>
      <c r="AB93" t="s">
        <v>310</v>
      </c>
      <c r="AD93" t="s">
        <v>11098</v>
      </c>
      <c r="AF93" t="s">
        <v>11122</v>
      </c>
      <c r="AH93" t="s">
        <v>10974</v>
      </c>
      <c r="AJ93" t="s">
        <v>11131</v>
      </c>
      <c r="AK93" t="s">
        <v>7225</v>
      </c>
      <c r="AL93" t="s">
        <v>11150</v>
      </c>
      <c r="AM93">
        <v>0</v>
      </c>
      <c r="AO93">
        <v>91</v>
      </c>
      <c r="AQ93" t="s">
        <v>11157</v>
      </c>
      <c r="AS93" t="s">
        <v>11173</v>
      </c>
      <c r="AU93">
        <v>40</v>
      </c>
      <c r="AW93" t="s">
        <v>11189</v>
      </c>
      <c r="AY93" t="s">
        <v>11213</v>
      </c>
      <c r="BA93" t="s">
        <v>11222</v>
      </c>
      <c r="BB93" t="s">
        <v>11224</v>
      </c>
      <c r="BC93" t="s">
        <v>11236</v>
      </c>
      <c r="BE93" t="s">
        <v>11236</v>
      </c>
      <c r="BG93" t="s">
        <v>14401</v>
      </c>
      <c r="BM93" t="s">
        <v>15650</v>
      </c>
    </row>
    <row r="94" spans="1:65">
      <c r="A94" s="1">
        <f>HYPERLINK("https://lsnyc.legalserver.org/matter/dynamic-profile/view/1903789","19-1903789")</f>
        <v>0</v>
      </c>
      <c r="B94" t="s">
        <v>76</v>
      </c>
      <c r="C94" t="s">
        <v>247</v>
      </c>
      <c r="D94" t="s">
        <v>311</v>
      </c>
      <c r="F94" t="s">
        <v>1166</v>
      </c>
      <c r="G94" t="s">
        <v>2956</v>
      </c>
      <c r="H94" t="s">
        <v>4816</v>
      </c>
      <c r="I94" t="s">
        <v>6453</v>
      </c>
      <c r="J94" t="s">
        <v>7173</v>
      </c>
      <c r="K94">
        <v>11354</v>
      </c>
      <c r="N94" t="s">
        <v>7237</v>
      </c>
      <c r="O94" t="s">
        <v>7338</v>
      </c>
      <c r="P94">
        <v>4</v>
      </c>
      <c r="Q94">
        <v>0</v>
      </c>
      <c r="R94">
        <v>46.6</v>
      </c>
      <c r="U94">
        <v>12000</v>
      </c>
      <c r="W94">
        <v>0.15</v>
      </c>
      <c r="X94" t="s">
        <v>311</v>
      </c>
      <c r="Y94" t="s">
        <v>76</v>
      </c>
      <c r="AA94" t="s">
        <v>10974</v>
      </c>
      <c r="AB94" t="s">
        <v>310</v>
      </c>
      <c r="AD94" t="s">
        <v>11098</v>
      </c>
      <c r="AF94" t="s">
        <v>11122</v>
      </c>
      <c r="AH94" t="s">
        <v>10974</v>
      </c>
      <c r="AJ94" t="s">
        <v>11131</v>
      </c>
      <c r="AK94" t="s">
        <v>7225</v>
      </c>
      <c r="AM94">
        <v>817.99</v>
      </c>
      <c r="AO94">
        <v>91</v>
      </c>
      <c r="AQ94" t="s">
        <v>11157</v>
      </c>
      <c r="AS94" t="s">
        <v>11173</v>
      </c>
      <c r="AU94">
        <v>40</v>
      </c>
      <c r="AW94" t="s">
        <v>11189</v>
      </c>
      <c r="AY94" t="s">
        <v>11213</v>
      </c>
      <c r="BA94" t="s">
        <v>11222</v>
      </c>
      <c r="BB94" t="s">
        <v>11224</v>
      </c>
      <c r="BC94" t="s">
        <v>11236</v>
      </c>
      <c r="BE94" t="s">
        <v>11236</v>
      </c>
      <c r="BG94" t="s">
        <v>14401</v>
      </c>
      <c r="BM94" t="s">
        <v>15650</v>
      </c>
    </row>
    <row r="95" spans="1:65">
      <c r="A95" s="1">
        <f>HYPERLINK("https://lsnyc.legalserver.org/matter/dynamic-profile/view/1892955","19-1892955")</f>
        <v>0</v>
      </c>
      <c r="B95" t="s">
        <v>77</v>
      </c>
      <c r="C95" t="s">
        <v>247</v>
      </c>
      <c r="D95" t="s">
        <v>319</v>
      </c>
      <c r="F95" t="s">
        <v>1167</v>
      </c>
      <c r="G95" t="s">
        <v>2957</v>
      </c>
      <c r="H95" t="s">
        <v>4825</v>
      </c>
      <c r="I95" t="s">
        <v>6454</v>
      </c>
      <c r="J95" t="s">
        <v>7171</v>
      </c>
      <c r="K95">
        <v>11373</v>
      </c>
      <c r="N95" t="s">
        <v>7237</v>
      </c>
      <c r="O95" t="s">
        <v>7339</v>
      </c>
      <c r="P95">
        <v>1</v>
      </c>
      <c r="Q95">
        <v>0</v>
      </c>
      <c r="R95">
        <v>63.7</v>
      </c>
      <c r="U95">
        <v>7956</v>
      </c>
      <c r="W95">
        <v>2.3</v>
      </c>
      <c r="X95" t="s">
        <v>626</v>
      </c>
      <c r="Y95" t="s">
        <v>164</v>
      </c>
      <c r="AA95" t="s">
        <v>10974</v>
      </c>
      <c r="AB95" t="s">
        <v>636</v>
      </c>
      <c r="AD95" t="s">
        <v>11099</v>
      </c>
      <c r="AF95" t="s">
        <v>11120</v>
      </c>
      <c r="AH95" t="s">
        <v>10975</v>
      </c>
      <c r="AJ95" t="s">
        <v>11138</v>
      </c>
      <c r="AK95" t="s">
        <v>7225</v>
      </c>
      <c r="AM95">
        <v>947.9299999999999</v>
      </c>
      <c r="AO95">
        <v>125</v>
      </c>
      <c r="AQ95" t="s">
        <v>11157</v>
      </c>
      <c r="AS95" t="s">
        <v>11175</v>
      </c>
      <c r="AU95">
        <v>25</v>
      </c>
      <c r="AW95" t="s">
        <v>11187</v>
      </c>
      <c r="AY95" t="s">
        <v>11214</v>
      </c>
      <c r="AZ95" t="s">
        <v>11221</v>
      </c>
      <c r="BC95" t="s">
        <v>11237</v>
      </c>
      <c r="BE95" t="s">
        <v>11742</v>
      </c>
      <c r="BF95" t="s">
        <v>14364</v>
      </c>
      <c r="BM95" t="s">
        <v>15650</v>
      </c>
    </row>
    <row r="96" spans="1:65">
      <c r="A96" s="1">
        <f>HYPERLINK("https://lsnyc.legalserver.org/matter/dynamic-profile/view/1892884","19-1892884")</f>
        <v>0</v>
      </c>
      <c r="B96" t="s">
        <v>77</v>
      </c>
      <c r="C96" t="s">
        <v>247</v>
      </c>
      <c r="D96" t="s">
        <v>319</v>
      </c>
      <c r="F96" t="s">
        <v>1168</v>
      </c>
      <c r="G96" t="s">
        <v>2958</v>
      </c>
      <c r="H96" t="s">
        <v>4826</v>
      </c>
      <c r="I96" t="s">
        <v>6455</v>
      </c>
      <c r="J96" t="s">
        <v>7172</v>
      </c>
      <c r="K96">
        <v>11691</v>
      </c>
      <c r="N96" t="s">
        <v>7237</v>
      </c>
      <c r="O96" t="s">
        <v>7340</v>
      </c>
      <c r="P96">
        <v>1</v>
      </c>
      <c r="Q96">
        <v>0</v>
      </c>
      <c r="R96">
        <v>72.06</v>
      </c>
      <c r="U96">
        <v>9000</v>
      </c>
      <c r="W96">
        <v>3.25</v>
      </c>
      <c r="X96" t="s">
        <v>626</v>
      </c>
      <c r="Y96" t="s">
        <v>10870</v>
      </c>
      <c r="AA96" t="s">
        <v>10974</v>
      </c>
      <c r="AB96" t="s">
        <v>319</v>
      </c>
      <c r="AD96" t="s">
        <v>11082</v>
      </c>
      <c r="AF96" t="s">
        <v>11120</v>
      </c>
      <c r="AH96" t="s">
        <v>10975</v>
      </c>
      <c r="AJ96" t="s">
        <v>11129</v>
      </c>
      <c r="AK96" t="s">
        <v>7225</v>
      </c>
      <c r="AM96">
        <v>222</v>
      </c>
      <c r="AO96">
        <v>70</v>
      </c>
      <c r="AQ96" t="s">
        <v>11161</v>
      </c>
      <c r="AS96" t="s">
        <v>11173</v>
      </c>
      <c r="AU96">
        <v>25</v>
      </c>
      <c r="AW96" t="s">
        <v>11189</v>
      </c>
      <c r="AY96" t="s">
        <v>11214</v>
      </c>
      <c r="AZ96" t="s">
        <v>11221</v>
      </c>
      <c r="BC96" t="s">
        <v>11238</v>
      </c>
      <c r="BE96" t="s">
        <v>11743</v>
      </c>
      <c r="BG96" t="s">
        <v>14406</v>
      </c>
      <c r="BM96" t="s">
        <v>15650</v>
      </c>
    </row>
    <row r="97" spans="1:67">
      <c r="A97" s="1">
        <f>HYPERLINK("https://lsnyc.legalserver.org/matter/dynamic-profile/view/1895111","19-1895111")</f>
        <v>0</v>
      </c>
      <c r="B97" t="s">
        <v>77</v>
      </c>
      <c r="C97" t="s">
        <v>247</v>
      </c>
      <c r="D97" t="s">
        <v>320</v>
      </c>
      <c r="F97" t="s">
        <v>1169</v>
      </c>
      <c r="G97" t="s">
        <v>2959</v>
      </c>
      <c r="H97" t="s">
        <v>4789</v>
      </c>
      <c r="I97" t="s">
        <v>6456</v>
      </c>
      <c r="J97" t="s">
        <v>7172</v>
      </c>
      <c r="K97">
        <v>11691</v>
      </c>
      <c r="N97" t="s">
        <v>7237</v>
      </c>
      <c r="O97" t="s">
        <v>7341</v>
      </c>
      <c r="P97">
        <v>1</v>
      </c>
      <c r="Q97">
        <v>3</v>
      </c>
      <c r="R97">
        <v>0</v>
      </c>
      <c r="U97">
        <v>0</v>
      </c>
      <c r="W97">
        <v>0.6</v>
      </c>
      <c r="X97" t="s">
        <v>306</v>
      </c>
      <c r="Y97" t="s">
        <v>164</v>
      </c>
      <c r="AA97" t="s">
        <v>10974</v>
      </c>
      <c r="AB97" t="s">
        <v>672</v>
      </c>
      <c r="AD97" t="s">
        <v>11092</v>
      </c>
      <c r="AF97" t="s">
        <v>11120</v>
      </c>
      <c r="AH97" t="s">
        <v>10975</v>
      </c>
      <c r="AJ97" t="s">
        <v>11129</v>
      </c>
      <c r="AK97" t="s">
        <v>7225</v>
      </c>
      <c r="AM97">
        <v>1000</v>
      </c>
      <c r="AO97">
        <v>231</v>
      </c>
      <c r="AQ97" t="s">
        <v>11158</v>
      </c>
      <c r="AS97" t="s">
        <v>11174</v>
      </c>
      <c r="AU97">
        <v>35</v>
      </c>
      <c r="AW97" t="s">
        <v>11187</v>
      </c>
      <c r="AY97" t="s">
        <v>11213</v>
      </c>
      <c r="AZ97" t="s">
        <v>11221</v>
      </c>
      <c r="BB97" t="s">
        <v>11224</v>
      </c>
      <c r="BC97" t="s">
        <v>11239</v>
      </c>
      <c r="BE97" t="s">
        <v>11744</v>
      </c>
      <c r="BF97" t="s">
        <v>14364</v>
      </c>
      <c r="BI97" t="s">
        <v>15609</v>
      </c>
      <c r="BK97" t="s">
        <v>15619</v>
      </c>
      <c r="BM97" t="s">
        <v>15650</v>
      </c>
      <c r="BN97" t="s">
        <v>15652</v>
      </c>
      <c r="BO97" t="s">
        <v>15658</v>
      </c>
    </row>
    <row r="98" spans="1:67">
      <c r="A98" s="1">
        <f>HYPERLINK("https://lsnyc.legalserver.org/matter/dynamic-profile/view/1889043","19-1889043")</f>
        <v>0</v>
      </c>
      <c r="B98" t="s">
        <v>77</v>
      </c>
      <c r="C98" t="s">
        <v>247</v>
      </c>
      <c r="D98" t="s">
        <v>321</v>
      </c>
      <c r="F98" t="s">
        <v>1170</v>
      </c>
      <c r="G98" t="s">
        <v>2221</v>
      </c>
      <c r="H98" t="s">
        <v>4789</v>
      </c>
      <c r="I98" t="s">
        <v>6457</v>
      </c>
      <c r="J98" t="s">
        <v>7172</v>
      </c>
      <c r="K98">
        <v>11691</v>
      </c>
      <c r="N98" t="s">
        <v>7237</v>
      </c>
      <c r="O98" t="s">
        <v>7342</v>
      </c>
      <c r="P98">
        <v>1</v>
      </c>
      <c r="Q98">
        <v>0</v>
      </c>
      <c r="R98">
        <v>124.9</v>
      </c>
      <c r="U98">
        <v>15600</v>
      </c>
      <c r="W98">
        <v>1.2</v>
      </c>
      <c r="X98" t="s">
        <v>306</v>
      </c>
      <c r="Y98" t="s">
        <v>10870</v>
      </c>
      <c r="AA98" t="s">
        <v>10974</v>
      </c>
      <c r="AB98" t="s">
        <v>321</v>
      </c>
      <c r="AD98" t="s">
        <v>11100</v>
      </c>
      <c r="AF98" t="s">
        <v>11120</v>
      </c>
      <c r="AH98" t="s">
        <v>10975</v>
      </c>
      <c r="AJ98" t="s">
        <v>11129</v>
      </c>
      <c r="AK98" t="s">
        <v>7225</v>
      </c>
      <c r="AM98">
        <v>1020</v>
      </c>
      <c r="AO98">
        <v>231</v>
      </c>
      <c r="AQ98" t="s">
        <v>11158</v>
      </c>
      <c r="AS98" t="s">
        <v>11173</v>
      </c>
      <c r="AU98">
        <v>7</v>
      </c>
      <c r="AW98" t="s">
        <v>11187</v>
      </c>
      <c r="AY98" t="s">
        <v>11216</v>
      </c>
      <c r="AZ98" t="s">
        <v>11221</v>
      </c>
      <c r="BE98" t="s">
        <v>11745</v>
      </c>
      <c r="BG98" t="s">
        <v>14407</v>
      </c>
      <c r="BM98" t="s">
        <v>15650</v>
      </c>
    </row>
    <row r="99" spans="1:67">
      <c r="A99" s="1">
        <f>HYPERLINK("https://lsnyc.legalserver.org/matter/dynamic-profile/view/1902861","19-1902861")</f>
        <v>0</v>
      </c>
      <c r="B99" t="s">
        <v>77</v>
      </c>
      <c r="C99" t="s">
        <v>247</v>
      </c>
      <c r="D99" t="s">
        <v>322</v>
      </c>
      <c r="F99" t="s">
        <v>1171</v>
      </c>
      <c r="G99" t="s">
        <v>2960</v>
      </c>
      <c r="H99" t="s">
        <v>4827</v>
      </c>
      <c r="I99" t="s">
        <v>6424</v>
      </c>
      <c r="J99" t="s">
        <v>7178</v>
      </c>
      <c r="K99">
        <v>11385</v>
      </c>
      <c r="N99" t="s">
        <v>7243</v>
      </c>
      <c r="O99" t="s">
        <v>7343</v>
      </c>
      <c r="P99">
        <v>1</v>
      </c>
      <c r="Q99">
        <v>1</v>
      </c>
      <c r="R99">
        <v>107.3</v>
      </c>
      <c r="U99">
        <v>18144</v>
      </c>
      <c r="W99">
        <v>3.95</v>
      </c>
      <c r="X99" t="s">
        <v>384</v>
      </c>
      <c r="Y99" t="s">
        <v>217</v>
      </c>
      <c r="AA99" t="s">
        <v>10974</v>
      </c>
      <c r="AB99" t="s">
        <v>322</v>
      </c>
      <c r="AD99" t="s">
        <v>11092</v>
      </c>
      <c r="AF99" t="s">
        <v>11120</v>
      </c>
      <c r="AH99" t="s">
        <v>10975</v>
      </c>
      <c r="AJ99" t="s">
        <v>11129</v>
      </c>
      <c r="AK99" t="s">
        <v>7225</v>
      </c>
      <c r="AM99">
        <v>916.5599999999999</v>
      </c>
      <c r="AO99">
        <v>6</v>
      </c>
      <c r="AQ99" t="s">
        <v>11157</v>
      </c>
      <c r="AS99" t="s">
        <v>11174</v>
      </c>
      <c r="AU99">
        <v>18</v>
      </c>
      <c r="AW99" t="s">
        <v>11187</v>
      </c>
      <c r="AY99" t="s">
        <v>11214</v>
      </c>
      <c r="BA99" t="s">
        <v>11222</v>
      </c>
      <c r="BE99" t="s">
        <v>11746</v>
      </c>
      <c r="BF99" t="s">
        <v>14364</v>
      </c>
      <c r="BM99" t="s">
        <v>15650</v>
      </c>
    </row>
    <row r="100" spans="1:67">
      <c r="A100" s="1">
        <f>HYPERLINK("https://lsnyc.legalserver.org/matter/dynamic-profile/view/1880702","18-1880702")</f>
        <v>0</v>
      </c>
      <c r="B100" t="s">
        <v>77</v>
      </c>
      <c r="C100" t="s">
        <v>247</v>
      </c>
      <c r="D100" t="s">
        <v>323</v>
      </c>
      <c r="F100" t="s">
        <v>1122</v>
      </c>
      <c r="G100" t="s">
        <v>2961</v>
      </c>
      <c r="H100" t="s">
        <v>4828</v>
      </c>
      <c r="I100" t="s">
        <v>6458</v>
      </c>
      <c r="J100" t="s">
        <v>7172</v>
      </c>
      <c r="K100">
        <v>11691</v>
      </c>
      <c r="N100" t="s">
        <v>7237</v>
      </c>
      <c r="O100" t="s">
        <v>7344</v>
      </c>
      <c r="P100">
        <v>1</v>
      </c>
      <c r="Q100">
        <v>0</v>
      </c>
      <c r="R100">
        <v>171.33</v>
      </c>
      <c r="U100">
        <v>20800</v>
      </c>
      <c r="W100">
        <v>1.25</v>
      </c>
      <c r="X100" t="s">
        <v>384</v>
      </c>
      <c r="Y100" t="s">
        <v>10870</v>
      </c>
      <c r="AA100" t="s">
        <v>10974</v>
      </c>
      <c r="AB100" t="s">
        <v>323</v>
      </c>
      <c r="AD100" t="s">
        <v>11083</v>
      </c>
      <c r="AF100" t="s">
        <v>11121</v>
      </c>
      <c r="AH100" t="s">
        <v>10975</v>
      </c>
      <c r="AJ100" t="s">
        <v>11138</v>
      </c>
      <c r="AK100" t="s">
        <v>7225</v>
      </c>
      <c r="AM100">
        <v>850</v>
      </c>
      <c r="AO100">
        <v>2</v>
      </c>
      <c r="AQ100" t="s">
        <v>11156</v>
      </c>
      <c r="AS100" t="s">
        <v>11173</v>
      </c>
      <c r="AU100">
        <v>2</v>
      </c>
      <c r="AW100" t="s">
        <v>11187</v>
      </c>
      <c r="AY100" t="s">
        <v>11213</v>
      </c>
      <c r="AZ100" t="s">
        <v>11221</v>
      </c>
      <c r="BE100" t="s">
        <v>11747</v>
      </c>
      <c r="BG100" t="s">
        <v>14408</v>
      </c>
      <c r="BM100" t="s">
        <v>15650</v>
      </c>
    </row>
    <row r="101" spans="1:67">
      <c r="A101" s="1">
        <f>HYPERLINK("https://lsnyc.legalserver.org/matter/dynamic-profile/view/1882435","18-1882435")</f>
        <v>0</v>
      </c>
      <c r="B101" t="s">
        <v>77</v>
      </c>
      <c r="C101" t="s">
        <v>247</v>
      </c>
      <c r="D101" t="s">
        <v>324</v>
      </c>
      <c r="F101" t="s">
        <v>1172</v>
      </c>
      <c r="G101" t="s">
        <v>2962</v>
      </c>
      <c r="H101" t="s">
        <v>4829</v>
      </c>
      <c r="I101" t="s">
        <v>6432</v>
      </c>
      <c r="J101" t="s">
        <v>7178</v>
      </c>
      <c r="K101">
        <v>11385</v>
      </c>
      <c r="N101" t="s">
        <v>7243</v>
      </c>
      <c r="O101" t="s">
        <v>7345</v>
      </c>
      <c r="P101">
        <v>1</v>
      </c>
      <c r="Q101">
        <v>2</v>
      </c>
      <c r="R101">
        <v>137.63</v>
      </c>
      <c r="U101">
        <v>28600</v>
      </c>
      <c r="W101">
        <v>2</v>
      </c>
      <c r="X101" t="s">
        <v>626</v>
      </c>
      <c r="Y101" t="s">
        <v>10878</v>
      </c>
      <c r="AA101" t="s">
        <v>10974</v>
      </c>
      <c r="AB101" t="s">
        <v>595</v>
      </c>
      <c r="AD101" t="s">
        <v>11100</v>
      </c>
      <c r="AF101" t="s">
        <v>11120</v>
      </c>
      <c r="AH101" t="s">
        <v>10975</v>
      </c>
      <c r="AJ101" t="s">
        <v>11138</v>
      </c>
      <c r="AK101" t="s">
        <v>7225</v>
      </c>
      <c r="AM101">
        <v>1850</v>
      </c>
      <c r="AO101">
        <v>6</v>
      </c>
      <c r="AQ101" t="s">
        <v>11157</v>
      </c>
      <c r="AS101" t="s">
        <v>11173</v>
      </c>
      <c r="AU101">
        <v>6</v>
      </c>
      <c r="AW101" t="s">
        <v>11187</v>
      </c>
      <c r="AY101" t="s">
        <v>11216</v>
      </c>
      <c r="AZ101" t="s">
        <v>11221</v>
      </c>
      <c r="BB101" t="s">
        <v>11224</v>
      </c>
      <c r="BC101" t="s">
        <v>11236</v>
      </c>
      <c r="BE101" t="s">
        <v>11748</v>
      </c>
      <c r="BF101" t="s">
        <v>14364</v>
      </c>
      <c r="BI101" t="s">
        <v>15606</v>
      </c>
      <c r="BK101" t="s">
        <v>11104</v>
      </c>
      <c r="BM101" t="s">
        <v>15650</v>
      </c>
      <c r="BN101" t="s">
        <v>15652</v>
      </c>
      <c r="BO101" t="s">
        <v>15659</v>
      </c>
    </row>
    <row r="102" spans="1:67">
      <c r="A102" s="1">
        <f>HYPERLINK("https://lsnyc.legalserver.org/matter/dynamic-profile/view/1856641","18-1856641")</f>
        <v>0</v>
      </c>
      <c r="B102" t="s">
        <v>78</v>
      </c>
      <c r="C102" t="s">
        <v>245</v>
      </c>
      <c r="D102" t="s">
        <v>325</v>
      </c>
      <c r="F102" t="s">
        <v>1173</v>
      </c>
      <c r="G102" t="s">
        <v>2963</v>
      </c>
      <c r="H102" t="s">
        <v>4830</v>
      </c>
      <c r="I102" t="s">
        <v>6433</v>
      </c>
      <c r="J102" t="s">
        <v>7169</v>
      </c>
      <c r="K102">
        <v>10029</v>
      </c>
      <c r="N102" t="s">
        <v>7237</v>
      </c>
      <c r="O102" t="s">
        <v>7346</v>
      </c>
      <c r="P102">
        <v>5</v>
      </c>
      <c r="Q102">
        <v>2</v>
      </c>
      <c r="R102">
        <v>105.01</v>
      </c>
      <c r="U102">
        <v>39000</v>
      </c>
      <c r="W102">
        <v>36.25</v>
      </c>
      <c r="X102" t="s">
        <v>264</v>
      </c>
      <c r="Y102" t="s">
        <v>10862</v>
      </c>
      <c r="AA102" t="s">
        <v>10974</v>
      </c>
      <c r="AB102" t="s">
        <v>386</v>
      </c>
      <c r="AD102" t="s">
        <v>11083</v>
      </c>
      <c r="AF102" t="s">
        <v>11118</v>
      </c>
      <c r="AH102" t="s">
        <v>10975</v>
      </c>
      <c r="AJ102" t="s">
        <v>11130</v>
      </c>
      <c r="AK102" t="s">
        <v>7225</v>
      </c>
      <c r="AM102">
        <v>771</v>
      </c>
      <c r="AO102">
        <v>23</v>
      </c>
      <c r="AQ102" t="s">
        <v>11157</v>
      </c>
      <c r="AS102" t="s">
        <v>11173</v>
      </c>
      <c r="AU102">
        <v>20</v>
      </c>
      <c r="AW102" t="s">
        <v>11187</v>
      </c>
      <c r="AZ102" t="s">
        <v>11221</v>
      </c>
      <c r="BE102" t="s">
        <v>11749</v>
      </c>
      <c r="BG102" t="s">
        <v>14409</v>
      </c>
      <c r="BM102" t="s">
        <v>15650</v>
      </c>
    </row>
    <row r="103" spans="1:67">
      <c r="A103" s="1">
        <f>HYPERLINK("https://lsnyc.legalserver.org/matter/dynamic-profile/view/1846318","17-1846318")</f>
        <v>0</v>
      </c>
      <c r="B103" t="s">
        <v>78</v>
      </c>
      <c r="C103" t="s">
        <v>245</v>
      </c>
      <c r="D103" t="s">
        <v>326</v>
      </c>
      <c r="F103" t="s">
        <v>1174</v>
      </c>
      <c r="G103" t="s">
        <v>2964</v>
      </c>
      <c r="H103" t="s">
        <v>4831</v>
      </c>
      <c r="I103" t="s">
        <v>6459</v>
      </c>
      <c r="J103" t="s">
        <v>7169</v>
      </c>
      <c r="K103">
        <v>10002</v>
      </c>
      <c r="M103" t="s">
        <v>7224</v>
      </c>
      <c r="N103" t="s">
        <v>7241</v>
      </c>
      <c r="O103" t="s">
        <v>7347</v>
      </c>
      <c r="P103">
        <v>2</v>
      </c>
      <c r="Q103">
        <v>0</v>
      </c>
      <c r="R103">
        <v>61.33</v>
      </c>
      <c r="U103">
        <v>9960</v>
      </c>
      <c r="W103">
        <v>8</v>
      </c>
      <c r="X103" t="s">
        <v>606</v>
      </c>
      <c r="Y103" t="s">
        <v>10879</v>
      </c>
      <c r="Z103" t="s">
        <v>10972</v>
      </c>
      <c r="AA103" t="s">
        <v>10976</v>
      </c>
      <c r="AC103" t="s">
        <v>11081</v>
      </c>
      <c r="AF103" t="s">
        <v>11120</v>
      </c>
      <c r="AG103" t="s">
        <v>11124</v>
      </c>
      <c r="AI103" t="s">
        <v>11126</v>
      </c>
      <c r="AK103" t="s">
        <v>7225</v>
      </c>
      <c r="AL103" t="s">
        <v>11150</v>
      </c>
      <c r="AM103">
        <v>0</v>
      </c>
      <c r="AN103" t="s">
        <v>11151</v>
      </c>
      <c r="AO103" t="s">
        <v>11153</v>
      </c>
      <c r="AP103" t="s">
        <v>11155</v>
      </c>
      <c r="AR103" t="s">
        <v>11172</v>
      </c>
      <c r="AT103" t="s">
        <v>11184</v>
      </c>
      <c r="AU103">
        <v>0</v>
      </c>
      <c r="AW103" t="s">
        <v>11189</v>
      </c>
      <c r="AX103" t="s">
        <v>11212</v>
      </c>
      <c r="AZ103" t="s">
        <v>11221</v>
      </c>
      <c r="BD103" t="s">
        <v>11667</v>
      </c>
      <c r="BF103" t="s">
        <v>14364</v>
      </c>
      <c r="BM103" t="s">
        <v>15650</v>
      </c>
    </row>
    <row r="104" spans="1:67">
      <c r="A104" s="1">
        <f>HYPERLINK("https://lsnyc.legalserver.org/matter/dynamic-profile/view/1910768","19-1910768")</f>
        <v>0</v>
      </c>
      <c r="B104" t="s">
        <v>79</v>
      </c>
      <c r="C104" t="s">
        <v>246</v>
      </c>
      <c r="D104" t="s">
        <v>327</v>
      </c>
      <c r="F104" t="s">
        <v>1155</v>
      </c>
      <c r="G104" t="s">
        <v>2911</v>
      </c>
      <c r="H104" t="s">
        <v>4832</v>
      </c>
      <c r="I104" t="s">
        <v>6460</v>
      </c>
      <c r="J104" t="s">
        <v>7170</v>
      </c>
      <c r="K104">
        <v>10462</v>
      </c>
      <c r="M104" t="s">
        <v>7225</v>
      </c>
      <c r="N104" t="s">
        <v>7238</v>
      </c>
      <c r="O104" t="s">
        <v>7348</v>
      </c>
      <c r="P104">
        <v>1</v>
      </c>
      <c r="Q104">
        <v>1</v>
      </c>
      <c r="R104">
        <v>53.15</v>
      </c>
      <c r="U104">
        <v>8988</v>
      </c>
      <c r="W104">
        <v>22.6</v>
      </c>
      <c r="X104" t="s">
        <v>528</v>
      </c>
      <c r="Y104" t="s">
        <v>10880</v>
      </c>
      <c r="AA104" t="s">
        <v>10974</v>
      </c>
      <c r="AD104" t="s">
        <v>11095</v>
      </c>
      <c r="AF104" t="s">
        <v>11120</v>
      </c>
      <c r="AH104" t="s">
        <v>10975</v>
      </c>
      <c r="AJ104" t="s">
        <v>11132</v>
      </c>
      <c r="AK104" t="s">
        <v>7225</v>
      </c>
      <c r="AL104" t="s">
        <v>11150</v>
      </c>
      <c r="AM104">
        <v>0</v>
      </c>
      <c r="AN104" t="s">
        <v>11151</v>
      </c>
      <c r="AO104" t="s">
        <v>11153</v>
      </c>
      <c r="AQ104" t="s">
        <v>11162</v>
      </c>
      <c r="AS104" t="s">
        <v>11174</v>
      </c>
      <c r="AT104" t="s">
        <v>11184</v>
      </c>
      <c r="AU104">
        <v>0</v>
      </c>
      <c r="AW104" t="s">
        <v>11187</v>
      </c>
      <c r="AY104" t="s">
        <v>11213</v>
      </c>
      <c r="BA104" t="s">
        <v>11223</v>
      </c>
      <c r="BC104" t="s">
        <v>11240</v>
      </c>
      <c r="BE104" t="s">
        <v>11750</v>
      </c>
      <c r="BF104" t="s">
        <v>14364</v>
      </c>
      <c r="BG104" t="s">
        <v>11333</v>
      </c>
      <c r="BM104" t="s">
        <v>15650</v>
      </c>
    </row>
    <row r="105" spans="1:67">
      <c r="A105" s="1">
        <f>HYPERLINK("https://lsnyc.legalserver.org/matter/dynamic-profile/view/1904384","19-1904384")</f>
        <v>0</v>
      </c>
      <c r="B105" t="s">
        <v>80</v>
      </c>
      <c r="C105" t="s">
        <v>249</v>
      </c>
      <c r="D105" t="s">
        <v>328</v>
      </c>
      <c r="F105" t="s">
        <v>1175</v>
      </c>
      <c r="G105" t="s">
        <v>2965</v>
      </c>
      <c r="H105" t="s">
        <v>4833</v>
      </c>
      <c r="I105" t="s">
        <v>6433</v>
      </c>
      <c r="J105" t="s">
        <v>7179</v>
      </c>
      <c r="K105">
        <v>10304</v>
      </c>
      <c r="N105" t="s">
        <v>7237</v>
      </c>
      <c r="O105" t="s">
        <v>7349</v>
      </c>
      <c r="P105">
        <v>1</v>
      </c>
      <c r="Q105">
        <v>0</v>
      </c>
      <c r="R105">
        <v>70.52</v>
      </c>
      <c r="U105">
        <v>8808</v>
      </c>
      <c r="W105">
        <v>9.699999999999999</v>
      </c>
      <c r="X105" t="s">
        <v>305</v>
      </c>
      <c r="Y105" t="s">
        <v>10881</v>
      </c>
      <c r="AA105" t="s">
        <v>10974</v>
      </c>
      <c r="AD105" t="s">
        <v>11086</v>
      </c>
      <c r="AF105" t="s">
        <v>11120</v>
      </c>
      <c r="AH105" t="s">
        <v>10975</v>
      </c>
      <c r="AJ105" t="s">
        <v>11129</v>
      </c>
      <c r="AK105" t="s">
        <v>7225</v>
      </c>
      <c r="AM105">
        <v>890</v>
      </c>
      <c r="AO105">
        <v>104</v>
      </c>
      <c r="AQ105" t="s">
        <v>11157</v>
      </c>
      <c r="AS105" t="s">
        <v>11174</v>
      </c>
      <c r="AU105">
        <v>31</v>
      </c>
      <c r="AW105" t="s">
        <v>11187</v>
      </c>
      <c r="AY105" t="s">
        <v>11213</v>
      </c>
      <c r="BA105" t="s">
        <v>11222</v>
      </c>
      <c r="BE105" t="s">
        <v>11751</v>
      </c>
      <c r="BF105" t="s">
        <v>14364</v>
      </c>
      <c r="BG105" t="s">
        <v>14410</v>
      </c>
      <c r="BM105" t="s">
        <v>15650</v>
      </c>
    </row>
    <row r="106" spans="1:67">
      <c r="A106" s="1">
        <f>HYPERLINK("https://lsnyc.legalserver.org/matter/dynamic-profile/view/1914958","19-1914958")</f>
        <v>0</v>
      </c>
      <c r="B106" t="s">
        <v>80</v>
      </c>
      <c r="C106" t="s">
        <v>249</v>
      </c>
      <c r="D106" t="s">
        <v>262</v>
      </c>
      <c r="F106" t="s">
        <v>1176</v>
      </c>
      <c r="G106" t="s">
        <v>2966</v>
      </c>
      <c r="H106" t="s">
        <v>4834</v>
      </c>
      <c r="I106">
        <v>447</v>
      </c>
      <c r="J106" t="s">
        <v>7179</v>
      </c>
      <c r="K106">
        <v>10304</v>
      </c>
      <c r="N106" t="s">
        <v>7237</v>
      </c>
      <c r="O106" t="s">
        <v>7350</v>
      </c>
      <c r="P106">
        <v>1</v>
      </c>
      <c r="Q106">
        <v>2</v>
      </c>
      <c r="R106">
        <v>139.69</v>
      </c>
      <c r="U106">
        <v>29796</v>
      </c>
      <c r="W106">
        <v>6.1</v>
      </c>
      <c r="X106" t="s">
        <v>548</v>
      </c>
      <c r="Y106" t="s">
        <v>80</v>
      </c>
      <c r="AA106" t="s">
        <v>10974</v>
      </c>
      <c r="AD106" t="s">
        <v>11082</v>
      </c>
      <c r="AF106" t="s">
        <v>11118</v>
      </c>
      <c r="AH106" t="s">
        <v>10975</v>
      </c>
      <c r="AI106" t="s">
        <v>11126</v>
      </c>
      <c r="AK106" t="s">
        <v>7225</v>
      </c>
      <c r="AM106">
        <v>418</v>
      </c>
      <c r="AN106" t="s">
        <v>11151</v>
      </c>
      <c r="AO106" t="s">
        <v>11153</v>
      </c>
      <c r="AQ106" t="s">
        <v>11161</v>
      </c>
      <c r="AR106" t="s">
        <v>11172</v>
      </c>
      <c r="AU106">
        <v>3</v>
      </c>
      <c r="AW106" t="s">
        <v>11187</v>
      </c>
      <c r="AY106" t="s">
        <v>11216</v>
      </c>
      <c r="AZ106" t="s">
        <v>11221</v>
      </c>
      <c r="BC106" t="s">
        <v>11241</v>
      </c>
      <c r="BE106" t="s">
        <v>11752</v>
      </c>
      <c r="BF106" t="s">
        <v>14364</v>
      </c>
      <c r="BG106">
        <v>51189</v>
      </c>
      <c r="BM106" t="s">
        <v>15650</v>
      </c>
    </row>
    <row r="107" spans="1:67">
      <c r="A107" s="1">
        <f>HYPERLINK("https://lsnyc.legalserver.org/matter/dynamic-profile/view/1904238","19-1904238")</f>
        <v>0</v>
      </c>
      <c r="B107" t="s">
        <v>80</v>
      </c>
      <c r="C107" t="s">
        <v>249</v>
      </c>
      <c r="D107" t="s">
        <v>328</v>
      </c>
      <c r="F107" t="s">
        <v>1177</v>
      </c>
      <c r="G107" t="s">
        <v>2967</v>
      </c>
      <c r="H107" t="s">
        <v>4835</v>
      </c>
      <c r="I107" t="s">
        <v>6461</v>
      </c>
      <c r="J107" t="s">
        <v>7179</v>
      </c>
      <c r="K107">
        <v>10314</v>
      </c>
      <c r="N107" t="s">
        <v>7237</v>
      </c>
      <c r="O107" t="s">
        <v>7351</v>
      </c>
      <c r="P107">
        <v>1</v>
      </c>
      <c r="Q107">
        <v>0</v>
      </c>
      <c r="R107">
        <v>236.89</v>
      </c>
      <c r="S107" t="s">
        <v>332</v>
      </c>
      <c r="T107" t="s">
        <v>10276</v>
      </c>
      <c r="U107">
        <v>29587.92</v>
      </c>
      <c r="W107">
        <v>2.9</v>
      </c>
      <c r="X107" t="s">
        <v>434</v>
      </c>
      <c r="Y107" t="s">
        <v>10881</v>
      </c>
      <c r="AA107" t="s">
        <v>10974</v>
      </c>
      <c r="AB107" t="s">
        <v>332</v>
      </c>
      <c r="AD107" t="s">
        <v>11100</v>
      </c>
      <c r="AF107" t="s">
        <v>11120</v>
      </c>
      <c r="AH107" t="s">
        <v>10975</v>
      </c>
      <c r="AJ107" t="s">
        <v>11129</v>
      </c>
      <c r="AK107" t="s">
        <v>7225</v>
      </c>
      <c r="AM107">
        <v>967</v>
      </c>
      <c r="AO107">
        <v>96</v>
      </c>
      <c r="AQ107" t="s">
        <v>11157</v>
      </c>
      <c r="AS107" t="s">
        <v>11175</v>
      </c>
      <c r="AU107">
        <v>8</v>
      </c>
      <c r="AW107" t="s">
        <v>11187</v>
      </c>
      <c r="AY107" t="s">
        <v>11213</v>
      </c>
      <c r="BA107" t="s">
        <v>11222</v>
      </c>
      <c r="BE107" t="s">
        <v>11753</v>
      </c>
      <c r="BF107" t="s">
        <v>14364</v>
      </c>
      <c r="BG107" t="s">
        <v>14411</v>
      </c>
      <c r="BM107" t="s">
        <v>15650</v>
      </c>
    </row>
    <row r="108" spans="1:67">
      <c r="A108" s="1">
        <f>HYPERLINK("https://lsnyc.legalserver.org/matter/dynamic-profile/view/1887928","19-1887928")</f>
        <v>0</v>
      </c>
      <c r="B108" t="s">
        <v>81</v>
      </c>
      <c r="C108" t="s">
        <v>248</v>
      </c>
      <c r="D108" t="s">
        <v>329</v>
      </c>
      <c r="E108" t="s">
        <v>548</v>
      </c>
      <c r="F108" t="s">
        <v>1178</v>
      </c>
      <c r="G108" t="s">
        <v>2962</v>
      </c>
      <c r="H108" t="s">
        <v>4836</v>
      </c>
      <c r="J108" t="s">
        <v>7174</v>
      </c>
      <c r="K108">
        <v>11206</v>
      </c>
      <c r="L108" t="s">
        <v>7217</v>
      </c>
      <c r="N108" t="s">
        <v>7237</v>
      </c>
      <c r="O108" t="s">
        <v>7352</v>
      </c>
      <c r="P108">
        <v>2</v>
      </c>
      <c r="Q108">
        <v>1</v>
      </c>
      <c r="R108">
        <v>173.24</v>
      </c>
      <c r="U108">
        <v>36000</v>
      </c>
      <c r="W108">
        <v>0.7</v>
      </c>
      <c r="X108" t="s">
        <v>548</v>
      </c>
      <c r="Y108" t="s">
        <v>81</v>
      </c>
      <c r="AA108" t="s">
        <v>10974</v>
      </c>
      <c r="AB108" t="s">
        <v>483</v>
      </c>
      <c r="AD108" t="s">
        <v>11082</v>
      </c>
      <c r="AF108" t="s">
        <v>11119</v>
      </c>
      <c r="AH108" t="s">
        <v>10975</v>
      </c>
      <c r="AI108" t="s">
        <v>11126</v>
      </c>
      <c r="AK108" t="s">
        <v>7225</v>
      </c>
      <c r="AM108">
        <v>1199.56</v>
      </c>
      <c r="AN108" t="s">
        <v>11151</v>
      </c>
      <c r="AO108" t="s">
        <v>11153</v>
      </c>
      <c r="AP108" t="s">
        <v>11155</v>
      </c>
      <c r="AR108" t="s">
        <v>11172</v>
      </c>
      <c r="AU108">
        <v>11</v>
      </c>
      <c r="AW108" t="s">
        <v>11187</v>
      </c>
      <c r="AZ108" t="s">
        <v>11221</v>
      </c>
      <c r="BE108" t="s">
        <v>11754</v>
      </c>
      <c r="BF108" t="s">
        <v>14364</v>
      </c>
      <c r="BM108" t="s">
        <v>15651</v>
      </c>
    </row>
    <row r="109" spans="1:67">
      <c r="A109" s="1">
        <f>HYPERLINK("https://lsnyc.legalserver.org/matter/dynamic-profile/view/1891141","19-1891141")</f>
        <v>0</v>
      </c>
      <c r="B109" t="s">
        <v>81</v>
      </c>
      <c r="C109" t="s">
        <v>248</v>
      </c>
      <c r="D109" t="s">
        <v>330</v>
      </c>
      <c r="F109" t="s">
        <v>1179</v>
      </c>
      <c r="G109" t="s">
        <v>2968</v>
      </c>
      <c r="H109" t="s">
        <v>4837</v>
      </c>
      <c r="I109" t="s">
        <v>6462</v>
      </c>
      <c r="J109" t="s">
        <v>7174</v>
      </c>
      <c r="K109">
        <v>11226</v>
      </c>
      <c r="N109" t="s">
        <v>7237</v>
      </c>
      <c r="O109" t="s">
        <v>7353</v>
      </c>
      <c r="P109">
        <v>3</v>
      </c>
      <c r="Q109">
        <v>0</v>
      </c>
      <c r="R109">
        <v>226.43</v>
      </c>
      <c r="U109">
        <v>48298</v>
      </c>
      <c r="W109">
        <v>0.2</v>
      </c>
      <c r="X109" t="s">
        <v>701</v>
      </c>
      <c r="Y109" t="s">
        <v>81</v>
      </c>
      <c r="AA109" t="s">
        <v>10974</v>
      </c>
      <c r="AB109" t="s">
        <v>402</v>
      </c>
      <c r="AC109" t="s">
        <v>11081</v>
      </c>
      <c r="AF109" t="s">
        <v>10384</v>
      </c>
      <c r="AG109" t="s">
        <v>11124</v>
      </c>
      <c r="AI109" t="s">
        <v>11126</v>
      </c>
      <c r="AK109" t="s">
        <v>7225</v>
      </c>
      <c r="AM109">
        <v>968</v>
      </c>
      <c r="AN109" t="s">
        <v>11151</v>
      </c>
      <c r="AO109" t="s">
        <v>11153</v>
      </c>
      <c r="AP109" t="s">
        <v>11155</v>
      </c>
      <c r="AR109" t="s">
        <v>11172</v>
      </c>
      <c r="AU109">
        <v>31</v>
      </c>
      <c r="AV109" t="s">
        <v>11186</v>
      </c>
      <c r="AZ109" t="s">
        <v>11221</v>
      </c>
      <c r="BE109" t="s">
        <v>11755</v>
      </c>
      <c r="BF109" t="s">
        <v>14364</v>
      </c>
      <c r="BM109" t="s">
        <v>15650</v>
      </c>
    </row>
    <row r="110" spans="1:67">
      <c r="A110" s="1">
        <f>HYPERLINK("https://lsnyc.legalserver.org/matter/dynamic-profile/view/1891139","19-1891139")</f>
        <v>0</v>
      </c>
      <c r="B110" t="s">
        <v>81</v>
      </c>
      <c r="C110" t="s">
        <v>248</v>
      </c>
      <c r="D110" t="s">
        <v>331</v>
      </c>
      <c r="F110" t="s">
        <v>1180</v>
      </c>
      <c r="G110" t="s">
        <v>2969</v>
      </c>
      <c r="H110" t="s">
        <v>4837</v>
      </c>
      <c r="I110" t="s">
        <v>6463</v>
      </c>
      <c r="J110" t="s">
        <v>7174</v>
      </c>
      <c r="K110">
        <v>11226</v>
      </c>
      <c r="N110" t="s">
        <v>7237</v>
      </c>
      <c r="O110" t="s">
        <v>7354</v>
      </c>
      <c r="P110">
        <v>2</v>
      </c>
      <c r="Q110">
        <v>0</v>
      </c>
      <c r="R110">
        <v>76.88</v>
      </c>
      <c r="U110">
        <v>13000</v>
      </c>
      <c r="W110">
        <v>0.2</v>
      </c>
      <c r="X110" t="s">
        <v>701</v>
      </c>
      <c r="Y110" t="s">
        <v>81</v>
      </c>
      <c r="AA110" t="s">
        <v>10974</v>
      </c>
      <c r="AB110" t="s">
        <v>402</v>
      </c>
      <c r="AD110" t="s">
        <v>11090</v>
      </c>
      <c r="AF110" t="s">
        <v>10384</v>
      </c>
      <c r="AG110" t="s">
        <v>11124</v>
      </c>
      <c r="AI110" t="s">
        <v>11126</v>
      </c>
      <c r="AK110" t="s">
        <v>7225</v>
      </c>
      <c r="AM110">
        <v>1106.76</v>
      </c>
      <c r="AN110" t="s">
        <v>11151</v>
      </c>
      <c r="AO110" t="s">
        <v>11153</v>
      </c>
      <c r="AP110" t="s">
        <v>11155</v>
      </c>
      <c r="AR110" t="s">
        <v>11172</v>
      </c>
      <c r="AU110">
        <v>25</v>
      </c>
      <c r="AW110" t="s">
        <v>11187</v>
      </c>
      <c r="AZ110" t="s">
        <v>11221</v>
      </c>
      <c r="BD110" t="s">
        <v>11667</v>
      </c>
      <c r="BF110" t="s">
        <v>14364</v>
      </c>
      <c r="BM110" t="s">
        <v>15650</v>
      </c>
    </row>
    <row r="111" spans="1:67">
      <c r="A111" s="1">
        <f>HYPERLINK("https://lsnyc.legalserver.org/matter/dynamic-profile/view/1912865","19-1912865")</f>
        <v>0</v>
      </c>
      <c r="B111" t="s">
        <v>81</v>
      </c>
      <c r="C111" t="s">
        <v>248</v>
      </c>
      <c r="D111" t="s">
        <v>316</v>
      </c>
      <c r="F111" t="s">
        <v>1181</v>
      </c>
      <c r="G111" t="s">
        <v>2970</v>
      </c>
      <c r="H111" t="s">
        <v>4838</v>
      </c>
      <c r="I111" t="s">
        <v>6464</v>
      </c>
      <c r="J111" t="s">
        <v>7174</v>
      </c>
      <c r="K111">
        <v>11237</v>
      </c>
      <c r="N111" t="s">
        <v>7237</v>
      </c>
      <c r="O111" t="s">
        <v>7355</v>
      </c>
      <c r="P111">
        <v>5</v>
      </c>
      <c r="Q111">
        <v>2</v>
      </c>
      <c r="R111">
        <v>140.99</v>
      </c>
      <c r="U111">
        <v>55000</v>
      </c>
      <c r="W111">
        <v>0</v>
      </c>
      <c r="Y111" t="s">
        <v>81</v>
      </c>
      <c r="AA111" t="s">
        <v>10974</v>
      </c>
      <c r="AB111" t="s">
        <v>316</v>
      </c>
      <c r="AD111" t="s">
        <v>11086</v>
      </c>
      <c r="AF111" t="s">
        <v>11120</v>
      </c>
      <c r="AH111" t="s">
        <v>10975</v>
      </c>
      <c r="AI111" t="s">
        <v>11126</v>
      </c>
      <c r="AK111" t="s">
        <v>7225</v>
      </c>
      <c r="AL111" t="s">
        <v>11150</v>
      </c>
      <c r="AM111">
        <v>0</v>
      </c>
      <c r="AN111" t="s">
        <v>11151</v>
      </c>
      <c r="AO111" t="s">
        <v>11153</v>
      </c>
      <c r="AP111" t="s">
        <v>11155</v>
      </c>
      <c r="AR111" t="s">
        <v>11172</v>
      </c>
      <c r="AU111">
        <v>7</v>
      </c>
      <c r="AW111" t="s">
        <v>11189</v>
      </c>
      <c r="BA111" t="s">
        <v>11222</v>
      </c>
      <c r="BE111" t="s">
        <v>11756</v>
      </c>
      <c r="BF111" t="s">
        <v>14364</v>
      </c>
      <c r="BM111" t="s">
        <v>15650</v>
      </c>
    </row>
    <row r="112" spans="1:67">
      <c r="A112" s="1">
        <f>HYPERLINK("https://lsnyc.legalserver.org/matter/dynamic-profile/view/1905072","19-1905072")</f>
        <v>0</v>
      </c>
      <c r="B112" t="s">
        <v>81</v>
      </c>
      <c r="C112" t="s">
        <v>248</v>
      </c>
      <c r="D112" t="s">
        <v>332</v>
      </c>
      <c r="E112" t="s">
        <v>638</v>
      </c>
      <c r="F112" t="s">
        <v>1182</v>
      </c>
      <c r="G112" t="s">
        <v>2971</v>
      </c>
      <c r="H112" t="s">
        <v>4839</v>
      </c>
      <c r="I112" t="s">
        <v>6436</v>
      </c>
      <c r="J112" t="s">
        <v>7174</v>
      </c>
      <c r="K112">
        <v>11226</v>
      </c>
      <c r="L112" t="s">
        <v>7217</v>
      </c>
      <c r="N112" t="s">
        <v>7237</v>
      </c>
      <c r="O112" t="s">
        <v>7356</v>
      </c>
      <c r="P112">
        <v>1</v>
      </c>
      <c r="Q112">
        <v>0</v>
      </c>
      <c r="R112">
        <v>312.25</v>
      </c>
      <c r="U112">
        <v>39000</v>
      </c>
      <c r="V112" t="s">
        <v>10291</v>
      </c>
      <c r="W112">
        <v>0.5</v>
      </c>
      <c r="X112" t="s">
        <v>332</v>
      </c>
      <c r="Y112" t="s">
        <v>10882</v>
      </c>
      <c r="Z112" t="s">
        <v>10972</v>
      </c>
      <c r="AA112" t="s">
        <v>10976</v>
      </c>
      <c r="AD112" t="s">
        <v>11082</v>
      </c>
      <c r="AE112" t="s">
        <v>11117</v>
      </c>
      <c r="AH112" t="s">
        <v>10975</v>
      </c>
      <c r="AJ112" t="s">
        <v>11130</v>
      </c>
      <c r="AK112" t="s">
        <v>7225</v>
      </c>
      <c r="AM112">
        <v>762</v>
      </c>
      <c r="AO112">
        <v>42</v>
      </c>
      <c r="AP112" t="s">
        <v>11155</v>
      </c>
      <c r="AS112" t="s">
        <v>11173</v>
      </c>
      <c r="AU112">
        <v>21</v>
      </c>
      <c r="AW112" t="s">
        <v>11187</v>
      </c>
      <c r="AX112" t="s">
        <v>11212</v>
      </c>
      <c r="AZ112" t="s">
        <v>11221</v>
      </c>
      <c r="BE112" t="s">
        <v>11757</v>
      </c>
      <c r="BF112" t="s">
        <v>14364</v>
      </c>
      <c r="BM112" t="s">
        <v>15651</v>
      </c>
    </row>
    <row r="113" spans="1:65">
      <c r="A113" s="1">
        <f>HYPERLINK("https://lsnyc.legalserver.org/matter/dynamic-profile/view/1891140","19-1891140")</f>
        <v>0</v>
      </c>
      <c r="B113" t="s">
        <v>81</v>
      </c>
      <c r="C113" t="s">
        <v>248</v>
      </c>
      <c r="D113" t="s">
        <v>331</v>
      </c>
      <c r="F113" t="s">
        <v>1183</v>
      </c>
      <c r="G113" t="s">
        <v>2972</v>
      </c>
      <c r="H113" t="s">
        <v>4837</v>
      </c>
      <c r="I113" t="s">
        <v>6465</v>
      </c>
      <c r="J113" t="s">
        <v>7174</v>
      </c>
      <c r="K113">
        <v>11226</v>
      </c>
      <c r="N113" t="s">
        <v>7237</v>
      </c>
      <c r="O113" t="s">
        <v>7357</v>
      </c>
      <c r="P113">
        <v>1</v>
      </c>
      <c r="Q113">
        <v>0</v>
      </c>
      <c r="R113">
        <v>112.89</v>
      </c>
      <c r="U113">
        <v>14100</v>
      </c>
      <c r="W113">
        <v>0</v>
      </c>
      <c r="Y113" t="s">
        <v>81</v>
      </c>
      <c r="AA113" t="s">
        <v>10974</v>
      </c>
      <c r="AB113" t="s">
        <v>402</v>
      </c>
      <c r="AC113" t="s">
        <v>11081</v>
      </c>
      <c r="AF113" t="s">
        <v>10384</v>
      </c>
      <c r="AG113" t="s">
        <v>11124</v>
      </c>
      <c r="AI113" t="s">
        <v>11126</v>
      </c>
      <c r="AK113" t="s">
        <v>7225</v>
      </c>
      <c r="AM113">
        <v>835.4299999999999</v>
      </c>
      <c r="AN113" t="s">
        <v>11151</v>
      </c>
      <c r="AO113" t="s">
        <v>11153</v>
      </c>
      <c r="AP113" t="s">
        <v>11155</v>
      </c>
      <c r="AR113" t="s">
        <v>11172</v>
      </c>
      <c r="AU113">
        <v>38</v>
      </c>
      <c r="AV113" t="s">
        <v>11186</v>
      </c>
      <c r="AZ113" t="s">
        <v>11221</v>
      </c>
      <c r="BE113" t="s">
        <v>11758</v>
      </c>
      <c r="BF113" t="s">
        <v>14364</v>
      </c>
      <c r="BM113" t="s">
        <v>15650</v>
      </c>
    </row>
    <row r="114" spans="1:65">
      <c r="A114" s="1">
        <f>HYPERLINK("https://lsnyc.legalserver.org/matter/dynamic-profile/view/1910713","19-1910713")</f>
        <v>0</v>
      </c>
      <c r="B114" t="s">
        <v>81</v>
      </c>
      <c r="C114" t="s">
        <v>248</v>
      </c>
      <c r="D114" t="s">
        <v>327</v>
      </c>
      <c r="F114" t="s">
        <v>1184</v>
      </c>
      <c r="G114" t="s">
        <v>2973</v>
      </c>
      <c r="H114" t="s">
        <v>4840</v>
      </c>
      <c r="I114" t="s">
        <v>6466</v>
      </c>
      <c r="J114" t="s">
        <v>7174</v>
      </c>
      <c r="K114">
        <v>11226</v>
      </c>
      <c r="N114" t="s">
        <v>7237</v>
      </c>
      <c r="O114" t="s">
        <v>7358</v>
      </c>
      <c r="P114">
        <v>1</v>
      </c>
      <c r="Q114">
        <v>0</v>
      </c>
      <c r="R114">
        <v>91.59</v>
      </c>
      <c r="U114">
        <v>11440</v>
      </c>
      <c r="W114">
        <v>0.5</v>
      </c>
      <c r="X114" t="s">
        <v>327</v>
      </c>
      <c r="Y114" t="s">
        <v>10882</v>
      </c>
      <c r="Z114" t="s">
        <v>10972</v>
      </c>
      <c r="AA114" t="s">
        <v>10976</v>
      </c>
      <c r="AD114" t="s">
        <v>11086</v>
      </c>
      <c r="AF114" t="s">
        <v>11119</v>
      </c>
      <c r="AH114" t="s">
        <v>10975</v>
      </c>
      <c r="AI114" t="s">
        <v>11126</v>
      </c>
      <c r="AK114" t="s">
        <v>7225</v>
      </c>
      <c r="AM114">
        <v>867.12</v>
      </c>
      <c r="AO114">
        <v>35</v>
      </c>
      <c r="AQ114" t="s">
        <v>11164</v>
      </c>
      <c r="AS114" t="s">
        <v>11173</v>
      </c>
      <c r="AU114">
        <v>12</v>
      </c>
      <c r="AW114" t="s">
        <v>11187</v>
      </c>
      <c r="AX114" t="s">
        <v>11212</v>
      </c>
      <c r="AZ114" t="s">
        <v>11221</v>
      </c>
      <c r="BD114" t="s">
        <v>11667</v>
      </c>
      <c r="BF114" t="s">
        <v>14364</v>
      </c>
      <c r="BG114" t="s">
        <v>14412</v>
      </c>
      <c r="BM114" t="s">
        <v>15650</v>
      </c>
    </row>
    <row r="115" spans="1:65">
      <c r="A115" s="1">
        <f>HYPERLINK("https://lsnyc.legalserver.org/matter/dynamic-profile/view/1913928","19-1913928")</f>
        <v>0</v>
      </c>
      <c r="B115" t="s">
        <v>81</v>
      </c>
      <c r="C115" t="s">
        <v>248</v>
      </c>
      <c r="D115" t="s">
        <v>333</v>
      </c>
      <c r="F115" t="s">
        <v>1185</v>
      </c>
      <c r="G115" t="s">
        <v>2974</v>
      </c>
      <c r="H115" t="s">
        <v>4841</v>
      </c>
      <c r="I115" t="s">
        <v>6467</v>
      </c>
      <c r="J115" t="s">
        <v>7174</v>
      </c>
      <c r="K115">
        <v>11203</v>
      </c>
      <c r="N115" t="s">
        <v>7237</v>
      </c>
      <c r="O115" t="s">
        <v>7359</v>
      </c>
      <c r="P115">
        <v>1</v>
      </c>
      <c r="Q115">
        <v>0</v>
      </c>
      <c r="R115">
        <v>309.46</v>
      </c>
      <c r="U115">
        <v>38651</v>
      </c>
      <c r="W115">
        <v>0.95</v>
      </c>
      <c r="X115" t="s">
        <v>301</v>
      </c>
      <c r="Y115" t="s">
        <v>10883</v>
      </c>
      <c r="AA115" t="s">
        <v>10974</v>
      </c>
      <c r="AB115" t="s">
        <v>497</v>
      </c>
      <c r="AC115" t="s">
        <v>11081</v>
      </c>
      <c r="AF115" t="s">
        <v>11120</v>
      </c>
      <c r="AG115" t="s">
        <v>11124</v>
      </c>
      <c r="AJ115" t="s">
        <v>11131</v>
      </c>
      <c r="AK115" t="s">
        <v>7225</v>
      </c>
      <c r="AM115">
        <v>658</v>
      </c>
      <c r="AO115">
        <v>66</v>
      </c>
      <c r="AP115" t="s">
        <v>11155</v>
      </c>
      <c r="AR115" t="s">
        <v>11172</v>
      </c>
      <c r="AU115">
        <v>22</v>
      </c>
      <c r="AW115" t="s">
        <v>11187</v>
      </c>
      <c r="AZ115" t="s">
        <v>11221</v>
      </c>
      <c r="BE115" t="s">
        <v>11759</v>
      </c>
      <c r="BF115" t="s">
        <v>14364</v>
      </c>
      <c r="BM115" t="s">
        <v>15650</v>
      </c>
    </row>
    <row r="116" spans="1:65">
      <c r="A116" s="1">
        <f>HYPERLINK("https://lsnyc.legalserver.org/matter/dynamic-profile/view/1894028","19-1894028")</f>
        <v>0</v>
      </c>
      <c r="B116" t="s">
        <v>82</v>
      </c>
      <c r="C116" t="s">
        <v>246</v>
      </c>
      <c r="D116" t="s">
        <v>334</v>
      </c>
      <c r="F116" t="s">
        <v>1186</v>
      </c>
      <c r="G116" t="s">
        <v>2975</v>
      </c>
      <c r="H116" t="s">
        <v>4842</v>
      </c>
      <c r="I116" t="s">
        <v>6468</v>
      </c>
      <c r="J116" t="s">
        <v>7170</v>
      </c>
      <c r="K116">
        <v>10455</v>
      </c>
      <c r="N116" t="s">
        <v>7237</v>
      </c>
      <c r="O116" t="s">
        <v>7360</v>
      </c>
      <c r="P116">
        <v>4</v>
      </c>
      <c r="Q116">
        <v>0</v>
      </c>
      <c r="R116">
        <v>153.79</v>
      </c>
      <c r="U116">
        <v>39600</v>
      </c>
      <c r="W116">
        <v>1.8</v>
      </c>
      <c r="X116" t="s">
        <v>671</v>
      </c>
      <c r="Y116" t="s">
        <v>82</v>
      </c>
      <c r="AA116" t="s">
        <v>10974</v>
      </c>
      <c r="AB116" t="s">
        <v>334</v>
      </c>
      <c r="AD116" t="s">
        <v>11086</v>
      </c>
      <c r="AF116" t="s">
        <v>11119</v>
      </c>
      <c r="AH116" t="s">
        <v>10975</v>
      </c>
      <c r="AI116" t="s">
        <v>11126</v>
      </c>
      <c r="AK116" t="s">
        <v>7225</v>
      </c>
      <c r="AM116">
        <v>1007.33</v>
      </c>
      <c r="AO116">
        <v>52</v>
      </c>
      <c r="AQ116" t="s">
        <v>11157</v>
      </c>
      <c r="AS116" t="s">
        <v>11174</v>
      </c>
      <c r="AU116">
        <v>13</v>
      </c>
      <c r="AW116" t="s">
        <v>11189</v>
      </c>
      <c r="BA116" t="s">
        <v>11222</v>
      </c>
      <c r="BD116" t="s">
        <v>11667</v>
      </c>
      <c r="BF116" t="s">
        <v>14364</v>
      </c>
      <c r="BM116" t="s">
        <v>15650</v>
      </c>
    </row>
    <row r="117" spans="1:65">
      <c r="A117" s="1">
        <f>HYPERLINK("https://lsnyc.legalserver.org/matter/dynamic-profile/view/1910139","19-1910139")</f>
        <v>0</v>
      </c>
      <c r="B117" t="s">
        <v>82</v>
      </c>
      <c r="C117" t="s">
        <v>246</v>
      </c>
      <c r="D117" t="s">
        <v>335</v>
      </c>
      <c r="E117" t="s">
        <v>333</v>
      </c>
      <c r="F117" t="s">
        <v>1187</v>
      </c>
      <c r="G117" t="s">
        <v>2976</v>
      </c>
      <c r="H117" t="s">
        <v>4843</v>
      </c>
      <c r="I117" t="s">
        <v>6469</v>
      </c>
      <c r="J117" t="s">
        <v>7170</v>
      </c>
      <c r="K117">
        <v>10451</v>
      </c>
      <c r="L117" t="s">
        <v>7216</v>
      </c>
      <c r="N117" t="s">
        <v>7237</v>
      </c>
      <c r="O117" t="s">
        <v>7361</v>
      </c>
      <c r="P117">
        <v>2</v>
      </c>
      <c r="Q117">
        <v>0</v>
      </c>
      <c r="R117">
        <v>73.73</v>
      </c>
      <c r="U117">
        <v>12468</v>
      </c>
      <c r="W117">
        <v>2.1</v>
      </c>
      <c r="X117" t="s">
        <v>333</v>
      </c>
      <c r="Y117" t="s">
        <v>82</v>
      </c>
      <c r="AA117" t="s">
        <v>10974</v>
      </c>
      <c r="AB117" t="s">
        <v>728</v>
      </c>
      <c r="AD117" t="s">
        <v>11086</v>
      </c>
      <c r="AF117" t="s">
        <v>11119</v>
      </c>
      <c r="AH117" t="s">
        <v>10975</v>
      </c>
      <c r="AJ117" t="s">
        <v>11141</v>
      </c>
      <c r="AK117" t="s">
        <v>7225</v>
      </c>
      <c r="AM117">
        <v>1061</v>
      </c>
      <c r="AO117">
        <v>176</v>
      </c>
      <c r="AQ117" t="s">
        <v>11157</v>
      </c>
      <c r="AS117" t="s">
        <v>11178</v>
      </c>
      <c r="AU117">
        <v>3</v>
      </c>
      <c r="AW117" t="s">
        <v>11187</v>
      </c>
      <c r="BA117" t="s">
        <v>11222</v>
      </c>
      <c r="BE117" t="s">
        <v>11760</v>
      </c>
      <c r="BF117" t="s">
        <v>14364</v>
      </c>
      <c r="BM117" t="s">
        <v>15651</v>
      </c>
    </row>
    <row r="118" spans="1:65">
      <c r="A118" s="1">
        <f>HYPERLINK("https://lsnyc.legalserver.org/matter/dynamic-profile/view/1914631","19-1914631")</f>
        <v>0</v>
      </c>
      <c r="B118" t="s">
        <v>82</v>
      </c>
      <c r="C118" t="s">
        <v>246</v>
      </c>
      <c r="D118" t="s">
        <v>297</v>
      </c>
      <c r="F118" t="s">
        <v>1188</v>
      </c>
      <c r="G118" t="s">
        <v>2308</v>
      </c>
      <c r="H118" t="s">
        <v>4844</v>
      </c>
      <c r="J118" t="s">
        <v>7170</v>
      </c>
      <c r="K118">
        <v>10452</v>
      </c>
      <c r="N118" t="s">
        <v>7238</v>
      </c>
      <c r="O118" t="s">
        <v>7362</v>
      </c>
      <c r="P118">
        <v>1</v>
      </c>
      <c r="Q118">
        <v>0</v>
      </c>
      <c r="R118">
        <v>94.70999999999999</v>
      </c>
      <c r="U118">
        <v>11829.6</v>
      </c>
      <c r="W118">
        <v>2</v>
      </c>
      <c r="X118" t="s">
        <v>297</v>
      </c>
      <c r="Y118" t="s">
        <v>82</v>
      </c>
      <c r="AA118" t="s">
        <v>10974</v>
      </c>
      <c r="AD118" t="s">
        <v>11088</v>
      </c>
      <c r="AF118" t="s">
        <v>10384</v>
      </c>
      <c r="AH118" t="s">
        <v>10975</v>
      </c>
      <c r="AJ118" t="s">
        <v>11129</v>
      </c>
      <c r="AK118" t="s">
        <v>7225</v>
      </c>
      <c r="AM118">
        <v>700.84</v>
      </c>
      <c r="AO118">
        <v>122</v>
      </c>
      <c r="AQ118" t="s">
        <v>11157</v>
      </c>
      <c r="AS118" t="s">
        <v>11175</v>
      </c>
      <c r="AU118">
        <v>27</v>
      </c>
      <c r="AW118" t="s">
        <v>11187</v>
      </c>
      <c r="AX118" t="s">
        <v>11212</v>
      </c>
      <c r="BA118" t="s">
        <v>11222</v>
      </c>
      <c r="BE118" t="s">
        <v>11761</v>
      </c>
      <c r="BF118" t="s">
        <v>14364</v>
      </c>
      <c r="BM118" t="s">
        <v>15650</v>
      </c>
    </row>
    <row r="119" spans="1:65">
      <c r="A119" s="1">
        <f>HYPERLINK("https://lsnyc.legalserver.org/matter/dynamic-profile/view/1910096","19-1910096")</f>
        <v>0</v>
      </c>
      <c r="B119" t="s">
        <v>82</v>
      </c>
      <c r="C119" t="s">
        <v>246</v>
      </c>
      <c r="D119" t="s">
        <v>335</v>
      </c>
      <c r="F119" t="s">
        <v>1122</v>
      </c>
      <c r="G119" t="s">
        <v>2977</v>
      </c>
      <c r="H119" t="s">
        <v>4845</v>
      </c>
      <c r="I119" t="s">
        <v>6448</v>
      </c>
      <c r="J119" t="s">
        <v>7170</v>
      </c>
      <c r="K119">
        <v>10453</v>
      </c>
      <c r="N119" t="s">
        <v>7237</v>
      </c>
      <c r="O119" t="s">
        <v>7363</v>
      </c>
      <c r="P119">
        <v>1</v>
      </c>
      <c r="Q119">
        <v>0</v>
      </c>
      <c r="R119">
        <v>231.48</v>
      </c>
      <c r="U119">
        <v>28912</v>
      </c>
      <c r="W119">
        <v>1.6</v>
      </c>
      <c r="X119" t="s">
        <v>327</v>
      </c>
      <c r="Y119" t="s">
        <v>82</v>
      </c>
      <c r="AA119" t="s">
        <v>10974</v>
      </c>
      <c r="AD119" t="s">
        <v>11086</v>
      </c>
      <c r="AF119" t="s">
        <v>11119</v>
      </c>
      <c r="AH119" t="s">
        <v>10975</v>
      </c>
      <c r="AJ119" t="s">
        <v>11141</v>
      </c>
      <c r="AK119" t="s">
        <v>7225</v>
      </c>
      <c r="AM119">
        <v>668.79</v>
      </c>
      <c r="AO119">
        <v>58</v>
      </c>
      <c r="AQ119" t="s">
        <v>11159</v>
      </c>
      <c r="AS119" t="s">
        <v>11174</v>
      </c>
      <c r="AU119">
        <v>35</v>
      </c>
      <c r="AW119" t="s">
        <v>11187</v>
      </c>
      <c r="AX119" t="s">
        <v>11212</v>
      </c>
      <c r="BA119" t="s">
        <v>11222</v>
      </c>
      <c r="BE119" t="s">
        <v>11762</v>
      </c>
      <c r="BF119" t="s">
        <v>14364</v>
      </c>
      <c r="BM119" t="s">
        <v>15650</v>
      </c>
    </row>
    <row r="120" spans="1:65">
      <c r="A120" s="1">
        <f>HYPERLINK("https://lsnyc.legalserver.org/matter/dynamic-profile/view/1912883","19-1912883")</f>
        <v>0</v>
      </c>
      <c r="B120" t="s">
        <v>82</v>
      </c>
      <c r="C120" t="s">
        <v>246</v>
      </c>
      <c r="D120" t="s">
        <v>316</v>
      </c>
      <c r="F120" t="s">
        <v>1189</v>
      </c>
      <c r="G120" t="s">
        <v>2978</v>
      </c>
      <c r="H120" t="s">
        <v>4846</v>
      </c>
      <c r="I120" t="s">
        <v>6470</v>
      </c>
      <c r="J120" t="s">
        <v>7170</v>
      </c>
      <c r="K120">
        <v>10452</v>
      </c>
      <c r="N120" t="s">
        <v>7237</v>
      </c>
      <c r="O120" t="s">
        <v>7364</v>
      </c>
      <c r="P120">
        <v>2</v>
      </c>
      <c r="Q120">
        <v>0</v>
      </c>
      <c r="R120">
        <v>16.57</v>
      </c>
      <c r="U120">
        <v>2802</v>
      </c>
      <c r="W120">
        <v>1</v>
      </c>
      <c r="X120" t="s">
        <v>436</v>
      </c>
      <c r="Y120" t="s">
        <v>82</v>
      </c>
      <c r="AA120" t="s">
        <v>10974</v>
      </c>
      <c r="AD120" t="s">
        <v>11086</v>
      </c>
      <c r="AF120" t="s">
        <v>11121</v>
      </c>
      <c r="AH120" t="s">
        <v>10975</v>
      </c>
      <c r="AJ120" t="s">
        <v>11141</v>
      </c>
      <c r="AK120" t="s">
        <v>7225</v>
      </c>
      <c r="AM120">
        <v>174</v>
      </c>
      <c r="AO120">
        <v>149</v>
      </c>
      <c r="AQ120" t="s">
        <v>11157</v>
      </c>
      <c r="AS120" t="s">
        <v>11174</v>
      </c>
      <c r="AU120">
        <v>18</v>
      </c>
      <c r="AW120" t="s">
        <v>11189</v>
      </c>
      <c r="AX120" t="s">
        <v>11212</v>
      </c>
      <c r="BA120" t="s">
        <v>11222</v>
      </c>
      <c r="BE120" t="s">
        <v>11763</v>
      </c>
      <c r="BF120" t="s">
        <v>14364</v>
      </c>
      <c r="BM120" t="s">
        <v>15650</v>
      </c>
    </row>
    <row r="121" spans="1:65">
      <c r="A121" s="1">
        <f>HYPERLINK("https://lsnyc.legalserver.org/matter/dynamic-profile/view/1912850","19-1912850")</f>
        <v>0</v>
      </c>
      <c r="B121" t="s">
        <v>82</v>
      </c>
      <c r="C121" t="s">
        <v>246</v>
      </c>
      <c r="D121" t="s">
        <v>316</v>
      </c>
      <c r="F121" t="s">
        <v>1190</v>
      </c>
      <c r="G121" t="s">
        <v>2979</v>
      </c>
      <c r="H121" t="s">
        <v>4847</v>
      </c>
      <c r="J121" t="s">
        <v>7170</v>
      </c>
      <c r="K121">
        <v>10452</v>
      </c>
      <c r="N121" t="s">
        <v>7237</v>
      </c>
      <c r="O121" t="s">
        <v>7365</v>
      </c>
      <c r="P121">
        <v>1</v>
      </c>
      <c r="Q121">
        <v>0</v>
      </c>
      <c r="R121">
        <v>96.08</v>
      </c>
      <c r="U121">
        <v>12000</v>
      </c>
      <c r="W121">
        <v>1.7</v>
      </c>
      <c r="X121" t="s">
        <v>333</v>
      </c>
      <c r="Y121" t="s">
        <v>82</v>
      </c>
      <c r="AA121" t="s">
        <v>10974</v>
      </c>
      <c r="AB121" t="s">
        <v>273</v>
      </c>
      <c r="AD121" t="s">
        <v>11086</v>
      </c>
      <c r="AF121" t="s">
        <v>11119</v>
      </c>
      <c r="AH121" t="s">
        <v>10975</v>
      </c>
      <c r="AJ121" t="s">
        <v>11141</v>
      </c>
      <c r="AK121" t="s">
        <v>7225</v>
      </c>
      <c r="AM121">
        <v>286</v>
      </c>
      <c r="AO121">
        <v>79</v>
      </c>
      <c r="AQ121" t="s">
        <v>11159</v>
      </c>
      <c r="AS121" t="s">
        <v>11174</v>
      </c>
      <c r="AU121">
        <v>8</v>
      </c>
      <c r="AW121" t="s">
        <v>11189</v>
      </c>
      <c r="BA121" t="s">
        <v>11222</v>
      </c>
      <c r="BE121" t="s">
        <v>11764</v>
      </c>
      <c r="BF121" t="s">
        <v>14364</v>
      </c>
      <c r="BM121" t="s">
        <v>15650</v>
      </c>
    </row>
    <row r="122" spans="1:65">
      <c r="A122" s="1">
        <f>HYPERLINK("https://lsnyc.legalserver.org/matter/dynamic-profile/view/1912271","19-1912271")</f>
        <v>0</v>
      </c>
      <c r="B122" t="s">
        <v>82</v>
      </c>
      <c r="C122" t="s">
        <v>246</v>
      </c>
      <c r="D122" t="s">
        <v>265</v>
      </c>
      <c r="E122" t="s">
        <v>536</v>
      </c>
      <c r="F122" t="s">
        <v>1191</v>
      </c>
      <c r="G122" t="s">
        <v>2916</v>
      </c>
      <c r="H122" t="s">
        <v>4848</v>
      </c>
      <c r="I122" t="s">
        <v>6471</v>
      </c>
      <c r="J122" t="s">
        <v>7170</v>
      </c>
      <c r="K122">
        <v>10457</v>
      </c>
      <c r="L122" t="s">
        <v>7217</v>
      </c>
      <c r="N122" t="s">
        <v>7237</v>
      </c>
      <c r="O122" t="s">
        <v>7366</v>
      </c>
      <c r="P122">
        <v>1</v>
      </c>
      <c r="Q122">
        <v>0</v>
      </c>
      <c r="R122">
        <v>159.68</v>
      </c>
      <c r="U122">
        <v>19944</v>
      </c>
      <c r="W122">
        <v>2.1</v>
      </c>
      <c r="X122" t="s">
        <v>262</v>
      </c>
      <c r="Y122" t="s">
        <v>10884</v>
      </c>
      <c r="AA122" t="s">
        <v>10974</v>
      </c>
      <c r="AB122" t="s">
        <v>273</v>
      </c>
      <c r="AD122" t="s">
        <v>11086</v>
      </c>
      <c r="AF122" t="s">
        <v>10384</v>
      </c>
      <c r="AH122" t="s">
        <v>10975</v>
      </c>
      <c r="AJ122" t="s">
        <v>11104</v>
      </c>
      <c r="AK122" t="s">
        <v>7225</v>
      </c>
      <c r="AM122">
        <v>867.4400000000001</v>
      </c>
      <c r="AO122">
        <v>50</v>
      </c>
      <c r="AQ122" t="s">
        <v>11157</v>
      </c>
      <c r="AS122" t="s">
        <v>11175</v>
      </c>
      <c r="AU122">
        <v>49</v>
      </c>
      <c r="AW122" t="s">
        <v>11187</v>
      </c>
      <c r="BA122" t="s">
        <v>11222</v>
      </c>
      <c r="BE122" t="s">
        <v>11765</v>
      </c>
      <c r="BF122" t="s">
        <v>14364</v>
      </c>
      <c r="BM122" t="s">
        <v>15651</v>
      </c>
    </row>
    <row r="123" spans="1:65">
      <c r="A123" s="1">
        <f>HYPERLINK("https://lsnyc.legalserver.org/matter/dynamic-profile/view/1912884","19-1912884")</f>
        <v>0</v>
      </c>
      <c r="B123" t="s">
        <v>82</v>
      </c>
      <c r="C123" t="s">
        <v>246</v>
      </c>
      <c r="D123" t="s">
        <v>316</v>
      </c>
      <c r="E123" t="s">
        <v>536</v>
      </c>
      <c r="F123" t="s">
        <v>1192</v>
      </c>
      <c r="G123" t="s">
        <v>2308</v>
      </c>
      <c r="H123" t="s">
        <v>4849</v>
      </c>
      <c r="I123" t="s">
        <v>6472</v>
      </c>
      <c r="J123" t="s">
        <v>7170</v>
      </c>
      <c r="K123">
        <v>10452</v>
      </c>
      <c r="L123" t="s">
        <v>7217</v>
      </c>
      <c r="N123" t="s">
        <v>7237</v>
      </c>
      <c r="O123" t="s">
        <v>7367</v>
      </c>
      <c r="P123">
        <v>1</v>
      </c>
      <c r="Q123">
        <v>0</v>
      </c>
      <c r="R123">
        <v>180.05</v>
      </c>
      <c r="U123">
        <v>22488</v>
      </c>
      <c r="W123">
        <v>1.7</v>
      </c>
      <c r="X123" t="s">
        <v>536</v>
      </c>
      <c r="Y123" t="s">
        <v>82</v>
      </c>
      <c r="AA123" t="s">
        <v>10974</v>
      </c>
      <c r="AB123" t="s">
        <v>316</v>
      </c>
      <c r="AD123" t="s">
        <v>11098</v>
      </c>
      <c r="AF123" t="s">
        <v>10384</v>
      </c>
      <c r="AH123" t="s">
        <v>10975</v>
      </c>
      <c r="AJ123" t="s">
        <v>11141</v>
      </c>
      <c r="AK123" t="s">
        <v>7225</v>
      </c>
      <c r="AM123">
        <v>895.65</v>
      </c>
      <c r="AO123">
        <v>61</v>
      </c>
      <c r="AQ123" t="s">
        <v>11157</v>
      </c>
      <c r="AS123" t="s">
        <v>11173</v>
      </c>
      <c r="AU123">
        <v>30</v>
      </c>
      <c r="AW123" t="s">
        <v>11189</v>
      </c>
      <c r="BA123" t="s">
        <v>11222</v>
      </c>
      <c r="BE123" t="s">
        <v>11766</v>
      </c>
      <c r="BF123" t="s">
        <v>14364</v>
      </c>
      <c r="BM123" t="s">
        <v>15651</v>
      </c>
    </row>
    <row r="124" spans="1:65">
      <c r="A124" s="1">
        <f>HYPERLINK("https://lsnyc.legalserver.org/matter/dynamic-profile/view/1913025","19-1913025")</f>
        <v>0</v>
      </c>
      <c r="B124" t="s">
        <v>82</v>
      </c>
      <c r="C124" t="s">
        <v>246</v>
      </c>
      <c r="D124" t="s">
        <v>336</v>
      </c>
      <c r="E124" t="s">
        <v>536</v>
      </c>
      <c r="F124" t="s">
        <v>1192</v>
      </c>
      <c r="G124" t="s">
        <v>2308</v>
      </c>
      <c r="H124" t="s">
        <v>4849</v>
      </c>
      <c r="I124" t="s">
        <v>6472</v>
      </c>
      <c r="J124" t="s">
        <v>7170</v>
      </c>
      <c r="K124">
        <v>10452</v>
      </c>
      <c r="L124" t="s">
        <v>7217</v>
      </c>
      <c r="N124" t="s">
        <v>7237</v>
      </c>
      <c r="O124" t="s">
        <v>7367</v>
      </c>
      <c r="P124">
        <v>1</v>
      </c>
      <c r="Q124">
        <v>0</v>
      </c>
      <c r="R124">
        <v>180.05</v>
      </c>
      <c r="U124">
        <v>22488</v>
      </c>
      <c r="W124">
        <v>1.8</v>
      </c>
      <c r="X124" t="s">
        <v>536</v>
      </c>
      <c r="Y124" t="s">
        <v>82</v>
      </c>
      <c r="AA124" t="s">
        <v>10974</v>
      </c>
      <c r="AB124" t="s">
        <v>273</v>
      </c>
      <c r="AD124" t="s">
        <v>11088</v>
      </c>
      <c r="AF124" t="s">
        <v>10384</v>
      </c>
      <c r="AH124" t="s">
        <v>10975</v>
      </c>
      <c r="AJ124" t="s">
        <v>11141</v>
      </c>
      <c r="AK124" t="s">
        <v>7225</v>
      </c>
      <c r="AM124">
        <v>895.65</v>
      </c>
      <c r="AO124">
        <v>61</v>
      </c>
      <c r="AQ124" t="s">
        <v>11157</v>
      </c>
      <c r="AS124" t="s">
        <v>11173</v>
      </c>
      <c r="AU124">
        <v>30</v>
      </c>
      <c r="AW124" t="s">
        <v>11189</v>
      </c>
      <c r="BA124" t="s">
        <v>11222</v>
      </c>
      <c r="BE124" t="s">
        <v>11766</v>
      </c>
      <c r="BF124" t="s">
        <v>14364</v>
      </c>
      <c r="BM124" t="s">
        <v>15651</v>
      </c>
    </row>
    <row r="125" spans="1:65">
      <c r="A125" s="1">
        <f>HYPERLINK("https://lsnyc.legalserver.org/matter/dynamic-profile/view/1912810","19-1912810")</f>
        <v>0</v>
      </c>
      <c r="B125" t="s">
        <v>82</v>
      </c>
      <c r="C125" t="s">
        <v>246</v>
      </c>
      <c r="D125" t="s">
        <v>316</v>
      </c>
      <c r="F125" t="s">
        <v>1193</v>
      </c>
      <c r="G125" t="s">
        <v>2980</v>
      </c>
      <c r="H125" t="s">
        <v>4850</v>
      </c>
      <c r="J125" t="s">
        <v>7170</v>
      </c>
      <c r="K125">
        <v>10457</v>
      </c>
      <c r="N125" t="s">
        <v>7237</v>
      </c>
      <c r="O125" t="s">
        <v>7368</v>
      </c>
      <c r="P125">
        <v>1</v>
      </c>
      <c r="Q125">
        <v>1</v>
      </c>
      <c r="R125">
        <v>354.82</v>
      </c>
      <c r="U125">
        <v>60000</v>
      </c>
      <c r="W125">
        <v>2.1</v>
      </c>
      <c r="X125" t="s">
        <v>333</v>
      </c>
      <c r="Y125" t="s">
        <v>82</v>
      </c>
      <c r="AA125" t="s">
        <v>10974</v>
      </c>
      <c r="AB125" t="s">
        <v>273</v>
      </c>
      <c r="AD125" t="s">
        <v>11086</v>
      </c>
      <c r="AF125" t="s">
        <v>11119</v>
      </c>
      <c r="AH125" t="s">
        <v>10975</v>
      </c>
      <c r="AJ125" t="s">
        <v>11141</v>
      </c>
      <c r="AK125" t="s">
        <v>7225</v>
      </c>
      <c r="AM125">
        <v>1350</v>
      </c>
      <c r="AN125" t="s">
        <v>11151</v>
      </c>
      <c r="AO125" t="s">
        <v>11153</v>
      </c>
      <c r="AP125" t="s">
        <v>11155</v>
      </c>
      <c r="AS125" t="s">
        <v>11173</v>
      </c>
      <c r="AU125">
        <v>3</v>
      </c>
      <c r="AW125" t="s">
        <v>11189</v>
      </c>
      <c r="BA125" t="s">
        <v>11222</v>
      </c>
      <c r="BE125" t="s">
        <v>11767</v>
      </c>
      <c r="BF125" t="s">
        <v>14364</v>
      </c>
      <c r="BM125" t="s">
        <v>15650</v>
      </c>
    </row>
    <row r="126" spans="1:65">
      <c r="A126" s="1">
        <f>HYPERLINK("https://lsnyc.legalserver.org/matter/dynamic-profile/view/1912847","19-1912847")</f>
        <v>0</v>
      </c>
      <c r="B126" t="s">
        <v>82</v>
      </c>
      <c r="C126" t="s">
        <v>246</v>
      </c>
      <c r="D126" t="s">
        <v>316</v>
      </c>
      <c r="F126" t="s">
        <v>1194</v>
      </c>
      <c r="G126" t="s">
        <v>2981</v>
      </c>
      <c r="H126" t="s">
        <v>4846</v>
      </c>
      <c r="I126" t="s">
        <v>6473</v>
      </c>
      <c r="J126" t="s">
        <v>7170</v>
      </c>
      <c r="K126">
        <v>10452</v>
      </c>
      <c r="N126" t="s">
        <v>7237</v>
      </c>
      <c r="O126" t="s">
        <v>7369</v>
      </c>
      <c r="P126">
        <v>1</v>
      </c>
      <c r="Q126">
        <v>0</v>
      </c>
      <c r="R126">
        <v>34.11</v>
      </c>
      <c r="U126">
        <v>4260</v>
      </c>
      <c r="W126">
        <v>1.2</v>
      </c>
      <c r="X126" t="s">
        <v>336</v>
      </c>
      <c r="Y126" t="s">
        <v>82</v>
      </c>
      <c r="AA126" t="s">
        <v>10974</v>
      </c>
      <c r="AB126" t="s">
        <v>273</v>
      </c>
      <c r="AD126" t="s">
        <v>11086</v>
      </c>
      <c r="AF126" t="s">
        <v>11121</v>
      </c>
      <c r="AH126" t="s">
        <v>10975</v>
      </c>
      <c r="AJ126" t="s">
        <v>11141</v>
      </c>
      <c r="AK126" t="s">
        <v>7225</v>
      </c>
      <c r="AM126">
        <v>52</v>
      </c>
      <c r="AO126">
        <v>147</v>
      </c>
      <c r="AQ126" t="s">
        <v>11161</v>
      </c>
      <c r="AS126" t="s">
        <v>11174</v>
      </c>
      <c r="AU126">
        <v>25</v>
      </c>
      <c r="AW126" t="s">
        <v>11187</v>
      </c>
      <c r="BA126" t="s">
        <v>11222</v>
      </c>
      <c r="BE126" t="s">
        <v>11768</v>
      </c>
      <c r="BF126" t="s">
        <v>14364</v>
      </c>
      <c r="BM126" t="s">
        <v>15650</v>
      </c>
    </row>
    <row r="127" spans="1:65">
      <c r="A127" s="1">
        <f>HYPERLINK("https://lsnyc.legalserver.org/matter/dynamic-profile/view/1905853","19-1905853")</f>
        <v>0</v>
      </c>
      <c r="B127" t="s">
        <v>83</v>
      </c>
      <c r="C127" t="s">
        <v>245</v>
      </c>
      <c r="D127" t="s">
        <v>337</v>
      </c>
      <c r="E127" t="s">
        <v>262</v>
      </c>
      <c r="F127" t="s">
        <v>1195</v>
      </c>
      <c r="G127" t="s">
        <v>2982</v>
      </c>
      <c r="H127" t="s">
        <v>4851</v>
      </c>
      <c r="I127" t="s">
        <v>6437</v>
      </c>
      <c r="J127" t="s">
        <v>7169</v>
      </c>
      <c r="K127">
        <v>10034</v>
      </c>
      <c r="L127" t="s">
        <v>7216</v>
      </c>
      <c r="N127" t="s">
        <v>7238</v>
      </c>
      <c r="O127" t="s">
        <v>7370</v>
      </c>
      <c r="P127">
        <v>1</v>
      </c>
      <c r="Q127">
        <v>0</v>
      </c>
      <c r="R127">
        <v>74.08</v>
      </c>
      <c r="U127">
        <v>9252</v>
      </c>
      <c r="W127">
        <v>1.85</v>
      </c>
      <c r="X127" t="s">
        <v>262</v>
      </c>
      <c r="Y127" t="s">
        <v>10871</v>
      </c>
      <c r="Z127" t="s">
        <v>10972</v>
      </c>
      <c r="AA127" t="s">
        <v>10976</v>
      </c>
      <c r="AC127" t="s">
        <v>11081</v>
      </c>
      <c r="AE127" t="s">
        <v>11117</v>
      </c>
      <c r="AH127" t="s">
        <v>10974</v>
      </c>
      <c r="AI127" t="s">
        <v>11126</v>
      </c>
      <c r="AK127" t="s">
        <v>7225</v>
      </c>
      <c r="AM127">
        <v>1300</v>
      </c>
      <c r="AO127">
        <v>50</v>
      </c>
      <c r="AQ127" t="s">
        <v>11160</v>
      </c>
      <c r="AS127" t="s">
        <v>11177</v>
      </c>
      <c r="AU127">
        <v>8</v>
      </c>
      <c r="AW127" t="s">
        <v>11187</v>
      </c>
      <c r="AX127" t="s">
        <v>11212</v>
      </c>
      <c r="AZ127" t="s">
        <v>11221</v>
      </c>
      <c r="BE127" t="s">
        <v>11769</v>
      </c>
      <c r="BF127" t="s">
        <v>14364</v>
      </c>
      <c r="BM127" t="s">
        <v>15651</v>
      </c>
    </row>
    <row r="128" spans="1:65">
      <c r="A128" s="1">
        <f>HYPERLINK("https://lsnyc.legalserver.org/matter/dynamic-profile/view/1848543","17-1848543")</f>
        <v>0</v>
      </c>
      <c r="B128" t="s">
        <v>84</v>
      </c>
      <c r="C128" t="s">
        <v>245</v>
      </c>
      <c r="D128" t="s">
        <v>338</v>
      </c>
      <c r="F128" t="s">
        <v>1196</v>
      </c>
      <c r="G128" t="s">
        <v>2983</v>
      </c>
      <c r="H128" t="s">
        <v>4852</v>
      </c>
      <c r="I128" t="s">
        <v>6474</v>
      </c>
      <c r="J128" t="s">
        <v>7169</v>
      </c>
      <c r="K128">
        <v>10040</v>
      </c>
      <c r="M128" t="s">
        <v>7224</v>
      </c>
      <c r="N128" t="s">
        <v>7237</v>
      </c>
      <c r="O128" t="s">
        <v>7371</v>
      </c>
      <c r="P128">
        <v>1</v>
      </c>
      <c r="Q128">
        <v>0</v>
      </c>
      <c r="R128">
        <v>245.44</v>
      </c>
      <c r="S128" t="s">
        <v>10255</v>
      </c>
      <c r="U128">
        <v>29600</v>
      </c>
      <c r="W128">
        <v>43.05</v>
      </c>
      <c r="X128" t="s">
        <v>273</v>
      </c>
      <c r="Y128" t="s">
        <v>10862</v>
      </c>
      <c r="AA128" t="s">
        <v>10974</v>
      </c>
      <c r="AB128" t="s">
        <v>10982</v>
      </c>
      <c r="AD128" t="s">
        <v>11082</v>
      </c>
      <c r="AF128" t="s">
        <v>11118</v>
      </c>
      <c r="AG128" t="s">
        <v>11124</v>
      </c>
      <c r="AJ128" t="s">
        <v>11142</v>
      </c>
      <c r="AK128" t="s">
        <v>7225</v>
      </c>
      <c r="AM128">
        <v>1800</v>
      </c>
      <c r="AO128">
        <v>61</v>
      </c>
      <c r="AQ128" t="s">
        <v>11157</v>
      </c>
      <c r="AS128" t="s">
        <v>11173</v>
      </c>
      <c r="AU128">
        <v>1</v>
      </c>
      <c r="AW128" t="s">
        <v>11187</v>
      </c>
      <c r="AZ128" t="s">
        <v>11221</v>
      </c>
      <c r="BE128" t="s">
        <v>11770</v>
      </c>
      <c r="BG128" t="s">
        <v>14413</v>
      </c>
      <c r="BM128" t="s">
        <v>15650</v>
      </c>
    </row>
    <row r="129" spans="1:67">
      <c r="A129" s="1">
        <f>HYPERLINK("https://lsnyc.legalserver.org/matter/dynamic-profile/view/1889641","19-1889641")</f>
        <v>0</v>
      </c>
      <c r="B129" t="s">
        <v>84</v>
      </c>
      <c r="C129" t="s">
        <v>245</v>
      </c>
      <c r="D129" t="s">
        <v>339</v>
      </c>
      <c r="F129" t="s">
        <v>1197</v>
      </c>
      <c r="G129" t="s">
        <v>2984</v>
      </c>
      <c r="H129" t="s">
        <v>4853</v>
      </c>
      <c r="I129" t="s">
        <v>6413</v>
      </c>
      <c r="J129" t="s">
        <v>7180</v>
      </c>
      <c r="K129">
        <v>10030</v>
      </c>
      <c r="N129" t="s">
        <v>7237</v>
      </c>
      <c r="O129" t="s">
        <v>7372</v>
      </c>
      <c r="P129">
        <v>1</v>
      </c>
      <c r="Q129">
        <v>4</v>
      </c>
      <c r="R129">
        <v>56.99</v>
      </c>
      <c r="U129">
        <v>17193.42</v>
      </c>
      <c r="W129">
        <v>4.9</v>
      </c>
      <c r="X129" t="s">
        <v>611</v>
      </c>
      <c r="Y129" t="s">
        <v>10862</v>
      </c>
      <c r="Z129" t="s">
        <v>10972</v>
      </c>
      <c r="AA129" t="s">
        <v>10975</v>
      </c>
      <c r="AD129" t="s">
        <v>11086</v>
      </c>
      <c r="AF129" t="s">
        <v>11121</v>
      </c>
      <c r="AH129" t="s">
        <v>10975</v>
      </c>
      <c r="AJ129" t="s">
        <v>11129</v>
      </c>
      <c r="AK129" t="s">
        <v>7225</v>
      </c>
      <c r="AM129">
        <v>697.34</v>
      </c>
      <c r="AN129" t="s">
        <v>11151</v>
      </c>
      <c r="AO129" t="s">
        <v>11153</v>
      </c>
      <c r="AQ129" t="s">
        <v>11157</v>
      </c>
      <c r="AS129" t="s">
        <v>11173</v>
      </c>
      <c r="AU129">
        <v>20</v>
      </c>
      <c r="AW129" t="s">
        <v>11187</v>
      </c>
      <c r="AX129" t="s">
        <v>11212</v>
      </c>
      <c r="AZ129" t="s">
        <v>11221</v>
      </c>
      <c r="BE129" t="s">
        <v>11771</v>
      </c>
      <c r="BF129" t="s">
        <v>14364</v>
      </c>
      <c r="BM129" t="s">
        <v>15650</v>
      </c>
      <c r="BN129" t="s">
        <v>15652</v>
      </c>
      <c r="BO129" t="s">
        <v>15660</v>
      </c>
    </row>
    <row r="130" spans="1:67">
      <c r="A130" s="1">
        <f>HYPERLINK("https://lsnyc.legalserver.org/matter/dynamic-profile/view/1865297","18-1865297")</f>
        <v>0</v>
      </c>
      <c r="B130" t="s">
        <v>84</v>
      </c>
      <c r="C130" t="s">
        <v>245</v>
      </c>
      <c r="D130" t="s">
        <v>340</v>
      </c>
      <c r="F130" t="s">
        <v>1198</v>
      </c>
      <c r="G130" t="s">
        <v>2985</v>
      </c>
      <c r="H130" t="s">
        <v>4854</v>
      </c>
      <c r="I130" t="s">
        <v>6475</v>
      </c>
      <c r="J130" t="s">
        <v>7169</v>
      </c>
      <c r="K130">
        <v>10033</v>
      </c>
      <c r="N130" t="s">
        <v>7237</v>
      </c>
      <c r="O130" t="s">
        <v>7373</v>
      </c>
      <c r="P130">
        <v>4</v>
      </c>
      <c r="Q130">
        <v>1</v>
      </c>
      <c r="R130">
        <v>217.4</v>
      </c>
      <c r="U130">
        <v>126040</v>
      </c>
      <c r="W130">
        <v>43.1</v>
      </c>
      <c r="X130" t="s">
        <v>273</v>
      </c>
      <c r="Y130" t="s">
        <v>10862</v>
      </c>
      <c r="AA130" t="s">
        <v>10974</v>
      </c>
      <c r="AB130" t="s">
        <v>340</v>
      </c>
      <c r="AD130" t="s">
        <v>11082</v>
      </c>
      <c r="AF130" t="s">
        <v>11120</v>
      </c>
      <c r="AH130" t="s">
        <v>10975</v>
      </c>
      <c r="AJ130" t="s">
        <v>11132</v>
      </c>
      <c r="AK130" t="s">
        <v>7225</v>
      </c>
      <c r="AM130">
        <v>2070</v>
      </c>
      <c r="AN130" t="s">
        <v>11151</v>
      </c>
      <c r="AO130" t="s">
        <v>11153</v>
      </c>
      <c r="AP130" t="s">
        <v>11155</v>
      </c>
      <c r="AS130" t="s">
        <v>11173</v>
      </c>
      <c r="AU130">
        <v>7</v>
      </c>
      <c r="AW130" t="s">
        <v>11189</v>
      </c>
      <c r="AY130" t="s">
        <v>11213</v>
      </c>
      <c r="AZ130" t="s">
        <v>11221</v>
      </c>
      <c r="BE130" t="s">
        <v>11772</v>
      </c>
      <c r="BF130" t="s">
        <v>14364</v>
      </c>
      <c r="BM130" t="s">
        <v>15650</v>
      </c>
    </row>
    <row r="131" spans="1:67">
      <c r="A131" s="1">
        <f>HYPERLINK("https://lsnyc.legalserver.org/matter/dynamic-profile/view/1901246","19-1901246")</f>
        <v>0</v>
      </c>
      <c r="B131" t="s">
        <v>84</v>
      </c>
      <c r="C131" t="s">
        <v>245</v>
      </c>
      <c r="D131" t="s">
        <v>287</v>
      </c>
      <c r="E131" t="s">
        <v>262</v>
      </c>
      <c r="F131" t="s">
        <v>1199</v>
      </c>
      <c r="G131" t="s">
        <v>2986</v>
      </c>
      <c r="H131" t="s">
        <v>4855</v>
      </c>
      <c r="I131" t="s">
        <v>6423</v>
      </c>
      <c r="J131" t="s">
        <v>7169</v>
      </c>
      <c r="K131">
        <v>10039</v>
      </c>
      <c r="L131" t="s">
        <v>7216</v>
      </c>
      <c r="N131" t="s">
        <v>7237</v>
      </c>
      <c r="O131" t="s">
        <v>7374</v>
      </c>
      <c r="P131">
        <v>1</v>
      </c>
      <c r="Q131">
        <v>0</v>
      </c>
      <c r="R131">
        <v>116.83</v>
      </c>
      <c r="U131">
        <v>14592</v>
      </c>
      <c r="W131">
        <v>0.6</v>
      </c>
      <c r="X131" t="s">
        <v>297</v>
      </c>
      <c r="Y131" t="s">
        <v>10885</v>
      </c>
      <c r="AA131" t="s">
        <v>10974</v>
      </c>
      <c r="AB131" t="s">
        <v>287</v>
      </c>
      <c r="AD131" t="s">
        <v>11082</v>
      </c>
      <c r="AF131" t="s">
        <v>11121</v>
      </c>
      <c r="AH131" t="s">
        <v>10975</v>
      </c>
      <c r="AJ131" t="s">
        <v>11138</v>
      </c>
      <c r="AK131" t="s">
        <v>7225</v>
      </c>
      <c r="AM131">
        <v>798</v>
      </c>
      <c r="AN131" t="s">
        <v>11151</v>
      </c>
      <c r="AO131" t="s">
        <v>11153</v>
      </c>
      <c r="AQ131" t="s">
        <v>11157</v>
      </c>
      <c r="AS131" t="s">
        <v>11175</v>
      </c>
      <c r="AU131">
        <v>25</v>
      </c>
      <c r="AW131" t="s">
        <v>11187</v>
      </c>
      <c r="BA131" t="s">
        <v>11223</v>
      </c>
      <c r="BC131" t="s">
        <v>11242</v>
      </c>
      <c r="BE131" t="s">
        <v>11773</v>
      </c>
      <c r="BG131" t="s">
        <v>14414</v>
      </c>
      <c r="BM131" t="s">
        <v>15651</v>
      </c>
    </row>
    <row r="132" spans="1:67">
      <c r="A132" s="1">
        <f>HYPERLINK("https://lsnyc.legalserver.org/matter/dynamic-profile/view/0823982","17-0823982")</f>
        <v>0</v>
      </c>
      <c r="B132" t="s">
        <v>84</v>
      </c>
      <c r="C132" t="s">
        <v>245</v>
      </c>
      <c r="D132" t="s">
        <v>277</v>
      </c>
      <c r="F132" t="s">
        <v>1200</v>
      </c>
      <c r="G132" t="s">
        <v>2987</v>
      </c>
      <c r="H132" t="s">
        <v>4856</v>
      </c>
      <c r="I132" t="s">
        <v>6476</v>
      </c>
      <c r="J132" t="s">
        <v>7169</v>
      </c>
      <c r="K132">
        <v>10028</v>
      </c>
      <c r="N132" t="s">
        <v>7237</v>
      </c>
      <c r="O132" t="s">
        <v>7375</v>
      </c>
      <c r="P132">
        <v>1</v>
      </c>
      <c r="Q132">
        <v>0</v>
      </c>
      <c r="R132">
        <v>136.46</v>
      </c>
      <c r="U132">
        <v>16212</v>
      </c>
      <c r="W132">
        <v>55.2</v>
      </c>
      <c r="X132" t="s">
        <v>426</v>
      </c>
      <c r="Y132" t="s">
        <v>10858</v>
      </c>
      <c r="AA132" t="s">
        <v>10974</v>
      </c>
      <c r="AB132" t="s">
        <v>364</v>
      </c>
      <c r="AD132" t="s">
        <v>11083</v>
      </c>
      <c r="AF132" t="s">
        <v>11118</v>
      </c>
      <c r="AH132" t="s">
        <v>10975</v>
      </c>
      <c r="AJ132" t="s">
        <v>11130</v>
      </c>
      <c r="AK132" t="s">
        <v>7225</v>
      </c>
      <c r="AM132">
        <v>1850</v>
      </c>
      <c r="AN132" t="s">
        <v>11151</v>
      </c>
      <c r="AO132" t="s">
        <v>11153</v>
      </c>
      <c r="AQ132" t="s">
        <v>11157</v>
      </c>
      <c r="AS132" t="s">
        <v>11173</v>
      </c>
      <c r="AU132">
        <v>27</v>
      </c>
      <c r="AW132" t="s">
        <v>11187</v>
      </c>
      <c r="AZ132" t="s">
        <v>11221</v>
      </c>
      <c r="BE132" t="s">
        <v>11774</v>
      </c>
      <c r="BF132" t="s">
        <v>14364</v>
      </c>
      <c r="BM132" t="s">
        <v>15650</v>
      </c>
    </row>
    <row r="133" spans="1:67">
      <c r="A133" s="1">
        <f>HYPERLINK("https://lsnyc.legalserver.org/matter/dynamic-profile/view/1912019","19-1912019")</f>
        <v>0</v>
      </c>
      <c r="B133" t="s">
        <v>84</v>
      </c>
      <c r="C133" t="s">
        <v>245</v>
      </c>
      <c r="D133" t="s">
        <v>341</v>
      </c>
      <c r="F133" t="s">
        <v>1201</v>
      </c>
      <c r="G133" t="s">
        <v>2972</v>
      </c>
      <c r="H133" t="s">
        <v>4857</v>
      </c>
      <c r="I133" t="s">
        <v>6477</v>
      </c>
      <c r="J133" t="s">
        <v>7169</v>
      </c>
      <c r="K133">
        <v>10030</v>
      </c>
      <c r="N133" t="s">
        <v>7237</v>
      </c>
      <c r="O133" t="s">
        <v>7376</v>
      </c>
      <c r="P133">
        <v>1</v>
      </c>
      <c r="Q133">
        <v>1</v>
      </c>
      <c r="R133">
        <v>49.8</v>
      </c>
      <c r="U133">
        <v>8422</v>
      </c>
      <c r="W133">
        <v>1.5</v>
      </c>
      <c r="X133" t="s">
        <v>614</v>
      </c>
      <c r="Y133" t="s">
        <v>10858</v>
      </c>
      <c r="Z133" t="s">
        <v>10972</v>
      </c>
      <c r="AA133" t="s">
        <v>10976</v>
      </c>
      <c r="AC133" t="s">
        <v>11081</v>
      </c>
      <c r="AE133" t="s">
        <v>11117</v>
      </c>
      <c r="AG133" t="s">
        <v>11124</v>
      </c>
      <c r="AI133" t="s">
        <v>11126</v>
      </c>
      <c r="AK133" t="s">
        <v>7225</v>
      </c>
      <c r="AL133" t="s">
        <v>11150</v>
      </c>
      <c r="AM133">
        <v>0</v>
      </c>
      <c r="AN133" t="s">
        <v>11151</v>
      </c>
      <c r="AO133" t="s">
        <v>11153</v>
      </c>
      <c r="AP133" t="s">
        <v>11155</v>
      </c>
      <c r="AR133" t="s">
        <v>11172</v>
      </c>
      <c r="AT133" t="s">
        <v>11184</v>
      </c>
      <c r="AU133">
        <v>0</v>
      </c>
      <c r="AW133" t="s">
        <v>11187</v>
      </c>
      <c r="AX133" t="s">
        <v>11212</v>
      </c>
      <c r="AZ133" t="s">
        <v>11221</v>
      </c>
      <c r="BE133" t="s">
        <v>11775</v>
      </c>
      <c r="BF133" t="s">
        <v>14364</v>
      </c>
      <c r="BM133" t="s">
        <v>15650</v>
      </c>
    </row>
    <row r="134" spans="1:67">
      <c r="A134" s="1">
        <f>HYPERLINK("https://lsnyc.legalserver.org/matter/dynamic-profile/view/1892178","19-1892178")</f>
        <v>0</v>
      </c>
      <c r="B134" t="s">
        <v>85</v>
      </c>
      <c r="C134" t="s">
        <v>246</v>
      </c>
      <c r="D134" t="s">
        <v>342</v>
      </c>
      <c r="F134" t="s">
        <v>1202</v>
      </c>
      <c r="G134" t="s">
        <v>2988</v>
      </c>
      <c r="H134" t="s">
        <v>4858</v>
      </c>
      <c r="I134" t="s">
        <v>6478</v>
      </c>
      <c r="J134" t="s">
        <v>7170</v>
      </c>
      <c r="K134">
        <v>10458</v>
      </c>
      <c r="N134" t="s">
        <v>7237</v>
      </c>
      <c r="P134">
        <v>1</v>
      </c>
      <c r="Q134">
        <v>0</v>
      </c>
      <c r="R134">
        <v>0</v>
      </c>
      <c r="U134">
        <v>0</v>
      </c>
      <c r="V134" t="s">
        <v>10292</v>
      </c>
      <c r="W134">
        <v>15.1</v>
      </c>
      <c r="X134" t="s">
        <v>449</v>
      </c>
      <c r="Y134" t="s">
        <v>10886</v>
      </c>
      <c r="Z134" t="s">
        <v>10972</v>
      </c>
      <c r="AA134" t="s">
        <v>10975</v>
      </c>
      <c r="AD134" t="s">
        <v>11090</v>
      </c>
      <c r="AF134" t="s">
        <v>10384</v>
      </c>
      <c r="AH134" t="s">
        <v>10975</v>
      </c>
      <c r="AI134" t="s">
        <v>11126</v>
      </c>
      <c r="AK134" t="s">
        <v>7225</v>
      </c>
      <c r="AL134" t="s">
        <v>11150</v>
      </c>
      <c r="AM134">
        <v>0</v>
      </c>
      <c r="AO134">
        <v>22</v>
      </c>
      <c r="AP134" t="s">
        <v>11155</v>
      </c>
      <c r="AR134" t="s">
        <v>11172</v>
      </c>
      <c r="AT134" t="s">
        <v>11184</v>
      </c>
      <c r="AU134">
        <v>0</v>
      </c>
      <c r="AW134" t="s">
        <v>11187</v>
      </c>
      <c r="AX134" t="s">
        <v>11212</v>
      </c>
      <c r="AZ134" t="s">
        <v>11221</v>
      </c>
      <c r="BD134" t="s">
        <v>11667</v>
      </c>
      <c r="BF134" t="s">
        <v>14364</v>
      </c>
      <c r="BM134" t="s">
        <v>15650</v>
      </c>
    </row>
    <row r="135" spans="1:67">
      <c r="A135" s="1">
        <f>HYPERLINK("https://lsnyc.legalserver.org/matter/dynamic-profile/view/1901175","19-1901175")</f>
        <v>0</v>
      </c>
      <c r="B135" t="s">
        <v>86</v>
      </c>
      <c r="C135" t="s">
        <v>245</v>
      </c>
      <c r="D135" t="s">
        <v>343</v>
      </c>
      <c r="F135" t="s">
        <v>1203</v>
      </c>
      <c r="G135" t="s">
        <v>2989</v>
      </c>
      <c r="H135" t="s">
        <v>4859</v>
      </c>
      <c r="I135" t="s">
        <v>6479</v>
      </c>
      <c r="J135" t="s">
        <v>7169</v>
      </c>
      <c r="K135">
        <v>10033</v>
      </c>
      <c r="N135" t="s">
        <v>7237</v>
      </c>
      <c r="O135" t="s">
        <v>7377</v>
      </c>
      <c r="P135">
        <v>2</v>
      </c>
      <c r="Q135">
        <v>1</v>
      </c>
      <c r="R135">
        <v>334.23</v>
      </c>
      <c r="U135">
        <v>71292</v>
      </c>
      <c r="W135">
        <v>1</v>
      </c>
      <c r="X135" t="s">
        <v>268</v>
      </c>
      <c r="Y135" t="s">
        <v>127</v>
      </c>
      <c r="AA135" t="s">
        <v>10974</v>
      </c>
      <c r="AB135" t="s">
        <v>343</v>
      </c>
      <c r="AD135" t="s">
        <v>11090</v>
      </c>
      <c r="AF135" t="s">
        <v>11119</v>
      </c>
      <c r="AH135" t="s">
        <v>10975</v>
      </c>
      <c r="AJ135" t="s">
        <v>11130</v>
      </c>
      <c r="AK135" t="s">
        <v>7225</v>
      </c>
      <c r="AM135">
        <v>1850</v>
      </c>
      <c r="AO135">
        <v>53</v>
      </c>
      <c r="AQ135" t="s">
        <v>11157</v>
      </c>
      <c r="AS135" t="s">
        <v>11173</v>
      </c>
      <c r="AU135">
        <v>4</v>
      </c>
      <c r="AW135" t="s">
        <v>11189</v>
      </c>
      <c r="BA135" t="s">
        <v>11222</v>
      </c>
      <c r="BD135" t="s">
        <v>11667</v>
      </c>
      <c r="BF135" t="s">
        <v>14364</v>
      </c>
      <c r="BM135" t="s">
        <v>15650</v>
      </c>
    </row>
    <row r="136" spans="1:67">
      <c r="A136" s="1">
        <f>HYPERLINK("https://lsnyc.legalserver.org/matter/dynamic-profile/view/1893532","19-1893532")</f>
        <v>0</v>
      </c>
      <c r="B136" t="s">
        <v>86</v>
      </c>
      <c r="C136" t="s">
        <v>245</v>
      </c>
      <c r="D136" t="s">
        <v>344</v>
      </c>
      <c r="F136" t="s">
        <v>1122</v>
      </c>
      <c r="G136" t="s">
        <v>2990</v>
      </c>
      <c r="H136" t="s">
        <v>4860</v>
      </c>
      <c r="I136">
        <v>7</v>
      </c>
      <c r="J136" t="s">
        <v>7169</v>
      </c>
      <c r="K136">
        <v>10034</v>
      </c>
      <c r="N136" t="s">
        <v>7237</v>
      </c>
      <c r="O136" t="s">
        <v>7378</v>
      </c>
      <c r="P136">
        <v>1</v>
      </c>
      <c r="Q136">
        <v>0</v>
      </c>
      <c r="R136">
        <v>65.62</v>
      </c>
      <c r="U136">
        <v>8196</v>
      </c>
      <c r="W136">
        <v>1.4</v>
      </c>
      <c r="X136" t="s">
        <v>651</v>
      </c>
      <c r="Y136" t="s">
        <v>127</v>
      </c>
      <c r="AA136" t="s">
        <v>10974</v>
      </c>
      <c r="AB136" t="s">
        <v>344</v>
      </c>
      <c r="AD136" t="s">
        <v>11086</v>
      </c>
      <c r="AF136" t="s">
        <v>10384</v>
      </c>
      <c r="AH136" t="s">
        <v>10975</v>
      </c>
      <c r="AJ136" t="s">
        <v>11130</v>
      </c>
      <c r="AK136" t="s">
        <v>7225</v>
      </c>
      <c r="AM136">
        <v>2200</v>
      </c>
      <c r="AO136">
        <v>25</v>
      </c>
      <c r="AQ136" t="s">
        <v>11157</v>
      </c>
      <c r="AS136" t="s">
        <v>11173</v>
      </c>
      <c r="AU136">
        <v>1</v>
      </c>
      <c r="AW136" t="s">
        <v>11189</v>
      </c>
      <c r="BA136" t="s">
        <v>11222</v>
      </c>
      <c r="BE136" t="s">
        <v>11776</v>
      </c>
      <c r="BF136" t="s">
        <v>14364</v>
      </c>
      <c r="BM136" t="s">
        <v>15650</v>
      </c>
    </row>
    <row r="137" spans="1:67">
      <c r="A137" s="1">
        <f>HYPERLINK("https://lsnyc.legalserver.org/matter/dynamic-profile/view/1911891","19-1911891")</f>
        <v>0</v>
      </c>
      <c r="B137" t="s">
        <v>86</v>
      </c>
      <c r="C137" t="s">
        <v>245</v>
      </c>
      <c r="D137" t="s">
        <v>345</v>
      </c>
      <c r="F137" t="s">
        <v>1204</v>
      </c>
      <c r="G137" t="s">
        <v>2991</v>
      </c>
      <c r="H137" t="s">
        <v>4861</v>
      </c>
      <c r="I137" t="s">
        <v>6404</v>
      </c>
      <c r="J137" t="s">
        <v>7169</v>
      </c>
      <c r="K137">
        <v>10034</v>
      </c>
      <c r="N137" t="s">
        <v>7237</v>
      </c>
      <c r="O137" t="s">
        <v>7379</v>
      </c>
      <c r="P137">
        <v>1</v>
      </c>
      <c r="Q137">
        <v>0</v>
      </c>
      <c r="R137">
        <v>73.02</v>
      </c>
      <c r="U137">
        <v>9120</v>
      </c>
      <c r="W137">
        <v>7.1</v>
      </c>
      <c r="X137" t="s">
        <v>528</v>
      </c>
      <c r="Y137" t="s">
        <v>127</v>
      </c>
      <c r="AA137" t="s">
        <v>10974</v>
      </c>
      <c r="AB137" t="s">
        <v>345</v>
      </c>
      <c r="AC137" t="s">
        <v>11081</v>
      </c>
      <c r="AF137" t="s">
        <v>10384</v>
      </c>
      <c r="AH137" t="s">
        <v>10975</v>
      </c>
      <c r="AJ137" t="s">
        <v>11129</v>
      </c>
      <c r="AK137" t="s">
        <v>7225</v>
      </c>
      <c r="AL137" t="s">
        <v>11150</v>
      </c>
      <c r="AM137">
        <v>0</v>
      </c>
      <c r="AO137">
        <v>100</v>
      </c>
      <c r="AQ137" t="s">
        <v>11157</v>
      </c>
      <c r="AS137" t="s">
        <v>11173</v>
      </c>
      <c r="AU137">
        <v>1</v>
      </c>
      <c r="AW137" t="s">
        <v>11187</v>
      </c>
      <c r="BA137" t="s">
        <v>11222</v>
      </c>
      <c r="BE137" t="s">
        <v>11777</v>
      </c>
      <c r="BF137" t="s">
        <v>14364</v>
      </c>
      <c r="BM137" t="s">
        <v>15650</v>
      </c>
    </row>
    <row r="138" spans="1:67">
      <c r="A138" s="1">
        <f>HYPERLINK("https://lsnyc.legalserver.org/matter/dynamic-profile/view/1840271","17-1840271")</f>
        <v>0</v>
      </c>
      <c r="B138" t="s">
        <v>86</v>
      </c>
      <c r="C138" t="s">
        <v>245</v>
      </c>
      <c r="D138" t="s">
        <v>346</v>
      </c>
      <c r="F138" t="s">
        <v>1122</v>
      </c>
      <c r="G138" t="s">
        <v>2992</v>
      </c>
      <c r="H138" t="s">
        <v>4862</v>
      </c>
      <c r="I138">
        <v>22</v>
      </c>
      <c r="J138" t="s">
        <v>7169</v>
      </c>
      <c r="K138">
        <v>10034</v>
      </c>
      <c r="N138" t="s">
        <v>7237</v>
      </c>
      <c r="O138" t="s">
        <v>7380</v>
      </c>
      <c r="P138">
        <v>1</v>
      </c>
      <c r="Q138">
        <v>0</v>
      </c>
      <c r="R138">
        <v>73.03</v>
      </c>
      <c r="U138">
        <v>8808</v>
      </c>
      <c r="W138">
        <v>1.5</v>
      </c>
      <c r="X138" t="s">
        <v>771</v>
      </c>
      <c r="Y138" t="s">
        <v>127</v>
      </c>
      <c r="AA138" t="s">
        <v>10974</v>
      </c>
      <c r="AB138" t="s">
        <v>348</v>
      </c>
      <c r="AD138" t="s">
        <v>11101</v>
      </c>
      <c r="AF138" t="s">
        <v>10384</v>
      </c>
      <c r="AH138" t="s">
        <v>10975</v>
      </c>
      <c r="AJ138" t="s">
        <v>11130</v>
      </c>
      <c r="AK138" t="s">
        <v>7225</v>
      </c>
      <c r="AM138">
        <v>828.99</v>
      </c>
      <c r="AO138">
        <v>25</v>
      </c>
      <c r="AQ138" t="s">
        <v>11157</v>
      </c>
      <c r="AS138" t="s">
        <v>11175</v>
      </c>
      <c r="AU138">
        <v>35</v>
      </c>
      <c r="AW138" t="s">
        <v>11187</v>
      </c>
      <c r="AZ138" t="s">
        <v>11221</v>
      </c>
      <c r="BE138" t="s">
        <v>11778</v>
      </c>
      <c r="BF138" t="s">
        <v>14364</v>
      </c>
      <c r="BM138" t="s">
        <v>15650</v>
      </c>
    </row>
    <row r="139" spans="1:67">
      <c r="A139" s="1">
        <f>HYPERLINK("https://lsnyc.legalserver.org/matter/dynamic-profile/view/1898855","19-1898855")</f>
        <v>0</v>
      </c>
      <c r="B139" t="s">
        <v>86</v>
      </c>
      <c r="C139" t="s">
        <v>245</v>
      </c>
      <c r="D139" t="s">
        <v>347</v>
      </c>
      <c r="F139" t="s">
        <v>1136</v>
      </c>
      <c r="G139" t="s">
        <v>2993</v>
      </c>
      <c r="H139" t="s">
        <v>4863</v>
      </c>
      <c r="I139" t="s">
        <v>6480</v>
      </c>
      <c r="J139" t="s">
        <v>7169</v>
      </c>
      <c r="K139">
        <v>10040</v>
      </c>
      <c r="N139" t="s">
        <v>7237</v>
      </c>
      <c r="O139" t="s">
        <v>7381</v>
      </c>
      <c r="P139">
        <v>3</v>
      </c>
      <c r="Q139">
        <v>0</v>
      </c>
      <c r="R139">
        <v>557.9</v>
      </c>
      <c r="U139">
        <v>119000</v>
      </c>
      <c r="W139">
        <v>1.5</v>
      </c>
      <c r="X139" t="s">
        <v>562</v>
      </c>
      <c r="Y139" t="s">
        <v>127</v>
      </c>
      <c r="AA139" t="s">
        <v>10974</v>
      </c>
      <c r="AB139" t="s">
        <v>347</v>
      </c>
      <c r="AD139" t="s">
        <v>11090</v>
      </c>
      <c r="AF139" t="s">
        <v>11119</v>
      </c>
      <c r="AH139" t="s">
        <v>10975</v>
      </c>
      <c r="AJ139" t="s">
        <v>11130</v>
      </c>
      <c r="AK139" t="s">
        <v>7225</v>
      </c>
      <c r="AM139">
        <v>1065</v>
      </c>
      <c r="AO139">
        <v>30</v>
      </c>
      <c r="AQ139" t="s">
        <v>11157</v>
      </c>
      <c r="AS139" t="s">
        <v>11173</v>
      </c>
      <c r="AU139">
        <v>21</v>
      </c>
      <c r="AW139" t="s">
        <v>11187</v>
      </c>
      <c r="BA139" t="s">
        <v>11222</v>
      </c>
      <c r="BE139" t="s">
        <v>11779</v>
      </c>
      <c r="BF139" t="s">
        <v>14364</v>
      </c>
      <c r="BM139" t="s">
        <v>15650</v>
      </c>
    </row>
    <row r="140" spans="1:67">
      <c r="A140" s="1">
        <f>HYPERLINK("https://lsnyc.legalserver.org/matter/dynamic-profile/view/1842302","17-1842302")</f>
        <v>0</v>
      </c>
      <c r="B140" t="s">
        <v>86</v>
      </c>
      <c r="C140" t="s">
        <v>245</v>
      </c>
      <c r="D140" t="s">
        <v>348</v>
      </c>
      <c r="F140" t="s">
        <v>1113</v>
      </c>
      <c r="G140" t="s">
        <v>2911</v>
      </c>
      <c r="H140" t="s">
        <v>4864</v>
      </c>
      <c r="I140" t="s">
        <v>6403</v>
      </c>
      <c r="J140" t="s">
        <v>7169</v>
      </c>
      <c r="K140">
        <v>10034</v>
      </c>
      <c r="N140" t="s">
        <v>7237</v>
      </c>
      <c r="O140" t="s">
        <v>7382</v>
      </c>
      <c r="P140">
        <v>2</v>
      </c>
      <c r="Q140">
        <v>0</v>
      </c>
      <c r="R140">
        <v>95.42</v>
      </c>
      <c r="U140">
        <v>15496</v>
      </c>
      <c r="W140">
        <v>77.25</v>
      </c>
      <c r="X140" t="s">
        <v>345</v>
      </c>
      <c r="Y140" t="s">
        <v>127</v>
      </c>
      <c r="AA140" t="s">
        <v>10974</v>
      </c>
      <c r="AB140" t="s">
        <v>348</v>
      </c>
      <c r="AD140" t="s">
        <v>11082</v>
      </c>
      <c r="AF140" t="s">
        <v>11118</v>
      </c>
      <c r="AH140" t="s">
        <v>10975</v>
      </c>
      <c r="AJ140" t="s">
        <v>11130</v>
      </c>
      <c r="AK140" t="s">
        <v>7225</v>
      </c>
      <c r="AM140">
        <v>916.29</v>
      </c>
      <c r="AO140">
        <v>47</v>
      </c>
      <c r="AQ140" t="s">
        <v>11157</v>
      </c>
      <c r="AS140" t="s">
        <v>11173</v>
      </c>
      <c r="AU140">
        <v>17</v>
      </c>
      <c r="AW140" t="s">
        <v>11187</v>
      </c>
      <c r="AZ140" t="s">
        <v>11221</v>
      </c>
      <c r="BE140" t="s">
        <v>11780</v>
      </c>
      <c r="BG140" t="s">
        <v>14415</v>
      </c>
      <c r="BM140" t="s">
        <v>15650</v>
      </c>
    </row>
    <row r="141" spans="1:67">
      <c r="A141" s="1">
        <f>HYPERLINK("https://lsnyc.legalserver.org/matter/dynamic-profile/view/1878163","18-1878163")</f>
        <v>0</v>
      </c>
      <c r="B141" t="s">
        <v>86</v>
      </c>
      <c r="C141" t="s">
        <v>245</v>
      </c>
      <c r="D141" t="s">
        <v>279</v>
      </c>
      <c r="F141" t="s">
        <v>1122</v>
      </c>
      <c r="G141" t="s">
        <v>2994</v>
      </c>
      <c r="H141" t="s">
        <v>4865</v>
      </c>
      <c r="I141" t="s">
        <v>6421</v>
      </c>
      <c r="J141" t="s">
        <v>7169</v>
      </c>
      <c r="K141">
        <v>10031</v>
      </c>
      <c r="N141" t="s">
        <v>7237</v>
      </c>
      <c r="O141" t="s">
        <v>7383</v>
      </c>
      <c r="P141">
        <v>4</v>
      </c>
      <c r="Q141">
        <v>5</v>
      </c>
      <c r="R141">
        <v>35.97</v>
      </c>
      <c r="U141">
        <v>16800</v>
      </c>
      <c r="W141">
        <v>6.7</v>
      </c>
      <c r="X141" t="s">
        <v>559</v>
      </c>
      <c r="Y141" t="s">
        <v>127</v>
      </c>
      <c r="AA141" t="s">
        <v>10974</v>
      </c>
      <c r="AB141" t="s">
        <v>279</v>
      </c>
      <c r="AD141" t="s">
        <v>11083</v>
      </c>
      <c r="AF141" t="s">
        <v>11118</v>
      </c>
      <c r="AH141" t="s">
        <v>10975</v>
      </c>
      <c r="AJ141" t="s">
        <v>11138</v>
      </c>
      <c r="AK141" t="s">
        <v>7225</v>
      </c>
      <c r="AM141">
        <v>572.08</v>
      </c>
      <c r="AO141">
        <v>13</v>
      </c>
      <c r="AQ141" t="s">
        <v>11157</v>
      </c>
      <c r="AS141" t="s">
        <v>11173</v>
      </c>
      <c r="AU141">
        <v>28</v>
      </c>
      <c r="AW141" t="s">
        <v>11189</v>
      </c>
      <c r="AY141" t="s">
        <v>11213</v>
      </c>
      <c r="AZ141" t="s">
        <v>11221</v>
      </c>
      <c r="BE141" t="s">
        <v>11781</v>
      </c>
      <c r="BG141" t="s">
        <v>14416</v>
      </c>
      <c r="BK141" t="s">
        <v>15618</v>
      </c>
      <c r="BM141" t="s">
        <v>15650</v>
      </c>
      <c r="BN141" t="s">
        <v>15652</v>
      </c>
      <c r="BO141" t="s">
        <v>15661</v>
      </c>
    </row>
    <row r="142" spans="1:67">
      <c r="A142" s="1">
        <f>HYPERLINK("https://lsnyc.legalserver.org/matter/dynamic-profile/view/1906049","19-1906049")</f>
        <v>0</v>
      </c>
      <c r="B142" t="s">
        <v>86</v>
      </c>
      <c r="C142" t="s">
        <v>245</v>
      </c>
      <c r="D142" t="s">
        <v>349</v>
      </c>
      <c r="F142" t="s">
        <v>1204</v>
      </c>
      <c r="G142" t="s">
        <v>2995</v>
      </c>
      <c r="H142" t="s">
        <v>4854</v>
      </c>
      <c r="I142" t="s">
        <v>6481</v>
      </c>
      <c r="J142" t="s">
        <v>7169</v>
      </c>
      <c r="K142">
        <v>10033</v>
      </c>
      <c r="N142" t="s">
        <v>7237</v>
      </c>
      <c r="O142" t="s">
        <v>7384</v>
      </c>
      <c r="P142">
        <v>1</v>
      </c>
      <c r="Q142">
        <v>0</v>
      </c>
      <c r="R142">
        <v>60.53</v>
      </c>
      <c r="U142">
        <v>7560</v>
      </c>
      <c r="W142">
        <v>1.9</v>
      </c>
      <c r="X142" t="s">
        <v>349</v>
      </c>
      <c r="Y142" t="s">
        <v>127</v>
      </c>
      <c r="AA142" t="s">
        <v>10974</v>
      </c>
      <c r="AB142" t="s">
        <v>349</v>
      </c>
      <c r="AC142" t="s">
        <v>11081</v>
      </c>
      <c r="AF142" t="s">
        <v>11119</v>
      </c>
      <c r="AH142" t="s">
        <v>10975</v>
      </c>
      <c r="AJ142" t="s">
        <v>11129</v>
      </c>
      <c r="AK142" t="s">
        <v>7225</v>
      </c>
      <c r="AM142">
        <v>2668</v>
      </c>
      <c r="AO142">
        <v>480</v>
      </c>
      <c r="AQ142" t="s">
        <v>11157</v>
      </c>
      <c r="AS142" t="s">
        <v>11173</v>
      </c>
      <c r="AU142">
        <v>5</v>
      </c>
      <c r="AW142" t="s">
        <v>11189</v>
      </c>
      <c r="BA142" t="s">
        <v>11222</v>
      </c>
      <c r="BE142" t="s">
        <v>11782</v>
      </c>
      <c r="BF142" t="s">
        <v>14364</v>
      </c>
      <c r="BM142" t="s">
        <v>15650</v>
      </c>
    </row>
    <row r="143" spans="1:67">
      <c r="A143" s="1">
        <f>HYPERLINK("https://lsnyc.legalserver.org/matter/dynamic-profile/view/1863821","18-1863821")</f>
        <v>0</v>
      </c>
      <c r="B143" t="s">
        <v>86</v>
      </c>
      <c r="C143" t="s">
        <v>245</v>
      </c>
      <c r="D143" t="s">
        <v>350</v>
      </c>
      <c r="F143" t="s">
        <v>1205</v>
      </c>
      <c r="G143" t="s">
        <v>2996</v>
      </c>
      <c r="H143" t="s">
        <v>4866</v>
      </c>
      <c r="I143">
        <v>10</v>
      </c>
      <c r="J143" t="s">
        <v>7169</v>
      </c>
      <c r="K143">
        <v>10031</v>
      </c>
      <c r="N143" t="s">
        <v>7237</v>
      </c>
      <c r="O143" t="s">
        <v>7385</v>
      </c>
      <c r="P143">
        <v>1</v>
      </c>
      <c r="Q143">
        <v>2</v>
      </c>
      <c r="R143">
        <v>16.75</v>
      </c>
      <c r="S143" t="s">
        <v>10254</v>
      </c>
      <c r="T143" t="s">
        <v>10275</v>
      </c>
      <c r="U143">
        <v>3480</v>
      </c>
      <c r="W143">
        <v>124.35</v>
      </c>
      <c r="X143" t="s">
        <v>798</v>
      </c>
      <c r="Y143" t="s">
        <v>10863</v>
      </c>
      <c r="AA143" t="s">
        <v>10974</v>
      </c>
      <c r="AB143" t="s">
        <v>607</v>
      </c>
      <c r="AD143" t="s">
        <v>11086</v>
      </c>
      <c r="AF143" t="s">
        <v>11120</v>
      </c>
      <c r="AG143" t="s">
        <v>11124</v>
      </c>
      <c r="AJ143" t="s">
        <v>11133</v>
      </c>
      <c r="AK143" t="s">
        <v>11149</v>
      </c>
      <c r="AM143">
        <v>1681</v>
      </c>
      <c r="AO143">
        <v>25</v>
      </c>
      <c r="AQ143" t="s">
        <v>11157</v>
      </c>
      <c r="AS143" t="s">
        <v>11173</v>
      </c>
      <c r="AU143">
        <v>14</v>
      </c>
      <c r="AW143" t="s">
        <v>11189</v>
      </c>
      <c r="AZ143" t="s">
        <v>11221</v>
      </c>
      <c r="BC143" t="s">
        <v>11243</v>
      </c>
      <c r="BD143" t="s">
        <v>11667</v>
      </c>
      <c r="BF143" t="s">
        <v>14364</v>
      </c>
      <c r="BM143" t="s">
        <v>15650</v>
      </c>
    </row>
    <row r="144" spans="1:67">
      <c r="A144" s="1">
        <f>HYPERLINK("https://lsnyc.legalserver.org/matter/dynamic-profile/view/1842018","17-1842018")</f>
        <v>0</v>
      </c>
      <c r="B144" t="s">
        <v>86</v>
      </c>
      <c r="C144" t="s">
        <v>245</v>
      </c>
      <c r="D144" t="s">
        <v>351</v>
      </c>
      <c r="F144" t="s">
        <v>1206</v>
      </c>
      <c r="G144" t="s">
        <v>2997</v>
      </c>
      <c r="H144" t="s">
        <v>4867</v>
      </c>
      <c r="I144" t="s">
        <v>6482</v>
      </c>
      <c r="J144" t="s">
        <v>7169</v>
      </c>
      <c r="K144">
        <v>10009</v>
      </c>
      <c r="N144" t="s">
        <v>7238</v>
      </c>
      <c r="O144" t="s">
        <v>7386</v>
      </c>
      <c r="P144">
        <v>1</v>
      </c>
      <c r="Q144">
        <v>0</v>
      </c>
      <c r="R144">
        <v>54.83</v>
      </c>
      <c r="S144" t="s">
        <v>10254</v>
      </c>
      <c r="T144" t="s">
        <v>10275</v>
      </c>
      <c r="U144">
        <v>6612</v>
      </c>
      <c r="W144">
        <v>1.2</v>
      </c>
      <c r="X144" t="s">
        <v>10804</v>
      </c>
      <c r="Y144" t="s">
        <v>10887</v>
      </c>
      <c r="Z144" t="s">
        <v>10972</v>
      </c>
      <c r="AA144" t="s">
        <v>10976</v>
      </c>
      <c r="AB144" t="s">
        <v>410</v>
      </c>
      <c r="AD144" t="s">
        <v>11086</v>
      </c>
      <c r="AF144" t="s">
        <v>11119</v>
      </c>
      <c r="AH144" t="s">
        <v>10975</v>
      </c>
      <c r="AJ144" t="s">
        <v>11133</v>
      </c>
      <c r="AK144" t="s">
        <v>11149</v>
      </c>
      <c r="AL144" t="s">
        <v>11150</v>
      </c>
      <c r="AM144">
        <v>0</v>
      </c>
      <c r="AO144">
        <v>439</v>
      </c>
      <c r="AQ144" t="s">
        <v>11158</v>
      </c>
      <c r="AR144" t="s">
        <v>11172</v>
      </c>
      <c r="AT144" t="s">
        <v>11184</v>
      </c>
      <c r="AU144">
        <v>0</v>
      </c>
      <c r="AW144" t="s">
        <v>11192</v>
      </c>
      <c r="AZ144" t="s">
        <v>11221</v>
      </c>
      <c r="BD144" t="s">
        <v>11667</v>
      </c>
      <c r="BF144" t="s">
        <v>14364</v>
      </c>
      <c r="BM144" t="s">
        <v>15650</v>
      </c>
    </row>
    <row r="145" spans="1:65">
      <c r="A145" s="1">
        <f>HYPERLINK("https://lsnyc.legalserver.org/matter/dynamic-profile/view/1887998","19-1887998")</f>
        <v>0</v>
      </c>
      <c r="B145" t="s">
        <v>86</v>
      </c>
      <c r="C145" t="s">
        <v>245</v>
      </c>
      <c r="D145" t="s">
        <v>329</v>
      </c>
      <c r="F145" t="s">
        <v>1207</v>
      </c>
      <c r="G145" t="s">
        <v>2998</v>
      </c>
      <c r="H145" t="s">
        <v>4868</v>
      </c>
      <c r="I145">
        <v>31</v>
      </c>
      <c r="J145" t="s">
        <v>7169</v>
      </c>
      <c r="K145">
        <v>10034</v>
      </c>
      <c r="N145" t="s">
        <v>7237</v>
      </c>
      <c r="O145" t="s">
        <v>7387</v>
      </c>
      <c r="P145">
        <v>2</v>
      </c>
      <c r="Q145">
        <v>0</v>
      </c>
      <c r="R145">
        <v>108.26</v>
      </c>
      <c r="U145">
        <v>17820</v>
      </c>
      <c r="W145">
        <v>4.2</v>
      </c>
      <c r="X145" t="s">
        <v>638</v>
      </c>
      <c r="Y145" t="s">
        <v>127</v>
      </c>
      <c r="AA145" t="s">
        <v>10974</v>
      </c>
      <c r="AB145" t="s">
        <v>329</v>
      </c>
      <c r="AD145" t="s">
        <v>11101</v>
      </c>
      <c r="AF145" t="s">
        <v>11118</v>
      </c>
      <c r="AH145" t="s">
        <v>10974</v>
      </c>
      <c r="AJ145" t="s">
        <v>11130</v>
      </c>
      <c r="AK145" t="s">
        <v>7225</v>
      </c>
      <c r="AM145">
        <v>1013.58</v>
      </c>
      <c r="AO145">
        <v>25</v>
      </c>
      <c r="AQ145" t="s">
        <v>11157</v>
      </c>
      <c r="AS145" t="s">
        <v>11174</v>
      </c>
      <c r="AU145">
        <v>50</v>
      </c>
      <c r="AW145" t="s">
        <v>11189</v>
      </c>
      <c r="AZ145" t="s">
        <v>11221</v>
      </c>
      <c r="BE145" t="s">
        <v>11783</v>
      </c>
      <c r="BG145" t="s">
        <v>14417</v>
      </c>
      <c r="BM145" t="s">
        <v>15650</v>
      </c>
    </row>
    <row r="146" spans="1:65">
      <c r="A146" s="1">
        <f>HYPERLINK("https://lsnyc.legalserver.org/matter/dynamic-profile/view/1861226","18-1861226")</f>
        <v>0</v>
      </c>
      <c r="B146" t="s">
        <v>86</v>
      </c>
      <c r="C146" t="s">
        <v>245</v>
      </c>
      <c r="D146" t="s">
        <v>352</v>
      </c>
      <c r="F146" t="s">
        <v>1208</v>
      </c>
      <c r="G146" t="s">
        <v>2999</v>
      </c>
      <c r="H146" t="s">
        <v>4869</v>
      </c>
      <c r="I146">
        <v>24</v>
      </c>
      <c r="J146" t="s">
        <v>7169</v>
      </c>
      <c r="K146">
        <v>10031</v>
      </c>
      <c r="N146" t="s">
        <v>7237</v>
      </c>
      <c r="O146" t="s">
        <v>7388</v>
      </c>
      <c r="P146">
        <v>2</v>
      </c>
      <c r="Q146">
        <v>0</v>
      </c>
      <c r="R146">
        <v>108.85</v>
      </c>
      <c r="S146" t="s">
        <v>812</v>
      </c>
      <c r="U146">
        <v>26916</v>
      </c>
      <c r="W146">
        <v>7.1</v>
      </c>
      <c r="X146" t="s">
        <v>293</v>
      </c>
      <c r="Y146" t="s">
        <v>127</v>
      </c>
      <c r="AA146" t="s">
        <v>10974</v>
      </c>
      <c r="AB146" t="s">
        <v>352</v>
      </c>
      <c r="AD146" t="s">
        <v>11085</v>
      </c>
      <c r="AF146" t="s">
        <v>10384</v>
      </c>
      <c r="AH146" t="s">
        <v>10975</v>
      </c>
      <c r="AJ146" t="s">
        <v>11129</v>
      </c>
      <c r="AK146" t="s">
        <v>7225</v>
      </c>
      <c r="AM146">
        <v>760.3099999999999</v>
      </c>
      <c r="AO146">
        <v>29</v>
      </c>
      <c r="AQ146" t="s">
        <v>11157</v>
      </c>
      <c r="AS146" t="s">
        <v>11174</v>
      </c>
      <c r="AU146">
        <v>40</v>
      </c>
      <c r="AW146" t="s">
        <v>11187</v>
      </c>
      <c r="AZ146" t="s">
        <v>11221</v>
      </c>
      <c r="BE146" t="s">
        <v>11784</v>
      </c>
      <c r="BF146" t="s">
        <v>14364</v>
      </c>
      <c r="BM146" t="s">
        <v>15650</v>
      </c>
    </row>
    <row r="147" spans="1:65">
      <c r="A147" s="1">
        <f>HYPERLINK("https://lsnyc.legalserver.org/matter/dynamic-profile/view/1889085","19-1889085")</f>
        <v>0</v>
      </c>
      <c r="B147" t="s">
        <v>86</v>
      </c>
      <c r="C147" t="s">
        <v>245</v>
      </c>
      <c r="D147" t="s">
        <v>321</v>
      </c>
      <c r="F147" t="s">
        <v>1149</v>
      </c>
      <c r="G147" t="s">
        <v>3000</v>
      </c>
      <c r="H147" t="s">
        <v>4870</v>
      </c>
      <c r="I147">
        <v>33</v>
      </c>
      <c r="J147" t="s">
        <v>7169</v>
      </c>
      <c r="K147">
        <v>10034</v>
      </c>
      <c r="N147" t="s">
        <v>7237</v>
      </c>
      <c r="O147" t="s">
        <v>7389</v>
      </c>
      <c r="P147">
        <v>1</v>
      </c>
      <c r="Q147">
        <v>4</v>
      </c>
      <c r="R147">
        <v>124.97</v>
      </c>
      <c r="U147">
        <v>37704</v>
      </c>
      <c r="W147">
        <v>8</v>
      </c>
      <c r="X147" t="s">
        <v>660</v>
      </c>
      <c r="Y147" t="s">
        <v>127</v>
      </c>
      <c r="AA147" t="s">
        <v>10974</v>
      </c>
      <c r="AB147" t="s">
        <v>321</v>
      </c>
      <c r="AD147" t="s">
        <v>11090</v>
      </c>
      <c r="AF147" t="s">
        <v>11120</v>
      </c>
      <c r="AH147" t="s">
        <v>10975</v>
      </c>
      <c r="AJ147" t="s">
        <v>11129</v>
      </c>
      <c r="AK147" t="s">
        <v>7225</v>
      </c>
      <c r="AM147">
        <v>1059.36</v>
      </c>
      <c r="AO147">
        <v>25</v>
      </c>
      <c r="AQ147" t="s">
        <v>11157</v>
      </c>
      <c r="AS147" t="s">
        <v>11176</v>
      </c>
      <c r="AU147">
        <v>4</v>
      </c>
      <c r="AW147" t="s">
        <v>11189</v>
      </c>
      <c r="BA147" t="s">
        <v>11222</v>
      </c>
      <c r="BE147" t="s">
        <v>11785</v>
      </c>
      <c r="BF147" t="s">
        <v>14364</v>
      </c>
      <c r="BM147" t="s">
        <v>15650</v>
      </c>
    </row>
    <row r="148" spans="1:65">
      <c r="A148" s="1">
        <f>HYPERLINK("https://lsnyc.legalserver.org/matter/dynamic-profile/view/1901214","19-1901214")</f>
        <v>0</v>
      </c>
      <c r="B148" t="s">
        <v>86</v>
      </c>
      <c r="C148" t="s">
        <v>245</v>
      </c>
      <c r="D148" t="s">
        <v>287</v>
      </c>
      <c r="F148" t="s">
        <v>1209</v>
      </c>
      <c r="G148" t="s">
        <v>3001</v>
      </c>
      <c r="H148" t="s">
        <v>4871</v>
      </c>
      <c r="I148" t="s">
        <v>6466</v>
      </c>
      <c r="J148" t="s">
        <v>7169</v>
      </c>
      <c r="K148">
        <v>10032</v>
      </c>
      <c r="N148" t="s">
        <v>7237</v>
      </c>
      <c r="O148" t="s">
        <v>7390</v>
      </c>
      <c r="P148">
        <v>2</v>
      </c>
      <c r="Q148">
        <v>0</v>
      </c>
      <c r="R148">
        <v>330.1</v>
      </c>
      <c r="U148">
        <v>55820</v>
      </c>
      <c r="W148">
        <v>1</v>
      </c>
      <c r="X148" t="s">
        <v>268</v>
      </c>
      <c r="Y148" t="s">
        <v>127</v>
      </c>
      <c r="AA148" t="s">
        <v>10974</v>
      </c>
      <c r="AB148" t="s">
        <v>287</v>
      </c>
      <c r="AD148" t="s">
        <v>11090</v>
      </c>
      <c r="AF148" t="s">
        <v>11119</v>
      </c>
      <c r="AH148" t="s">
        <v>10975</v>
      </c>
      <c r="AJ148" t="s">
        <v>11130</v>
      </c>
      <c r="AK148" t="s">
        <v>7225</v>
      </c>
      <c r="AM148">
        <v>3445</v>
      </c>
      <c r="AO148">
        <v>48</v>
      </c>
      <c r="AQ148" t="s">
        <v>11157</v>
      </c>
      <c r="AS148" t="s">
        <v>11173</v>
      </c>
      <c r="AU148">
        <v>2</v>
      </c>
      <c r="AW148" t="s">
        <v>11187</v>
      </c>
      <c r="BA148" t="s">
        <v>11222</v>
      </c>
      <c r="BD148" t="s">
        <v>11667</v>
      </c>
      <c r="BF148" t="s">
        <v>14364</v>
      </c>
      <c r="BM148" t="s">
        <v>15650</v>
      </c>
    </row>
    <row r="149" spans="1:65">
      <c r="A149" s="1">
        <f>HYPERLINK("https://lsnyc.legalserver.org/matter/dynamic-profile/view/1889313","19-1889313")</f>
        <v>0</v>
      </c>
      <c r="B149" t="s">
        <v>86</v>
      </c>
      <c r="C149" t="s">
        <v>245</v>
      </c>
      <c r="D149" t="s">
        <v>318</v>
      </c>
      <c r="F149" t="s">
        <v>1210</v>
      </c>
      <c r="G149" t="s">
        <v>3002</v>
      </c>
      <c r="H149" t="s">
        <v>4872</v>
      </c>
      <c r="I149" t="s">
        <v>6483</v>
      </c>
      <c r="J149" t="s">
        <v>7169</v>
      </c>
      <c r="K149">
        <v>10034</v>
      </c>
      <c r="N149" t="s">
        <v>7237</v>
      </c>
      <c r="O149" t="s">
        <v>7391</v>
      </c>
      <c r="P149">
        <v>1</v>
      </c>
      <c r="Q149">
        <v>0</v>
      </c>
      <c r="R149">
        <v>109.05</v>
      </c>
      <c r="U149">
        <v>13620</v>
      </c>
      <c r="W149">
        <v>2.6</v>
      </c>
      <c r="X149" t="s">
        <v>1007</v>
      </c>
      <c r="Y149" t="s">
        <v>127</v>
      </c>
      <c r="AA149" t="s">
        <v>10974</v>
      </c>
      <c r="AB149" t="s">
        <v>318</v>
      </c>
      <c r="AD149" t="s">
        <v>11090</v>
      </c>
      <c r="AF149" t="s">
        <v>11119</v>
      </c>
      <c r="AH149" t="s">
        <v>10975</v>
      </c>
      <c r="AJ149" t="s">
        <v>11129</v>
      </c>
      <c r="AK149" t="s">
        <v>7225</v>
      </c>
      <c r="AM149">
        <v>1601.08</v>
      </c>
      <c r="AO149">
        <v>69</v>
      </c>
      <c r="AQ149" t="s">
        <v>11157</v>
      </c>
      <c r="AS149" t="s">
        <v>11175</v>
      </c>
      <c r="AU149">
        <v>35</v>
      </c>
      <c r="AW149" t="s">
        <v>11187</v>
      </c>
      <c r="BA149" t="s">
        <v>11222</v>
      </c>
      <c r="BE149" t="s">
        <v>11786</v>
      </c>
      <c r="BF149" t="s">
        <v>14364</v>
      </c>
      <c r="BM149" t="s">
        <v>15650</v>
      </c>
    </row>
    <row r="150" spans="1:65">
      <c r="A150" s="1">
        <f>HYPERLINK("https://lsnyc.legalserver.org/matter/dynamic-profile/view/1845745","17-1845745")</f>
        <v>0</v>
      </c>
      <c r="B150" t="s">
        <v>86</v>
      </c>
      <c r="C150" t="s">
        <v>245</v>
      </c>
      <c r="D150" t="s">
        <v>353</v>
      </c>
      <c r="F150" t="s">
        <v>1211</v>
      </c>
      <c r="G150" t="s">
        <v>1119</v>
      </c>
      <c r="H150" t="s">
        <v>4873</v>
      </c>
      <c r="I150">
        <v>23</v>
      </c>
      <c r="J150" t="s">
        <v>7169</v>
      </c>
      <c r="K150">
        <v>10034</v>
      </c>
      <c r="N150" t="s">
        <v>7237</v>
      </c>
      <c r="O150" t="s">
        <v>7392</v>
      </c>
      <c r="P150">
        <v>3</v>
      </c>
      <c r="Q150">
        <v>3</v>
      </c>
      <c r="R150">
        <v>109.22</v>
      </c>
      <c r="U150">
        <v>36000</v>
      </c>
      <c r="W150">
        <v>5.3</v>
      </c>
      <c r="X150" t="s">
        <v>615</v>
      </c>
      <c r="Y150" t="s">
        <v>127</v>
      </c>
      <c r="AA150" t="s">
        <v>10974</v>
      </c>
      <c r="AB150" t="s">
        <v>10982</v>
      </c>
      <c r="AD150" t="s">
        <v>11086</v>
      </c>
      <c r="AF150" t="s">
        <v>11120</v>
      </c>
      <c r="AH150" t="s">
        <v>10975</v>
      </c>
      <c r="AJ150" t="s">
        <v>11130</v>
      </c>
      <c r="AK150" t="s">
        <v>7225</v>
      </c>
      <c r="AM150">
        <v>1212.7</v>
      </c>
      <c r="AO150">
        <v>30</v>
      </c>
      <c r="AQ150" t="s">
        <v>11157</v>
      </c>
      <c r="AS150" t="s">
        <v>11173</v>
      </c>
      <c r="AU150">
        <v>1</v>
      </c>
      <c r="AW150" t="s">
        <v>11189</v>
      </c>
      <c r="AZ150" t="s">
        <v>11221</v>
      </c>
      <c r="BE150" t="s">
        <v>11787</v>
      </c>
      <c r="BF150" t="s">
        <v>14364</v>
      </c>
      <c r="BM150" t="s">
        <v>15650</v>
      </c>
    </row>
    <row r="151" spans="1:65">
      <c r="A151" s="1">
        <f>HYPERLINK("https://lsnyc.legalserver.org/matter/dynamic-profile/view/1887304","19-1887304")</f>
        <v>0</v>
      </c>
      <c r="B151" t="s">
        <v>86</v>
      </c>
      <c r="C151" t="s">
        <v>245</v>
      </c>
      <c r="D151" t="s">
        <v>354</v>
      </c>
      <c r="F151" t="s">
        <v>1097</v>
      </c>
      <c r="G151" t="s">
        <v>2889</v>
      </c>
      <c r="H151" t="s">
        <v>4763</v>
      </c>
      <c r="I151">
        <v>5</v>
      </c>
      <c r="J151" t="s">
        <v>7169</v>
      </c>
      <c r="K151">
        <v>10034</v>
      </c>
      <c r="N151" t="s">
        <v>7237</v>
      </c>
      <c r="O151" t="s">
        <v>7266</v>
      </c>
      <c r="P151">
        <v>2</v>
      </c>
      <c r="Q151">
        <v>0</v>
      </c>
      <c r="R151">
        <v>109.36</v>
      </c>
      <c r="U151">
        <v>18000</v>
      </c>
      <c r="W151">
        <v>19.37</v>
      </c>
      <c r="X151" t="s">
        <v>497</v>
      </c>
      <c r="Y151" t="s">
        <v>127</v>
      </c>
      <c r="AA151" t="s">
        <v>10974</v>
      </c>
      <c r="AB151" t="s">
        <v>354</v>
      </c>
      <c r="AD151" t="s">
        <v>11100</v>
      </c>
      <c r="AF151" t="s">
        <v>11120</v>
      </c>
      <c r="AH151" t="s">
        <v>10975</v>
      </c>
      <c r="AJ151" t="s">
        <v>11129</v>
      </c>
      <c r="AK151" t="s">
        <v>7225</v>
      </c>
      <c r="AM151">
        <v>694.16</v>
      </c>
      <c r="AO151">
        <v>25</v>
      </c>
      <c r="AQ151" t="s">
        <v>11157</v>
      </c>
      <c r="AS151" t="s">
        <v>11175</v>
      </c>
      <c r="AU151">
        <v>46</v>
      </c>
      <c r="AW151" t="s">
        <v>11187</v>
      </c>
      <c r="BA151" t="s">
        <v>11222</v>
      </c>
      <c r="BE151" t="s">
        <v>11681</v>
      </c>
      <c r="BF151" t="s">
        <v>14364</v>
      </c>
      <c r="BM151" t="s">
        <v>15650</v>
      </c>
    </row>
    <row r="152" spans="1:65">
      <c r="A152" s="1">
        <f>HYPERLINK("https://lsnyc.legalserver.org/matter/dynamic-profile/view/1849320","17-1849320")</f>
        <v>0</v>
      </c>
      <c r="B152" t="s">
        <v>86</v>
      </c>
      <c r="C152" t="s">
        <v>245</v>
      </c>
      <c r="D152" t="s">
        <v>355</v>
      </c>
      <c r="F152" t="s">
        <v>1212</v>
      </c>
      <c r="G152" t="s">
        <v>3003</v>
      </c>
      <c r="H152" t="s">
        <v>4874</v>
      </c>
      <c r="I152" t="s">
        <v>6417</v>
      </c>
      <c r="J152" t="s">
        <v>7169</v>
      </c>
      <c r="K152">
        <v>10035</v>
      </c>
      <c r="N152" t="s">
        <v>7237</v>
      </c>
      <c r="O152" t="s">
        <v>7393</v>
      </c>
      <c r="P152">
        <v>1</v>
      </c>
      <c r="Q152">
        <v>0</v>
      </c>
      <c r="R152">
        <v>73.13</v>
      </c>
      <c r="U152">
        <v>8820</v>
      </c>
      <c r="W152">
        <v>24.1</v>
      </c>
      <c r="X152" t="s">
        <v>10805</v>
      </c>
      <c r="Y152" t="s">
        <v>10888</v>
      </c>
      <c r="AA152" t="s">
        <v>10974</v>
      </c>
      <c r="AB152" t="s">
        <v>355</v>
      </c>
      <c r="AD152" t="s">
        <v>11102</v>
      </c>
      <c r="AF152" t="s">
        <v>11118</v>
      </c>
      <c r="AH152" t="s">
        <v>10975</v>
      </c>
      <c r="AJ152" t="s">
        <v>11129</v>
      </c>
      <c r="AK152" t="s">
        <v>7225</v>
      </c>
      <c r="AM152">
        <v>1000</v>
      </c>
      <c r="AO152">
        <v>7</v>
      </c>
      <c r="AQ152" t="s">
        <v>11157</v>
      </c>
      <c r="AS152" t="s">
        <v>11173</v>
      </c>
      <c r="AU152">
        <v>8</v>
      </c>
      <c r="AW152" t="s">
        <v>11187</v>
      </c>
      <c r="AZ152" t="s">
        <v>11221</v>
      </c>
      <c r="BE152" t="s">
        <v>11788</v>
      </c>
      <c r="BG152" t="s">
        <v>14418</v>
      </c>
      <c r="BM152" t="s">
        <v>15650</v>
      </c>
    </row>
    <row r="153" spans="1:65">
      <c r="A153" s="1">
        <f>HYPERLINK("https://lsnyc.legalserver.org/matter/dynamic-profile/view/1841253","17-1841253")</f>
        <v>0</v>
      </c>
      <c r="B153" t="s">
        <v>86</v>
      </c>
      <c r="C153" t="s">
        <v>245</v>
      </c>
      <c r="D153" t="s">
        <v>356</v>
      </c>
      <c r="F153" t="s">
        <v>1213</v>
      </c>
      <c r="G153" t="s">
        <v>3004</v>
      </c>
      <c r="H153" t="s">
        <v>4875</v>
      </c>
      <c r="I153" t="s">
        <v>6484</v>
      </c>
      <c r="J153" t="s">
        <v>7169</v>
      </c>
      <c r="K153">
        <v>10034</v>
      </c>
      <c r="N153" t="s">
        <v>7237</v>
      </c>
      <c r="O153" t="s">
        <v>7394</v>
      </c>
      <c r="P153">
        <v>1</v>
      </c>
      <c r="Q153">
        <v>2</v>
      </c>
      <c r="R153">
        <v>112.63</v>
      </c>
      <c r="U153">
        <v>23000</v>
      </c>
      <c r="W153">
        <v>5.4</v>
      </c>
      <c r="X153" t="s">
        <v>708</v>
      </c>
      <c r="Y153" t="s">
        <v>127</v>
      </c>
      <c r="AA153" t="s">
        <v>10974</v>
      </c>
      <c r="AB153" t="s">
        <v>356</v>
      </c>
      <c r="AD153" t="s">
        <v>11082</v>
      </c>
      <c r="AF153" t="s">
        <v>11118</v>
      </c>
      <c r="AH153" t="s">
        <v>10975</v>
      </c>
      <c r="AJ153" t="s">
        <v>11134</v>
      </c>
      <c r="AK153" t="s">
        <v>7225</v>
      </c>
      <c r="AM153">
        <v>1053</v>
      </c>
      <c r="AO153">
        <v>50</v>
      </c>
      <c r="AQ153" t="s">
        <v>11157</v>
      </c>
      <c r="AS153" t="s">
        <v>11173</v>
      </c>
      <c r="AU153">
        <v>13</v>
      </c>
      <c r="AW153" t="s">
        <v>11189</v>
      </c>
      <c r="AZ153" t="s">
        <v>11221</v>
      </c>
      <c r="BE153" t="s">
        <v>11789</v>
      </c>
      <c r="BG153" t="s">
        <v>14419</v>
      </c>
      <c r="BM153" t="s">
        <v>15650</v>
      </c>
    </row>
    <row r="154" spans="1:65">
      <c r="A154" s="1">
        <f>HYPERLINK("https://lsnyc.legalserver.org/matter/dynamic-profile/view/1836774","17-1836774")</f>
        <v>0</v>
      </c>
      <c r="B154" t="s">
        <v>86</v>
      </c>
      <c r="C154" t="s">
        <v>245</v>
      </c>
      <c r="D154" t="s">
        <v>357</v>
      </c>
      <c r="F154" t="s">
        <v>1213</v>
      </c>
      <c r="G154" t="s">
        <v>3004</v>
      </c>
      <c r="H154" t="s">
        <v>4875</v>
      </c>
      <c r="I154" t="s">
        <v>6484</v>
      </c>
      <c r="J154" t="s">
        <v>7169</v>
      </c>
      <c r="K154">
        <v>10034</v>
      </c>
      <c r="N154" t="s">
        <v>7237</v>
      </c>
      <c r="O154" t="s">
        <v>7394</v>
      </c>
      <c r="P154">
        <v>1</v>
      </c>
      <c r="Q154">
        <v>2</v>
      </c>
      <c r="R154">
        <v>112.63</v>
      </c>
      <c r="U154">
        <v>23000</v>
      </c>
      <c r="W154">
        <v>4.7</v>
      </c>
      <c r="X154" t="s">
        <v>831</v>
      </c>
      <c r="Y154" t="s">
        <v>10859</v>
      </c>
      <c r="AA154" t="s">
        <v>10974</v>
      </c>
      <c r="AB154" t="s">
        <v>809</v>
      </c>
      <c r="AD154" t="s">
        <v>11101</v>
      </c>
      <c r="AF154" t="s">
        <v>11120</v>
      </c>
      <c r="AH154" t="s">
        <v>10974</v>
      </c>
      <c r="AJ154" t="s">
        <v>11134</v>
      </c>
      <c r="AK154" t="s">
        <v>7225</v>
      </c>
      <c r="AM154">
        <v>1053</v>
      </c>
      <c r="AO154">
        <v>50</v>
      </c>
      <c r="AQ154" t="s">
        <v>11157</v>
      </c>
      <c r="AS154" t="s">
        <v>11173</v>
      </c>
      <c r="AU154">
        <v>13</v>
      </c>
      <c r="AW154" t="s">
        <v>11189</v>
      </c>
      <c r="AZ154" t="s">
        <v>11221</v>
      </c>
      <c r="BE154" t="s">
        <v>11789</v>
      </c>
      <c r="BF154" t="s">
        <v>14364</v>
      </c>
      <c r="BM154" t="s">
        <v>15650</v>
      </c>
    </row>
    <row r="155" spans="1:65">
      <c r="A155" s="1">
        <f>HYPERLINK("https://lsnyc.legalserver.org/matter/dynamic-profile/view/1841452","17-1841452")</f>
        <v>0</v>
      </c>
      <c r="B155" t="s">
        <v>86</v>
      </c>
      <c r="C155" t="s">
        <v>245</v>
      </c>
      <c r="D155" t="s">
        <v>358</v>
      </c>
      <c r="F155" t="s">
        <v>1214</v>
      </c>
      <c r="G155" t="s">
        <v>3005</v>
      </c>
      <c r="H155" t="s">
        <v>4876</v>
      </c>
      <c r="I155" t="s">
        <v>6485</v>
      </c>
      <c r="J155" t="s">
        <v>7169</v>
      </c>
      <c r="K155">
        <v>10034</v>
      </c>
      <c r="N155" t="s">
        <v>7237</v>
      </c>
      <c r="O155" t="s">
        <v>7395</v>
      </c>
      <c r="P155">
        <v>1</v>
      </c>
      <c r="Q155">
        <v>0</v>
      </c>
      <c r="R155">
        <v>179.51</v>
      </c>
      <c r="U155">
        <v>21649.2</v>
      </c>
      <c r="W155">
        <v>24.05</v>
      </c>
      <c r="X155" t="s">
        <v>10806</v>
      </c>
      <c r="Y155" t="s">
        <v>127</v>
      </c>
      <c r="AA155" t="s">
        <v>10974</v>
      </c>
      <c r="AB155" t="s">
        <v>358</v>
      </c>
      <c r="AD155" t="s">
        <v>11082</v>
      </c>
      <c r="AF155" t="s">
        <v>11118</v>
      </c>
      <c r="AH155" t="s">
        <v>10975</v>
      </c>
      <c r="AJ155" t="s">
        <v>11130</v>
      </c>
      <c r="AK155" t="s">
        <v>7225</v>
      </c>
      <c r="AM155">
        <v>1384.66</v>
      </c>
      <c r="AO155">
        <v>42</v>
      </c>
      <c r="AQ155" t="s">
        <v>11157</v>
      </c>
      <c r="AS155" t="s">
        <v>11175</v>
      </c>
      <c r="AU155">
        <v>25</v>
      </c>
      <c r="AW155" t="s">
        <v>11189</v>
      </c>
      <c r="AZ155" t="s">
        <v>11221</v>
      </c>
      <c r="BE155" t="s">
        <v>11790</v>
      </c>
      <c r="BG155" t="s">
        <v>14420</v>
      </c>
      <c r="BM155" t="s">
        <v>15650</v>
      </c>
    </row>
    <row r="156" spans="1:65">
      <c r="A156" s="1">
        <f>HYPERLINK("https://lsnyc.legalserver.org/matter/dynamic-profile/view/1856971","18-1856971")</f>
        <v>0</v>
      </c>
      <c r="B156" t="s">
        <v>86</v>
      </c>
      <c r="C156" t="s">
        <v>245</v>
      </c>
      <c r="D156" t="s">
        <v>359</v>
      </c>
      <c r="F156" t="s">
        <v>1215</v>
      </c>
      <c r="G156" t="s">
        <v>1893</v>
      </c>
      <c r="H156" t="s">
        <v>4877</v>
      </c>
      <c r="I156" t="s">
        <v>6448</v>
      </c>
      <c r="J156" t="s">
        <v>7169</v>
      </c>
      <c r="K156">
        <v>10034</v>
      </c>
      <c r="N156" t="s">
        <v>7237</v>
      </c>
      <c r="O156" t="s">
        <v>7396</v>
      </c>
      <c r="P156">
        <v>2</v>
      </c>
      <c r="Q156">
        <v>2</v>
      </c>
      <c r="R156">
        <v>60.98</v>
      </c>
      <c r="U156">
        <v>15000</v>
      </c>
      <c r="W156">
        <v>15.9</v>
      </c>
      <c r="X156" t="s">
        <v>354</v>
      </c>
      <c r="Y156" t="s">
        <v>127</v>
      </c>
      <c r="AA156" t="s">
        <v>10974</v>
      </c>
      <c r="AB156" t="s">
        <v>359</v>
      </c>
      <c r="AD156" t="s">
        <v>11100</v>
      </c>
      <c r="AF156" t="s">
        <v>11120</v>
      </c>
      <c r="AH156" t="s">
        <v>10975</v>
      </c>
      <c r="AJ156" t="s">
        <v>11130</v>
      </c>
      <c r="AK156" t="s">
        <v>7225</v>
      </c>
      <c r="AM156">
        <v>767.38</v>
      </c>
      <c r="AO156">
        <v>48</v>
      </c>
      <c r="AQ156" t="s">
        <v>11157</v>
      </c>
      <c r="AS156" t="s">
        <v>11173</v>
      </c>
      <c r="AU156">
        <v>14</v>
      </c>
      <c r="AW156" t="s">
        <v>11187</v>
      </c>
      <c r="AZ156" t="s">
        <v>11221</v>
      </c>
      <c r="BE156" t="s">
        <v>11791</v>
      </c>
      <c r="BF156" t="s">
        <v>14364</v>
      </c>
      <c r="BM156" t="s">
        <v>15650</v>
      </c>
    </row>
    <row r="157" spans="1:65">
      <c r="A157" s="1">
        <f>HYPERLINK("https://lsnyc.legalserver.org/matter/dynamic-profile/view/1854958","18-1854958")</f>
        <v>0</v>
      </c>
      <c r="B157" t="s">
        <v>86</v>
      </c>
      <c r="C157" t="s">
        <v>245</v>
      </c>
      <c r="D157" t="s">
        <v>360</v>
      </c>
      <c r="F157" t="s">
        <v>1216</v>
      </c>
      <c r="G157" t="s">
        <v>2886</v>
      </c>
      <c r="H157" t="s">
        <v>4878</v>
      </c>
      <c r="I157" t="s">
        <v>6486</v>
      </c>
      <c r="J157" t="s">
        <v>7169</v>
      </c>
      <c r="K157">
        <v>10034</v>
      </c>
      <c r="N157" t="s">
        <v>7237</v>
      </c>
      <c r="O157" t="s">
        <v>7397</v>
      </c>
      <c r="P157">
        <v>3</v>
      </c>
      <c r="Q157">
        <v>0</v>
      </c>
      <c r="R157">
        <v>110.6</v>
      </c>
      <c r="U157">
        <v>34692</v>
      </c>
      <c r="W157">
        <v>20.1</v>
      </c>
      <c r="X157" t="s">
        <v>493</v>
      </c>
      <c r="Y157" t="s">
        <v>127</v>
      </c>
      <c r="AA157" t="s">
        <v>10974</v>
      </c>
      <c r="AB157" t="s">
        <v>360</v>
      </c>
      <c r="AD157" t="s">
        <v>11082</v>
      </c>
      <c r="AF157" t="s">
        <v>11118</v>
      </c>
      <c r="AH157" t="s">
        <v>10975</v>
      </c>
      <c r="AJ157" t="s">
        <v>11130</v>
      </c>
      <c r="AK157" t="s">
        <v>7225</v>
      </c>
      <c r="AM157">
        <v>1291.19</v>
      </c>
      <c r="AO157">
        <v>89</v>
      </c>
      <c r="AQ157" t="s">
        <v>11157</v>
      </c>
      <c r="AS157" t="s">
        <v>11175</v>
      </c>
      <c r="AU157">
        <v>20</v>
      </c>
      <c r="AW157" t="s">
        <v>11189</v>
      </c>
      <c r="AZ157" t="s">
        <v>11221</v>
      </c>
      <c r="BE157" t="s">
        <v>11792</v>
      </c>
      <c r="BG157" t="s">
        <v>14421</v>
      </c>
      <c r="BM157" t="s">
        <v>15650</v>
      </c>
    </row>
    <row r="158" spans="1:65">
      <c r="A158" s="1">
        <f>HYPERLINK("https://lsnyc.legalserver.org/matter/dynamic-profile/view/1837382","17-1837382")</f>
        <v>0</v>
      </c>
      <c r="B158" t="s">
        <v>86</v>
      </c>
      <c r="C158" t="s">
        <v>245</v>
      </c>
      <c r="D158" t="s">
        <v>361</v>
      </c>
      <c r="F158" t="s">
        <v>1217</v>
      </c>
      <c r="G158" t="s">
        <v>3006</v>
      </c>
      <c r="H158" t="s">
        <v>4879</v>
      </c>
      <c r="I158" t="s">
        <v>6440</v>
      </c>
      <c r="J158" t="s">
        <v>7169</v>
      </c>
      <c r="K158">
        <v>10034</v>
      </c>
      <c r="N158" t="s">
        <v>7237</v>
      </c>
      <c r="O158" t="s">
        <v>7398</v>
      </c>
      <c r="P158">
        <v>3</v>
      </c>
      <c r="Q158">
        <v>0</v>
      </c>
      <c r="R158">
        <v>126.84</v>
      </c>
      <c r="U158">
        <v>25900</v>
      </c>
      <c r="W158">
        <v>46.7</v>
      </c>
      <c r="X158" t="s">
        <v>10807</v>
      </c>
      <c r="Y158" t="s">
        <v>10889</v>
      </c>
      <c r="AA158" t="s">
        <v>10974</v>
      </c>
      <c r="AB158" t="s">
        <v>361</v>
      </c>
      <c r="AD158" t="s">
        <v>11086</v>
      </c>
      <c r="AF158" t="s">
        <v>11120</v>
      </c>
      <c r="AH158" t="s">
        <v>10975</v>
      </c>
      <c r="AJ158" t="s">
        <v>11143</v>
      </c>
      <c r="AK158" t="s">
        <v>7225</v>
      </c>
      <c r="AM158">
        <v>1234</v>
      </c>
      <c r="AO158">
        <v>30</v>
      </c>
      <c r="AQ158" t="s">
        <v>11157</v>
      </c>
      <c r="AS158" t="s">
        <v>11174</v>
      </c>
      <c r="AU158">
        <v>21</v>
      </c>
      <c r="AW158" t="s">
        <v>11189</v>
      </c>
      <c r="AZ158" t="s">
        <v>11221</v>
      </c>
      <c r="BE158" t="s">
        <v>11793</v>
      </c>
      <c r="BF158" t="s">
        <v>14364</v>
      </c>
      <c r="BM158" t="s">
        <v>15650</v>
      </c>
    </row>
    <row r="159" spans="1:65">
      <c r="A159" s="1">
        <f>HYPERLINK("https://lsnyc.legalserver.org/matter/dynamic-profile/view/1902882","19-1902882")</f>
        <v>0</v>
      </c>
      <c r="B159" t="s">
        <v>86</v>
      </c>
      <c r="C159" t="s">
        <v>245</v>
      </c>
      <c r="D159" t="s">
        <v>322</v>
      </c>
      <c r="F159" t="s">
        <v>1090</v>
      </c>
      <c r="G159" t="s">
        <v>3007</v>
      </c>
      <c r="H159" t="s">
        <v>4880</v>
      </c>
      <c r="I159" t="s">
        <v>6487</v>
      </c>
      <c r="J159" t="s">
        <v>7169</v>
      </c>
      <c r="K159">
        <v>10034</v>
      </c>
      <c r="N159" t="s">
        <v>7237</v>
      </c>
      <c r="O159" t="s">
        <v>7399</v>
      </c>
      <c r="P159">
        <v>1</v>
      </c>
      <c r="Q159">
        <v>0</v>
      </c>
      <c r="R159">
        <v>106.84</v>
      </c>
      <c r="U159">
        <v>13344</v>
      </c>
      <c r="W159">
        <v>19</v>
      </c>
      <c r="X159" t="s">
        <v>548</v>
      </c>
      <c r="Y159" t="s">
        <v>10884</v>
      </c>
      <c r="AA159" t="s">
        <v>10974</v>
      </c>
      <c r="AB159" t="s">
        <v>322</v>
      </c>
      <c r="AC159" t="s">
        <v>11081</v>
      </c>
      <c r="AF159" t="s">
        <v>10384</v>
      </c>
      <c r="AH159" t="s">
        <v>10975</v>
      </c>
      <c r="AJ159" t="s">
        <v>11104</v>
      </c>
      <c r="AK159" t="s">
        <v>7225</v>
      </c>
      <c r="AM159">
        <v>179</v>
      </c>
      <c r="AO159">
        <v>135</v>
      </c>
      <c r="AQ159" t="s">
        <v>11164</v>
      </c>
      <c r="AS159" t="s">
        <v>11179</v>
      </c>
      <c r="AU159">
        <v>38</v>
      </c>
      <c r="AW159" t="s">
        <v>11187</v>
      </c>
      <c r="BA159" t="s">
        <v>11222</v>
      </c>
      <c r="BE159" t="s">
        <v>11794</v>
      </c>
      <c r="BF159" t="s">
        <v>14364</v>
      </c>
      <c r="BM159" t="s">
        <v>15650</v>
      </c>
    </row>
    <row r="160" spans="1:65">
      <c r="A160" s="1">
        <f>HYPERLINK("https://lsnyc.legalserver.org/matter/dynamic-profile/view/1907459","19-1907459")</f>
        <v>0</v>
      </c>
      <c r="B160" t="s">
        <v>86</v>
      </c>
      <c r="C160" t="s">
        <v>245</v>
      </c>
      <c r="D160" t="s">
        <v>362</v>
      </c>
      <c r="F160" t="s">
        <v>1218</v>
      </c>
      <c r="G160" t="s">
        <v>3008</v>
      </c>
      <c r="H160" t="s">
        <v>4881</v>
      </c>
      <c r="I160">
        <v>4</v>
      </c>
      <c r="J160" t="s">
        <v>7169</v>
      </c>
      <c r="K160">
        <v>10034</v>
      </c>
      <c r="N160" t="s">
        <v>7237</v>
      </c>
      <c r="O160" t="s">
        <v>7400</v>
      </c>
      <c r="P160">
        <v>4</v>
      </c>
      <c r="Q160">
        <v>1</v>
      </c>
      <c r="R160">
        <v>271.79</v>
      </c>
      <c r="U160">
        <v>82000</v>
      </c>
      <c r="W160">
        <v>43.45</v>
      </c>
      <c r="X160" t="s">
        <v>301</v>
      </c>
      <c r="Y160" t="s">
        <v>127</v>
      </c>
      <c r="AA160" t="s">
        <v>10974</v>
      </c>
      <c r="AB160" t="s">
        <v>362</v>
      </c>
      <c r="AC160" t="s">
        <v>11081</v>
      </c>
      <c r="AF160" t="s">
        <v>11121</v>
      </c>
      <c r="AH160" t="s">
        <v>10975</v>
      </c>
      <c r="AJ160" t="s">
        <v>11130</v>
      </c>
      <c r="AK160" t="s">
        <v>7225</v>
      </c>
      <c r="AM160">
        <v>1384</v>
      </c>
      <c r="AO160">
        <v>20</v>
      </c>
      <c r="AQ160" t="s">
        <v>11157</v>
      </c>
      <c r="AS160" t="s">
        <v>11173</v>
      </c>
      <c r="AU160">
        <v>7</v>
      </c>
      <c r="AW160" t="s">
        <v>11189</v>
      </c>
      <c r="BA160" t="s">
        <v>11222</v>
      </c>
      <c r="BE160" t="s">
        <v>11795</v>
      </c>
      <c r="BF160" t="s">
        <v>14364</v>
      </c>
      <c r="BM160" t="s">
        <v>15650</v>
      </c>
    </row>
    <row r="161" spans="1:65">
      <c r="A161" s="1">
        <f>HYPERLINK("https://lsnyc.legalserver.org/matter/dynamic-profile/view/1835693","17-1835693")</f>
        <v>0</v>
      </c>
      <c r="B161" t="s">
        <v>86</v>
      </c>
      <c r="C161" t="s">
        <v>245</v>
      </c>
      <c r="D161" t="s">
        <v>363</v>
      </c>
      <c r="F161" t="s">
        <v>1208</v>
      </c>
      <c r="G161" t="s">
        <v>2999</v>
      </c>
      <c r="H161" t="s">
        <v>4869</v>
      </c>
      <c r="I161">
        <v>24</v>
      </c>
      <c r="J161" t="s">
        <v>7169</v>
      </c>
      <c r="K161">
        <v>10031</v>
      </c>
      <c r="N161" t="s">
        <v>7237</v>
      </c>
      <c r="O161" t="s">
        <v>7388</v>
      </c>
      <c r="P161">
        <v>2</v>
      </c>
      <c r="Q161">
        <v>0</v>
      </c>
      <c r="R161">
        <v>110.32</v>
      </c>
      <c r="S161" t="s">
        <v>812</v>
      </c>
      <c r="U161">
        <v>17916</v>
      </c>
      <c r="W161">
        <v>99.2</v>
      </c>
      <c r="X161" t="s">
        <v>560</v>
      </c>
      <c r="Y161" t="s">
        <v>10859</v>
      </c>
      <c r="AA161" t="s">
        <v>10974</v>
      </c>
      <c r="AB161" t="s">
        <v>363</v>
      </c>
      <c r="AD161" t="s">
        <v>11082</v>
      </c>
      <c r="AF161" t="s">
        <v>11118</v>
      </c>
      <c r="AG161" t="s">
        <v>11124</v>
      </c>
      <c r="AJ161" t="s">
        <v>11130</v>
      </c>
      <c r="AK161" t="s">
        <v>7225</v>
      </c>
      <c r="AM161">
        <v>760.3099999999999</v>
      </c>
      <c r="AO161">
        <v>29</v>
      </c>
      <c r="AQ161" t="s">
        <v>11157</v>
      </c>
      <c r="AS161" t="s">
        <v>11174</v>
      </c>
      <c r="AU161">
        <v>40</v>
      </c>
      <c r="AW161" t="s">
        <v>11187</v>
      </c>
      <c r="AZ161" t="s">
        <v>11221</v>
      </c>
      <c r="BE161" t="s">
        <v>11784</v>
      </c>
      <c r="BG161" t="s">
        <v>14422</v>
      </c>
      <c r="BM161" t="s">
        <v>15650</v>
      </c>
    </row>
    <row r="162" spans="1:65">
      <c r="A162" s="1">
        <f>HYPERLINK("https://lsnyc.legalserver.org/matter/dynamic-profile/view/1911785","19-1911785")</f>
        <v>0</v>
      </c>
      <c r="B162" t="s">
        <v>86</v>
      </c>
      <c r="C162" t="s">
        <v>245</v>
      </c>
      <c r="D162" t="s">
        <v>345</v>
      </c>
      <c r="F162" t="s">
        <v>1219</v>
      </c>
      <c r="G162" t="s">
        <v>3009</v>
      </c>
      <c r="H162" t="s">
        <v>4882</v>
      </c>
      <c r="I162">
        <v>46</v>
      </c>
      <c r="J162" t="s">
        <v>7169</v>
      </c>
      <c r="K162">
        <v>10033</v>
      </c>
      <c r="N162" t="s">
        <v>7237</v>
      </c>
      <c r="O162" t="s">
        <v>7401</v>
      </c>
      <c r="P162">
        <v>1</v>
      </c>
      <c r="Q162">
        <v>0</v>
      </c>
      <c r="R162">
        <v>95.12</v>
      </c>
      <c r="U162">
        <v>11880</v>
      </c>
      <c r="W162">
        <v>7.2</v>
      </c>
      <c r="X162" t="s">
        <v>297</v>
      </c>
      <c r="Y162" t="s">
        <v>127</v>
      </c>
      <c r="AA162" t="s">
        <v>10974</v>
      </c>
      <c r="AB162" t="s">
        <v>345</v>
      </c>
      <c r="AC162" t="s">
        <v>11081</v>
      </c>
      <c r="AF162" t="s">
        <v>11121</v>
      </c>
      <c r="AH162" t="s">
        <v>10975</v>
      </c>
      <c r="AJ162" t="s">
        <v>11130</v>
      </c>
      <c r="AK162" t="s">
        <v>7225</v>
      </c>
      <c r="AM162">
        <v>724.4</v>
      </c>
      <c r="AO162">
        <v>56</v>
      </c>
      <c r="AQ162" t="s">
        <v>11157</v>
      </c>
      <c r="AS162" t="s">
        <v>11173</v>
      </c>
      <c r="AU162">
        <v>48</v>
      </c>
      <c r="AW162" t="s">
        <v>11187</v>
      </c>
      <c r="BA162" t="s">
        <v>11222</v>
      </c>
      <c r="BC162" t="s">
        <v>11244</v>
      </c>
      <c r="BE162" t="s">
        <v>11796</v>
      </c>
      <c r="BF162" t="s">
        <v>14364</v>
      </c>
      <c r="BM162" t="s">
        <v>15650</v>
      </c>
    </row>
    <row r="163" spans="1:65">
      <c r="A163" s="1">
        <f>HYPERLINK("https://lsnyc.legalserver.org/matter/dynamic-profile/view/1898818","19-1898818")</f>
        <v>0</v>
      </c>
      <c r="B163" t="s">
        <v>86</v>
      </c>
      <c r="C163" t="s">
        <v>245</v>
      </c>
      <c r="D163" t="s">
        <v>347</v>
      </c>
      <c r="F163" t="s">
        <v>1128</v>
      </c>
      <c r="G163" t="s">
        <v>3010</v>
      </c>
      <c r="H163" t="s">
        <v>4883</v>
      </c>
      <c r="I163" t="s">
        <v>6440</v>
      </c>
      <c r="J163" t="s">
        <v>7169</v>
      </c>
      <c r="K163">
        <v>10034</v>
      </c>
      <c r="N163" t="s">
        <v>7237</v>
      </c>
      <c r="O163" t="s">
        <v>7402</v>
      </c>
      <c r="P163">
        <v>1</v>
      </c>
      <c r="Q163">
        <v>0</v>
      </c>
      <c r="R163">
        <v>176.88</v>
      </c>
      <c r="U163">
        <v>22092</v>
      </c>
      <c r="W163">
        <v>10.6</v>
      </c>
      <c r="X163" t="s">
        <v>262</v>
      </c>
      <c r="Y163" t="s">
        <v>127</v>
      </c>
      <c r="AA163" t="s">
        <v>10974</v>
      </c>
      <c r="AB163" t="s">
        <v>347</v>
      </c>
      <c r="AC163" t="s">
        <v>11081</v>
      </c>
      <c r="AF163" t="s">
        <v>11121</v>
      </c>
      <c r="AH163" t="s">
        <v>10975</v>
      </c>
      <c r="AJ163" t="s">
        <v>11130</v>
      </c>
      <c r="AK163" t="s">
        <v>7225</v>
      </c>
      <c r="AM163">
        <v>1565</v>
      </c>
      <c r="AO163">
        <v>48</v>
      </c>
      <c r="AQ163" t="s">
        <v>11157</v>
      </c>
      <c r="AS163" t="s">
        <v>11175</v>
      </c>
      <c r="AU163">
        <v>2</v>
      </c>
      <c r="AW163" t="s">
        <v>11187</v>
      </c>
      <c r="BA163" t="s">
        <v>11222</v>
      </c>
      <c r="BE163" t="s">
        <v>11797</v>
      </c>
      <c r="BF163" t="s">
        <v>14364</v>
      </c>
      <c r="BM163" t="s">
        <v>15650</v>
      </c>
    </row>
    <row r="164" spans="1:65">
      <c r="A164" s="1">
        <f>HYPERLINK("https://lsnyc.legalserver.org/matter/dynamic-profile/view/1867973","18-1867973")</f>
        <v>0</v>
      </c>
      <c r="B164" t="s">
        <v>86</v>
      </c>
      <c r="C164" t="s">
        <v>245</v>
      </c>
      <c r="D164" t="s">
        <v>364</v>
      </c>
      <c r="F164" t="s">
        <v>1122</v>
      </c>
      <c r="G164" t="s">
        <v>3011</v>
      </c>
      <c r="H164" t="s">
        <v>4884</v>
      </c>
      <c r="I164">
        <v>46</v>
      </c>
      <c r="J164" t="s">
        <v>7169</v>
      </c>
      <c r="K164">
        <v>10040</v>
      </c>
      <c r="N164" t="s">
        <v>7237</v>
      </c>
      <c r="O164" t="s">
        <v>7403</v>
      </c>
      <c r="P164">
        <v>2</v>
      </c>
      <c r="Q164">
        <v>0</v>
      </c>
      <c r="R164">
        <v>175.65</v>
      </c>
      <c r="U164">
        <v>28911.6</v>
      </c>
      <c r="W164">
        <v>15.1</v>
      </c>
      <c r="X164" t="s">
        <v>366</v>
      </c>
      <c r="Y164" t="s">
        <v>127</v>
      </c>
      <c r="AA164" t="s">
        <v>10974</v>
      </c>
      <c r="AB164" t="s">
        <v>364</v>
      </c>
      <c r="AD164" t="s">
        <v>11090</v>
      </c>
      <c r="AF164" t="s">
        <v>11120</v>
      </c>
      <c r="AH164" t="s">
        <v>10975</v>
      </c>
      <c r="AJ164" t="s">
        <v>11129</v>
      </c>
      <c r="AK164" t="s">
        <v>7225</v>
      </c>
      <c r="AM164">
        <v>762.01</v>
      </c>
      <c r="AO164">
        <v>80</v>
      </c>
      <c r="AQ164" t="s">
        <v>11157</v>
      </c>
      <c r="AS164" t="s">
        <v>11173</v>
      </c>
      <c r="AU164">
        <v>37</v>
      </c>
      <c r="AW164" t="s">
        <v>11189</v>
      </c>
      <c r="AZ164" t="s">
        <v>11221</v>
      </c>
      <c r="BE164" t="s">
        <v>11798</v>
      </c>
      <c r="BF164" t="s">
        <v>14364</v>
      </c>
      <c r="BM164" t="s">
        <v>15650</v>
      </c>
    </row>
    <row r="165" spans="1:65">
      <c r="A165" s="1">
        <f>HYPERLINK("https://lsnyc.legalserver.org/matter/dynamic-profile/view/1880546","18-1880546")</f>
        <v>0</v>
      </c>
      <c r="B165" t="s">
        <v>86</v>
      </c>
      <c r="C165" t="s">
        <v>245</v>
      </c>
      <c r="D165" t="s">
        <v>365</v>
      </c>
      <c r="F165" t="s">
        <v>1220</v>
      </c>
      <c r="G165" t="s">
        <v>2877</v>
      </c>
      <c r="H165" t="s">
        <v>4885</v>
      </c>
      <c r="I165">
        <v>33</v>
      </c>
      <c r="J165" t="s">
        <v>7169</v>
      </c>
      <c r="K165">
        <v>10034</v>
      </c>
      <c r="N165" t="s">
        <v>7237</v>
      </c>
      <c r="O165" t="s">
        <v>7404</v>
      </c>
      <c r="P165">
        <v>2</v>
      </c>
      <c r="Q165">
        <v>2</v>
      </c>
      <c r="R165">
        <v>73.13</v>
      </c>
      <c r="U165">
        <v>18356</v>
      </c>
      <c r="W165">
        <v>4.5</v>
      </c>
      <c r="X165" t="s">
        <v>365</v>
      </c>
      <c r="Y165" t="s">
        <v>127</v>
      </c>
      <c r="AA165" t="s">
        <v>10974</v>
      </c>
      <c r="AB165" t="s">
        <v>365</v>
      </c>
      <c r="AD165" t="s">
        <v>11100</v>
      </c>
      <c r="AF165" t="s">
        <v>11120</v>
      </c>
      <c r="AH165" t="s">
        <v>10975</v>
      </c>
      <c r="AJ165" t="s">
        <v>11130</v>
      </c>
      <c r="AK165" t="s">
        <v>7225</v>
      </c>
      <c r="AM165">
        <v>1287</v>
      </c>
      <c r="AO165">
        <v>57</v>
      </c>
      <c r="AQ165" t="s">
        <v>11157</v>
      </c>
      <c r="AS165" t="s">
        <v>11173</v>
      </c>
      <c r="AU165">
        <v>4</v>
      </c>
      <c r="AW165" t="s">
        <v>11189</v>
      </c>
      <c r="BA165" t="s">
        <v>11222</v>
      </c>
      <c r="BC165" t="s">
        <v>11245</v>
      </c>
      <c r="BE165" t="s">
        <v>11799</v>
      </c>
      <c r="BF165" t="s">
        <v>14364</v>
      </c>
      <c r="BM165" t="s">
        <v>15650</v>
      </c>
    </row>
    <row r="166" spans="1:65">
      <c r="A166" s="1">
        <f>HYPERLINK("https://lsnyc.legalserver.org/matter/dynamic-profile/view/1873224","18-1873224")</f>
        <v>0</v>
      </c>
      <c r="B166" t="s">
        <v>86</v>
      </c>
      <c r="C166" t="s">
        <v>245</v>
      </c>
      <c r="D166" t="s">
        <v>366</v>
      </c>
      <c r="F166" t="s">
        <v>1221</v>
      </c>
      <c r="G166" t="s">
        <v>3011</v>
      </c>
      <c r="H166" t="s">
        <v>4884</v>
      </c>
      <c r="I166">
        <v>46</v>
      </c>
      <c r="J166" t="s">
        <v>7169</v>
      </c>
      <c r="K166">
        <v>10040</v>
      </c>
      <c r="N166" t="s">
        <v>7237</v>
      </c>
      <c r="O166" t="s">
        <v>7405</v>
      </c>
      <c r="P166">
        <v>2</v>
      </c>
      <c r="Q166">
        <v>0</v>
      </c>
      <c r="R166">
        <v>175.65</v>
      </c>
      <c r="U166">
        <v>28911.6</v>
      </c>
      <c r="W166">
        <v>6.6</v>
      </c>
      <c r="X166" t="s">
        <v>297</v>
      </c>
      <c r="Y166" t="s">
        <v>127</v>
      </c>
      <c r="AA166" t="s">
        <v>10974</v>
      </c>
      <c r="AB166" t="s">
        <v>366</v>
      </c>
      <c r="AD166" t="s">
        <v>11088</v>
      </c>
      <c r="AF166" t="s">
        <v>11120</v>
      </c>
      <c r="AH166" t="s">
        <v>10975</v>
      </c>
      <c r="AJ166" t="s">
        <v>11129</v>
      </c>
      <c r="AK166" t="s">
        <v>7225</v>
      </c>
      <c r="AM166">
        <v>824.09</v>
      </c>
      <c r="AO166">
        <v>80</v>
      </c>
      <c r="AQ166" t="s">
        <v>11157</v>
      </c>
      <c r="AS166" t="s">
        <v>11173</v>
      </c>
      <c r="AU166">
        <v>37</v>
      </c>
      <c r="AW166" t="s">
        <v>11189</v>
      </c>
      <c r="BA166" t="s">
        <v>11222</v>
      </c>
      <c r="BE166" t="s">
        <v>11800</v>
      </c>
      <c r="BF166" t="s">
        <v>14364</v>
      </c>
      <c r="BM166" t="s">
        <v>15650</v>
      </c>
    </row>
    <row r="167" spans="1:65">
      <c r="A167" s="1">
        <f>HYPERLINK("https://lsnyc.legalserver.org/matter/dynamic-profile/view/1889297","19-1889297")</f>
        <v>0</v>
      </c>
      <c r="B167" t="s">
        <v>86</v>
      </c>
      <c r="C167" t="s">
        <v>245</v>
      </c>
      <c r="D167" t="s">
        <v>318</v>
      </c>
      <c r="F167" t="s">
        <v>1090</v>
      </c>
      <c r="G167" t="s">
        <v>3012</v>
      </c>
      <c r="H167" t="s">
        <v>4868</v>
      </c>
      <c r="I167">
        <v>34</v>
      </c>
      <c r="J167" t="s">
        <v>7169</v>
      </c>
      <c r="K167">
        <v>10034</v>
      </c>
      <c r="N167" t="s">
        <v>7237</v>
      </c>
      <c r="O167" t="s">
        <v>7406</v>
      </c>
      <c r="P167">
        <v>3</v>
      </c>
      <c r="Q167">
        <v>0</v>
      </c>
      <c r="R167">
        <v>271.8</v>
      </c>
      <c r="U167">
        <v>57975.48</v>
      </c>
      <c r="W167">
        <v>1.6</v>
      </c>
      <c r="X167" t="s">
        <v>528</v>
      </c>
      <c r="Y167" t="s">
        <v>127</v>
      </c>
      <c r="AA167" t="s">
        <v>10974</v>
      </c>
      <c r="AB167" t="s">
        <v>318</v>
      </c>
      <c r="AD167" t="s">
        <v>11101</v>
      </c>
      <c r="AF167" t="s">
        <v>11118</v>
      </c>
      <c r="AH167" t="s">
        <v>10974</v>
      </c>
      <c r="AJ167" t="s">
        <v>11130</v>
      </c>
      <c r="AK167" t="s">
        <v>7225</v>
      </c>
      <c r="AM167">
        <v>967.59</v>
      </c>
      <c r="AO167">
        <v>25</v>
      </c>
      <c r="AQ167" t="s">
        <v>11157</v>
      </c>
      <c r="AS167" t="s">
        <v>11173</v>
      </c>
      <c r="AU167">
        <v>35</v>
      </c>
      <c r="AW167" t="s">
        <v>11189</v>
      </c>
      <c r="AZ167" t="s">
        <v>11221</v>
      </c>
      <c r="BE167" t="s">
        <v>11801</v>
      </c>
      <c r="BG167" t="s">
        <v>14417</v>
      </c>
      <c r="BM167" t="s">
        <v>15650</v>
      </c>
    </row>
    <row r="168" spans="1:65">
      <c r="A168" s="1">
        <f>HYPERLINK("https://lsnyc.legalserver.org/matter/dynamic-profile/view/1890689","19-1890689")</f>
        <v>0</v>
      </c>
      <c r="B168" t="s">
        <v>86</v>
      </c>
      <c r="C168" t="s">
        <v>245</v>
      </c>
      <c r="D168" t="s">
        <v>367</v>
      </c>
      <c r="F168" t="s">
        <v>1093</v>
      </c>
      <c r="G168" t="s">
        <v>3013</v>
      </c>
      <c r="H168" t="s">
        <v>4886</v>
      </c>
      <c r="I168" t="s">
        <v>6451</v>
      </c>
      <c r="J168" t="s">
        <v>7169</v>
      </c>
      <c r="K168">
        <v>10034</v>
      </c>
      <c r="N168" t="s">
        <v>7237</v>
      </c>
      <c r="O168" t="s">
        <v>7407</v>
      </c>
      <c r="P168">
        <v>1</v>
      </c>
      <c r="Q168">
        <v>0</v>
      </c>
      <c r="R168">
        <v>166.53</v>
      </c>
      <c r="U168">
        <v>20800</v>
      </c>
      <c r="W168">
        <v>1.4</v>
      </c>
      <c r="X168" t="s">
        <v>367</v>
      </c>
      <c r="Y168" t="s">
        <v>127</v>
      </c>
      <c r="AA168" t="s">
        <v>10974</v>
      </c>
      <c r="AB168" t="s">
        <v>367</v>
      </c>
      <c r="AD168" t="s">
        <v>11082</v>
      </c>
      <c r="AF168" t="s">
        <v>11119</v>
      </c>
      <c r="AH168" t="s">
        <v>10975</v>
      </c>
      <c r="AJ168" t="s">
        <v>11130</v>
      </c>
      <c r="AK168" t="s">
        <v>7225</v>
      </c>
      <c r="AM168">
        <v>1125.59</v>
      </c>
      <c r="AO168">
        <v>59</v>
      </c>
      <c r="AQ168" t="s">
        <v>11157</v>
      </c>
      <c r="AS168" t="s">
        <v>11173</v>
      </c>
      <c r="AU168">
        <v>33</v>
      </c>
      <c r="AW168" t="s">
        <v>11189</v>
      </c>
      <c r="BA168" t="s">
        <v>11222</v>
      </c>
      <c r="BE168" t="s">
        <v>11802</v>
      </c>
      <c r="BF168" t="s">
        <v>14364</v>
      </c>
      <c r="BM168" t="s">
        <v>15650</v>
      </c>
    </row>
    <row r="169" spans="1:65">
      <c r="A169" s="1">
        <f>HYPERLINK("https://lsnyc.legalserver.org/matter/dynamic-profile/view/1906076","19-1906076")</f>
        <v>0</v>
      </c>
      <c r="B169" t="s">
        <v>86</v>
      </c>
      <c r="C169" t="s">
        <v>245</v>
      </c>
      <c r="D169" t="s">
        <v>349</v>
      </c>
      <c r="F169" t="s">
        <v>1222</v>
      </c>
      <c r="G169" t="s">
        <v>2956</v>
      </c>
      <c r="H169" t="s">
        <v>4868</v>
      </c>
      <c r="I169">
        <v>54</v>
      </c>
      <c r="J169" t="s">
        <v>7169</v>
      </c>
      <c r="K169">
        <v>10034</v>
      </c>
      <c r="N169" t="s">
        <v>7237</v>
      </c>
      <c r="O169" t="s">
        <v>7408</v>
      </c>
      <c r="P169">
        <v>2</v>
      </c>
      <c r="Q169">
        <v>3</v>
      </c>
      <c r="R169">
        <v>172.36</v>
      </c>
      <c r="U169">
        <v>52000</v>
      </c>
      <c r="W169">
        <v>1.2</v>
      </c>
      <c r="X169" t="s">
        <v>349</v>
      </c>
      <c r="Y169" t="s">
        <v>127</v>
      </c>
      <c r="AA169" t="s">
        <v>10974</v>
      </c>
      <c r="AB169" t="s">
        <v>10983</v>
      </c>
      <c r="AD169" t="s">
        <v>11101</v>
      </c>
      <c r="AF169" t="s">
        <v>11119</v>
      </c>
      <c r="AH169" t="s">
        <v>10975</v>
      </c>
      <c r="AJ169" t="s">
        <v>11130</v>
      </c>
      <c r="AK169" t="s">
        <v>7225</v>
      </c>
      <c r="AM169">
        <v>2448.74</v>
      </c>
      <c r="AO169">
        <v>25</v>
      </c>
      <c r="AQ169" t="s">
        <v>11157</v>
      </c>
      <c r="AS169" t="s">
        <v>11173</v>
      </c>
      <c r="AU169">
        <v>9</v>
      </c>
      <c r="AW169" t="s">
        <v>11189</v>
      </c>
      <c r="BA169" t="s">
        <v>11222</v>
      </c>
      <c r="BE169" t="s">
        <v>11803</v>
      </c>
      <c r="BF169" t="s">
        <v>14364</v>
      </c>
      <c r="BM169" t="s">
        <v>15650</v>
      </c>
    </row>
    <row r="170" spans="1:65">
      <c r="A170" s="1">
        <f>HYPERLINK("https://lsnyc.legalserver.org/matter/dynamic-profile/view/1867179","18-1867179")</f>
        <v>0</v>
      </c>
      <c r="B170" t="s">
        <v>86</v>
      </c>
      <c r="C170" t="s">
        <v>245</v>
      </c>
      <c r="D170" t="s">
        <v>261</v>
      </c>
      <c r="F170" t="s">
        <v>1223</v>
      </c>
      <c r="G170" t="s">
        <v>3014</v>
      </c>
      <c r="H170" t="s">
        <v>4887</v>
      </c>
      <c r="I170" t="s">
        <v>6488</v>
      </c>
      <c r="J170" t="s">
        <v>7169</v>
      </c>
      <c r="K170">
        <v>10002</v>
      </c>
      <c r="N170" t="s">
        <v>7239</v>
      </c>
      <c r="O170" t="s">
        <v>7409</v>
      </c>
      <c r="P170">
        <v>4</v>
      </c>
      <c r="Q170">
        <v>0</v>
      </c>
      <c r="R170">
        <v>188.66</v>
      </c>
      <c r="S170" t="s">
        <v>10254</v>
      </c>
      <c r="T170" t="s">
        <v>10275</v>
      </c>
      <c r="U170">
        <v>47353</v>
      </c>
      <c r="W170">
        <v>1.2</v>
      </c>
      <c r="X170" t="s">
        <v>771</v>
      </c>
      <c r="Y170" t="s">
        <v>10863</v>
      </c>
      <c r="AA170" t="s">
        <v>10974</v>
      </c>
      <c r="AB170" t="s">
        <v>607</v>
      </c>
      <c r="AD170" t="s">
        <v>11086</v>
      </c>
      <c r="AF170" t="s">
        <v>10384</v>
      </c>
      <c r="AH170" t="s">
        <v>10975</v>
      </c>
      <c r="AJ170" t="s">
        <v>11133</v>
      </c>
      <c r="AK170" t="s">
        <v>11149</v>
      </c>
      <c r="AM170">
        <v>1390</v>
      </c>
      <c r="AN170" t="s">
        <v>11151</v>
      </c>
      <c r="AO170" t="s">
        <v>11153</v>
      </c>
      <c r="AQ170" t="s">
        <v>11166</v>
      </c>
      <c r="AR170" t="s">
        <v>11172</v>
      </c>
      <c r="AU170">
        <v>11</v>
      </c>
      <c r="AW170" t="s">
        <v>11189</v>
      </c>
      <c r="AZ170" t="s">
        <v>11221</v>
      </c>
      <c r="BE170" t="s">
        <v>11804</v>
      </c>
      <c r="BF170" t="s">
        <v>14364</v>
      </c>
      <c r="BM170" t="s">
        <v>15650</v>
      </c>
    </row>
    <row r="171" spans="1:65">
      <c r="A171" s="1">
        <f>HYPERLINK("https://lsnyc.legalserver.org/matter/dynamic-profile/view/1862256","18-1862256")</f>
        <v>0</v>
      </c>
      <c r="B171" t="s">
        <v>86</v>
      </c>
      <c r="C171" t="s">
        <v>245</v>
      </c>
      <c r="D171" t="s">
        <v>368</v>
      </c>
      <c r="F171" t="s">
        <v>1224</v>
      </c>
      <c r="G171" t="s">
        <v>3015</v>
      </c>
      <c r="H171" t="s">
        <v>4888</v>
      </c>
      <c r="I171">
        <v>42</v>
      </c>
      <c r="J171" t="s">
        <v>7169</v>
      </c>
      <c r="K171">
        <v>10034</v>
      </c>
      <c r="N171" t="s">
        <v>7237</v>
      </c>
      <c r="O171" t="s">
        <v>7410</v>
      </c>
      <c r="P171">
        <v>3</v>
      </c>
      <c r="Q171">
        <v>1</v>
      </c>
      <c r="R171">
        <v>99.59999999999999</v>
      </c>
      <c r="U171">
        <v>25000</v>
      </c>
      <c r="W171">
        <v>115.9</v>
      </c>
      <c r="X171" t="s">
        <v>349</v>
      </c>
      <c r="Y171" t="s">
        <v>10890</v>
      </c>
      <c r="AA171" t="s">
        <v>10974</v>
      </c>
      <c r="AB171" t="s">
        <v>818</v>
      </c>
      <c r="AD171" t="s">
        <v>11082</v>
      </c>
      <c r="AF171" t="s">
        <v>11118</v>
      </c>
      <c r="AH171" t="s">
        <v>10975</v>
      </c>
      <c r="AJ171" t="s">
        <v>11143</v>
      </c>
      <c r="AK171" t="s">
        <v>7225</v>
      </c>
      <c r="AM171">
        <v>1400</v>
      </c>
      <c r="AO171">
        <v>130</v>
      </c>
      <c r="AQ171" t="s">
        <v>11157</v>
      </c>
      <c r="AS171" t="s">
        <v>11173</v>
      </c>
      <c r="AU171">
        <v>10</v>
      </c>
      <c r="AW171" t="s">
        <v>11189</v>
      </c>
      <c r="AZ171" t="s">
        <v>11221</v>
      </c>
      <c r="BE171" t="s">
        <v>11805</v>
      </c>
      <c r="BG171" t="s">
        <v>14423</v>
      </c>
      <c r="BM171" t="s">
        <v>15650</v>
      </c>
    </row>
    <row r="172" spans="1:65">
      <c r="A172" s="1">
        <f>HYPERLINK("https://lsnyc.legalserver.org/matter/dynamic-profile/view/1850100","17-1850100")</f>
        <v>0</v>
      </c>
      <c r="B172" t="s">
        <v>86</v>
      </c>
      <c r="C172" t="s">
        <v>245</v>
      </c>
      <c r="D172" t="s">
        <v>369</v>
      </c>
      <c r="F172" t="s">
        <v>1225</v>
      </c>
      <c r="G172" t="s">
        <v>2913</v>
      </c>
      <c r="H172" t="s">
        <v>4889</v>
      </c>
      <c r="I172" t="s">
        <v>6489</v>
      </c>
      <c r="J172" t="s">
        <v>7169</v>
      </c>
      <c r="K172">
        <v>10034</v>
      </c>
      <c r="N172" t="s">
        <v>7237</v>
      </c>
      <c r="O172" t="s">
        <v>7411</v>
      </c>
      <c r="P172">
        <v>1</v>
      </c>
      <c r="Q172">
        <v>0</v>
      </c>
      <c r="R172">
        <v>279.6</v>
      </c>
      <c r="S172" t="s">
        <v>381</v>
      </c>
      <c r="U172">
        <v>33720</v>
      </c>
      <c r="W172">
        <v>14.7</v>
      </c>
      <c r="X172" t="s">
        <v>414</v>
      </c>
      <c r="Y172" t="s">
        <v>127</v>
      </c>
      <c r="AA172" t="s">
        <v>10974</v>
      </c>
      <c r="AB172" t="s">
        <v>10982</v>
      </c>
      <c r="AD172" t="s">
        <v>11083</v>
      </c>
      <c r="AF172" t="s">
        <v>10384</v>
      </c>
      <c r="AH172" t="s">
        <v>10975</v>
      </c>
      <c r="AJ172" t="s">
        <v>11130</v>
      </c>
      <c r="AK172" t="s">
        <v>7225</v>
      </c>
      <c r="AM172">
        <v>894</v>
      </c>
      <c r="AO172">
        <v>180</v>
      </c>
      <c r="AQ172" t="s">
        <v>11158</v>
      </c>
      <c r="AS172" t="s">
        <v>11173</v>
      </c>
      <c r="AU172">
        <v>40</v>
      </c>
      <c r="AW172" t="s">
        <v>11187</v>
      </c>
      <c r="AZ172" t="s">
        <v>11221</v>
      </c>
      <c r="BE172" t="s">
        <v>11806</v>
      </c>
      <c r="BG172" t="s">
        <v>14424</v>
      </c>
      <c r="BM172" t="s">
        <v>15650</v>
      </c>
    </row>
    <row r="173" spans="1:65">
      <c r="A173" s="1">
        <f>HYPERLINK("https://lsnyc.legalserver.org/matter/dynamic-profile/view/1895431","19-1895431")</f>
        <v>0</v>
      </c>
      <c r="B173" t="s">
        <v>86</v>
      </c>
      <c r="C173" t="s">
        <v>245</v>
      </c>
      <c r="D173" t="s">
        <v>370</v>
      </c>
      <c r="F173" t="s">
        <v>1090</v>
      </c>
      <c r="G173" t="s">
        <v>3016</v>
      </c>
      <c r="H173" t="s">
        <v>4890</v>
      </c>
      <c r="I173" t="s">
        <v>6490</v>
      </c>
      <c r="J173" t="s">
        <v>7169</v>
      </c>
      <c r="K173">
        <v>10012</v>
      </c>
      <c r="N173" t="s">
        <v>7240</v>
      </c>
      <c r="O173" t="s">
        <v>7412</v>
      </c>
      <c r="P173">
        <v>2</v>
      </c>
      <c r="Q173">
        <v>0</v>
      </c>
      <c r="R173">
        <v>0</v>
      </c>
      <c r="S173" t="s">
        <v>10254</v>
      </c>
      <c r="T173" t="s">
        <v>10275</v>
      </c>
      <c r="U173">
        <v>0</v>
      </c>
      <c r="W173">
        <v>4.1</v>
      </c>
      <c r="X173" t="s">
        <v>512</v>
      </c>
      <c r="Y173" t="s">
        <v>10859</v>
      </c>
      <c r="AA173" t="s">
        <v>10974</v>
      </c>
      <c r="AB173" t="s">
        <v>521</v>
      </c>
      <c r="AD173" t="s">
        <v>11092</v>
      </c>
      <c r="AF173" t="s">
        <v>11120</v>
      </c>
      <c r="AH173" t="s">
        <v>10975</v>
      </c>
      <c r="AJ173" t="s">
        <v>11132</v>
      </c>
      <c r="AK173" t="s">
        <v>7225</v>
      </c>
      <c r="AM173">
        <v>757.71</v>
      </c>
      <c r="AO173">
        <v>92</v>
      </c>
      <c r="AQ173" t="s">
        <v>11157</v>
      </c>
      <c r="AS173" t="s">
        <v>11173</v>
      </c>
      <c r="AU173">
        <v>12</v>
      </c>
      <c r="AW173" t="s">
        <v>11187</v>
      </c>
      <c r="AY173" t="s">
        <v>11213</v>
      </c>
      <c r="BA173" t="s">
        <v>11223</v>
      </c>
      <c r="BC173" t="s">
        <v>11246</v>
      </c>
      <c r="BE173" t="s">
        <v>11807</v>
      </c>
      <c r="BF173" t="s">
        <v>14364</v>
      </c>
      <c r="BM173" t="s">
        <v>15650</v>
      </c>
    </row>
    <row r="174" spans="1:65">
      <c r="A174" s="1">
        <f>HYPERLINK("https://lsnyc.legalserver.org/matter/dynamic-profile/view/1860743","18-1860743")</f>
        <v>0</v>
      </c>
      <c r="B174" t="s">
        <v>86</v>
      </c>
      <c r="C174" t="s">
        <v>245</v>
      </c>
      <c r="D174" t="s">
        <v>289</v>
      </c>
      <c r="F174" t="s">
        <v>1226</v>
      </c>
      <c r="G174" t="s">
        <v>2964</v>
      </c>
      <c r="H174" t="s">
        <v>4891</v>
      </c>
      <c r="I174" t="s">
        <v>6491</v>
      </c>
      <c r="J174" t="s">
        <v>7169</v>
      </c>
      <c r="K174">
        <v>10040</v>
      </c>
      <c r="N174" t="s">
        <v>7237</v>
      </c>
      <c r="O174" t="s">
        <v>7413</v>
      </c>
      <c r="P174">
        <v>2</v>
      </c>
      <c r="Q174">
        <v>1</v>
      </c>
      <c r="R174">
        <v>100.1</v>
      </c>
      <c r="U174">
        <v>20800</v>
      </c>
      <c r="W174">
        <v>80.34999999999999</v>
      </c>
      <c r="X174" t="s">
        <v>320</v>
      </c>
      <c r="Y174" t="s">
        <v>127</v>
      </c>
      <c r="AA174" t="s">
        <v>10974</v>
      </c>
      <c r="AB174" t="s">
        <v>289</v>
      </c>
      <c r="AD174" t="s">
        <v>11082</v>
      </c>
      <c r="AF174" t="s">
        <v>11121</v>
      </c>
      <c r="AH174" t="s">
        <v>10975</v>
      </c>
      <c r="AJ174" t="s">
        <v>11130</v>
      </c>
      <c r="AK174" t="s">
        <v>7225</v>
      </c>
      <c r="AM174">
        <v>1198.55</v>
      </c>
      <c r="AO174">
        <v>53</v>
      </c>
      <c r="AQ174" t="s">
        <v>11157</v>
      </c>
      <c r="AS174" t="s">
        <v>11173</v>
      </c>
      <c r="AU174">
        <v>9</v>
      </c>
      <c r="AW174" t="s">
        <v>11189</v>
      </c>
      <c r="AZ174" t="s">
        <v>11221</v>
      </c>
      <c r="BE174" t="s">
        <v>11808</v>
      </c>
      <c r="BF174" t="s">
        <v>14364</v>
      </c>
      <c r="BM174" t="s">
        <v>15650</v>
      </c>
    </row>
    <row r="175" spans="1:65">
      <c r="A175" s="1">
        <f>HYPERLINK("https://lsnyc.legalserver.org/matter/dynamic-profile/view/1875260","18-1875260")</f>
        <v>0</v>
      </c>
      <c r="B175" t="s">
        <v>86</v>
      </c>
      <c r="C175" t="s">
        <v>245</v>
      </c>
      <c r="D175" t="s">
        <v>371</v>
      </c>
      <c r="F175" t="s">
        <v>1227</v>
      </c>
      <c r="G175" t="s">
        <v>3017</v>
      </c>
      <c r="H175" t="s">
        <v>4892</v>
      </c>
      <c r="I175" t="s">
        <v>6492</v>
      </c>
      <c r="J175" t="s">
        <v>7169</v>
      </c>
      <c r="K175">
        <v>10034</v>
      </c>
      <c r="N175" t="s">
        <v>7237</v>
      </c>
      <c r="O175" t="s">
        <v>7414</v>
      </c>
      <c r="P175">
        <v>2</v>
      </c>
      <c r="Q175">
        <v>0</v>
      </c>
      <c r="R175">
        <v>98.56999999999999</v>
      </c>
      <c r="U175">
        <v>16224</v>
      </c>
      <c r="W175">
        <v>1.6</v>
      </c>
      <c r="X175" t="s">
        <v>1028</v>
      </c>
      <c r="Y175" t="s">
        <v>127</v>
      </c>
      <c r="AA175" t="s">
        <v>10974</v>
      </c>
      <c r="AB175" t="s">
        <v>371</v>
      </c>
      <c r="AD175" t="s">
        <v>11086</v>
      </c>
      <c r="AF175" t="s">
        <v>10384</v>
      </c>
      <c r="AH175" t="s">
        <v>10975</v>
      </c>
      <c r="AJ175" t="s">
        <v>11129</v>
      </c>
      <c r="AK175" t="s">
        <v>7225</v>
      </c>
      <c r="AM175">
        <v>1044.25</v>
      </c>
      <c r="AO175">
        <v>73</v>
      </c>
      <c r="AQ175" t="s">
        <v>11157</v>
      </c>
      <c r="AS175" t="s">
        <v>11173</v>
      </c>
      <c r="AU175">
        <v>43</v>
      </c>
      <c r="AW175" t="s">
        <v>11189</v>
      </c>
      <c r="BA175" t="s">
        <v>11222</v>
      </c>
      <c r="BE175" t="s">
        <v>11809</v>
      </c>
      <c r="BF175" t="s">
        <v>14364</v>
      </c>
      <c r="BM175" t="s">
        <v>15650</v>
      </c>
    </row>
    <row r="176" spans="1:65">
      <c r="A176" s="1">
        <f>HYPERLINK("https://lsnyc.legalserver.org/matter/dynamic-profile/view/1894868","19-1894868")</f>
        <v>0</v>
      </c>
      <c r="B176" t="s">
        <v>86</v>
      </c>
      <c r="C176" t="s">
        <v>245</v>
      </c>
      <c r="D176" t="s">
        <v>370</v>
      </c>
      <c r="F176" t="s">
        <v>1228</v>
      </c>
      <c r="G176" t="s">
        <v>3018</v>
      </c>
      <c r="H176" t="s">
        <v>4868</v>
      </c>
      <c r="I176">
        <v>51</v>
      </c>
      <c r="J176" t="s">
        <v>7169</v>
      </c>
      <c r="K176">
        <v>10034</v>
      </c>
      <c r="N176" t="s">
        <v>7237</v>
      </c>
      <c r="O176" t="s">
        <v>7415</v>
      </c>
      <c r="P176">
        <v>4</v>
      </c>
      <c r="Q176">
        <v>1</v>
      </c>
      <c r="R176">
        <v>122.64</v>
      </c>
      <c r="U176">
        <v>37000</v>
      </c>
      <c r="W176">
        <v>2</v>
      </c>
      <c r="X176" t="s">
        <v>528</v>
      </c>
      <c r="Y176" t="s">
        <v>10891</v>
      </c>
      <c r="AA176" t="s">
        <v>10974</v>
      </c>
      <c r="AB176" t="s">
        <v>370</v>
      </c>
      <c r="AD176" t="s">
        <v>11101</v>
      </c>
      <c r="AF176" t="s">
        <v>11118</v>
      </c>
      <c r="AH176" t="s">
        <v>10974</v>
      </c>
      <c r="AJ176" t="s">
        <v>11130</v>
      </c>
      <c r="AK176" t="s">
        <v>7225</v>
      </c>
      <c r="AM176">
        <v>1023</v>
      </c>
      <c r="AO176">
        <v>25</v>
      </c>
      <c r="AQ176" t="s">
        <v>11157</v>
      </c>
      <c r="AS176" t="s">
        <v>11173</v>
      </c>
      <c r="AU176">
        <v>38</v>
      </c>
      <c r="AV176" t="s">
        <v>11186</v>
      </c>
      <c r="BA176" t="s">
        <v>11222</v>
      </c>
      <c r="BE176" t="s">
        <v>11810</v>
      </c>
      <c r="BG176" t="s">
        <v>14417</v>
      </c>
      <c r="BM176" t="s">
        <v>15650</v>
      </c>
    </row>
    <row r="177" spans="1:65">
      <c r="A177" s="1">
        <f>HYPERLINK("https://lsnyc.legalserver.org/matter/dynamic-profile/view/1906099","19-1906099")</f>
        <v>0</v>
      </c>
      <c r="B177" t="s">
        <v>86</v>
      </c>
      <c r="C177" t="s">
        <v>245</v>
      </c>
      <c r="D177" t="s">
        <v>349</v>
      </c>
      <c r="F177" t="s">
        <v>1229</v>
      </c>
      <c r="G177" t="s">
        <v>3019</v>
      </c>
      <c r="H177" t="s">
        <v>4893</v>
      </c>
      <c r="I177" t="s">
        <v>6417</v>
      </c>
      <c r="J177" t="s">
        <v>7169</v>
      </c>
      <c r="K177">
        <v>10034</v>
      </c>
      <c r="N177" t="s">
        <v>7237</v>
      </c>
      <c r="O177" t="s">
        <v>7416</v>
      </c>
      <c r="P177">
        <v>1</v>
      </c>
      <c r="Q177">
        <v>0</v>
      </c>
      <c r="R177">
        <v>69.97</v>
      </c>
      <c r="U177">
        <v>8739</v>
      </c>
      <c r="W177">
        <v>6.2</v>
      </c>
      <c r="X177" t="s">
        <v>335</v>
      </c>
      <c r="Y177" t="s">
        <v>127</v>
      </c>
      <c r="AA177" t="s">
        <v>10974</v>
      </c>
      <c r="AB177" t="s">
        <v>349</v>
      </c>
      <c r="AD177" t="s">
        <v>11090</v>
      </c>
      <c r="AF177" t="s">
        <v>10384</v>
      </c>
      <c r="AH177" t="s">
        <v>10975</v>
      </c>
      <c r="AI177" t="s">
        <v>11126</v>
      </c>
      <c r="AK177" t="s">
        <v>7225</v>
      </c>
      <c r="AM177">
        <v>175</v>
      </c>
      <c r="AO177">
        <v>30</v>
      </c>
      <c r="AQ177" t="s">
        <v>11157</v>
      </c>
      <c r="AS177" t="s">
        <v>11173</v>
      </c>
      <c r="AU177">
        <v>6</v>
      </c>
      <c r="AW177" t="s">
        <v>11187</v>
      </c>
      <c r="BA177" t="s">
        <v>11222</v>
      </c>
      <c r="BE177" t="s">
        <v>11811</v>
      </c>
      <c r="BF177" t="s">
        <v>14364</v>
      </c>
      <c r="BM177" t="s">
        <v>15650</v>
      </c>
    </row>
    <row r="178" spans="1:65">
      <c r="A178" s="1">
        <f>HYPERLINK("https://lsnyc.legalserver.org/matter/dynamic-profile/view/1882015","18-1882015")</f>
        <v>0</v>
      </c>
      <c r="B178" t="s">
        <v>86</v>
      </c>
      <c r="C178" t="s">
        <v>245</v>
      </c>
      <c r="D178" t="s">
        <v>372</v>
      </c>
      <c r="F178" t="s">
        <v>1230</v>
      </c>
      <c r="G178" t="s">
        <v>3020</v>
      </c>
      <c r="H178" t="s">
        <v>4773</v>
      </c>
      <c r="I178">
        <v>106</v>
      </c>
      <c r="J178" t="s">
        <v>7169</v>
      </c>
      <c r="K178">
        <v>10034</v>
      </c>
      <c r="N178" t="s">
        <v>7237</v>
      </c>
      <c r="O178" t="s">
        <v>7417</v>
      </c>
      <c r="P178">
        <v>3</v>
      </c>
      <c r="Q178">
        <v>0</v>
      </c>
      <c r="R178">
        <v>167.47</v>
      </c>
      <c r="U178">
        <v>34800</v>
      </c>
      <c r="W178">
        <v>12.3</v>
      </c>
      <c r="X178" t="s">
        <v>638</v>
      </c>
      <c r="Y178" t="s">
        <v>127</v>
      </c>
      <c r="AA178" t="s">
        <v>10974</v>
      </c>
      <c r="AB178" t="s">
        <v>372</v>
      </c>
      <c r="AD178" t="s">
        <v>11088</v>
      </c>
      <c r="AF178" t="s">
        <v>11120</v>
      </c>
      <c r="AH178" t="s">
        <v>10975</v>
      </c>
      <c r="AJ178" t="s">
        <v>11129</v>
      </c>
      <c r="AK178" t="s">
        <v>7225</v>
      </c>
      <c r="AM178">
        <v>1092</v>
      </c>
      <c r="AO178">
        <v>88</v>
      </c>
      <c r="AQ178" t="s">
        <v>11157</v>
      </c>
      <c r="AS178" t="s">
        <v>11173</v>
      </c>
      <c r="AU178">
        <v>9</v>
      </c>
      <c r="AW178" t="s">
        <v>11187</v>
      </c>
      <c r="BA178" t="s">
        <v>11222</v>
      </c>
      <c r="BE178" t="s">
        <v>11812</v>
      </c>
      <c r="BF178" t="s">
        <v>14364</v>
      </c>
      <c r="BM178" t="s">
        <v>15650</v>
      </c>
    </row>
    <row r="179" spans="1:65">
      <c r="A179" s="1">
        <f>HYPERLINK("https://lsnyc.legalserver.org/matter/dynamic-profile/view/1904684","19-1904684")</f>
        <v>0</v>
      </c>
      <c r="B179" t="s">
        <v>86</v>
      </c>
      <c r="C179" t="s">
        <v>245</v>
      </c>
      <c r="D179" t="s">
        <v>373</v>
      </c>
      <c r="F179" t="s">
        <v>1231</v>
      </c>
      <c r="G179" t="s">
        <v>3021</v>
      </c>
      <c r="H179" t="s">
        <v>4894</v>
      </c>
      <c r="I179" t="s">
        <v>6493</v>
      </c>
      <c r="J179" t="s">
        <v>7169</v>
      </c>
      <c r="K179">
        <v>10040</v>
      </c>
      <c r="N179" t="s">
        <v>7237</v>
      </c>
      <c r="O179" t="s">
        <v>7418</v>
      </c>
      <c r="P179">
        <v>2</v>
      </c>
      <c r="Q179">
        <v>0</v>
      </c>
      <c r="R179">
        <v>30.75</v>
      </c>
      <c r="U179">
        <v>5200</v>
      </c>
      <c r="W179">
        <v>65.40000000000001</v>
      </c>
      <c r="X179" t="s">
        <v>638</v>
      </c>
      <c r="Y179" t="s">
        <v>127</v>
      </c>
      <c r="Z179" t="s">
        <v>10972</v>
      </c>
      <c r="AA179" t="s">
        <v>10976</v>
      </c>
      <c r="AD179" t="s">
        <v>11083</v>
      </c>
      <c r="AF179" t="s">
        <v>11118</v>
      </c>
      <c r="AH179" t="s">
        <v>10975</v>
      </c>
      <c r="AJ179" t="s">
        <v>11130</v>
      </c>
      <c r="AK179" t="s">
        <v>7225</v>
      </c>
      <c r="AL179" t="s">
        <v>11150</v>
      </c>
      <c r="AM179">
        <v>0</v>
      </c>
      <c r="AO179">
        <v>38</v>
      </c>
      <c r="AP179" t="s">
        <v>11155</v>
      </c>
      <c r="AS179" t="s">
        <v>11173</v>
      </c>
      <c r="AU179">
        <v>18</v>
      </c>
      <c r="AW179" t="s">
        <v>11193</v>
      </c>
      <c r="AY179" t="s">
        <v>11213</v>
      </c>
      <c r="AZ179" t="s">
        <v>11221</v>
      </c>
      <c r="BD179" t="s">
        <v>11667</v>
      </c>
      <c r="BG179" t="s">
        <v>14425</v>
      </c>
      <c r="BM179" t="s">
        <v>15650</v>
      </c>
    </row>
    <row r="180" spans="1:65">
      <c r="A180" s="1">
        <f>HYPERLINK("https://lsnyc.legalserver.org/matter/dynamic-profile/view/1914876","19-1914876")</f>
        <v>0</v>
      </c>
      <c r="B180" t="s">
        <v>86</v>
      </c>
      <c r="C180" t="s">
        <v>245</v>
      </c>
      <c r="D180" t="s">
        <v>262</v>
      </c>
      <c r="F180" t="s">
        <v>1232</v>
      </c>
      <c r="G180" t="s">
        <v>3022</v>
      </c>
      <c r="H180" t="s">
        <v>4895</v>
      </c>
      <c r="I180" t="s">
        <v>6448</v>
      </c>
      <c r="J180" t="s">
        <v>7169</v>
      </c>
      <c r="K180">
        <v>10040</v>
      </c>
      <c r="N180" t="s">
        <v>7237</v>
      </c>
      <c r="O180" t="s">
        <v>7419</v>
      </c>
      <c r="P180">
        <v>2</v>
      </c>
      <c r="Q180">
        <v>1</v>
      </c>
      <c r="R180">
        <v>122.87</v>
      </c>
      <c r="U180">
        <v>26208</v>
      </c>
      <c r="W180">
        <v>2</v>
      </c>
      <c r="X180" t="s">
        <v>297</v>
      </c>
      <c r="Y180" t="s">
        <v>127</v>
      </c>
      <c r="AA180" t="s">
        <v>10974</v>
      </c>
      <c r="AB180" t="s">
        <v>262</v>
      </c>
      <c r="AC180" t="s">
        <v>11081</v>
      </c>
      <c r="AF180" t="s">
        <v>10384</v>
      </c>
      <c r="AH180" t="s">
        <v>10975</v>
      </c>
      <c r="AJ180" t="s">
        <v>11130</v>
      </c>
      <c r="AK180" t="s">
        <v>7225</v>
      </c>
      <c r="AM180">
        <v>1754.46</v>
      </c>
      <c r="AO180">
        <v>48</v>
      </c>
      <c r="AQ180" t="s">
        <v>11157</v>
      </c>
      <c r="AS180" t="s">
        <v>11173</v>
      </c>
      <c r="AU180">
        <v>15</v>
      </c>
      <c r="AW180" t="s">
        <v>11187</v>
      </c>
      <c r="BA180" t="s">
        <v>11222</v>
      </c>
      <c r="BE180" t="s">
        <v>11813</v>
      </c>
      <c r="BF180" t="s">
        <v>14364</v>
      </c>
      <c r="BM180" t="s">
        <v>15650</v>
      </c>
    </row>
    <row r="181" spans="1:65">
      <c r="A181" s="1">
        <f>HYPERLINK("https://lsnyc.legalserver.org/matter/dynamic-profile/view/1835700","17-1835700")</f>
        <v>0</v>
      </c>
      <c r="B181" t="s">
        <v>86</v>
      </c>
      <c r="C181" t="s">
        <v>245</v>
      </c>
      <c r="D181" t="s">
        <v>363</v>
      </c>
      <c r="F181" t="s">
        <v>1149</v>
      </c>
      <c r="G181" t="s">
        <v>3000</v>
      </c>
      <c r="H181" t="s">
        <v>4870</v>
      </c>
      <c r="I181">
        <v>33</v>
      </c>
      <c r="J181" t="s">
        <v>7169</v>
      </c>
      <c r="K181">
        <v>10034</v>
      </c>
      <c r="N181" t="s">
        <v>7237</v>
      </c>
      <c r="O181" t="s">
        <v>7389</v>
      </c>
      <c r="P181">
        <v>1</v>
      </c>
      <c r="Q181">
        <v>4</v>
      </c>
      <c r="R181">
        <v>0</v>
      </c>
      <c r="U181">
        <v>0</v>
      </c>
      <c r="W181">
        <v>6.6</v>
      </c>
      <c r="X181" t="s">
        <v>833</v>
      </c>
      <c r="Y181" t="s">
        <v>10859</v>
      </c>
      <c r="AA181" t="s">
        <v>10974</v>
      </c>
      <c r="AB181" t="s">
        <v>809</v>
      </c>
      <c r="AD181" t="s">
        <v>11086</v>
      </c>
      <c r="AF181" t="s">
        <v>11120</v>
      </c>
      <c r="AH181" t="s">
        <v>10975</v>
      </c>
      <c r="AJ181" t="s">
        <v>11130</v>
      </c>
      <c r="AK181" t="s">
        <v>7225</v>
      </c>
      <c r="AM181">
        <v>1150</v>
      </c>
      <c r="AO181">
        <v>12</v>
      </c>
      <c r="AQ181" t="s">
        <v>11157</v>
      </c>
      <c r="AS181" t="s">
        <v>11176</v>
      </c>
      <c r="AU181">
        <v>3</v>
      </c>
      <c r="AW181" t="s">
        <v>11189</v>
      </c>
      <c r="AZ181" t="s">
        <v>11221</v>
      </c>
      <c r="BE181" t="s">
        <v>11785</v>
      </c>
      <c r="BF181" t="s">
        <v>14364</v>
      </c>
      <c r="BM181" t="s">
        <v>15650</v>
      </c>
    </row>
    <row r="182" spans="1:65">
      <c r="A182" s="1">
        <f>HYPERLINK("https://lsnyc.legalserver.org/matter/dynamic-profile/view/1861239","18-1861239")</f>
        <v>0</v>
      </c>
      <c r="B182" t="s">
        <v>86</v>
      </c>
      <c r="C182" t="s">
        <v>245</v>
      </c>
      <c r="D182" t="s">
        <v>352</v>
      </c>
      <c r="F182" t="s">
        <v>1149</v>
      </c>
      <c r="G182" t="s">
        <v>3021</v>
      </c>
      <c r="H182" t="s">
        <v>4869</v>
      </c>
      <c r="I182">
        <v>73</v>
      </c>
      <c r="J182" t="s">
        <v>7169</v>
      </c>
      <c r="K182">
        <v>10031</v>
      </c>
      <c r="N182" t="s">
        <v>7237</v>
      </c>
      <c r="O182" t="s">
        <v>7420</v>
      </c>
      <c r="P182">
        <v>1</v>
      </c>
      <c r="Q182">
        <v>3</v>
      </c>
      <c r="R182">
        <v>69.47</v>
      </c>
      <c r="U182">
        <v>26232</v>
      </c>
      <c r="W182">
        <v>15.7</v>
      </c>
      <c r="X182" t="s">
        <v>878</v>
      </c>
      <c r="Y182" t="s">
        <v>127</v>
      </c>
      <c r="Z182" t="s">
        <v>10973</v>
      </c>
      <c r="AA182" t="s">
        <v>10975</v>
      </c>
      <c r="AB182" t="s">
        <v>10984</v>
      </c>
      <c r="AD182" t="s">
        <v>11085</v>
      </c>
      <c r="AF182" t="s">
        <v>11118</v>
      </c>
      <c r="AH182" t="s">
        <v>10975</v>
      </c>
      <c r="AJ182" t="s">
        <v>11129</v>
      </c>
      <c r="AK182" t="s">
        <v>7225</v>
      </c>
      <c r="AL182" t="s">
        <v>11150</v>
      </c>
      <c r="AM182">
        <v>0</v>
      </c>
      <c r="AO182">
        <v>30</v>
      </c>
      <c r="AQ182" t="s">
        <v>11157</v>
      </c>
      <c r="AS182" t="s">
        <v>11173</v>
      </c>
      <c r="AU182">
        <v>5</v>
      </c>
      <c r="AW182" t="s">
        <v>11187</v>
      </c>
      <c r="BA182" t="s">
        <v>11222</v>
      </c>
      <c r="BE182" t="s">
        <v>11814</v>
      </c>
      <c r="BF182" t="s">
        <v>14364</v>
      </c>
      <c r="BM182" t="s">
        <v>15650</v>
      </c>
    </row>
    <row r="183" spans="1:65">
      <c r="A183" s="1">
        <f>HYPERLINK("https://lsnyc.legalserver.org/matter/dynamic-profile/view/1914052","19-1914052")</f>
        <v>0</v>
      </c>
      <c r="B183" t="s">
        <v>86</v>
      </c>
      <c r="C183" t="s">
        <v>245</v>
      </c>
      <c r="D183" t="s">
        <v>301</v>
      </c>
      <c r="F183" t="s">
        <v>1233</v>
      </c>
      <c r="G183" t="s">
        <v>3023</v>
      </c>
      <c r="H183" t="s">
        <v>4896</v>
      </c>
      <c r="I183">
        <v>48</v>
      </c>
      <c r="J183" t="s">
        <v>7169</v>
      </c>
      <c r="K183">
        <v>10034</v>
      </c>
      <c r="N183" t="s">
        <v>7237</v>
      </c>
      <c r="O183" t="s">
        <v>7421</v>
      </c>
      <c r="P183">
        <v>1</v>
      </c>
      <c r="Q183">
        <v>0</v>
      </c>
      <c r="R183">
        <v>101.07</v>
      </c>
      <c r="U183">
        <v>12624</v>
      </c>
      <c r="W183">
        <v>3</v>
      </c>
      <c r="X183" t="s">
        <v>266</v>
      </c>
      <c r="Y183" t="s">
        <v>127</v>
      </c>
      <c r="AA183" t="s">
        <v>10974</v>
      </c>
      <c r="AB183" t="s">
        <v>301</v>
      </c>
      <c r="AC183" t="s">
        <v>11081</v>
      </c>
      <c r="AF183" t="s">
        <v>11121</v>
      </c>
      <c r="AG183" t="s">
        <v>11124</v>
      </c>
      <c r="AJ183" t="s">
        <v>11129</v>
      </c>
      <c r="AK183" t="s">
        <v>7225</v>
      </c>
      <c r="AM183">
        <v>1265.8</v>
      </c>
      <c r="AO183">
        <v>41</v>
      </c>
      <c r="AQ183" t="s">
        <v>11157</v>
      </c>
      <c r="AS183" t="s">
        <v>11175</v>
      </c>
      <c r="AU183">
        <v>27</v>
      </c>
      <c r="AW183" t="s">
        <v>11187</v>
      </c>
      <c r="BA183" t="s">
        <v>11222</v>
      </c>
      <c r="BE183" t="s">
        <v>11815</v>
      </c>
      <c r="BF183" t="s">
        <v>14364</v>
      </c>
      <c r="BM183" t="s">
        <v>15650</v>
      </c>
    </row>
    <row r="184" spans="1:65">
      <c r="A184" s="1">
        <f>HYPERLINK("https://lsnyc.legalserver.org/matter/dynamic-profile/view/1852468","17-1852468")</f>
        <v>0</v>
      </c>
      <c r="B184" t="s">
        <v>86</v>
      </c>
      <c r="C184" t="s">
        <v>245</v>
      </c>
      <c r="D184" t="s">
        <v>374</v>
      </c>
      <c r="F184" t="s">
        <v>1234</v>
      </c>
      <c r="G184" t="s">
        <v>3002</v>
      </c>
      <c r="H184" t="s">
        <v>4897</v>
      </c>
      <c r="I184" t="s">
        <v>6494</v>
      </c>
      <c r="J184" t="s">
        <v>7169</v>
      </c>
      <c r="K184">
        <v>10034</v>
      </c>
      <c r="N184" t="s">
        <v>7237</v>
      </c>
      <c r="O184" t="s">
        <v>7422</v>
      </c>
      <c r="P184">
        <v>3</v>
      </c>
      <c r="Q184">
        <v>0</v>
      </c>
      <c r="R184">
        <v>102.37</v>
      </c>
      <c r="U184">
        <v>20904</v>
      </c>
      <c r="W184">
        <v>5.1</v>
      </c>
      <c r="X184" t="s">
        <v>292</v>
      </c>
      <c r="Y184" t="s">
        <v>127</v>
      </c>
      <c r="AA184" t="s">
        <v>10974</v>
      </c>
      <c r="AB184" t="s">
        <v>374</v>
      </c>
      <c r="AD184" t="s">
        <v>11088</v>
      </c>
      <c r="AF184" t="s">
        <v>11120</v>
      </c>
      <c r="AH184" t="s">
        <v>10975</v>
      </c>
      <c r="AJ184" t="s">
        <v>11129</v>
      </c>
      <c r="AK184" t="s">
        <v>7225</v>
      </c>
      <c r="AM184">
        <v>719.53</v>
      </c>
      <c r="AO184">
        <v>31</v>
      </c>
      <c r="AQ184" t="s">
        <v>11157</v>
      </c>
      <c r="AS184" t="s">
        <v>11175</v>
      </c>
      <c r="AU184">
        <v>27</v>
      </c>
      <c r="AW184" t="s">
        <v>11189</v>
      </c>
      <c r="AZ184" t="s">
        <v>11221</v>
      </c>
      <c r="BE184" t="s">
        <v>11816</v>
      </c>
      <c r="BF184" t="s">
        <v>14364</v>
      </c>
      <c r="BM184" t="s">
        <v>15650</v>
      </c>
    </row>
    <row r="185" spans="1:65">
      <c r="A185" s="1">
        <f>HYPERLINK("https://lsnyc.legalserver.org/matter/dynamic-profile/view/1909353","19-1909353")</f>
        <v>0</v>
      </c>
      <c r="B185" t="s">
        <v>86</v>
      </c>
      <c r="C185" t="s">
        <v>245</v>
      </c>
      <c r="D185" t="s">
        <v>375</v>
      </c>
      <c r="F185" t="s">
        <v>1235</v>
      </c>
      <c r="G185" t="s">
        <v>3024</v>
      </c>
      <c r="H185" t="s">
        <v>4898</v>
      </c>
      <c r="I185" t="s">
        <v>6468</v>
      </c>
      <c r="J185" t="s">
        <v>7169</v>
      </c>
      <c r="K185">
        <v>10034</v>
      </c>
      <c r="N185" t="s">
        <v>7237</v>
      </c>
      <c r="O185" t="s">
        <v>7423</v>
      </c>
      <c r="P185">
        <v>1</v>
      </c>
      <c r="Q185">
        <v>0</v>
      </c>
      <c r="R185">
        <v>119.23</v>
      </c>
      <c r="U185">
        <v>14892</v>
      </c>
      <c r="W185">
        <v>2.4</v>
      </c>
      <c r="X185" t="s">
        <v>264</v>
      </c>
      <c r="Y185" t="s">
        <v>127</v>
      </c>
      <c r="AA185" t="s">
        <v>10974</v>
      </c>
      <c r="AB185" t="s">
        <v>375</v>
      </c>
      <c r="AC185" t="s">
        <v>11081</v>
      </c>
      <c r="AF185" t="s">
        <v>11121</v>
      </c>
      <c r="AH185" t="s">
        <v>10975</v>
      </c>
      <c r="AJ185" t="s">
        <v>11130</v>
      </c>
      <c r="AK185" t="s">
        <v>7225</v>
      </c>
      <c r="AL185" t="s">
        <v>11150</v>
      </c>
      <c r="AM185">
        <v>0</v>
      </c>
      <c r="AO185">
        <v>22</v>
      </c>
      <c r="AQ185" t="s">
        <v>11157</v>
      </c>
      <c r="AS185" t="s">
        <v>11173</v>
      </c>
      <c r="AU185">
        <v>15</v>
      </c>
      <c r="AW185" t="s">
        <v>11189</v>
      </c>
      <c r="BA185" t="s">
        <v>11222</v>
      </c>
      <c r="BE185" t="s">
        <v>11817</v>
      </c>
      <c r="BF185" t="s">
        <v>14364</v>
      </c>
      <c r="BM185" t="s">
        <v>15650</v>
      </c>
    </row>
    <row r="186" spans="1:65">
      <c r="A186" s="1">
        <f>HYPERLINK("https://lsnyc.legalserver.org/matter/dynamic-profile/view/1904895","19-1904895")</f>
        <v>0</v>
      </c>
      <c r="B186" t="s">
        <v>86</v>
      </c>
      <c r="C186" t="s">
        <v>245</v>
      </c>
      <c r="D186" t="s">
        <v>328</v>
      </c>
      <c r="F186" t="s">
        <v>1236</v>
      </c>
      <c r="G186" t="s">
        <v>3025</v>
      </c>
      <c r="H186" t="s">
        <v>4899</v>
      </c>
      <c r="I186" t="s">
        <v>6419</v>
      </c>
      <c r="J186" t="s">
        <v>7169</v>
      </c>
      <c r="K186">
        <v>10034</v>
      </c>
      <c r="N186" t="s">
        <v>7237</v>
      </c>
      <c r="O186" t="s">
        <v>7424</v>
      </c>
      <c r="P186">
        <v>1</v>
      </c>
      <c r="Q186">
        <v>0</v>
      </c>
      <c r="R186">
        <v>192.15</v>
      </c>
      <c r="U186">
        <v>24000</v>
      </c>
      <c r="W186">
        <v>3.6</v>
      </c>
      <c r="X186" t="s">
        <v>293</v>
      </c>
      <c r="Y186" t="s">
        <v>127</v>
      </c>
      <c r="AA186" t="s">
        <v>10974</v>
      </c>
      <c r="AB186" t="s">
        <v>328</v>
      </c>
      <c r="AC186" t="s">
        <v>11081</v>
      </c>
      <c r="AF186" t="s">
        <v>10384</v>
      </c>
      <c r="AH186" t="s">
        <v>10975</v>
      </c>
      <c r="AJ186" t="s">
        <v>11130</v>
      </c>
      <c r="AK186" t="s">
        <v>7225</v>
      </c>
      <c r="AM186">
        <v>2350</v>
      </c>
      <c r="AO186">
        <v>41</v>
      </c>
      <c r="AQ186" t="s">
        <v>11156</v>
      </c>
      <c r="AS186" t="s">
        <v>11173</v>
      </c>
      <c r="AU186">
        <v>3</v>
      </c>
      <c r="AW186" t="s">
        <v>11187</v>
      </c>
      <c r="BA186" t="s">
        <v>11222</v>
      </c>
      <c r="BE186" t="s">
        <v>11818</v>
      </c>
      <c r="BF186" t="s">
        <v>14364</v>
      </c>
      <c r="BM186" t="s">
        <v>15650</v>
      </c>
    </row>
    <row r="187" spans="1:65">
      <c r="A187" s="1">
        <f>HYPERLINK("https://lsnyc.legalserver.org/matter/dynamic-profile/view/1837947","17-1837947")</f>
        <v>0</v>
      </c>
      <c r="B187" t="s">
        <v>86</v>
      </c>
      <c r="C187" t="s">
        <v>245</v>
      </c>
      <c r="D187" t="s">
        <v>376</v>
      </c>
      <c r="F187" t="s">
        <v>1094</v>
      </c>
      <c r="G187" t="s">
        <v>2884</v>
      </c>
      <c r="H187" t="s">
        <v>4900</v>
      </c>
      <c r="I187" t="s">
        <v>6410</v>
      </c>
      <c r="J187" t="s">
        <v>7169</v>
      </c>
      <c r="K187">
        <v>10040</v>
      </c>
      <c r="N187" t="s">
        <v>7237</v>
      </c>
      <c r="O187" t="s">
        <v>7425</v>
      </c>
      <c r="P187">
        <v>2</v>
      </c>
      <c r="Q187">
        <v>0</v>
      </c>
      <c r="R187">
        <v>103.37</v>
      </c>
      <c r="S187" t="s">
        <v>10256</v>
      </c>
      <c r="U187">
        <v>16788</v>
      </c>
      <c r="W187">
        <v>9.300000000000001</v>
      </c>
      <c r="X187" t="s">
        <v>10808</v>
      </c>
      <c r="Y187" t="s">
        <v>10859</v>
      </c>
      <c r="AA187" t="s">
        <v>10974</v>
      </c>
      <c r="AB187" t="s">
        <v>809</v>
      </c>
      <c r="AD187" t="s">
        <v>11083</v>
      </c>
      <c r="AF187" t="s">
        <v>10384</v>
      </c>
      <c r="AH187" t="s">
        <v>10975</v>
      </c>
      <c r="AJ187" t="s">
        <v>11130</v>
      </c>
      <c r="AK187" t="s">
        <v>7225</v>
      </c>
      <c r="AM187">
        <v>802</v>
      </c>
      <c r="AO187">
        <v>92</v>
      </c>
      <c r="AQ187" t="s">
        <v>11157</v>
      </c>
      <c r="AS187" t="s">
        <v>11173</v>
      </c>
      <c r="AU187">
        <v>28</v>
      </c>
      <c r="AW187" t="s">
        <v>11189</v>
      </c>
      <c r="AZ187" t="s">
        <v>11221</v>
      </c>
      <c r="BE187" t="s">
        <v>11819</v>
      </c>
      <c r="BG187" t="s">
        <v>14426</v>
      </c>
      <c r="BM187" t="s">
        <v>15650</v>
      </c>
    </row>
    <row r="188" spans="1:65">
      <c r="A188" s="1">
        <f>HYPERLINK("https://lsnyc.legalserver.org/matter/dynamic-profile/view/1895534","19-1895534")</f>
        <v>0</v>
      </c>
      <c r="B188" t="s">
        <v>86</v>
      </c>
      <c r="C188" t="s">
        <v>245</v>
      </c>
      <c r="D188" t="s">
        <v>370</v>
      </c>
      <c r="F188" t="s">
        <v>1155</v>
      </c>
      <c r="G188" t="s">
        <v>3026</v>
      </c>
      <c r="H188" t="s">
        <v>4901</v>
      </c>
      <c r="I188" t="s">
        <v>6495</v>
      </c>
      <c r="J188" t="s">
        <v>7169</v>
      </c>
      <c r="K188">
        <v>10034</v>
      </c>
      <c r="N188" t="s">
        <v>7237</v>
      </c>
      <c r="O188" t="s">
        <v>7426</v>
      </c>
      <c r="P188">
        <v>1</v>
      </c>
      <c r="Q188">
        <v>0</v>
      </c>
      <c r="R188">
        <v>105.68</v>
      </c>
      <c r="U188">
        <v>13200</v>
      </c>
      <c r="W188">
        <v>10.3</v>
      </c>
      <c r="X188" t="s">
        <v>274</v>
      </c>
      <c r="Y188" t="s">
        <v>10859</v>
      </c>
      <c r="AA188" t="s">
        <v>10974</v>
      </c>
      <c r="AB188" t="s">
        <v>370</v>
      </c>
      <c r="AD188" t="s">
        <v>11103</v>
      </c>
      <c r="AF188" t="s">
        <v>11122</v>
      </c>
      <c r="AH188" t="s">
        <v>10975</v>
      </c>
      <c r="AJ188" t="s">
        <v>11104</v>
      </c>
      <c r="AK188" t="s">
        <v>7225</v>
      </c>
      <c r="AM188">
        <v>450.25</v>
      </c>
      <c r="AO188">
        <v>49</v>
      </c>
      <c r="AQ188" t="s">
        <v>11157</v>
      </c>
      <c r="AS188" t="s">
        <v>11173</v>
      </c>
      <c r="AU188">
        <v>50</v>
      </c>
      <c r="AW188" t="s">
        <v>11187</v>
      </c>
      <c r="AY188" t="s">
        <v>11213</v>
      </c>
      <c r="BA188" t="s">
        <v>11222</v>
      </c>
      <c r="BE188" t="s">
        <v>11820</v>
      </c>
      <c r="BF188" t="s">
        <v>14364</v>
      </c>
      <c r="BG188" t="s">
        <v>14427</v>
      </c>
      <c r="BM188" t="s">
        <v>15650</v>
      </c>
    </row>
    <row r="189" spans="1:65">
      <c r="A189" s="1">
        <f>HYPERLINK("https://lsnyc.legalserver.org/matter/dynamic-profile/view/1907581","19-1907581")</f>
        <v>0</v>
      </c>
      <c r="B189" t="s">
        <v>86</v>
      </c>
      <c r="C189" t="s">
        <v>245</v>
      </c>
      <c r="D189" t="s">
        <v>377</v>
      </c>
      <c r="F189" t="s">
        <v>1237</v>
      </c>
      <c r="G189" t="s">
        <v>3027</v>
      </c>
      <c r="H189" t="s">
        <v>4872</v>
      </c>
      <c r="I189" t="s">
        <v>6496</v>
      </c>
      <c r="J189" t="s">
        <v>7169</v>
      </c>
      <c r="K189">
        <v>10034</v>
      </c>
      <c r="N189" t="s">
        <v>7237</v>
      </c>
      <c r="O189" t="s">
        <v>7427</v>
      </c>
      <c r="P189">
        <v>2</v>
      </c>
      <c r="Q189">
        <v>0</v>
      </c>
      <c r="R189">
        <v>305.14</v>
      </c>
      <c r="U189">
        <v>51600</v>
      </c>
      <c r="W189">
        <v>1.4</v>
      </c>
      <c r="X189" t="s">
        <v>433</v>
      </c>
      <c r="Y189" t="s">
        <v>127</v>
      </c>
      <c r="AA189" t="s">
        <v>10974</v>
      </c>
      <c r="AB189" t="s">
        <v>377</v>
      </c>
      <c r="AD189" t="s">
        <v>11090</v>
      </c>
      <c r="AF189" t="s">
        <v>11119</v>
      </c>
      <c r="AH189" t="s">
        <v>10975</v>
      </c>
      <c r="AJ189" t="s">
        <v>11130</v>
      </c>
      <c r="AK189" t="s">
        <v>7225</v>
      </c>
      <c r="AM189">
        <v>2700</v>
      </c>
      <c r="AO189">
        <v>69</v>
      </c>
      <c r="AQ189" t="s">
        <v>11157</v>
      </c>
      <c r="AS189" t="s">
        <v>11173</v>
      </c>
      <c r="AU189">
        <v>25</v>
      </c>
      <c r="AW189" t="s">
        <v>11194</v>
      </c>
      <c r="BA189" t="s">
        <v>11222</v>
      </c>
      <c r="BD189" t="s">
        <v>11667</v>
      </c>
      <c r="BF189" t="s">
        <v>14364</v>
      </c>
      <c r="BM189" t="s">
        <v>15650</v>
      </c>
    </row>
    <row r="190" spans="1:65">
      <c r="A190" s="1">
        <f>HYPERLINK("https://lsnyc.legalserver.org/matter/dynamic-profile/view/0826270","17-0826270")</f>
        <v>0</v>
      </c>
      <c r="B190" t="s">
        <v>86</v>
      </c>
      <c r="C190" t="s">
        <v>245</v>
      </c>
      <c r="D190" t="s">
        <v>378</v>
      </c>
      <c r="F190" t="s">
        <v>1238</v>
      </c>
      <c r="G190" t="s">
        <v>3028</v>
      </c>
      <c r="H190" t="s">
        <v>4902</v>
      </c>
      <c r="I190" t="s">
        <v>6497</v>
      </c>
      <c r="J190" t="s">
        <v>7169</v>
      </c>
      <c r="K190">
        <v>10034</v>
      </c>
      <c r="N190" t="s">
        <v>7237</v>
      </c>
      <c r="O190" t="s">
        <v>7428</v>
      </c>
      <c r="P190">
        <v>1</v>
      </c>
      <c r="Q190">
        <v>0</v>
      </c>
      <c r="R190">
        <v>124.58</v>
      </c>
      <c r="U190">
        <v>14800</v>
      </c>
      <c r="W190">
        <v>113.3</v>
      </c>
      <c r="X190" t="s">
        <v>272</v>
      </c>
      <c r="Y190" t="s">
        <v>10859</v>
      </c>
      <c r="AA190" t="s">
        <v>10974</v>
      </c>
      <c r="AB190" t="s">
        <v>1018</v>
      </c>
      <c r="AD190" t="s">
        <v>11083</v>
      </c>
      <c r="AF190" t="s">
        <v>11118</v>
      </c>
      <c r="AH190" t="s">
        <v>10975</v>
      </c>
      <c r="AJ190" t="s">
        <v>11129</v>
      </c>
      <c r="AK190" t="s">
        <v>7225</v>
      </c>
      <c r="AM190">
        <v>1000</v>
      </c>
      <c r="AO190">
        <v>43</v>
      </c>
      <c r="AQ190" t="s">
        <v>11157</v>
      </c>
      <c r="AS190" t="s">
        <v>11175</v>
      </c>
      <c r="AU190">
        <v>31</v>
      </c>
      <c r="AW190" t="s">
        <v>11187</v>
      </c>
      <c r="AZ190" t="s">
        <v>11221</v>
      </c>
      <c r="BE190" t="s">
        <v>11821</v>
      </c>
      <c r="BG190" t="s">
        <v>14428</v>
      </c>
      <c r="BM190" t="s">
        <v>15650</v>
      </c>
    </row>
    <row r="191" spans="1:65">
      <c r="A191" s="1">
        <f>HYPERLINK("https://lsnyc.legalserver.org/matter/dynamic-profile/view/1888681","19-1888681")</f>
        <v>0</v>
      </c>
      <c r="B191" t="s">
        <v>86</v>
      </c>
      <c r="C191" t="s">
        <v>245</v>
      </c>
      <c r="D191" t="s">
        <v>379</v>
      </c>
      <c r="F191" t="s">
        <v>1239</v>
      </c>
      <c r="G191" t="s">
        <v>3029</v>
      </c>
      <c r="H191" t="s">
        <v>4868</v>
      </c>
      <c r="I191">
        <v>24</v>
      </c>
      <c r="J191" t="s">
        <v>7169</v>
      </c>
      <c r="K191">
        <v>10034</v>
      </c>
      <c r="N191" t="s">
        <v>7237</v>
      </c>
      <c r="O191" t="s">
        <v>7429</v>
      </c>
      <c r="P191">
        <v>3</v>
      </c>
      <c r="Q191">
        <v>0</v>
      </c>
      <c r="R191">
        <v>105.65</v>
      </c>
      <c r="U191">
        <v>22536</v>
      </c>
      <c r="W191">
        <v>0.8</v>
      </c>
      <c r="X191" t="s">
        <v>528</v>
      </c>
      <c r="Y191" t="s">
        <v>127</v>
      </c>
      <c r="AA191" t="s">
        <v>10974</v>
      </c>
      <c r="AB191" t="s">
        <v>379</v>
      </c>
      <c r="AD191" t="s">
        <v>11101</v>
      </c>
      <c r="AF191" t="s">
        <v>11118</v>
      </c>
      <c r="AH191" t="s">
        <v>10974</v>
      </c>
      <c r="AJ191" t="s">
        <v>11129</v>
      </c>
      <c r="AK191" t="s">
        <v>7225</v>
      </c>
      <c r="AM191">
        <v>947.89</v>
      </c>
      <c r="AO191">
        <v>25</v>
      </c>
      <c r="AQ191" t="s">
        <v>11157</v>
      </c>
      <c r="AS191" t="s">
        <v>11175</v>
      </c>
      <c r="AU191">
        <v>20</v>
      </c>
      <c r="AW191" t="s">
        <v>11189</v>
      </c>
      <c r="AZ191" t="s">
        <v>11221</v>
      </c>
      <c r="BE191" t="s">
        <v>11822</v>
      </c>
      <c r="BG191" t="s">
        <v>14417</v>
      </c>
      <c r="BM191" t="s">
        <v>15650</v>
      </c>
    </row>
    <row r="192" spans="1:65">
      <c r="A192" s="1">
        <f>HYPERLINK("https://lsnyc.legalserver.org/matter/dynamic-profile/view/1904523","19-1904523")</f>
        <v>0</v>
      </c>
      <c r="B192" t="s">
        <v>86</v>
      </c>
      <c r="C192" t="s">
        <v>245</v>
      </c>
      <c r="D192" t="s">
        <v>380</v>
      </c>
      <c r="F192" t="s">
        <v>1207</v>
      </c>
      <c r="G192" t="s">
        <v>2998</v>
      </c>
      <c r="H192" t="s">
        <v>4868</v>
      </c>
      <c r="I192">
        <v>31</v>
      </c>
      <c r="J192" t="s">
        <v>7169</v>
      </c>
      <c r="K192">
        <v>10034</v>
      </c>
      <c r="N192" t="s">
        <v>7237</v>
      </c>
      <c r="O192" t="s">
        <v>7387</v>
      </c>
      <c r="P192">
        <v>2</v>
      </c>
      <c r="Q192">
        <v>0</v>
      </c>
      <c r="R192">
        <v>105.38</v>
      </c>
      <c r="T192" t="s">
        <v>10278</v>
      </c>
      <c r="U192">
        <v>17820</v>
      </c>
      <c r="W192">
        <v>7.9</v>
      </c>
      <c r="X192" t="s">
        <v>528</v>
      </c>
      <c r="Y192" t="s">
        <v>127</v>
      </c>
      <c r="AA192" t="s">
        <v>10974</v>
      </c>
      <c r="AB192" t="s">
        <v>380</v>
      </c>
      <c r="AD192" t="s">
        <v>11094</v>
      </c>
      <c r="AF192" t="s">
        <v>11120</v>
      </c>
      <c r="AH192" t="s">
        <v>10975</v>
      </c>
      <c r="AJ192" t="s">
        <v>11129</v>
      </c>
      <c r="AK192" t="s">
        <v>7225</v>
      </c>
      <c r="AM192">
        <v>1013.58</v>
      </c>
      <c r="AO192">
        <v>25</v>
      </c>
      <c r="AQ192" t="s">
        <v>11157</v>
      </c>
      <c r="AS192" t="s">
        <v>11174</v>
      </c>
      <c r="AU192">
        <v>50</v>
      </c>
      <c r="AW192" t="s">
        <v>11189</v>
      </c>
      <c r="BA192" t="s">
        <v>11222</v>
      </c>
      <c r="BE192" t="s">
        <v>11783</v>
      </c>
      <c r="BF192" t="s">
        <v>14364</v>
      </c>
      <c r="BM192" t="s">
        <v>15650</v>
      </c>
    </row>
    <row r="193" spans="1:65">
      <c r="A193" s="1">
        <f>HYPERLINK("https://lsnyc.legalserver.org/matter/dynamic-profile/view/1863534","18-1863534")</f>
        <v>0</v>
      </c>
      <c r="B193" t="s">
        <v>86</v>
      </c>
      <c r="C193" t="s">
        <v>245</v>
      </c>
      <c r="D193" t="s">
        <v>381</v>
      </c>
      <c r="F193" t="s">
        <v>1240</v>
      </c>
      <c r="G193" t="s">
        <v>3030</v>
      </c>
      <c r="H193" t="s">
        <v>4869</v>
      </c>
      <c r="I193">
        <v>53</v>
      </c>
      <c r="J193" t="s">
        <v>7169</v>
      </c>
      <c r="K193">
        <v>10031</v>
      </c>
      <c r="N193" t="s">
        <v>7237</v>
      </c>
      <c r="O193" t="s">
        <v>7430</v>
      </c>
      <c r="P193">
        <v>2</v>
      </c>
      <c r="Q193">
        <v>0</v>
      </c>
      <c r="R193">
        <v>105.24</v>
      </c>
      <c r="S193" t="s">
        <v>812</v>
      </c>
      <c r="U193">
        <v>34555</v>
      </c>
      <c r="W193">
        <v>20.6</v>
      </c>
      <c r="X193" t="s">
        <v>273</v>
      </c>
      <c r="Y193" t="s">
        <v>127</v>
      </c>
      <c r="AA193" t="s">
        <v>10974</v>
      </c>
      <c r="AB193" t="s">
        <v>381</v>
      </c>
      <c r="AD193" t="s">
        <v>11085</v>
      </c>
      <c r="AF193" t="s">
        <v>10384</v>
      </c>
      <c r="AH193" t="s">
        <v>10975</v>
      </c>
      <c r="AJ193" t="s">
        <v>11130</v>
      </c>
      <c r="AK193" t="s">
        <v>7225</v>
      </c>
      <c r="AM193">
        <v>566.6799999999999</v>
      </c>
      <c r="AO193">
        <v>30</v>
      </c>
      <c r="AQ193" t="s">
        <v>11157</v>
      </c>
      <c r="AS193" t="s">
        <v>11173</v>
      </c>
      <c r="AU193">
        <v>26</v>
      </c>
      <c r="AW193" t="s">
        <v>11187</v>
      </c>
      <c r="AZ193" t="s">
        <v>11221</v>
      </c>
      <c r="BE193" t="s">
        <v>11823</v>
      </c>
      <c r="BF193" t="s">
        <v>14364</v>
      </c>
      <c r="BM193" t="s">
        <v>15650</v>
      </c>
    </row>
    <row r="194" spans="1:65">
      <c r="A194" s="1">
        <f>HYPERLINK("https://lsnyc.legalserver.org/matter/dynamic-profile/view/1899822","19-1899822")</f>
        <v>0</v>
      </c>
      <c r="B194" t="s">
        <v>86</v>
      </c>
      <c r="C194" t="s">
        <v>245</v>
      </c>
      <c r="D194" t="s">
        <v>382</v>
      </c>
      <c r="F194" t="s">
        <v>1220</v>
      </c>
      <c r="G194" t="s">
        <v>2877</v>
      </c>
      <c r="H194" t="s">
        <v>4885</v>
      </c>
      <c r="I194" t="s">
        <v>6498</v>
      </c>
      <c r="J194" t="s">
        <v>7169</v>
      </c>
      <c r="K194">
        <v>10034</v>
      </c>
      <c r="M194" t="s">
        <v>7225</v>
      </c>
      <c r="N194" t="s">
        <v>7237</v>
      </c>
      <c r="O194" t="s">
        <v>7404</v>
      </c>
      <c r="P194">
        <v>2</v>
      </c>
      <c r="Q194">
        <v>2</v>
      </c>
      <c r="R194">
        <v>106.02</v>
      </c>
      <c r="U194">
        <v>27300</v>
      </c>
      <c r="W194">
        <v>17.2</v>
      </c>
      <c r="X194" t="s">
        <v>601</v>
      </c>
      <c r="Y194" t="s">
        <v>10892</v>
      </c>
      <c r="AA194" t="s">
        <v>10974</v>
      </c>
      <c r="AB194" t="s">
        <v>275</v>
      </c>
      <c r="AC194" t="s">
        <v>11081</v>
      </c>
      <c r="AF194" t="s">
        <v>11120</v>
      </c>
      <c r="AH194" t="s">
        <v>10975</v>
      </c>
      <c r="AJ194" t="s">
        <v>11129</v>
      </c>
      <c r="AK194" t="s">
        <v>7225</v>
      </c>
      <c r="AM194">
        <v>1287</v>
      </c>
      <c r="AO194">
        <v>57</v>
      </c>
      <c r="AQ194" t="s">
        <v>11157</v>
      </c>
      <c r="AS194" t="s">
        <v>11173</v>
      </c>
      <c r="AU194">
        <v>5</v>
      </c>
      <c r="AW194" t="s">
        <v>11189</v>
      </c>
      <c r="BA194" t="s">
        <v>11222</v>
      </c>
      <c r="BC194" t="s">
        <v>11245</v>
      </c>
      <c r="BE194" t="s">
        <v>11799</v>
      </c>
      <c r="BF194" t="s">
        <v>14364</v>
      </c>
      <c r="BM194" t="s">
        <v>15650</v>
      </c>
    </row>
    <row r="195" spans="1:65">
      <c r="A195" s="1">
        <f>HYPERLINK("https://lsnyc.legalserver.org/matter/dynamic-profile/view/1856867","18-1856867")</f>
        <v>0</v>
      </c>
      <c r="B195" t="s">
        <v>86</v>
      </c>
      <c r="C195" t="s">
        <v>245</v>
      </c>
      <c r="D195" t="s">
        <v>383</v>
      </c>
      <c r="F195" t="s">
        <v>1241</v>
      </c>
      <c r="G195" t="s">
        <v>3031</v>
      </c>
      <c r="H195" t="s">
        <v>4769</v>
      </c>
      <c r="I195" t="s">
        <v>6499</v>
      </c>
      <c r="J195" t="s">
        <v>7169</v>
      </c>
      <c r="K195">
        <v>10034</v>
      </c>
      <c r="N195" t="s">
        <v>7237</v>
      </c>
      <c r="O195" t="s">
        <v>7431</v>
      </c>
      <c r="P195">
        <v>3</v>
      </c>
      <c r="Q195">
        <v>1</v>
      </c>
      <c r="R195">
        <v>72.73</v>
      </c>
      <c r="U195">
        <v>26892</v>
      </c>
      <c r="W195">
        <v>64.59999999999999</v>
      </c>
      <c r="X195" t="s">
        <v>552</v>
      </c>
      <c r="Y195" t="s">
        <v>127</v>
      </c>
      <c r="AA195" t="s">
        <v>10974</v>
      </c>
      <c r="AB195" t="s">
        <v>383</v>
      </c>
      <c r="AD195" t="s">
        <v>11101</v>
      </c>
      <c r="AF195" t="s">
        <v>11120</v>
      </c>
      <c r="AH195" t="s">
        <v>10974</v>
      </c>
      <c r="AJ195" t="s">
        <v>11129</v>
      </c>
      <c r="AK195" t="s">
        <v>7225</v>
      </c>
      <c r="AM195">
        <v>774.26</v>
      </c>
      <c r="AO195">
        <v>65</v>
      </c>
      <c r="AQ195" t="s">
        <v>11157</v>
      </c>
      <c r="AS195" t="s">
        <v>11173</v>
      </c>
      <c r="AU195">
        <v>39</v>
      </c>
      <c r="AW195" t="s">
        <v>11189</v>
      </c>
      <c r="AZ195" t="s">
        <v>11221</v>
      </c>
      <c r="BE195" t="s">
        <v>11824</v>
      </c>
      <c r="BF195" t="s">
        <v>14364</v>
      </c>
      <c r="BM195" t="s">
        <v>15650</v>
      </c>
    </row>
    <row r="196" spans="1:65">
      <c r="A196" s="1">
        <f>HYPERLINK("https://lsnyc.legalserver.org/matter/dynamic-profile/view/1910959","19-1910959")</f>
        <v>0</v>
      </c>
      <c r="B196" t="s">
        <v>86</v>
      </c>
      <c r="C196" t="s">
        <v>245</v>
      </c>
      <c r="D196" t="s">
        <v>384</v>
      </c>
      <c r="F196" t="s">
        <v>1242</v>
      </c>
      <c r="G196" t="s">
        <v>3032</v>
      </c>
      <c r="H196" t="s">
        <v>4903</v>
      </c>
      <c r="I196">
        <v>21</v>
      </c>
      <c r="J196" t="s">
        <v>7169</v>
      </c>
      <c r="K196">
        <v>10034</v>
      </c>
      <c r="N196" t="s">
        <v>7237</v>
      </c>
      <c r="O196" t="s">
        <v>7432</v>
      </c>
      <c r="P196">
        <v>1</v>
      </c>
      <c r="Q196">
        <v>3</v>
      </c>
      <c r="R196">
        <v>72.7</v>
      </c>
      <c r="U196">
        <v>18720</v>
      </c>
      <c r="W196">
        <v>3.5</v>
      </c>
      <c r="X196" t="s">
        <v>671</v>
      </c>
      <c r="Y196" t="s">
        <v>127</v>
      </c>
      <c r="AA196" t="s">
        <v>10974</v>
      </c>
      <c r="AB196" t="s">
        <v>384</v>
      </c>
      <c r="AD196" t="s">
        <v>11090</v>
      </c>
      <c r="AF196" t="s">
        <v>11121</v>
      </c>
      <c r="AH196" t="s">
        <v>10975</v>
      </c>
      <c r="AJ196" t="s">
        <v>11130</v>
      </c>
      <c r="AK196" t="s">
        <v>7225</v>
      </c>
      <c r="AL196" t="s">
        <v>11150</v>
      </c>
      <c r="AM196">
        <v>0</v>
      </c>
      <c r="AO196">
        <v>88</v>
      </c>
      <c r="AQ196" t="s">
        <v>11157</v>
      </c>
      <c r="AS196" t="s">
        <v>11173</v>
      </c>
      <c r="AU196">
        <v>6</v>
      </c>
      <c r="AW196" t="s">
        <v>11187</v>
      </c>
      <c r="BA196" t="s">
        <v>11222</v>
      </c>
      <c r="BB196" t="s">
        <v>11224</v>
      </c>
      <c r="BC196" t="s">
        <v>11247</v>
      </c>
      <c r="BD196" t="s">
        <v>11667</v>
      </c>
      <c r="BF196" t="s">
        <v>14364</v>
      </c>
      <c r="BM196" t="s">
        <v>15650</v>
      </c>
    </row>
    <row r="197" spans="1:65">
      <c r="A197" s="1">
        <f>HYPERLINK("https://lsnyc.legalserver.org/matter/dynamic-profile/view/0830558","17-0830558")</f>
        <v>0</v>
      </c>
      <c r="B197" t="s">
        <v>86</v>
      </c>
      <c r="C197" t="s">
        <v>245</v>
      </c>
      <c r="D197" t="s">
        <v>385</v>
      </c>
      <c r="F197" t="s">
        <v>1243</v>
      </c>
      <c r="G197" t="s">
        <v>3033</v>
      </c>
      <c r="H197" t="s">
        <v>4904</v>
      </c>
      <c r="I197">
        <v>36</v>
      </c>
      <c r="J197" t="s">
        <v>7169</v>
      </c>
      <c r="K197">
        <v>10034</v>
      </c>
      <c r="N197" t="s">
        <v>7237</v>
      </c>
      <c r="O197" t="s">
        <v>7433</v>
      </c>
      <c r="P197">
        <v>2</v>
      </c>
      <c r="Q197">
        <v>0</v>
      </c>
      <c r="R197">
        <v>56.08</v>
      </c>
      <c r="U197">
        <v>9108</v>
      </c>
      <c r="W197">
        <v>1.9</v>
      </c>
      <c r="X197" t="s">
        <v>771</v>
      </c>
      <c r="Y197" t="s">
        <v>10859</v>
      </c>
      <c r="Z197" t="s">
        <v>10972</v>
      </c>
      <c r="AA197" t="s">
        <v>10975</v>
      </c>
      <c r="AD197" t="s">
        <v>11101</v>
      </c>
      <c r="AF197" t="s">
        <v>10384</v>
      </c>
      <c r="AH197" t="s">
        <v>10975</v>
      </c>
      <c r="AJ197" t="s">
        <v>11129</v>
      </c>
      <c r="AK197" t="s">
        <v>7225</v>
      </c>
      <c r="AM197">
        <v>1300</v>
      </c>
      <c r="AO197">
        <v>30</v>
      </c>
      <c r="AQ197" t="s">
        <v>11157</v>
      </c>
      <c r="AS197" t="s">
        <v>11174</v>
      </c>
      <c r="AU197">
        <v>41</v>
      </c>
      <c r="AW197" t="s">
        <v>11189</v>
      </c>
      <c r="AX197" t="s">
        <v>11212</v>
      </c>
      <c r="BA197" t="s">
        <v>11222</v>
      </c>
      <c r="BE197" t="s">
        <v>11825</v>
      </c>
      <c r="BF197" t="s">
        <v>14364</v>
      </c>
      <c r="BM197" t="s">
        <v>15650</v>
      </c>
    </row>
    <row r="198" spans="1:65">
      <c r="A198" s="1">
        <f>HYPERLINK("https://lsnyc.legalserver.org/matter/dynamic-profile/view/1910119","19-1910119")</f>
        <v>0</v>
      </c>
      <c r="B198" t="s">
        <v>86</v>
      </c>
      <c r="C198" t="s">
        <v>245</v>
      </c>
      <c r="D198" t="s">
        <v>335</v>
      </c>
      <c r="F198" t="s">
        <v>1100</v>
      </c>
      <c r="G198" t="s">
        <v>2892</v>
      </c>
      <c r="H198" t="s">
        <v>4770</v>
      </c>
      <c r="J198" t="s">
        <v>7169</v>
      </c>
      <c r="K198">
        <v>10033</v>
      </c>
      <c r="N198" t="s">
        <v>7237</v>
      </c>
      <c r="O198" t="s">
        <v>7269</v>
      </c>
      <c r="P198">
        <v>2</v>
      </c>
      <c r="Q198">
        <v>0</v>
      </c>
      <c r="R198">
        <v>34.35</v>
      </c>
      <c r="U198">
        <v>5808</v>
      </c>
      <c r="W198">
        <v>0</v>
      </c>
      <c r="X198" t="s">
        <v>561</v>
      </c>
      <c r="Y198" t="s">
        <v>127</v>
      </c>
      <c r="AA198" t="s">
        <v>10974</v>
      </c>
      <c r="AB198" t="s">
        <v>311</v>
      </c>
      <c r="AD198" t="s">
        <v>11101</v>
      </c>
      <c r="AF198" t="s">
        <v>10384</v>
      </c>
      <c r="AH198" t="s">
        <v>10974</v>
      </c>
      <c r="AJ198" t="s">
        <v>11130</v>
      </c>
      <c r="AK198" t="s">
        <v>7225</v>
      </c>
      <c r="AM198">
        <v>811.77</v>
      </c>
      <c r="AO198">
        <v>24</v>
      </c>
      <c r="AQ198" t="s">
        <v>11157</v>
      </c>
      <c r="AS198" t="s">
        <v>11175</v>
      </c>
      <c r="AU198">
        <v>45</v>
      </c>
      <c r="AW198" t="s">
        <v>11189</v>
      </c>
      <c r="BA198" t="s">
        <v>11222</v>
      </c>
      <c r="BE198" t="s">
        <v>11684</v>
      </c>
      <c r="BF198" t="s">
        <v>14364</v>
      </c>
      <c r="BM198" t="s">
        <v>15650</v>
      </c>
    </row>
    <row r="199" spans="1:65">
      <c r="A199" s="1">
        <f>HYPERLINK("https://lsnyc.legalserver.org/matter/dynamic-profile/view/1857270","18-1857270")</f>
        <v>0</v>
      </c>
      <c r="B199" t="s">
        <v>86</v>
      </c>
      <c r="C199" t="s">
        <v>245</v>
      </c>
      <c r="D199" t="s">
        <v>386</v>
      </c>
      <c r="F199" t="s">
        <v>1230</v>
      </c>
      <c r="G199" t="s">
        <v>3020</v>
      </c>
      <c r="H199" t="s">
        <v>4773</v>
      </c>
      <c r="I199">
        <v>106</v>
      </c>
      <c r="J199" t="s">
        <v>7169</v>
      </c>
      <c r="K199">
        <v>10034</v>
      </c>
      <c r="N199" t="s">
        <v>7237</v>
      </c>
      <c r="O199" t="s">
        <v>7417</v>
      </c>
      <c r="P199">
        <v>3</v>
      </c>
      <c r="Q199">
        <v>0</v>
      </c>
      <c r="R199">
        <v>170.42</v>
      </c>
      <c r="U199">
        <v>34800</v>
      </c>
      <c r="W199">
        <v>84.5</v>
      </c>
      <c r="X199" t="s">
        <v>403</v>
      </c>
      <c r="Y199" t="s">
        <v>127</v>
      </c>
      <c r="AA199" t="s">
        <v>10974</v>
      </c>
      <c r="AB199" t="s">
        <v>386</v>
      </c>
      <c r="AD199" t="s">
        <v>11082</v>
      </c>
      <c r="AF199" t="s">
        <v>11118</v>
      </c>
      <c r="AH199" t="s">
        <v>10975</v>
      </c>
      <c r="AJ199" t="s">
        <v>11130</v>
      </c>
      <c r="AK199" t="s">
        <v>7225</v>
      </c>
      <c r="AM199">
        <v>1092</v>
      </c>
      <c r="AO199">
        <v>47</v>
      </c>
      <c r="AQ199" t="s">
        <v>11157</v>
      </c>
      <c r="AS199" t="s">
        <v>11173</v>
      </c>
      <c r="AU199">
        <v>11</v>
      </c>
      <c r="AW199" t="s">
        <v>11187</v>
      </c>
      <c r="AZ199" t="s">
        <v>11221</v>
      </c>
      <c r="BC199" t="s">
        <v>11248</v>
      </c>
      <c r="BE199" t="s">
        <v>11812</v>
      </c>
      <c r="BG199" t="s">
        <v>14429</v>
      </c>
      <c r="BM199" t="s">
        <v>15650</v>
      </c>
    </row>
    <row r="200" spans="1:65">
      <c r="A200" s="1">
        <f>HYPERLINK("https://lsnyc.legalserver.org/matter/dynamic-profile/view/1837977","17-1837977")</f>
        <v>0</v>
      </c>
      <c r="B200" t="s">
        <v>86</v>
      </c>
      <c r="C200" t="s">
        <v>245</v>
      </c>
      <c r="D200" t="s">
        <v>376</v>
      </c>
      <c r="F200" t="s">
        <v>1094</v>
      </c>
      <c r="G200" t="s">
        <v>2884</v>
      </c>
      <c r="H200" t="s">
        <v>4900</v>
      </c>
      <c r="I200" t="s">
        <v>6410</v>
      </c>
      <c r="J200" t="s">
        <v>7169</v>
      </c>
      <c r="K200">
        <v>10040</v>
      </c>
      <c r="N200" t="s">
        <v>7237</v>
      </c>
      <c r="O200" t="s">
        <v>7425</v>
      </c>
      <c r="P200">
        <v>2</v>
      </c>
      <c r="Q200">
        <v>0</v>
      </c>
      <c r="R200">
        <v>103.37</v>
      </c>
      <c r="S200" t="s">
        <v>10257</v>
      </c>
      <c r="U200">
        <v>25584</v>
      </c>
      <c r="W200">
        <v>0.6</v>
      </c>
      <c r="X200" t="s">
        <v>771</v>
      </c>
      <c r="Y200" t="s">
        <v>10859</v>
      </c>
      <c r="AA200" t="s">
        <v>10974</v>
      </c>
      <c r="AB200" t="s">
        <v>411</v>
      </c>
      <c r="AD200" t="s">
        <v>11086</v>
      </c>
      <c r="AF200" t="s">
        <v>11120</v>
      </c>
      <c r="AH200" t="s">
        <v>10975</v>
      </c>
      <c r="AJ200" t="s">
        <v>11130</v>
      </c>
      <c r="AK200" t="s">
        <v>7225</v>
      </c>
      <c r="AM200">
        <v>802</v>
      </c>
      <c r="AO200">
        <v>92</v>
      </c>
      <c r="AQ200" t="s">
        <v>11157</v>
      </c>
      <c r="AS200" t="s">
        <v>11173</v>
      </c>
      <c r="AU200">
        <v>28</v>
      </c>
      <c r="AW200" t="s">
        <v>11189</v>
      </c>
      <c r="AZ200" t="s">
        <v>11221</v>
      </c>
      <c r="BE200" t="s">
        <v>11819</v>
      </c>
      <c r="BF200" t="s">
        <v>14364</v>
      </c>
      <c r="BM200" t="s">
        <v>15650</v>
      </c>
    </row>
    <row r="201" spans="1:65">
      <c r="A201" s="1">
        <f>HYPERLINK("https://lsnyc.legalserver.org/matter/dynamic-profile/view/1893534","19-1893534")</f>
        <v>0</v>
      </c>
      <c r="B201" t="s">
        <v>86</v>
      </c>
      <c r="C201" t="s">
        <v>245</v>
      </c>
      <c r="D201" t="s">
        <v>344</v>
      </c>
      <c r="F201" t="s">
        <v>1204</v>
      </c>
      <c r="G201" t="s">
        <v>3029</v>
      </c>
      <c r="H201" t="s">
        <v>4754</v>
      </c>
      <c r="I201">
        <v>2</v>
      </c>
      <c r="J201" t="s">
        <v>7169</v>
      </c>
      <c r="K201">
        <v>10034</v>
      </c>
      <c r="N201" t="s">
        <v>7237</v>
      </c>
      <c r="O201" t="s">
        <v>7434</v>
      </c>
      <c r="P201">
        <v>1</v>
      </c>
      <c r="Q201">
        <v>0</v>
      </c>
      <c r="R201">
        <v>72.06</v>
      </c>
      <c r="U201">
        <v>9000</v>
      </c>
      <c r="W201">
        <v>1.3</v>
      </c>
      <c r="X201" t="s">
        <v>976</v>
      </c>
      <c r="Y201" t="s">
        <v>127</v>
      </c>
      <c r="AA201" t="s">
        <v>10974</v>
      </c>
      <c r="AB201" t="s">
        <v>344</v>
      </c>
      <c r="AD201" t="s">
        <v>11082</v>
      </c>
      <c r="AF201" t="s">
        <v>10384</v>
      </c>
      <c r="AH201" t="s">
        <v>10975</v>
      </c>
      <c r="AJ201" t="s">
        <v>11130</v>
      </c>
      <c r="AK201" t="s">
        <v>7225</v>
      </c>
      <c r="AM201">
        <v>553</v>
      </c>
      <c r="AO201">
        <v>25</v>
      </c>
      <c r="AQ201" t="s">
        <v>11157</v>
      </c>
      <c r="AS201" t="s">
        <v>11175</v>
      </c>
      <c r="AU201">
        <v>42</v>
      </c>
      <c r="AW201" t="s">
        <v>11189</v>
      </c>
      <c r="BA201" t="s">
        <v>11222</v>
      </c>
      <c r="BE201" t="s">
        <v>11826</v>
      </c>
      <c r="BF201" t="s">
        <v>14364</v>
      </c>
      <c r="BM201" t="s">
        <v>15650</v>
      </c>
    </row>
    <row r="202" spans="1:65">
      <c r="A202" s="1">
        <f>HYPERLINK("https://lsnyc.legalserver.org/matter/dynamic-profile/view/1841424","17-1841424")</f>
        <v>0</v>
      </c>
      <c r="B202" t="s">
        <v>86</v>
      </c>
      <c r="C202" t="s">
        <v>245</v>
      </c>
      <c r="D202" t="s">
        <v>358</v>
      </c>
      <c r="F202" t="s">
        <v>1241</v>
      </c>
      <c r="G202" t="s">
        <v>3031</v>
      </c>
      <c r="H202" t="s">
        <v>4769</v>
      </c>
      <c r="I202" t="s">
        <v>6499</v>
      </c>
      <c r="J202" t="s">
        <v>7169</v>
      </c>
      <c r="K202">
        <v>10034</v>
      </c>
      <c r="N202" t="s">
        <v>7237</v>
      </c>
      <c r="O202" t="s">
        <v>7431</v>
      </c>
      <c r="P202">
        <v>3</v>
      </c>
      <c r="Q202">
        <v>1</v>
      </c>
      <c r="R202">
        <v>72.73</v>
      </c>
      <c r="U202">
        <v>17892</v>
      </c>
      <c r="W202">
        <v>45.3</v>
      </c>
      <c r="X202" t="s">
        <v>552</v>
      </c>
      <c r="Y202" t="s">
        <v>127</v>
      </c>
      <c r="AA202" t="s">
        <v>10974</v>
      </c>
      <c r="AB202" t="s">
        <v>348</v>
      </c>
      <c r="AD202" t="s">
        <v>11083</v>
      </c>
      <c r="AF202" t="s">
        <v>11118</v>
      </c>
      <c r="AH202" t="s">
        <v>10975</v>
      </c>
      <c r="AJ202" t="s">
        <v>11130</v>
      </c>
      <c r="AK202" t="s">
        <v>7225</v>
      </c>
      <c r="AM202">
        <v>774.26</v>
      </c>
      <c r="AO202">
        <v>65</v>
      </c>
      <c r="AQ202" t="s">
        <v>11157</v>
      </c>
      <c r="AS202" t="s">
        <v>11173</v>
      </c>
      <c r="AU202">
        <v>39</v>
      </c>
      <c r="AW202" t="s">
        <v>11189</v>
      </c>
      <c r="AZ202" t="s">
        <v>11221</v>
      </c>
      <c r="BE202" t="s">
        <v>11824</v>
      </c>
      <c r="BG202" t="s">
        <v>14430</v>
      </c>
      <c r="BM202" t="s">
        <v>15650</v>
      </c>
    </row>
    <row r="203" spans="1:65">
      <c r="A203" s="1">
        <f>HYPERLINK("https://lsnyc.legalserver.org/matter/dynamic-profile/view/1841429","17-1841429")</f>
        <v>0</v>
      </c>
      <c r="B203" t="s">
        <v>86</v>
      </c>
      <c r="C203" t="s">
        <v>245</v>
      </c>
      <c r="D203" t="s">
        <v>358</v>
      </c>
      <c r="F203" t="s">
        <v>1234</v>
      </c>
      <c r="G203" t="s">
        <v>3002</v>
      </c>
      <c r="H203" t="s">
        <v>4905</v>
      </c>
      <c r="I203" t="s">
        <v>6500</v>
      </c>
      <c r="J203" t="s">
        <v>7169</v>
      </c>
      <c r="K203">
        <v>10034</v>
      </c>
      <c r="N203" t="s">
        <v>7237</v>
      </c>
      <c r="O203" t="s">
        <v>7422</v>
      </c>
      <c r="P203">
        <v>3</v>
      </c>
      <c r="Q203">
        <v>0</v>
      </c>
      <c r="R203">
        <v>92.38</v>
      </c>
      <c r="U203">
        <v>18864</v>
      </c>
      <c r="W203">
        <v>9.199999999999999</v>
      </c>
      <c r="X203" t="s">
        <v>396</v>
      </c>
      <c r="Y203" t="s">
        <v>127</v>
      </c>
      <c r="AA203" t="s">
        <v>10974</v>
      </c>
      <c r="AB203" t="s">
        <v>348</v>
      </c>
      <c r="AD203" t="s">
        <v>11100</v>
      </c>
      <c r="AF203" t="s">
        <v>11120</v>
      </c>
      <c r="AH203" t="s">
        <v>10975</v>
      </c>
      <c r="AJ203" t="s">
        <v>11130</v>
      </c>
      <c r="AK203" t="s">
        <v>7225</v>
      </c>
      <c r="AM203">
        <v>719.53</v>
      </c>
      <c r="AO203">
        <v>31</v>
      </c>
      <c r="AQ203" t="s">
        <v>11157</v>
      </c>
      <c r="AS203" t="s">
        <v>11175</v>
      </c>
      <c r="AU203">
        <v>27</v>
      </c>
      <c r="AW203" t="s">
        <v>11189</v>
      </c>
      <c r="AZ203" t="s">
        <v>11221</v>
      </c>
      <c r="BE203" t="s">
        <v>11816</v>
      </c>
      <c r="BF203" t="s">
        <v>14364</v>
      </c>
      <c r="BM203" t="s">
        <v>15650</v>
      </c>
    </row>
    <row r="204" spans="1:65">
      <c r="A204" s="1">
        <f>HYPERLINK("https://lsnyc.legalserver.org/matter/dynamic-profile/view/1866667","18-1866667")</f>
        <v>0</v>
      </c>
      <c r="B204" t="s">
        <v>86</v>
      </c>
      <c r="C204" t="s">
        <v>245</v>
      </c>
      <c r="D204" t="s">
        <v>387</v>
      </c>
      <c r="F204" t="s">
        <v>1214</v>
      </c>
      <c r="G204" t="s">
        <v>3005</v>
      </c>
      <c r="H204" t="s">
        <v>4876</v>
      </c>
      <c r="I204" t="s">
        <v>6485</v>
      </c>
      <c r="J204" t="s">
        <v>7169</v>
      </c>
      <c r="K204">
        <v>10034</v>
      </c>
      <c r="N204" t="s">
        <v>7237</v>
      </c>
      <c r="O204" t="s">
        <v>7395</v>
      </c>
      <c r="P204">
        <v>1</v>
      </c>
      <c r="Q204">
        <v>0</v>
      </c>
      <c r="R204">
        <v>178.33</v>
      </c>
      <c r="U204">
        <v>21649.2</v>
      </c>
      <c r="W204">
        <v>10.2</v>
      </c>
      <c r="X204" t="s">
        <v>773</v>
      </c>
      <c r="Y204" t="s">
        <v>127</v>
      </c>
      <c r="AA204" t="s">
        <v>10974</v>
      </c>
      <c r="AB204" t="s">
        <v>861</v>
      </c>
      <c r="AD204" t="s">
        <v>11082</v>
      </c>
      <c r="AF204" t="s">
        <v>11118</v>
      </c>
      <c r="AH204" t="s">
        <v>10975</v>
      </c>
      <c r="AJ204" t="s">
        <v>11129</v>
      </c>
      <c r="AK204" t="s">
        <v>7225</v>
      </c>
      <c r="AM204">
        <v>1348.66</v>
      </c>
      <c r="AO204">
        <v>42</v>
      </c>
      <c r="AQ204" t="s">
        <v>11157</v>
      </c>
      <c r="AS204" t="s">
        <v>11175</v>
      </c>
      <c r="AU204">
        <v>25</v>
      </c>
      <c r="AW204" t="s">
        <v>11189</v>
      </c>
      <c r="AZ204" t="s">
        <v>11221</v>
      </c>
      <c r="BE204" t="s">
        <v>11790</v>
      </c>
      <c r="BG204" t="s">
        <v>14431</v>
      </c>
      <c r="BM204" t="s">
        <v>15650</v>
      </c>
    </row>
    <row r="205" spans="1:65">
      <c r="A205" s="1">
        <f>HYPERLINK("https://lsnyc.legalserver.org/matter/dynamic-profile/view/1900478","19-1900478")</f>
        <v>0</v>
      </c>
      <c r="B205" t="s">
        <v>86</v>
      </c>
      <c r="C205" t="s">
        <v>245</v>
      </c>
      <c r="D205" t="s">
        <v>275</v>
      </c>
      <c r="F205" t="s">
        <v>1244</v>
      </c>
      <c r="G205" t="s">
        <v>3034</v>
      </c>
      <c r="H205" t="s">
        <v>4906</v>
      </c>
      <c r="I205" t="s">
        <v>6501</v>
      </c>
      <c r="J205" t="s">
        <v>7169</v>
      </c>
      <c r="K205">
        <v>10040</v>
      </c>
      <c r="N205" t="s">
        <v>7237</v>
      </c>
      <c r="O205" t="s">
        <v>7435</v>
      </c>
      <c r="P205">
        <v>3</v>
      </c>
      <c r="Q205">
        <v>1</v>
      </c>
      <c r="R205">
        <v>232.25</v>
      </c>
      <c r="U205">
        <v>59804</v>
      </c>
      <c r="W205">
        <v>1.3</v>
      </c>
      <c r="X205" t="s">
        <v>315</v>
      </c>
      <c r="Y205" t="s">
        <v>127</v>
      </c>
      <c r="AA205" t="s">
        <v>10974</v>
      </c>
      <c r="AB205" t="s">
        <v>275</v>
      </c>
      <c r="AC205" t="s">
        <v>11081</v>
      </c>
      <c r="AF205" t="s">
        <v>11119</v>
      </c>
      <c r="AH205" t="s">
        <v>10975</v>
      </c>
      <c r="AI205" t="s">
        <v>11126</v>
      </c>
      <c r="AK205" t="s">
        <v>7225</v>
      </c>
      <c r="AM205">
        <v>1491.4</v>
      </c>
      <c r="AO205">
        <v>80</v>
      </c>
      <c r="AQ205" t="s">
        <v>11157</v>
      </c>
      <c r="AS205" t="s">
        <v>11173</v>
      </c>
      <c r="AU205">
        <v>24</v>
      </c>
      <c r="AW205" t="s">
        <v>11189</v>
      </c>
      <c r="BA205" t="s">
        <v>11222</v>
      </c>
      <c r="BE205" t="s">
        <v>11827</v>
      </c>
      <c r="BF205" t="s">
        <v>14364</v>
      </c>
      <c r="BM205" t="s">
        <v>15650</v>
      </c>
    </row>
    <row r="206" spans="1:65">
      <c r="A206" s="1">
        <f>HYPERLINK("https://lsnyc.legalserver.org/matter/dynamic-profile/view/1862035","18-1862035")</f>
        <v>0</v>
      </c>
      <c r="B206" t="s">
        <v>86</v>
      </c>
      <c r="C206" t="s">
        <v>245</v>
      </c>
      <c r="D206" t="s">
        <v>388</v>
      </c>
      <c r="F206" t="s">
        <v>1245</v>
      </c>
      <c r="G206" t="s">
        <v>3035</v>
      </c>
      <c r="H206" t="s">
        <v>4907</v>
      </c>
      <c r="I206" t="s">
        <v>6410</v>
      </c>
      <c r="J206" t="s">
        <v>7169</v>
      </c>
      <c r="K206">
        <v>10032</v>
      </c>
      <c r="N206" t="s">
        <v>7237</v>
      </c>
      <c r="O206" t="s">
        <v>7436</v>
      </c>
      <c r="P206">
        <v>1</v>
      </c>
      <c r="Q206">
        <v>0</v>
      </c>
      <c r="R206">
        <v>154</v>
      </c>
      <c r="U206">
        <v>18696</v>
      </c>
      <c r="W206">
        <v>5.1</v>
      </c>
      <c r="X206" t="s">
        <v>771</v>
      </c>
      <c r="Y206" t="s">
        <v>127</v>
      </c>
      <c r="AA206" t="s">
        <v>10974</v>
      </c>
      <c r="AB206" t="s">
        <v>388</v>
      </c>
      <c r="AD206" t="s">
        <v>11090</v>
      </c>
      <c r="AF206" t="s">
        <v>11120</v>
      </c>
      <c r="AH206" t="s">
        <v>10975</v>
      </c>
      <c r="AJ206" t="s">
        <v>11130</v>
      </c>
      <c r="AK206" t="s">
        <v>7225</v>
      </c>
      <c r="AM206">
        <v>247.5</v>
      </c>
      <c r="AO206">
        <v>28</v>
      </c>
      <c r="AQ206" t="s">
        <v>11157</v>
      </c>
      <c r="AS206" t="s">
        <v>11173</v>
      </c>
      <c r="AU206">
        <v>30</v>
      </c>
      <c r="AW206" t="s">
        <v>11189</v>
      </c>
      <c r="BA206" t="s">
        <v>11222</v>
      </c>
      <c r="BE206" t="s">
        <v>11828</v>
      </c>
      <c r="BF206" t="s">
        <v>14364</v>
      </c>
      <c r="BM206" t="s">
        <v>15650</v>
      </c>
    </row>
    <row r="207" spans="1:65">
      <c r="A207" s="1">
        <f>HYPERLINK("https://lsnyc.legalserver.org/matter/dynamic-profile/view/1897636","19-1897636")</f>
        <v>0</v>
      </c>
      <c r="B207" t="s">
        <v>86</v>
      </c>
      <c r="C207" t="s">
        <v>245</v>
      </c>
      <c r="D207" t="s">
        <v>389</v>
      </c>
      <c r="F207" t="s">
        <v>1246</v>
      </c>
      <c r="G207" t="s">
        <v>1149</v>
      </c>
      <c r="H207" t="s">
        <v>4908</v>
      </c>
      <c r="I207">
        <v>24</v>
      </c>
      <c r="J207" t="s">
        <v>7169</v>
      </c>
      <c r="K207">
        <v>10033</v>
      </c>
      <c r="N207" t="s">
        <v>7237</v>
      </c>
      <c r="O207" t="s">
        <v>7437</v>
      </c>
      <c r="P207">
        <v>1</v>
      </c>
      <c r="Q207">
        <v>0</v>
      </c>
      <c r="R207">
        <v>38.24</v>
      </c>
      <c r="U207">
        <v>4776</v>
      </c>
      <c r="W207">
        <v>3.8</v>
      </c>
      <c r="X207" t="s">
        <v>638</v>
      </c>
      <c r="Y207" t="s">
        <v>127</v>
      </c>
      <c r="AA207" t="s">
        <v>10974</v>
      </c>
      <c r="AB207" t="s">
        <v>389</v>
      </c>
      <c r="AD207" t="s">
        <v>11083</v>
      </c>
      <c r="AF207" t="s">
        <v>11118</v>
      </c>
      <c r="AH207" t="s">
        <v>10975</v>
      </c>
      <c r="AJ207" t="s">
        <v>11129</v>
      </c>
      <c r="AK207" t="s">
        <v>7225</v>
      </c>
      <c r="AM207">
        <v>816.66</v>
      </c>
      <c r="AO207">
        <v>20</v>
      </c>
      <c r="AQ207" t="s">
        <v>11157</v>
      </c>
      <c r="AS207" t="s">
        <v>11173</v>
      </c>
      <c r="AU207">
        <v>23</v>
      </c>
      <c r="AW207" t="s">
        <v>11189</v>
      </c>
      <c r="BA207" t="s">
        <v>11222</v>
      </c>
      <c r="BE207" t="s">
        <v>11829</v>
      </c>
      <c r="BF207" t="s">
        <v>14364</v>
      </c>
      <c r="BM207" t="s">
        <v>15650</v>
      </c>
    </row>
    <row r="208" spans="1:65">
      <c r="A208" s="1">
        <f>HYPERLINK("https://lsnyc.legalserver.org/matter/dynamic-profile/view/1888002","19-1888002")</f>
        <v>0</v>
      </c>
      <c r="B208" t="s">
        <v>86</v>
      </c>
      <c r="C208" t="s">
        <v>245</v>
      </c>
      <c r="D208" t="s">
        <v>329</v>
      </c>
      <c r="F208" t="s">
        <v>1247</v>
      </c>
      <c r="G208" t="s">
        <v>1573</v>
      </c>
      <c r="H208" t="s">
        <v>4868</v>
      </c>
      <c r="I208">
        <v>1</v>
      </c>
      <c r="J208" t="s">
        <v>7169</v>
      </c>
      <c r="K208">
        <v>10034</v>
      </c>
      <c r="N208" t="s">
        <v>7237</v>
      </c>
      <c r="O208" t="s">
        <v>7438</v>
      </c>
      <c r="P208">
        <v>2</v>
      </c>
      <c r="Q208">
        <v>1</v>
      </c>
      <c r="R208">
        <v>240.62</v>
      </c>
      <c r="U208">
        <v>50000</v>
      </c>
      <c r="W208">
        <v>0.9</v>
      </c>
      <c r="X208" t="s">
        <v>528</v>
      </c>
      <c r="Y208" t="s">
        <v>127</v>
      </c>
      <c r="AA208" t="s">
        <v>10974</v>
      </c>
      <c r="AB208" t="s">
        <v>329</v>
      </c>
      <c r="AD208" t="s">
        <v>11101</v>
      </c>
      <c r="AF208" t="s">
        <v>11118</v>
      </c>
      <c r="AH208" t="s">
        <v>10974</v>
      </c>
      <c r="AJ208" t="s">
        <v>11130</v>
      </c>
      <c r="AK208" t="s">
        <v>7225</v>
      </c>
      <c r="AM208">
        <v>1679</v>
      </c>
      <c r="AO208">
        <v>25</v>
      </c>
      <c r="AQ208" t="s">
        <v>11157</v>
      </c>
      <c r="AS208" t="s">
        <v>11173</v>
      </c>
      <c r="AU208">
        <v>9</v>
      </c>
      <c r="AW208" t="s">
        <v>11187</v>
      </c>
      <c r="AZ208" t="s">
        <v>11221</v>
      </c>
      <c r="BE208" t="s">
        <v>11830</v>
      </c>
      <c r="BG208" t="s">
        <v>14417</v>
      </c>
      <c r="BM208" t="s">
        <v>15650</v>
      </c>
    </row>
    <row r="209" spans="1:67">
      <c r="A209" s="1">
        <f>HYPERLINK("https://lsnyc.legalserver.org/matter/dynamic-profile/view/1897652","19-1897652")</f>
        <v>0</v>
      </c>
      <c r="B209" t="s">
        <v>86</v>
      </c>
      <c r="C209" t="s">
        <v>245</v>
      </c>
      <c r="D209" t="s">
        <v>389</v>
      </c>
      <c r="F209" t="s">
        <v>1246</v>
      </c>
      <c r="G209" t="s">
        <v>1149</v>
      </c>
      <c r="H209" t="s">
        <v>4908</v>
      </c>
      <c r="I209">
        <v>24</v>
      </c>
      <c r="J209" t="s">
        <v>7169</v>
      </c>
      <c r="K209">
        <v>10033</v>
      </c>
      <c r="N209" t="s">
        <v>7237</v>
      </c>
      <c r="O209" t="s">
        <v>7437</v>
      </c>
      <c r="P209">
        <v>1</v>
      </c>
      <c r="Q209">
        <v>0</v>
      </c>
      <c r="R209">
        <v>38.24</v>
      </c>
      <c r="U209">
        <v>4776</v>
      </c>
      <c r="W209">
        <v>0</v>
      </c>
      <c r="X209" t="s">
        <v>274</v>
      </c>
      <c r="Y209" t="s">
        <v>127</v>
      </c>
      <c r="AA209" t="s">
        <v>10974</v>
      </c>
      <c r="AB209" t="s">
        <v>389</v>
      </c>
      <c r="AD209" t="s">
        <v>11088</v>
      </c>
      <c r="AF209" t="s">
        <v>10384</v>
      </c>
      <c r="AH209" t="s">
        <v>10975</v>
      </c>
      <c r="AJ209" t="s">
        <v>11129</v>
      </c>
      <c r="AK209" t="s">
        <v>7225</v>
      </c>
      <c r="AM209">
        <v>816.66</v>
      </c>
      <c r="AO209">
        <v>20</v>
      </c>
      <c r="AQ209" t="s">
        <v>11157</v>
      </c>
      <c r="AS209" t="s">
        <v>11173</v>
      </c>
      <c r="AU209">
        <v>23</v>
      </c>
      <c r="AW209" t="s">
        <v>11189</v>
      </c>
      <c r="BA209" t="s">
        <v>11222</v>
      </c>
      <c r="BE209" t="s">
        <v>11829</v>
      </c>
      <c r="BF209" t="s">
        <v>14364</v>
      </c>
      <c r="BM209" t="s">
        <v>15650</v>
      </c>
    </row>
    <row r="210" spans="1:67">
      <c r="A210" s="1">
        <f>HYPERLINK("https://lsnyc.legalserver.org/matter/dynamic-profile/view/1833090","17-1833090")</f>
        <v>0</v>
      </c>
      <c r="B210" t="s">
        <v>86</v>
      </c>
      <c r="C210" t="s">
        <v>245</v>
      </c>
      <c r="D210" t="s">
        <v>390</v>
      </c>
      <c r="F210" t="s">
        <v>1248</v>
      </c>
      <c r="G210" t="s">
        <v>3036</v>
      </c>
      <c r="H210" t="s">
        <v>4909</v>
      </c>
      <c r="I210">
        <v>41</v>
      </c>
      <c r="J210" t="s">
        <v>7169</v>
      </c>
      <c r="K210">
        <v>10040</v>
      </c>
      <c r="N210" t="s">
        <v>7237</v>
      </c>
      <c r="O210" t="s">
        <v>7439</v>
      </c>
      <c r="P210">
        <v>1</v>
      </c>
      <c r="Q210">
        <v>0</v>
      </c>
      <c r="R210">
        <v>78.81</v>
      </c>
      <c r="S210" t="s">
        <v>10258</v>
      </c>
      <c r="U210">
        <v>9504</v>
      </c>
      <c r="W210">
        <v>63</v>
      </c>
      <c r="X210" t="s">
        <v>337</v>
      </c>
      <c r="Y210" t="s">
        <v>10859</v>
      </c>
      <c r="AA210" t="s">
        <v>10974</v>
      </c>
      <c r="AB210" t="s">
        <v>348</v>
      </c>
      <c r="AD210" t="s">
        <v>11086</v>
      </c>
      <c r="AF210" t="s">
        <v>11120</v>
      </c>
      <c r="AH210" t="s">
        <v>10975</v>
      </c>
      <c r="AJ210" t="s">
        <v>11104</v>
      </c>
      <c r="AK210" t="s">
        <v>7225</v>
      </c>
      <c r="AM210">
        <v>1194</v>
      </c>
      <c r="AO210">
        <v>21</v>
      </c>
      <c r="AQ210" t="s">
        <v>11157</v>
      </c>
      <c r="AS210" t="s">
        <v>11173</v>
      </c>
      <c r="AU210">
        <v>20</v>
      </c>
      <c r="AW210" t="s">
        <v>11189</v>
      </c>
      <c r="AZ210" t="s">
        <v>11221</v>
      </c>
      <c r="BE210" t="s">
        <v>11831</v>
      </c>
      <c r="BF210" t="s">
        <v>14364</v>
      </c>
      <c r="BM210" t="s">
        <v>15650</v>
      </c>
    </row>
    <row r="211" spans="1:67">
      <c r="A211" s="1">
        <f>HYPERLINK("https://lsnyc.legalserver.org/matter/dynamic-profile/view/1850542","17-1850542")</f>
        <v>0</v>
      </c>
      <c r="B211" t="s">
        <v>86</v>
      </c>
      <c r="C211" t="s">
        <v>245</v>
      </c>
      <c r="D211" t="s">
        <v>391</v>
      </c>
      <c r="F211" t="s">
        <v>1249</v>
      </c>
      <c r="G211" t="s">
        <v>2992</v>
      </c>
      <c r="H211" t="s">
        <v>4862</v>
      </c>
      <c r="I211">
        <v>23</v>
      </c>
      <c r="J211" t="s">
        <v>7169</v>
      </c>
      <c r="K211">
        <v>10034</v>
      </c>
      <c r="N211" t="s">
        <v>7237</v>
      </c>
      <c r="O211" t="s">
        <v>7440</v>
      </c>
      <c r="P211">
        <v>1</v>
      </c>
      <c r="Q211">
        <v>0</v>
      </c>
      <c r="R211">
        <v>83.58</v>
      </c>
      <c r="U211">
        <v>10080</v>
      </c>
      <c r="W211">
        <v>1.5</v>
      </c>
      <c r="X211" t="s">
        <v>771</v>
      </c>
      <c r="Y211" t="s">
        <v>127</v>
      </c>
      <c r="AA211" t="s">
        <v>10974</v>
      </c>
      <c r="AB211" t="s">
        <v>391</v>
      </c>
      <c r="AD211" t="s">
        <v>11101</v>
      </c>
      <c r="AF211" t="s">
        <v>11121</v>
      </c>
      <c r="AH211" t="s">
        <v>10974</v>
      </c>
      <c r="AJ211" t="s">
        <v>11130</v>
      </c>
      <c r="AK211" t="s">
        <v>7225</v>
      </c>
      <c r="AM211">
        <v>850</v>
      </c>
      <c r="AO211">
        <v>25</v>
      </c>
      <c r="AQ211" t="s">
        <v>11157</v>
      </c>
      <c r="AS211" t="s">
        <v>11175</v>
      </c>
      <c r="AU211">
        <v>35</v>
      </c>
      <c r="AW211" t="s">
        <v>11189</v>
      </c>
      <c r="AZ211" t="s">
        <v>11221</v>
      </c>
      <c r="BE211" t="s">
        <v>11832</v>
      </c>
      <c r="BF211" t="s">
        <v>14364</v>
      </c>
      <c r="BM211" t="s">
        <v>15650</v>
      </c>
    </row>
    <row r="212" spans="1:67">
      <c r="A212" s="1">
        <f>HYPERLINK("https://lsnyc.legalserver.org/matter/dynamic-profile/view/1868627","18-1868627")</f>
        <v>0</v>
      </c>
      <c r="B212" t="s">
        <v>86</v>
      </c>
      <c r="C212" t="s">
        <v>245</v>
      </c>
      <c r="D212" t="s">
        <v>392</v>
      </c>
      <c r="F212" t="s">
        <v>1250</v>
      </c>
      <c r="G212" t="s">
        <v>2998</v>
      </c>
      <c r="H212" t="s">
        <v>4910</v>
      </c>
      <c r="I212" t="s">
        <v>6477</v>
      </c>
      <c r="J212" t="s">
        <v>7169</v>
      </c>
      <c r="K212">
        <v>10034</v>
      </c>
      <c r="N212" t="s">
        <v>7237</v>
      </c>
      <c r="O212" t="s">
        <v>7441</v>
      </c>
      <c r="P212">
        <v>1</v>
      </c>
      <c r="Q212">
        <v>0</v>
      </c>
      <c r="R212">
        <v>74.14</v>
      </c>
      <c r="U212">
        <v>9000</v>
      </c>
      <c r="W212">
        <v>9.5</v>
      </c>
      <c r="X212" t="s">
        <v>628</v>
      </c>
      <c r="Y212" t="s">
        <v>10862</v>
      </c>
      <c r="AA212" t="s">
        <v>10974</v>
      </c>
      <c r="AB212" t="s">
        <v>641</v>
      </c>
      <c r="AD212" t="s">
        <v>11082</v>
      </c>
      <c r="AF212" t="s">
        <v>11118</v>
      </c>
      <c r="AH212" t="s">
        <v>10975</v>
      </c>
      <c r="AJ212" t="s">
        <v>11128</v>
      </c>
      <c r="AK212" t="s">
        <v>7225</v>
      </c>
      <c r="AM212">
        <v>1047</v>
      </c>
      <c r="AO212">
        <v>26</v>
      </c>
      <c r="AQ212" t="s">
        <v>11157</v>
      </c>
      <c r="AS212" t="s">
        <v>11175</v>
      </c>
      <c r="AU212">
        <v>22</v>
      </c>
      <c r="AV212" t="s">
        <v>11186</v>
      </c>
      <c r="AY212" t="s">
        <v>11213</v>
      </c>
      <c r="AZ212" t="s">
        <v>11221</v>
      </c>
      <c r="BE212" t="s">
        <v>11833</v>
      </c>
      <c r="BG212" t="s">
        <v>14432</v>
      </c>
      <c r="BK212" t="s">
        <v>15620</v>
      </c>
      <c r="BM212" t="s">
        <v>15650</v>
      </c>
      <c r="BN212" t="s">
        <v>15652</v>
      </c>
      <c r="BO212" t="s">
        <v>15662</v>
      </c>
    </row>
    <row r="213" spans="1:67">
      <c r="A213" s="1">
        <f>HYPERLINK("https://lsnyc.legalserver.org/matter/dynamic-profile/view/1840577","17-1840577")</f>
        <v>0</v>
      </c>
      <c r="B213" t="s">
        <v>86</v>
      </c>
      <c r="C213" t="s">
        <v>245</v>
      </c>
      <c r="D213" t="s">
        <v>393</v>
      </c>
      <c r="F213" t="s">
        <v>1124</v>
      </c>
      <c r="G213" t="s">
        <v>2885</v>
      </c>
      <c r="H213" t="s">
        <v>4911</v>
      </c>
      <c r="I213">
        <v>35</v>
      </c>
      <c r="J213" t="s">
        <v>7169</v>
      </c>
      <c r="K213">
        <v>10034</v>
      </c>
      <c r="M213" t="s">
        <v>7225</v>
      </c>
      <c r="N213" t="s">
        <v>7237</v>
      </c>
      <c r="O213" t="s">
        <v>7442</v>
      </c>
      <c r="P213">
        <v>2</v>
      </c>
      <c r="Q213">
        <v>2</v>
      </c>
      <c r="R213">
        <v>48.29</v>
      </c>
      <c r="U213">
        <v>11880</v>
      </c>
      <c r="W213">
        <v>33.5</v>
      </c>
      <c r="X213" t="s">
        <v>731</v>
      </c>
      <c r="Y213" t="s">
        <v>10884</v>
      </c>
      <c r="AA213" t="s">
        <v>10974</v>
      </c>
      <c r="AB213" t="s">
        <v>348</v>
      </c>
      <c r="AD213" t="s">
        <v>11104</v>
      </c>
      <c r="AF213" t="s">
        <v>11120</v>
      </c>
      <c r="AH213" t="s">
        <v>10975</v>
      </c>
      <c r="AJ213" t="s">
        <v>11104</v>
      </c>
      <c r="AK213" t="s">
        <v>7225</v>
      </c>
      <c r="AM213">
        <v>900</v>
      </c>
      <c r="AO213">
        <v>60</v>
      </c>
      <c r="AQ213" t="s">
        <v>11164</v>
      </c>
      <c r="AS213" t="s">
        <v>11173</v>
      </c>
      <c r="AU213">
        <v>23</v>
      </c>
      <c r="AW213" t="s">
        <v>11187</v>
      </c>
      <c r="AZ213" t="s">
        <v>11221</v>
      </c>
      <c r="BE213" t="s">
        <v>11834</v>
      </c>
      <c r="BF213" t="s">
        <v>14364</v>
      </c>
      <c r="BM213" t="s">
        <v>15650</v>
      </c>
    </row>
    <row r="214" spans="1:67">
      <c r="A214" s="1">
        <f>HYPERLINK("https://lsnyc.legalserver.org/matter/dynamic-profile/view/1887963","19-1887963")</f>
        <v>0</v>
      </c>
      <c r="B214" t="s">
        <v>86</v>
      </c>
      <c r="C214" t="s">
        <v>245</v>
      </c>
      <c r="D214" t="s">
        <v>329</v>
      </c>
      <c r="F214" t="s">
        <v>1251</v>
      </c>
      <c r="G214" t="s">
        <v>3037</v>
      </c>
      <c r="H214" t="s">
        <v>4868</v>
      </c>
      <c r="I214">
        <v>22</v>
      </c>
      <c r="J214" t="s">
        <v>7169</v>
      </c>
      <c r="K214">
        <v>10034</v>
      </c>
      <c r="N214" t="s">
        <v>7237</v>
      </c>
      <c r="O214" t="s">
        <v>7443</v>
      </c>
      <c r="P214">
        <v>1</v>
      </c>
      <c r="Q214">
        <v>0</v>
      </c>
      <c r="R214">
        <v>79.12</v>
      </c>
      <c r="U214">
        <v>9604.799999999999</v>
      </c>
      <c r="W214">
        <v>0.3</v>
      </c>
      <c r="X214" t="s">
        <v>528</v>
      </c>
      <c r="Y214" t="s">
        <v>127</v>
      </c>
      <c r="AA214" t="s">
        <v>10974</v>
      </c>
      <c r="AB214" t="s">
        <v>329</v>
      </c>
      <c r="AD214" t="s">
        <v>11101</v>
      </c>
      <c r="AF214" t="s">
        <v>11118</v>
      </c>
      <c r="AH214" t="s">
        <v>10974</v>
      </c>
      <c r="AJ214" t="s">
        <v>11130</v>
      </c>
      <c r="AK214" t="s">
        <v>7225</v>
      </c>
      <c r="AM214">
        <v>174.62</v>
      </c>
      <c r="AO214">
        <v>25</v>
      </c>
      <c r="AQ214" t="s">
        <v>11157</v>
      </c>
      <c r="AS214" t="s">
        <v>11173</v>
      </c>
      <c r="AU214">
        <v>40</v>
      </c>
      <c r="AW214" t="s">
        <v>11189</v>
      </c>
      <c r="AZ214" t="s">
        <v>11221</v>
      </c>
      <c r="BB214" t="s">
        <v>11224</v>
      </c>
      <c r="BC214">
        <v>81732</v>
      </c>
      <c r="BD214" t="s">
        <v>11667</v>
      </c>
      <c r="BG214" t="s">
        <v>14417</v>
      </c>
      <c r="BM214" t="s">
        <v>15650</v>
      </c>
    </row>
    <row r="215" spans="1:67">
      <c r="A215" s="1">
        <f>HYPERLINK("https://lsnyc.legalserver.org/matter/dynamic-profile/view/1833138","17-1833138")</f>
        <v>0</v>
      </c>
      <c r="B215" t="s">
        <v>86</v>
      </c>
      <c r="C215" t="s">
        <v>245</v>
      </c>
      <c r="D215" t="s">
        <v>390</v>
      </c>
      <c r="F215" t="s">
        <v>1252</v>
      </c>
      <c r="G215" t="s">
        <v>3038</v>
      </c>
      <c r="H215" t="s">
        <v>4873</v>
      </c>
      <c r="I215">
        <v>55</v>
      </c>
      <c r="J215" t="s">
        <v>7169</v>
      </c>
      <c r="K215">
        <v>10034</v>
      </c>
      <c r="M215" t="s">
        <v>7224</v>
      </c>
      <c r="N215" t="s">
        <v>7237</v>
      </c>
      <c r="O215" t="s">
        <v>7444</v>
      </c>
      <c r="P215">
        <v>1</v>
      </c>
      <c r="Q215">
        <v>0</v>
      </c>
      <c r="R215">
        <v>327.36</v>
      </c>
      <c r="S215" t="s">
        <v>10255</v>
      </c>
      <c r="U215">
        <v>39480</v>
      </c>
      <c r="W215">
        <v>24.3</v>
      </c>
      <c r="X215" t="s">
        <v>414</v>
      </c>
      <c r="Y215" t="s">
        <v>10859</v>
      </c>
      <c r="AA215" t="s">
        <v>10974</v>
      </c>
      <c r="AB215" t="s">
        <v>10984</v>
      </c>
      <c r="AD215" t="s">
        <v>11086</v>
      </c>
      <c r="AF215" t="s">
        <v>11120</v>
      </c>
      <c r="AH215" t="s">
        <v>10975</v>
      </c>
      <c r="AJ215" t="s">
        <v>11130</v>
      </c>
      <c r="AK215" t="s">
        <v>7225</v>
      </c>
      <c r="AM215">
        <v>743.1</v>
      </c>
      <c r="AO215">
        <v>26</v>
      </c>
      <c r="AQ215" t="s">
        <v>11157</v>
      </c>
      <c r="AS215" t="s">
        <v>11173</v>
      </c>
      <c r="AU215">
        <v>34</v>
      </c>
      <c r="AW215" t="s">
        <v>11189</v>
      </c>
      <c r="BA215" t="s">
        <v>11222</v>
      </c>
      <c r="BE215" t="s">
        <v>11835</v>
      </c>
      <c r="BF215" t="s">
        <v>14364</v>
      </c>
      <c r="BM215" t="s">
        <v>15650</v>
      </c>
    </row>
    <row r="216" spans="1:67">
      <c r="A216" s="1">
        <f>HYPERLINK("https://lsnyc.legalserver.org/matter/dynamic-profile/view/1882020","18-1882020")</f>
        <v>0</v>
      </c>
      <c r="B216" t="s">
        <v>86</v>
      </c>
      <c r="C216" t="s">
        <v>245</v>
      </c>
      <c r="D216" t="s">
        <v>372</v>
      </c>
      <c r="F216" t="s">
        <v>1253</v>
      </c>
      <c r="G216" t="s">
        <v>3039</v>
      </c>
      <c r="H216" t="s">
        <v>4763</v>
      </c>
      <c r="I216">
        <v>35</v>
      </c>
      <c r="J216" t="s">
        <v>7169</v>
      </c>
      <c r="K216">
        <v>10034</v>
      </c>
      <c r="N216" t="s">
        <v>7237</v>
      </c>
      <c r="O216" t="s">
        <v>7445</v>
      </c>
      <c r="P216">
        <v>1</v>
      </c>
      <c r="Q216">
        <v>0</v>
      </c>
      <c r="R216">
        <v>82.31</v>
      </c>
      <c r="U216">
        <v>9992.4</v>
      </c>
      <c r="W216">
        <v>7.3</v>
      </c>
      <c r="X216" t="s">
        <v>1030</v>
      </c>
      <c r="Y216" t="s">
        <v>127</v>
      </c>
      <c r="AA216" t="s">
        <v>10974</v>
      </c>
      <c r="AB216" t="s">
        <v>892</v>
      </c>
      <c r="AD216" t="s">
        <v>11095</v>
      </c>
      <c r="AF216" t="s">
        <v>11120</v>
      </c>
      <c r="AH216" t="s">
        <v>10975</v>
      </c>
      <c r="AJ216" t="s">
        <v>11129</v>
      </c>
      <c r="AK216" t="s">
        <v>7225</v>
      </c>
      <c r="AM216">
        <v>892.88</v>
      </c>
      <c r="AO216">
        <v>25</v>
      </c>
      <c r="AQ216" t="s">
        <v>11157</v>
      </c>
      <c r="AS216" t="s">
        <v>11174</v>
      </c>
      <c r="AU216">
        <v>40</v>
      </c>
      <c r="AW216" t="s">
        <v>11195</v>
      </c>
      <c r="BA216" t="s">
        <v>11222</v>
      </c>
      <c r="BE216" t="s">
        <v>11836</v>
      </c>
      <c r="BF216" t="s">
        <v>14364</v>
      </c>
      <c r="BM216" t="s">
        <v>15650</v>
      </c>
    </row>
    <row r="217" spans="1:67">
      <c r="A217" s="1">
        <f>HYPERLINK("https://lsnyc.legalserver.org/matter/dynamic-profile/view/1905954","19-1905954")</f>
        <v>0</v>
      </c>
      <c r="B217" t="s">
        <v>86</v>
      </c>
      <c r="C217" t="s">
        <v>245</v>
      </c>
      <c r="D217" t="s">
        <v>394</v>
      </c>
      <c r="F217" t="s">
        <v>1155</v>
      </c>
      <c r="G217" t="s">
        <v>3017</v>
      </c>
      <c r="H217" t="s">
        <v>4912</v>
      </c>
      <c r="I217">
        <v>22</v>
      </c>
      <c r="J217" t="s">
        <v>7169</v>
      </c>
      <c r="K217">
        <v>10033</v>
      </c>
      <c r="N217" t="s">
        <v>7237</v>
      </c>
      <c r="O217" t="s">
        <v>7446</v>
      </c>
      <c r="P217">
        <v>1</v>
      </c>
      <c r="Q217">
        <v>0</v>
      </c>
      <c r="R217">
        <v>74.72</v>
      </c>
      <c r="U217">
        <v>9332.440000000001</v>
      </c>
      <c r="W217">
        <v>12.8</v>
      </c>
      <c r="X217" t="s">
        <v>548</v>
      </c>
      <c r="Y217" t="s">
        <v>127</v>
      </c>
      <c r="AA217" t="s">
        <v>10974</v>
      </c>
      <c r="AB217" t="s">
        <v>394</v>
      </c>
      <c r="AD217" t="s">
        <v>11090</v>
      </c>
      <c r="AF217" t="s">
        <v>11119</v>
      </c>
      <c r="AH217" t="s">
        <v>10975</v>
      </c>
      <c r="AJ217" t="s">
        <v>11139</v>
      </c>
      <c r="AK217" t="s">
        <v>7225</v>
      </c>
      <c r="AM217">
        <v>1296.98</v>
      </c>
      <c r="AO217">
        <v>41</v>
      </c>
      <c r="AQ217" t="s">
        <v>11157</v>
      </c>
      <c r="AS217" t="s">
        <v>11173</v>
      </c>
      <c r="AU217">
        <v>26</v>
      </c>
      <c r="AW217" t="s">
        <v>11189</v>
      </c>
      <c r="BA217" t="s">
        <v>11222</v>
      </c>
      <c r="BE217" t="s">
        <v>11837</v>
      </c>
      <c r="BF217" t="s">
        <v>14364</v>
      </c>
      <c r="BM217" t="s">
        <v>15650</v>
      </c>
    </row>
    <row r="218" spans="1:67">
      <c r="A218" s="1">
        <f>HYPERLINK("https://lsnyc.legalserver.org/matter/dynamic-profile/view/1907576","19-1907576")</f>
        <v>0</v>
      </c>
      <c r="B218" t="s">
        <v>86</v>
      </c>
      <c r="C218" t="s">
        <v>245</v>
      </c>
      <c r="D218" t="s">
        <v>377</v>
      </c>
      <c r="F218" t="s">
        <v>1226</v>
      </c>
      <c r="G218" t="s">
        <v>3040</v>
      </c>
      <c r="H218" t="s">
        <v>4913</v>
      </c>
      <c r="I218" t="s">
        <v>6458</v>
      </c>
      <c r="J218" t="s">
        <v>7169</v>
      </c>
      <c r="K218">
        <v>10034</v>
      </c>
      <c r="N218" t="s">
        <v>7237</v>
      </c>
      <c r="O218" t="s">
        <v>7447</v>
      </c>
      <c r="P218">
        <v>3</v>
      </c>
      <c r="Q218">
        <v>0</v>
      </c>
      <c r="R218">
        <v>141.77</v>
      </c>
      <c r="U218">
        <v>30240</v>
      </c>
      <c r="W218">
        <v>1.7</v>
      </c>
      <c r="X218" t="s">
        <v>976</v>
      </c>
      <c r="Y218" t="s">
        <v>127</v>
      </c>
      <c r="AA218" t="s">
        <v>10974</v>
      </c>
      <c r="AB218" t="s">
        <v>377</v>
      </c>
      <c r="AC218" t="s">
        <v>11081</v>
      </c>
      <c r="AF218" t="s">
        <v>10384</v>
      </c>
      <c r="AH218" t="s">
        <v>10975</v>
      </c>
      <c r="AJ218" t="s">
        <v>11130</v>
      </c>
      <c r="AK218" t="s">
        <v>7225</v>
      </c>
      <c r="AL218" t="s">
        <v>11150</v>
      </c>
      <c r="AM218">
        <v>0</v>
      </c>
      <c r="AO218">
        <v>25</v>
      </c>
      <c r="AQ218" t="s">
        <v>11157</v>
      </c>
      <c r="AS218" t="s">
        <v>11173</v>
      </c>
      <c r="AU218">
        <v>14</v>
      </c>
      <c r="AW218" t="s">
        <v>11189</v>
      </c>
      <c r="BA218" t="s">
        <v>11222</v>
      </c>
      <c r="BE218" t="s">
        <v>11838</v>
      </c>
      <c r="BF218" t="s">
        <v>14364</v>
      </c>
      <c r="BM218" t="s">
        <v>15650</v>
      </c>
    </row>
    <row r="219" spans="1:67">
      <c r="A219" s="1">
        <f>HYPERLINK("https://lsnyc.legalserver.org/matter/dynamic-profile/view/1891381","19-1891381")</f>
        <v>0</v>
      </c>
      <c r="B219" t="s">
        <v>86</v>
      </c>
      <c r="C219" t="s">
        <v>245</v>
      </c>
      <c r="D219" t="s">
        <v>395</v>
      </c>
      <c r="F219" t="s">
        <v>1245</v>
      </c>
      <c r="G219" t="s">
        <v>3041</v>
      </c>
      <c r="H219" t="s">
        <v>4914</v>
      </c>
      <c r="I219" t="s">
        <v>6502</v>
      </c>
      <c r="J219" t="s">
        <v>7169</v>
      </c>
      <c r="K219">
        <v>10034</v>
      </c>
      <c r="N219" t="s">
        <v>7237</v>
      </c>
      <c r="O219" t="s">
        <v>7448</v>
      </c>
      <c r="P219">
        <v>1</v>
      </c>
      <c r="Q219">
        <v>1</v>
      </c>
      <c r="R219">
        <v>82.31999999999999</v>
      </c>
      <c r="U219">
        <v>13920</v>
      </c>
      <c r="W219">
        <v>12.1</v>
      </c>
      <c r="X219" t="s">
        <v>638</v>
      </c>
      <c r="Y219" t="s">
        <v>127</v>
      </c>
      <c r="AA219" t="s">
        <v>10974</v>
      </c>
      <c r="AB219" t="s">
        <v>395</v>
      </c>
      <c r="AD219" t="s">
        <v>11088</v>
      </c>
      <c r="AF219" t="s">
        <v>10384</v>
      </c>
      <c r="AH219" t="s">
        <v>10975</v>
      </c>
      <c r="AJ219" t="s">
        <v>11129</v>
      </c>
      <c r="AK219" t="s">
        <v>7225</v>
      </c>
      <c r="AM219">
        <v>2300</v>
      </c>
      <c r="AO219">
        <v>22</v>
      </c>
      <c r="AQ219" t="s">
        <v>11157</v>
      </c>
      <c r="AS219" t="s">
        <v>11175</v>
      </c>
      <c r="AU219">
        <v>11</v>
      </c>
      <c r="AW219" t="s">
        <v>11187</v>
      </c>
      <c r="AZ219" t="s">
        <v>11221</v>
      </c>
      <c r="BE219" t="s">
        <v>11839</v>
      </c>
      <c r="BF219" t="s">
        <v>14364</v>
      </c>
      <c r="BM219" t="s">
        <v>15650</v>
      </c>
    </row>
    <row r="220" spans="1:67">
      <c r="A220" s="1">
        <f>HYPERLINK("https://lsnyc.legalserver.org/matter/dynamic-profile/view/1852010","17-1852010")</f>
        <v>0</v>
      </c>
      <c r="B220" t="s">
        <v>86</v>
      </c>
      <c r="C220" t="s">
        <v>245</v>
      </c>
      <c r="D220" t="s">
        <v>396</v>
      </c>
      <c r="F220" t="s">
        <v>1207</v>
      </c>
      <c r="G220" t="s">
        <v>1762</v>
      </c>
      <c r="H220" t="s">
        <v>4915</v>
      </c>
      <c r="I220" t="s">
        <v>6503</v>
      </c>
      <c r="J220" t="s">
        <v>7169</v>
      </c>
      <c r="K220">
        <v>10034</v>
      </c>
      <c r="N220" t="s">
        <v>7237</v>
      </c>
      <c r="O220" t="s">
        <v>7449</v>
      </c>
      <c r="P220">
        <v>1</v>
      </c>
      <c r="Q220">
        <v>0</v>
      </c>
      <c r="R220">
        <v>149.85</v>
      </c>
      <c r="U220">
        <v>18072</v>
      </c>
      <c r="W220">
        <v>3.4</v>
      </c>
      <c r="X220" t="s">
        <v>771</v>
      </c>
      <c r="Y220" t="s">
        <v>127</v>
      </c>
      <c r="AA220" t="s">
        <v>10974</v>
      </c>
      <c r="AB220" t="s">
        <v>396</v>
      </c>
      <c r="AD220" t="s">
        <v>11100</v>
      </c>
      <c r="AF220" t="s">
        <v>11120</v>
      </c>
      <c r="AH220" t="s">
        <v>10975</v>
      </c>
      <c r="AJ220" t="s">
        <v>11130</v>
      </c>
      <c r="AK220" t="s">
        <v>7225</v>
      </c>
      <c r="AM220">
        <v>952.4299999999999</v>
      </c>
      <c r="AO220">
        <v>25</v>
      </c>
      <c r="AQ220" t="s">
        <v>11157</v>
      </c>
      <c r="AS220" t="s">
        <v>11175</v>
      </c>
      <c r="AU220">
        <v>32</v>
      </c>
      <c r="AW220" t="s">
        <v>11189</v>
      </c>
      <c r="AZ220" t="s">
        <v>11221</v>
      </c>
      <c r="BE220" t="s">
        <v>11840</v>
      </c>
      <c r="BF220" t="s">
        <v>14364</v>
      </c>
      <c r="BM220" t="s">
        <v>15650</v>
      </c>
    </row>
    <row r="221" spans="1:67">
      <c r="A221" s="1">
        <f>HYPERLINK("https://lsnyc.legalserver.org/matter/dynamic-profile/view/1900474","19-1900474")</f>
        <v>0</v>
      </c>
      <c r="B221" t="s">
        <v>86</v>
      </c>
      <c r="C221" t="s">
        <v>245</v>
      </c>
      <c r="D221" t="s">
        <v>275</v>
      </c>
      <c r="F221" t="s">
        <v>1254</v>
      </c>
      <c r="G221" t="s">
        <v>3042</v>
      </c>
      <c r="H221" t="s">
        <v>4916</v>
      </c>
      <c r="I221" t="s">
        <v>6504</v>
      </c>
      <c r="J221" t="s">
        <v>7169</v>
      </c>
      <c r="K221">
        <v>10034</v>
      </c>
      <c r="N221" t="s">
        <v>7237</v>
      </c>
      <c r="O221" t="s">
        <v>7450</v>
      </c>
      <c r="P221">
        <v>1</v>
      </c>
      <c r="Q221">
        <v>0</v>
      </c>
      <c r="R221">
        <v>80.22</v>
      </c>
      <c r="U221">
        <v>10020</v>
      </c>
      <c r="W221">
        <v>3.2</v>
      </c>
      <c r="X221" t="s">
        <v>315</v>
      </c>
      <c r="Y221" t="s">
        <v>127</v>
      </c>
      <c r="AA221" t="s">
        <v>10974</v>
      </c>
      <c r="AB221" t="s">
        <v>275</v>
      </c>
      <c r="AD221" t="s">
        <v>11090</v>
      </c>
      <c r="AF221" t="s">
        <v>11119</v>
      </c>
      <c r="AH221" t="s">
        <v>10975</v>
      </c>
      <c r="AJ221" t="s">
        <v>11129</v>
      </c>
      <c r="AK221" t="s">
        <v>7225</v>
      </c>
      <c r="AM221">
        <v>215.56</v>
      </c>
      <c r="AO221">
        <v>21</v>
      </c>
      <c r="AQ221" t="s">
        <v>11157</v>
      </c>
      <c r="AS221" t="s">
        <v>11175</v>
      </c>
      <c r="AU221">
        <v>25</v>
      </c>
      <c r="AW221" t="s">
        <v>11189</v>
      </c>
      <c r="BA221" t="s">
        <v>11222</v>
      </c>
      <c r="BE221" t="s">
        <v>11841</v>
      </c>
      <c r="BF221" t="s">
        <v>14364</v>
      </c>
      <c r="BM221" t="s">
        <v>15650</v>
      </c>
    </row>
    <row r="222" spans="1:67">
      <c r="A222" s="1">
        <f>HYPERLINK("https://lsnyc.legalserver.org/matter/dynamic-profile/view/1835605","17-1835605")</f>
        <v>0</v>
      </c>
      <c r="B222" t="s">
        <v>86</v>
      </c>
      <c r="C222" t="s">
        <v>245</v>
      </c>
      <c r="D222" t="s">
        <v>363</v>
      </c>
      <c r="F222" t="s">
        <v>1149</v>
      </c>
      <c r="G222" t="s">
        <v>3000</v>
      </c>
      <c r="H222" t="s">
        <v>4870</v>
      </c>
      <c r="I222">
        <v>33</v>
      </c>
      <c r="J222" t="s">
        <v>7169</v>
      </c>
      <c r="K222">
        <v>10034</v>
      </c>
      <c r="N222" t="s">
        <v>7237</v>
      </c>
      <c r="O222" t="s">
        <v>7389</v>
      </c>
      <c r="P222">
        <v>1</v>
      </c>
      <c r="Q222">
        <v>4</v>
      </c>
      <c r="R222">
        <v>82.38</v>
      </c>
      <c r="U222">
        <v>23710</v>
      </c>
      <c r="W222">
        <v>53.1</v>
      </c>
      <c r="X222" t="s">
        <v>706</v>
      </c>
      <c r="Y222" t="s">
        <v>10859</v>
      </c>
      <c r="AA222" t="s">
        <v>10974</v>
      </c>
      <c r="AB222" t="s">
        <v>348</v>
      </c>
      <c r="AD222" t="s">
        <v>11082</v>
      </c>
      <c r="AF222" t="s">
        <v>11118</v>
      </c>
      <c r="AH222" t="s">
        <v>10975</v>
      </c>
      <c r="AJ222" t="s">
        <v>11130</v>
      </c>
      <c r="AK222" t="s">
        <v>7225</v>
      </c>
      <c r="AM222">
        <v>1150</v>
      </c>
      <c r="AO222">
        <v>25</v>
      </c>
      <c r="AQ222" t="s">
        <v>11157</v>
      </c>
      <c r="AS222" t="s">
        <v>11176</v>
      </c>
      <c r="AU222">
        <v>3</v>
      </c>
      <c r="AW222" t="s">
        <v>11189</v>
      </c>
      <c r="AZ222" t="s">
        <v>11221</v>
      </c>
      <c r="BC222" t="s">
        <v>11249</v>
      </c>
      <c r="BE222" t="s">
        <v>11785</v>
      </c>
      <c r="BG222" t="s">
        <v>14433</v>
      </c>
      <c r="BM222" t="s">
        <v>15650</v>
      </c>
    </row>
    <row r="223" spans="1:67">
      <c r="A223" s="1">
        <f>HYPERLINK("https://lsnyc.legalserver.org/matter/dynamic-profile/view/1854180","17-1854180")</f>
        <v>0</v>
      </c>
      <c r="B223" t="s">
        <v>86</v>
      </c>
      <c r="C223" t="s">
        <v>245</v>
      </c>
      <c r="D223" t="s">
        <v>397</v>
      </c>
      <c r="F223" t="s">
        <v>1255</v>
      </c>
      <c r="G223" t="s">
        <v>3043</v>
      </c>
      <c r="H223" t="s">
        <v>4917</v>
      </c>
      <c r="I223" t="s">
        <v>6449</v>
      </c>
      <c r="J223" t="s">
        <v>7169</v>
      </c>
      <c r="K223">
        <v>10034</v>
      </c>
      <c r="N223" t="s">
        <v>7237</v>
      </c>
      <c r="O223" t="s">
        <v>7451</v>
      </c>
      <c r="P223">
        <v>1</v>
      </c>
      <c r="Q223">
        <v>0</v>
      </c>
      <c r="R223">
        <v>130.35</v>
      </c>
      <c r="U223">
        <v>15720</v>
      </c>
      <c r="W223">
        <v>3.5</v>
      </c>
      <c r="X223" t="s">
        <v>656</v>
      </c>
      <c r="Y223" t="s">
        <v>127</v>
      </c>
      <c r="AA223" t="s">
        <v>10974</v>
      </c>
      <c r="AB223" t="s">
        <v>10846</v>
      </c>
      <c r="AD223" t="s">
        <v>11086</v>
      </c>
      <c r="AF223" t="s">
        <v>10384</v>
      </c>
      <c r="AH223" t="s">
        <v>10975</v>
      </c>
      <c r="AJ223" t="s">
        <v>11130</v>
      </c>
      <c r="AK223" t="s">
        <v>7225</v>
      </c>
      <c r="AM223">
        <v>2450</v>
      </c>
      <c r="AO223">
        <v>108</v>
      </c>
      <c r="AQ223" t="s">
        <v>11157</v>
      </c>
      <c r="AS223" t="s">
        <v>11177</v>
      </c>
      <c r="AU223">
        <v>19</v>
      </c>
      <c r="AW223" t="s">
        <v>11187</v>
      </c>
      <c r="BA223" t="s">
        <v>11222</v>
      </c>
      <c r="BE223" t="s">
        <v>11842</v>
      </c>
      <c r="BF223" t="s">
        <v>14364</v>
      </c>
      <c r="BM223" t="s">
        <v>15650</v>
      </c>
    </row>
    <row r="224" spans="1:67">
      <c r="A224" s="1">
        <f>HYPERLINK("https://lsnyc.legalserver.org/matter/dynamic-profile/view/0808625","16-0808625")</f>
        <v>0</v>
      </c>
      <c r="B224" t="s">
        <v>86</v>
      </c>
      <c r="C224" t="s">
        <v>245</v>
      </c>
      <c r="D224" t="s">
        <v>398</v>
      </c>
      <c r="F224" t="s">
        <v>1256</v>
      </c>
      <c r="G224" t="s">
        <v>3044</v>
      </c>
      <c r="H224" t="s">
        <v>4918</v>
      </c>
      <c r="I224" t="s">
        <v>6413</v>
      </c>
      <c r="J224" t="s">
        <v>7169</v>
      </c>
      <c r="K224">
        <v>10035</v>
      </c>
      <c r="N224" t="s">
        <v>7237</v>
      </c>
      <c r="O224" t="s">
        <v>7452</v>
      </c>
      <c r="P224">
        <v>2</v>
      </c>
      <c r="Q224">
        <v>2</v>
      </c>
      <c r="R224">
        <v>74.90000000000001</v>
      </c>
      <c r="U224">
        <v>18200</v>
      </c>
      <c r="W224">
        <v>110.35</v>
      </c>
      <c r="X224" t="s">
        <v>668</v>
      </c>
      <c r="Y224" t="s">
        <v>10859</v>
      </c>
      <c r="AA224" t="s">
        <v>10974</v>
      </c>
      <c r="AB224" t="s">
        <v>10985</v>
      </c>
      <c r="AD224" t="s">
        <v>11083</v>
      </c>
      <c r="AF224" t="s">
        <v>11118</v>
      </c>
      <c r="AH224" t="s">
        <v>10975</v>
      </c>
      <c r="AJ224" t="s">
        <v>11137</v>
      </c>
      <c r="AK224" t="s">
        <v>7225</v>
      </c>
      <c r="AM224">
        <v>400</v>
      </c>
      <c r="AO224">
        <v>142</v>
      </c>
      <c r="AQ224" t="s">
        <v>11156</v>
      </c>
      <c r="AS224" t="s">
        <v>11174</v>
      </c>
      <c r="AU224">
        <v>30</v>
      </c>
      <c r="AW224" t="s">
        <v>11187</v>
      </c>
      <c r="AZ224" t="s">
        <v>11221</v>
      </c>
      <c r="BE224" t="s">
        <v>11843</v>
      </c>
      <c r="BG224" t="s">
        <v>14434</v>
      </c>
      <c r="BM224" t="s">
        <v>15650</v>
      </c>
    </row>
    <row r="225" spans="1:67">
      <c r="A225" s="1">
        <f>HYPERLINK("https://lsnyc.legalserver.org/matter/dynamic-profile/view/1851038","17-1851038")</f>
        <v>0</v>
      </c>
      <c r="B225" t="s">
        <v>86</v>
      </c>
      <c r="C225" t="s">
        <v>245</v>
      </c>
      <c r="D225" t="s">
        <v>294</v>
      </c>
      <c r="F225" t="s">
        <v>1253</v>
      </c>
      <c r="G225" t="s">
        <v>3039</v>
      </c>
      <c r="H225" t="s">
        <v>4763</v>
      </c>
      <c r="I225">
        <v>35</v>
      </c>
      <c r="J225" t="s">
        <v>7169</v>
      </c>
      <c r="K225">
        <v>10034</v>
      </c>
      <c r="N225" t="s">
        <v>7237</v>
      </c>
      <c r="O225" t="s">
        <v>7445</v>
      </c>
      <c r="P225">
        <v>1</v>
      </c>
      <c r="Q225">
        <v>0</v>
      </c>
      <c r="R225">
        <v>82.86</v>
      </c>
      <c r="U225">
        <v>9992.4</v>
      </c>
      <c r="W225">
        <v>52</v>
      </c>
      <c r="X225" t="s">
        <v>372</v>
      </c>
      <c r="Y225" t="s">
        <v>127</v>
      </c>
      <c r="AA225" t="s">
        <v>10974</v>
      </c>
      <c r="AB225" t="s">
        <v>294</v>
      </c>
      <c r="AD225" t="s">
        <v>11082</v>
      </c>
      <c r="AF225" t="s">
        <v>11118</v>
      </c>
      <c r="AH225" t="s">
        <v>10975</v>
      </c>
      <c r="AJ225" t="s">
        <v>11130</v>
      </c>
      <c r="AK225" t="s">
        <v>7225</v>
      </c>
      <c r="AM225">
        <v>891.88</v>
      </c>
      <c r="AO225">
        <v>25</v>
      </c>
      <c r="AQ225" t="s">
        <v>11157</v>
      </c>
      <c r="AS225" t="s">
        <v>11174</v>
      </c>
      <c r="AU225">
        <v>40</v>
      </c>
      <c r="AW225" t="s">
        <v>11195</v>
      </c>
      <c r="AY225" t="s">
        <v>11216</v>
      </c>
      <c r="AZ225" t="s">
        <v>11221</v>
      </c>
      <c r="BE225" t="s">
        <v>11836</v>
      </c>
      <c r="BG225" t="s">
        <v>14435</v>
      </c>
      <c r="BK225" t="s">
        <v>15621</v>
      </c>
      <c r="BM225" t="s">
        <v>15650</v>
      </c>
      <c r="BN225" t="s">
        <v>15652</v>
      </c>
      <c r="BO225" t="s">
        <v>15663</v>
      </c>
    </row>
    <row r="226" spans="1:67">
      <c r="A226" s="1">
        <f>HYPERLINK("https://lsnyc.legalserver.org/matter/dynamic-profile/view/0818715","16-0818715")</f>
        <v>0</v>
      </c>
      <c r="B226" t="s">
        <v>86</v>
      </c>
      <c r="C226" t="s">
        <v>245</v>
      </c>
      <c r="D226" t="s">
        <v>399</v>
      </c>
      <c r="F226" t="s">
        <v>1257</v>
      </c>
      <c r="G226" t="s">
        <v>2886</v>
      </c>
      <c r="H226" t="s">
        <v>4919</v>
      </c>
      <c r="I226" t="s">
        <v>6433</v>
      </c>
      <c r="J226" t="s">
        <v>7169</v>
      </c>
      <c r="K226">
        <v>10035</v>
      </c>
      <c r="N226" t="s">
        <v>7237</v>
      </c>
      <c r="O226" t="s">
        <v>7453</v>
      </c>
      <c r="P226">
        <v>1</v>
      </c>
      <c r="Q226">
        <v>0</v>
      </c>
      <c r="R226">
        <v>90.91</v>
      </c>
      <c r="U226">
        <v>10800</v>
      </c>
      <c r="W226">
        <v>83.40000000000001</v>
      </c>
      <c r="X226" t="s">
        <v>10809</v>
      </c>
      <c r="Y226" t="s">
        <v>10859</v>
      </c>
      <c r="AA226" t="s">
        <v>10974</v>
      </c>
      <c r="AB226" t="s">
        <v>399</v>
      </c>
      <c r="AD226" t="s">
        <v>11083</v>
      </c>
      <c r="AF226" t="s">
        <v>11122</v>
      </c>
      <c r="AH226" t="s">
        <v>10975</v>
      </c>
      <c r="AJ226" t="s">
        <v>11131</v>
      </c>
      <c r="AK226" t="s">
        <v>7225</v>
      </c>
      <c r="AM226">
        <v>1650</v>
      </c>
      <c r="AO226">
        <v>100</v>
      </c>
      <c r="AQ226" t="s">
        <v>11157</v>
      </c>
      <c r="AS226" t="s">
        <v>11173</v>
      </c>
      <c r="AU226">
        <v>5</v>
      </c>
      <c r="AW226" t="s">
        <v>11187</v>
      </c>
      <c r="AZ226" t="s">
        <v>11221</v>
      </c>
      <c r="BE226" t="s">
        <v>11844</v>
      </c>
      <c r="BG226" t="s">
        <v>14436</v>
      </c>
      <c r="BM226" t="s">
        <v>15650</v>
      </c>
    </row>
    <row r="227" spans="1:67">
      <c r="A227" s="1">
        <f>HYPERLINK("https://lsnyc.legalserver.org/matter/dynamic-profile/view/1882939","18-1882939")</f>
        <v>0</v>
      </c>
      <c r="B227" t="s">
        <v>86</v>
      </c>
      <c r="C227" t="s">
        <v>245</v>
      </c>
      <c r="D227" t="s">
        <v>400</v>
      </c>
      <c r="F227" t="s">
        <v>1258</v>
      </c>
      <c r="G227" t="s">
        <v>3045</v>
      </c>
      <c r="H227" t="s">
        <v>4920</v>
      </c>
      <c r="I227" t="s">
        <v>6424</v>
      </c>
      <c r="J227" t="s">
        <v>7169</v>
      </c>
      <c r="K227">
        <v>10034</v>
      </c>
      <c r="N227" t="s">
        <v>7237</v>
      </c>
      <c r="O227" t="s">
        <v>7454</v>
      </c>
      <c r="P227">
        <v>1</v>
      </c>
      <c r="Q227">
        <v>0</v>
      </c>
      <c r="R227">
        <v>156.33</v>
      </c>
      <c r="U227">
        <v>18978.96</v>
      </c>
      <c r="W227">
        <v>2.1</v>
      </c>
      <c r="X227" t="s">
        <v>570</v>
      </c>
      <c r="Y227" t="s">
        <v>127</v>
      </c>
      <c r="AA227" t="s">
        <v>10974</v>
      </c>
      <c r="AB227" t="s">
        <v>400</v>
      </c>
      <c r="AD227" t="s">
        <v>11090</v>
      </c>
      <c r="AF227" t="s">
        <v>11120</v>
      </c>
      <c r="AH227" t="s">
        <v>10975</v>
      </c>
      <c r="AJ227" t="s">
        <v>11130</v>
      </c>
      <c r="AK227" t="s">
        <v>7225</v>
      </c>
      <c r="AM227">
        <v>999.88</v>
      </c>
      <c r="AO227">
        <v>6</v>
      </c>
      <c r="AQ227" t="s">
        <v>11157</v>
      </c>
      <c r="AS227" t="s">
        <v>11175</v>
      </c>
      <c r="AU227">
        <v>11</v>
      </c>
      <c r="AW227" t="s">
        <v>11187</v>
      </c>
      <c r="BA227" t="s">
        <v>11222</v>
      </c>
      <c r="BE227" t="s">
        <v>11845</v>
      </c>
      <c r="BF227" t="s">
        <v>14364</v>
      </c>
      <c r="BM227" t="s">
        <v>15650</v>
      </c>
    </row>
    <row r="228" spans="1:67">
      <c r="A228" s="1">
        <f>HYPERLINK("https://lsnyc.legalserver.org/matter/dynamic-profile/view/1850555","17-1850555")</f>
        <v>0</v>
      </c>
      <c r="B228" t="s">
        <v>86</v>
      </c>
      <c r="C228" t="s">
        <v>245</v>
      </c>
      <c r="D228" t="s">
        <v>391</v>
      </c>
      <c r="F228" t="s">
        <v>1252</v>
      </c>
      <c r="G228" t="s">
        <v>3038</v>
      </c>
      <c r="H228" t="s">
        <v>4873</v>
      </c>
      <c r="I228">
        <v>55</v>
      </c>
      <c r="J228" t="s">
        <v>7169</v>
      </c>
      <c r="K228">
        <v>10034</v>
      </c>
      <c r="M228" t="s">
        <v>7224</v>
      </c>
      <c r="N228" t="s">
        <v>7237</v>
      </c>
      <c r="O228" t="s">
        <v>7444</v>
      </c>
      <c r="P228">
        <v>1</v>
      </c>
      <c r="Q228">
        <v>0</v>
      </c>
      <c r="R228">
        <v>327.36</v>
      </c>
      <c r="S228" t="s">
        <v>10255</v>
      </c>
      <c r="U228">
        <v>39480</v>
      </c>
      <c r="W228">
        <v>23.4</v>
      </c>
      <c r="X228" t="s">
        <v>829</v>
      </c>
      <c r="Y228" t="s">
        <v>127</v>
      </c>
      <c r="AA228" t="s">
        <v>10974</v>
      </c>
      <c r="AB228" t="s">
        <v>10982</v>
      </c>
      <c r="AD228" t="s">
        <v>11083</v>
      </c>
      <c r="AF228" t="s">
        <v>11118</v>
      </c>
      <c r="AH228" t="s">
        <v>10975</v>
      </c>
      <c r="AJ228" t="s">
        <v>11129</v>
      </c>
      <c r="AK228" t="s">
        <v>7225</v>
      </c>
      <c r="AM228">
        <v>743.1</v>
      </c>
      <c r="AO228">
        <v>30</v>
      </c>
      <c r="AQ228" t="s">
        <v>11160</v>
      </c>
      <c r="AS228" t="s">
        <v>11173</v>
      </c>
      <c r="AU228">
        <v>34</v>
      </c>
      <c r="AW228" t="s">
        <v>11189</v>
      </c>
      <c r="AZ228" t="s">
        <v>11221</v>
      </c>
      <c r="BE228" t="s">
        <v>11835</v>
      </c>
      <c r="BF228" t="s">
        <v>14364</v>
      </c>
      <c r="BM228" t="s">
        <v>15650</v>
      </c>
    </row>
    <row r="229" spans="1:67">
      <c r="A229" s="1">
        <f>HYPERLINK("https://lsnyc.legalserver.org/matter/dynamic-profile/view/1850274","17-1850274")</f>
        <v>0</v>
      </c>
      <c r="B229" t="s">
        <v>86</v>
      </c>
      <c r="C229" t="s">
        <v>245</v>
      </c>
      <c r="D229" t="s">
        <v>401</v>
      </c>
      <c r="F229" t="s">
        <v>1259</v>
      </c>
      <c r="G229" t="s">
        <v>3046</v>
      </c>
      <c r="H229" t="s">
        <v>4921</v>
      </c>
      <c r="I229" t="s">
        <v>6493</v>
      </c>
      <c r="J229" t="s">
        <v>7169</v>
      </c>
      <c r="K229">
        <v>10034</v>
      </c>
      <c r="N229" t="s">
        <v>7237</v>
      </c>
      <c r="O229" t="s">
        <v>7455</v>
      </c>
      <c r="P229">
        <v>1</v>
      </c>
      <c r="Q229">
        <v>0</v>
      </c>
      <c r="R229">
        <v>79.59999999999999</v>
      </c>
      <c r="U229">
        <v>9600</v>
      </c>
      <c r="W229">
        <v>12.4</v>
      </c>
      <c r="X229" t="s">
        <v>651</v>
      </c>
      <c r="Y229" t="s">
        <v>127</v>
      </c>
      <c r="AA229" t="s">
        <v>10974</v>
      </c>
      <c r="AB229" t="s">
        <v>786</v>
      </c>
      <c r="AC229" t="s">
        <v>11081</v>
      </c>
      <c r="AF229" t="s">
        <v>11120</v>
      </c>
      <c r="AH229" t="s">
        <v>10975</v>
      </c>
      <c r="AJ229" t="s">
        <v>11130</v>
      </c>
      <c r="AK229" t="s">
        <v>7225</v>
      </c>
      <c r="AM229">
        <v>1375</v>
      </c>
      <c r="AO229">
        <v>28</v>
      </c>
      <c r="AQ229" t="s">
        <v>11157</v>
      </c>
      <c r="AS229" t="s">
        <v>11173</v>
      </c>
      <c r="AU229">
        <v>3</v>
      </c>
      <c r="AW229" t="s">
        <v>11189</v>
      </c>
      <c r="AZ229" t="s">
        <v>11221</v>
      </c>
      <c r="BE229" t="s">
        <v>11846</v>
      </c>
      <c r="BF229" t="s">
        <v>14364</v>
      </c>
      <c r="BM229" t="s">
        <v>15650</v>
      </c>
    </row>
    <row r="230" spans="1:67">
      <c r="A230" s="1">
        <f>HYPERLINK("https://lsnyc.legalserver.org/matter/dynamic-profile/view/1874673","18-1874673")</f>
        <v>0</v>
      </c>
      <c r="B230" t="s">
        <v>86</v>
      </c>
      <c r="C230" t="s">
        <v>245</v>
      </c>
      <c r="D230" t="s">
        <v>402</v>
      </c>
      <c r="F230" t="s">
        <v>1260</v>
      </c>
      <c r="G230" t="s">
        <v>3047</v>
      </c>
      <c r="H230" t="s">
        <v>4922</v>
      </c>
      <c r="I230" t="s">
        <v>6495</v>
      </c>
      <c r="J230" t="s">
        <v>7169</v>
      </c>
      <c r="K230">
        <v>10040</v>
      </c>
      <c r="N230" t="s">
        <v>7237</v>
      </c>
      <c r="O230" t="s">
        <v>7456</v>
      </c>
      <c r="P230">
        <v>1</v>
      </c>
      <c r="Q230">
        <v>0</v>
      </c>
      <c r="R230">
        <v>82.54000000000001</v>
      </c>
      <c r="U230">
        <v>10020</v>
      </c>
      <c r="W230">
        <v>3.6</v>
      </c>
      <c r="X230" t="s">
        <v>405</v>
      </c>
      <c r="Y230" t="s">
        <v>127</v>
      </c>
      <c r="AA230" t="s">
        <v>10974</v>
      </c>
      <c r="AB230" t="s">
        <v>556</v>
      </c>
      <c r="AD230" t="s">
        <v>11101</v>
      </c>
      <c r="AF230" t="s">
        <v>10384</v>
      </c>
      <c r="AH230" t="s">
        <v>10975</v>
      </c>
      <c r="AJ230" t="s">
        <v>11129</v>
      </c>
      <c r="AK230" t="s">
        <v>7225</v>
      </c>
      <c r="AM230">
        <v>165</v>
      </c>
      <c r="AO230">
        <v>43</v>
      </c>
      <c r="AQ230" t="s">
        <v>11157</v>
      </c>
      <c r="AS230" t="s">
        <v>11174</v>
      </c>
      <c r="AU230">
        <v>13</v>
      </c>
      <c r="AW230" t="s">
        <v>11187</v>
      </c>
      <c r="BA230" t="s">
        <v>11222</v>
      </c>
      <c r="BE230" t="s">
        <v>11847</v>
      </c>
      <c r="BF230" t="s">
        <v>14364</v>
      </c>
      <c r="BM230" t="s">
        <v>15650</v>
      </c>
    </row>
    <row r="231" spans="1:67">
      <c r="A231" s="1">
        <f>HYPERLINK("https://lsnyc.legalserver.org/matter/dynamic-profile/view/1845669","17-1845669")</f>
        <v>0</v>
      </c>
      <c r="B231" t="s">
        <v>86</v>
      </c>
      <c r="C231" t="s">
        <v>245</v>
      </c>
      <c r="D231" t="s">
        <v>353</v>
      </c>
      <c r="F231" t="s">
        <v>1261</v>
      </c>
      <c r="G231" t="s">
        <v>3048</v>
      </c>
      <c r="H231" t="s">
        <v>4888</v>
      </c>
      <c r="I231">
        <v>52</v>
      </c>
      <c r="J231" t="s">
        <v>7169</v>
      </c>
      <c r="K231">
        <v>10034</v>
      </c>
      <c r="N231" t="s">
        <v>7237</v>
      </c>
      <c r="O231" t="s">
        <v>7457</v>
      </c>
      <c r="P231">
        <v>1</v>
      </c>
      <c r="Q231">
        <v>0</v>
      </c>
      <c r="R231">
        <v>218.91</v>
      </c>
      <c r="S231" t="s">
        <v>10255</v>
      </c>
      <c r="U231">
        <v>26400</v>
      </c>
      <c r="W231">
        <v>13.8</v>
      </c>
      <c r="X231" t="s">
        <v>618</v>
      </c>
      <c r="Y231" t="s">
        <v>10873</v>
      </c>
      <c r="AA231" t="s">
        <v>10974</v>
      </c>
      <c r="AB231" t="s">
        <v>630</v>
      </c>
      <c r="AD231" t="s">
        <v>11082</v>
      </c>
      <c r="AF231" t="s">
        <v>10384</v>
      </c>
      <c r="AH231" t="s">
        <v>10975</v>
      </c>
      <c r="AJ231" t="s">
        <v>11130</v>
      </c>
      <c r="AK231" t="s">
        <v>7225</v>
      </c>
      <c r="AM231">
        <v>1050</v>
      </c>
      <c r="AO231">
        <v>1000</v>
      </c>
      <c r="AQ231" t="s">
        <v>11157</v>
      </c>
      <c r="AS231" t="s">
        <v>11173</v>
      </c>
      <c r="AU231">
        <v>4</v>
      </c>
      <c r="AW231" t="s">
        <v>11187</v>
      </c>
      <c r="AZ231" t="s">
        <v>11221</v>
      </c>
      <c r="BE231" t="s">
        <v>11848</v>
      </c>
      <c r="BG231" t="s">
        <v>14423</v>
      </c>
      <c r="BM231" t="s">
        <v>15650</v>
      </c>
    </row>
    <row r="232" spans="1:67">
      <c r="A232" s="1">
        <f>HYPERLINK("https://lsnyc.legalserver.org/matter/dynamic-profile/view/1892541","19-1892541")</f>
        <v>0</v>
      </c>
      <c r="B232" t="s">
        <v>86</v>
      </c>
      <c r="C232" t="s">
        <v>245</v>
      </c>
      <c r="D232" t="s">
        <v>403</v>
      </c>
      <c r="F232" t="s">
        <v>1262</v>
      </c>
      <c r="G232" t="s">
        <v>3049</v>
      </c>
      <c r="H232" t="s">
        <v>4868</v>
      </c>
      <c r="I232">
        <v>33</v>
      </c>
      <c r="J232" t="s">
        <v>7169</v>
      </c>
      <c r="K232">
        <v>10034</v>
      </c>
      <c r="N232" t="s">
        <v>7237</v>
      </c>
      <c r="O232" t="s">
        <v>7458</v>
      </c>
      <c r="P232">
        <v>2</v>
      </c>
      <c r="Q232">
        <v>0</v>
      </c>
      <c r="R232">
        <v>153.76</v>
      </c>
      <c r="U232">
        <v>26000</v>
      </c>
      <c r="W232">
        <v>16.2</v>
      </c>
      <c r="X232" t="s">
        <v>10809</v>
      </c>
      <c r="Y232" t="s">
        <v>127</v>
      </c>
      <c r="AA232" t="s">
        <v>10974</v>
      </c>
      <c r="AB232" t="s">
        <v>403</v>
      </c>
      <c r="AD232" t="s">
        <v>11090</v>
      </c>
      <c r="AF232" t="s">
        <v>10384</v>
      </c>
      <c r="AH232" t="s">
        <v>10975</v>
      </c>
      <c r="AJ232" t="s">
        <v>11129</v>
      </c>
      <c r="AK232" t="s">
        <v>7225</v>
      </c>
      <c r="AM232">
        <v>839</v>
      </c>
      <c r="AO232">
        <v>25</v>
      </c>
      <c r="AQ232" t="s">
        <v>11157</v>
      </c>
      <c r="AS232" t="s">
        <v>11173</v>
      </c>
      <c r="AU232">
        <v>20</v>
      </c>
      <c r="AW232" t="s">
        <v>11187</v>
      </c>
      <c r="BA232" t="s">
        <v>11222</v>
      </c>
      <c r="BE232" t="s">
        <v>11849</v>
      </c>
      <c r="BF232" t="s">
        <v>14364</v>
      </c>
      <c r="BM232" t="s">
        <v>15650</v>
      </c>
    </row>
    <row r="233" spans="1:67">
      <c r="A233" s="1">
        <f>HYPERLINK("https://lsnyc.legalserver.org/matter/dynamic-profile/view/1887937","19-1887937")</f>
        <v>0</v>
      </c>
      <c r="B233" t="s">
        <v>86</v>
      </c>
      <c r="C233" t="s">
        <v>245</v>
      </c>
      <c r="D233" t="s">
        <v>329</v>
      </c>
      <c r="F233" t="s">
        <v>1262</v>
      </c>
      <c r="G233" t="s">
        <v>3049</v>
      </c>
      <c r="H233" t="s">
        <v>4868</v>
      </c>
      <c r="I233">
        <v>33</v>
      </c>
      <c r="J233" t="s">
        <v>7169</v>
      </c>
      <c r="K233">
        <v>10034</v>
      </c>
      <c r="N233" t="s">
        <v>7237</v>
      </c>
      <c r="O233" t="s">
        <v>7458</v>
      </c>
      <c r="P233">
        <v>2</v>
      </c>
      <c r="Q233">
        <v>0</v>
      </c>
      <c r="R233">
        <v>157.96</v>
      </c>
      <c r="U233">
        <v>26000</v>
      </c>
      <c r="W233">
        <v>1.3</v>
      </c>
      <c r="X233" t="s">
        <v>528</v>
      </c>
      <c r="Y233" t="s">
        <v>127</v>
      </c>
      <c r="AA233" t="s">
        <v>10974</v>
      </c>
      <c r="AB233" t="s">
        <v>329</v>
      </c>
      <c r="AD233" t="s">
        <v>11101</v>
      </c>
      <c r="AF233" t="s">
        <v>11118</v>
      </c>
      <c r="AH233" t="s">
        <v>10974</v>
      </c>
      <c r="AJ233" t="s">
        <v>11130</v>
      </c>
      <c r="AK233" t="s">
        <v>7225</v>
      </c>
      <c r="AM233">
        <v>839</v>
      </c>
      <c r="AO233">
        <v>25</v>
      </c>
      <c r="AQ233" t="s">
        <v>11157</v>
      </c>
      <c r="AS233" t="s">
        <v>11173</v>
      </c>
      <c r="AU233">
        <v>20</v>
      </c>
      <c r="AW233" t="s">
        <v>11187</v>
      </c>
      <c r="AZ233" t="s">
        <v>11221</v>
      </c>
      <c r="BE233" t="s">
        <v>11849</v>
      </c>
      <c r="BG233" t="s">
        <v>14417</v>
      </c>
      <c r="BM233" t="s">
        <v>15650</v>
      </c>
    </row>
    <row r="234" spans="1:67">
      <c r="A234" s="1">
        <f>HYPERLINK("https://lsnyc.legalserver.org/matter/dynamic-profile/view/1877920","18-1877920")</f>
        <v>0</v>
      </c>
      <c r="B234" t="s">
        <v>86</v>
      </c>
      <c r="C234" t="s">
        <v>245</v>
      </c>
      <c r="D234" t="s">
        <v>404</v>
      </c>
      <c r="F234" t="s">
        <v>1263</v>
      </c>
      <c r="G234" t="s">
        <v>3050</v>
      </c>
      <c r="H234" t="s">
        <v>4923</v>
      </c>
      <c r="I234" t="s">
        <v>6505</v>
      </c>
      <c r="J234" t="s">
        <v>7169</v>
      </c>
      <c r="K234">
        <v>10033</v>
      </c>
      <c r="N234" t="s">
        <v>7237</v>
      </c>
      <c r="O234" t="s">
        <v>7459</v>
      </c>
      <c r="P234">
        <v>3</v>
      </c>
      <c r="Q234">
        <v>0</v>
      </c>
      <c r="R234">
        <v>323.39</v>
      </c>
      <c r="S234" t="s">
        <v>465</v>
      </c>
      <c r="T234" t="s">
        <v>10276</v>
      </c>
      <c r="U234">
        <v>67200</v>
      </c>
      <c r="W234">
        <v>3.6</v>
      </c>
      <c r="X234" t="s">
        <v>524</v>
      </c>
      <c r="Y234" t="s">
        <v>127</v>
      </c>
      <c r="AA234" t="s">
        <v>10974</v>
      </c>
      <c r="AB234" t="s">
        <v>404</v>
      </c>
      <c r="AD234" t="s">
        <v>11097</v>
      </c>
      <c r="AF234" t="s">
        <v>10384</v>
      </c>
      <c r="AH234" t="s">
        <v>10975</v>
      </c>
      <c r="AJ234" t="s">
        <v>11134</v>
      </c>
      <c r="AK234" t="s">
        <v>7225</v>
      </c>
      <c r="AM234">
        <v>2334.37</v>
      </c>
      <c r="AO234">
        <v>35</v>
      </c>
      <c r="AQ234" t="s">
        <v>11157</v>
      </c>
      <c r="AS234" t="s">
        <v>11173</v>
      </c>
      <c r="AU234">
        <v>3</v>
      </c>
      <c r="AW234" t="s">
        <v>11187</v>
      </c>
      <c r="BA234" t="s">
        <v>11222</v>
      </c>
      <c r="BD234" t="s">
        <v>11667</v>
      </c>
      <c r="BF234" t="s">
        <v>14364</v>
      </c>
      <c r="BM234" t="s">
        <v>15650</v>
      </c>
    </row>
    <row r="235" spans="1:67">
      <c r="A235" s="1">
        <f>HYPERLINK("https://lsnyc.legalserver.org/matter/dynamic-profile/view/1886091","18-1886091")</f>
        <v>0</v>
      </c>
      <c r="B235" t="s">
        <v>86</v>
      </c>
      <c r="C235" t="s">
        <v>245</v>
      </c>
      <c r="D235" t="s">
        <v>405</v>
      </c>
      <c r="F235" t="s">
        <v>1090</v>
      </c>
      <c r="G235" t="s">
        <v>2889</v>
      </c>
      <c r="H235" t="s">
        <v>4868</v>
      </c>
      <c r="I235">
        <v>35</v>
      </c>
      <c r="J235" t="s">
        <v>7169</v>
      </c>
      <c r="K235">
        <v>10034</v>
      </c>
      <c r="N235" t="s">
        <v>7237</v>
      </c>
      <c r="O235" t="s">
        <v>7460</v>
      </c>
      <c r="P235">
        <v>2</v>
      </c>
      <c r="Q235">
        <v>0</v>
      </c>
      <c r="R235">
        <v>94.78</v>
      </c>
      <c r="U235">
        <v>15600</v>
      </c>
      <c r="W235">
        <v>114.7</v>
      </c>
      <c r="X235" t="s">
        <v>528</v>
      </c>
      <c r="Y235" t="s">
        <v>127</v>
      </c>
      <c r="AA235" t="s">
        <v>10974</v>
      </c>
      <c r="AB235" t="s">
        <v>405</v>
      </c>
      <c r="AD235" t="s">
        <v>11101</v>
      </c>
      <c r="AF235" t="s">
        <v>11118</v>
      </c>
      <c r="AH235" t="s">
        <v>10974</v>
      </c>
      <c r="AJ235" t="s">
        <v>11130</v>
      </c>
      <c r="AK235" t="s">
        <v>7225</v>
      </c>
      <c r="AM235">
        <v>961.5</v>
      </c>
      <c r="AO235">
        <v>25</v>
      </c>
      <c r="AQ235" t="s">
        <v>11157</v>
      </c>
      <c r="AS235" t="s">
        <v>11173</v>
      </c>
      <c r="AU235">
        <v>26</v>
      </c>
      <c r="AW235" t="s">
        <v>11189</v>
      </c>
      <c r="BA235" t="s">
        <v>11222</v>
      </c>
      <c r="BE235" t="s">
        <v>11850</v>
      </c>
      <c r="BF235" t="s">
        <v>14364</v>
      </c>
      <c r="BM235" t="s">
        <v>15650</v>
      </c>
    </row>
    <row r="236" spans="1:67">
      <c r="A236" s="1">
        <f>HYPERLINK("https://lsnyc.legalserver.org/matter/dynamic-profile/view/1903996","19-1903996")</f>
        <v>0</v>
      </c>
      <c r="B236" t="s">
        <v>86</v>
      </c>
      <c r="C236" t="s">
        <v>245</v>
      </c>
      <c r="D236" t="s">
        <v>406</v>
      </c>
      <c r="F236" t="s">
        <v>1264</v>
      </c>
      <c r="G236" t="s">
        <v>3051</v>
      </c>
      <c r="H236" t="s">
        <v>4924</v>
      </c>
      <c r="I236" t="s">
        <v>6480</v>
      </c>
      <c r="J236" t="s">
        <v>7169</v>
      </c>
      <c r="K236">
        <v>10033</v>
      </c>
      <c r="N236" t="s">
        <v>7237</v>
      </c>
      <c r="O236" t="s">
        <v>7461</v>
      </c>
      <c r="P236">
        <v>2</v>
      </c>
      <c r="Q236">
        <v>1</v>
      </c>
      <c r="R236">
        <v>133.9</v>
      </c>
      <c r="U236">
        <v>28560</v>
      </c>
      <c r="W236">
        <v>13.8</v>
      </c>
      <c r="X236" t="s">
        <v>264</v>
      </c>
      <c r="Y236" t="s">
        <v>10859</v>
      </c>
      <c r="AA236" t="s">
        <v>10974</v>
      </c>
      <c r="AB236" t="s">
        <v>311</v>
      </c>
      <c r="AD236" t="s">
        <v>11097</v>
      </c>
      <c r="AF236" t="s">
        <v>10384</v>
      </c>
      <c r="AH236" t="s">
        <v>10975</v>
      </c>
      <c r="AJ236" t="s">
        <v>11130</v>
      </c>
      <c r="AK236" t="s">
        <v>7225</v>
      </c>
      <c r="AM236">
        <v>2500</v>
      </c>
      <c r="AO236">
        <v>95</v>
      </c>
      <c r="AQ236" t="s">
        <v>11156</v>
      </c>
      <c r="AS236" t="s">
        <v>11173</v>
      </c>
      <c r="AU236">
        <v>7</v>
      </c>
      <c r="AW236" t="s">
        <v>11187</v>
      </c>
      <c r="AY236" t="s">
        <v>11213</v>
      </c>
      <c r="BA236" t="s">
        <v>11222</v>
      </c>
      <c r="BE236" t="s">
        <v>11851</v>
      </c>
      <c r="BF236" t="s">
        <v>14364</v>
      </c>
      <c r="BM236" t="s">
        <v>15650</v>
      </c>
    </row>
    <row r="237" spans="1:67">
      <c r="A237" s="1">
        <f>HYPERLINK("https://lsnyc.legalserver.org/matter/dynamic-profile/view/1836934","17-1836934")</f>
        <v>0</v>
      </c>
      <c r="B237" t="s">
        <v>86</v>
      </c>
      <c r="C237" t="s">
        <v>245</v>
      </c>
      <c r="D237" t="s">
        <v>407</v>
      </c>
      <c r="F237" t="s">
        <v>1265</v>
      </c>
      <c r="G237" t="s">
        <v>3052</v>
      </c>
      <c r="H237" t="s">
        <v>4925</v>
      </c>
      <c r="I237" t="s">
        <v>6409</v>
      </c>
      <c r="J237" t="s">
        <v>7169</v>
      </c>
      <c r="K237">
        <v>10034</v>
      </c>
      <c r="N237" t="s">
        <v>7237</v>
      </c>
      <c r="O237" t="s">
        <v>7462</v>
      </c>
      <c r="P237">
        <v>1</v>
      </c>
      <c r="Q237">
        <v>1</v>
      </c>
      <c r="R237">
        <v>233.99</v>
      </c>
      <c r="S237" t="s">
        <v>381</v>
      </c>
      <c r="U237">
        <v>38000</v>
      </c>
      <c r="W237">
        <v>56.9</v>
      </c>
      <c r="X237" t="s">
        <v>959</v>
      </c>
      <c r="Y237" t="s">
        <v>10882</v>
      </c>
      <c r="AA237" t="s">
        <v>10974</v>
      </c>
      <c r="AB237" t="s">
        <v>348</v>
      </c>
      <c r="AD237" t="s">
        <v>11096</v>
      </c>
      <c r="AF237" t="s">
        <v>11122</v>
      </c>
      <c r="AH237" t="s">
        <v>10975</v>
      </c>
      <c r="AJ237" t="s">
        <v>11140</v>
      </c>
      <c r="AK237" t="s">
        <v>7225</v>
      </c>
      <c r="AM237">
        <v>1714</v>
      </c>
      <c r="AO237">
        <v>110</v>
      </c>
      <c r="AQ237" t="s">
        <v>11157</v>
      </c>
      <c r="AS237" t="s">
        <v>11173</v>
      </c>
      <c r="AU237">
        <v>21</v>
      </c>
      <c r="AW237" t="s">
        <v>11187</v>
      </c>
      <c r="AZ237" t="s">
        <v>11221</v>
      </c>
      <c r="BE237" t="s">
        <v>11852</v>
      </c>
      <c r="BF237" t="s">
        <v>14364</v>
      </c>
      <c r="BM237" t="s">
        <v>15650</v>
      </c>
    </row>
    <row r="238" spans="1:67">
      <c r="A238" s="1">
        <f>HYPERLINK("https://lsnyc.legalserver.org/matter/dynamic-profile/view/1837984","17-1837984")</f>
        <v>0</v>
      </c>
      <c r="B238" t="s">
        <v>86</v>
      </c>
      <c r="C238" t="s">
        <v>245</v>
      </c>
      <c r="D238" t="s">
        <v>397</v>
      </c>
      <c r="F238" t="s">
        <v>1265</v>
      </c>
      <c r="G238" t="s">
        <v>3052</v>
      </c>
      <c r="H238" t="s">
        <v>4925</v>
      </c>
      <c r="I238" t="s">
        <v>6409</v>
      </c>
      <c r="J238" t="s">
        <v>7169</v>
      </c>
      <c r="K238">
        <v>10034</v>
      </c>
      <c r="M238" t="s">
        <v>7224</v>
      </c>
      <c r="N238" t="s">
        <v>7237</v>
      </c>
      <c r="O238" t="s">
        <v>7462</v>
      </c>
      <c r="P238">
        <v>1</v>
      </c>
      <c r="Q238">
        <v>1</v>
      </c>
      <c r="R238">
        <v>233.99</v>
      </c>
      <c r="S238" t="s">
        <v>381</v>
      </c>
      <c r="U238">
        <v>38000</v>
      </c>
      <c r="W238">
        <v>126.95</v>
      </c>
      <c r="X238" t="s">
        <v>798</v>
      </c>
      <c r="Y238" t="s">
        <v>10859</v>
      </c>
      <c r="AA238" t="s">
        <v>10974</v>
      </c>
      <c r="AB238" t="s">
        <v>10846</v>
      </c>
      <c r="AD238" t="s">
        <v>11083</v>
      </c>
      <c r="AF238" t="s">
        <v>11118</v>
      </c>
      <c r="AH238" t="s">
        <v>10975</v>
      </c>
      <c r="AJ238" t="s">
        <v>11129</v>
      </c>
      <c r="AK238" t="s">
        <v>7225</v>
      </c>
      <c r="AM238">
        <v>1714</v>
      </c>
      <c r="AO238">
        <v>110</v>
      </c>
      <c r="AQ238" t="s">
        <v>11157</v>
      </c>
      <c r="AS238" t="s">
        <v>11173</v>
      </c>
      <c r="AU238">
        <v>21</v>
      </c>
      <c r="AW238" t="s">
        <v>11187</v>
      </c>
      <c r="AZ238" t="s">
        <v>11221</v>
      </c>
      <c r="BE238" t="s">
        <v>11852</v>
      </c>
      <c r="BG238" t="s">
        <v>14437</v>
      </c>
      <c r="BM238" t="s">
        <v>15650</v>
      </c>
    </row>
    <row r="239" spans="1:67">
      <c r="A239" s="1">
        <f>HYPERLINK("https://lsnyc.legalserver.org/matter/dynamic-profile/view/1911811","19-1911811")</f>
        <v>0</v>
      </c>
      <c r="B239" t="s">
        <v>86</v>
      </c>
      <c r="C239" t="s">
        <v>245</v>
      </c>
      <c r="D239" t="s">
        <v>345</v>
      </c>
      <c r="F239" t="s">
        <v>1122</v>
      </c>
      <c r="G239" t="s">
        <v>3040</v>
      </c>
      <c r="H239" t="s">
        <v>4926</v>
      </c>
      <c r="I239" t="s">
        <v>6422</v>
      </c>
      <c r="J239" t="s">
        <v>7169</v>
      </c>
      <c r="K239">
        <v>10040</v>
      </c>
      <c r="N239" t="s">
        <v>7237</v>
      </c>
      <c r="O239" t="s">
        <v>7463</v>
      </c>
      <c r="P239">
        <v>1</v>
      </c>
      <c r="Q239">
        <v>0</v>
      </c>
      <c r="R239">
        <v>81.95</v>
      </c>
      <c r="U239">
        <v>10236</v>
      </c>
      <c r="W239">
        <v>1.9</v>
      </c>
      <c r="X239" t="s">
        <v>638</v>
      </c>
      <c r="Y239" t="s">
        <v>127</v>
      </c>
      <c r="AA239" t="s">
        <v>10974</v>
      </c>
      <c r="AB239" t="s">
        <v>345</v>
      </c>
      <c r="AC239" t="s">
        <v>11081</v>
      </c>
      <c r="AF239" t="s">
        <v>11121</v>
      </c>
      <c r="AH239" t="s">
        <v>10975</v>
      </c>
      <c r="AJ239" t="s">
        <v>11129</v>
      </c>
      <c r="AK239" t="s">
        <v>7225</v>
      </c>
      <c r="AM239">
        <v>177</v>
      </c>
      <c r="AO239">
        <v>26</v>
      </c>
      <c r="AQ239" t="s">
        <v>11157</v>
      </c>
      <c r="AS239" t="s">
        <v>11174</v>
      </c>
      <c r="AU239">
        <v>47</v>
      </c>
      <c r="AW239" t="s">
        <v>11189</v>
      </c>
      <c r="BA239" t="s">
        <v>11222</v>
      </c>
      <c r="BE239" t="s">
        <v>11853</v>
      </c>
      <c r="BF239" t="s">
        <v>14364</v>
      </c>
      <c r="BM239" t="s">
        <v>15650</v>
      </c>
    </row>
    <row r="240" spans="1:67">
      <c r="A240" s="1">
        <f>HYPERLINK("https://lsnyc.legalserver.org/matter/dynamic-profile/view/1910113","19-1910113")</f>
        <v>0</v>
      </c>
      <c r="B240" t="s">
        <v>86</v>
      </c>
      <c r="C240" t="s">
        <v>245</v>
      </c>
      <c r="D240" t="s">
        <v>335</v>
      </c>
      <c r="F240" t="s">
        <v>1266</v>
      </c>
      <c r="G240" t="s">
        <v>3053</v>
      </c>
      <c r="H240" t="s">
        <v>4770</v>
      </c>
      <c r="J240" t="s">
        <v>7169</v>
      </c>
      <c r="K240">
        <v>10033</v>
      </c>
      <c r="N240" t="s">
        <v>7237</v>
      </c>
      <c r="O240" t="s">
        <v>7464</v>
      </c>
      <c r="P240">
        <v>1</v>
      </c>
      <c r="Q240">
        <v>0</v>
      </c>
      <c r="R240">
        <v>135.31</v>
      </c>
      <c r="U240">
        <v>16900</v>
      </c>
      <c r="W240">
        <v>0</v>
      </c>
      <c r="Y240" t="s">
        <v>127</v>
      </c>
      <c r="AA240" t="s">
        <v>10974</v>
      </c>
      <c r="AB240" t="s">
        <v>335</v>
      </c>
      <c r="AD240" t="s">
        <v>11101</v>
      </c>
      <c r="AF240" t="s">
        <v>10384</v>
      </c>
      <c r="AH240" t="s">
        <v>10974</v>
      </c>
      <c r="AJ240" t="s">
        <v>11130</v>
      </c>
      <c r="AK240" t="s">
        <v>7225</v>
      </c>
      <c r="AM240">
        <v>650</v>
      </c>
      <c r="AO240">
        <v>24</v>
      </c>
      <c r="AQ240" t="s">
        <v>11157</v>
      </c>
      <c r="AS240" t="s">
        <v>11173</v>
      </c>
      <c r="AU240">
        <v>1</v>
      </c>
      <c r="AW240" t="s">
        <v>11187</v>
      </c>
      <c r="BA240" t="s">
        <v>11222</v>
      </c>
      <c r="BE240" t="s">
        <v>11854</v>
      </c>
      <c r="BF240" t="s">
        <v>14364</v>
      </c>
      <c r="BM240" t="s">
        <v>15650</v>
      </c>
    </row>
    <row r="241" spans="1:65">
      <c r="A241" s="1">
        <f>HYPERLINK("https://lsnyc.legalserver.org/matter/dynamic-profile/view/0820733","16-0820733")</f>
        <v>0</v>
      </c>
      <c r="B241" t="s">
        <v>86</v>
      </c>
      <c r="C241" t="s">
        <v>245</v>
      </c>
      <c r="D241" t="s">
        <v>408</v>
      </c>
      <c r="F241" t="s">
        <v>1267</v>
      </c>
      <c r="G241" t="s">
        <v>3054</v>
      </c>
      <c r="H241" t="s">
        <v>4862</v>
      </c>
      <c r="I241">
        <v>51</v>
      </c>
      <c r="J241" t="s">
        <v>7169</v>
      </c>
      <c r="K241">
        <v>10034</v>
      </c>
      <c r="N241" t="s">
        <v>7237</v>
      </c>
      <c r="O241" t="s">
        <v>7465</v>
      </c>
      <c r="P241">
        <v>2</v>
      </c>
      <c r="Q241">
        <v>0</v>
      </c>
      <c r="R241">
        <v>76.56</v>
      </c>
      <c r="U241">
        <v>12264.48</v>
      </c>
      <c r="W241">
        <v>17.8</v>
      </c>
      <c r="X241" t="s">
        <v>771</v>
      </c>
      <c r="Y241" t="s">
        <v>10863</v>
      </c>
      <c r="AA241" t="s">
        <v>10974</v>
      </c>
      <c r="AB241" t="s">
        <v>408</v>
      </c>
      <c r="AD241" t="s">
        <v>11086</v>
      </c>
      <c r="AF241" t="s">
        <v>10384</v>
      </c>
      <c r="AH241" t="s">
        <v>10974</v>
      </c>
      <c r="AJ241" t="s">
        <v>11134</v>
      </c>
      <c r="AK241" t="s">
        <v>7225</v>
      </c>
      <c r="AM241">
        <v>877.63</v>
      </c>
      <c r="AO241">
        <v>25</v>
      </c>
      <c r="AQ241" t="s">
        <v>11157</v>
      </c>
      <c r="AS241" t="s">
        <v>11173</v>
      </c>
      <c r="AU241">
        <v>38</v>
      </c>
      <c r="AW241" t="s">
        <v>11189</v>
      </c>
      <c r="AZ241" t="s">
        <v>11221</v>
      </c>
      <c r="BE241" t="s">
        <v>11855</v>
      </c>
      <c r="BF241" t="s">
        <v>14364</v>
      </c>
      <c r="BM241" t="s">
        <v>15650</v>
      </c>
    </row>
    <row r="242" spans="1:65">
      <c r="A242" s="1">
        <f>HYPERLINK("https://lsnyc.legalserver.org/matter/dynamic-profile/view/1870607","18-1870607")</f>
        <v>0</v>
      </c>
      <c r="B242" t="s">
        <v>86</v>
      </c>
      <c r="C242" t="s">
        <v>245</v>
      </c>
      <c r="D242" t="s">
        <v>409</v>
      </c>
      <c r="F242" t="s">
        <v>1268</v>
      </c>
      <c r="G242" t="s">
        <v>3055</v>
      </c>
      <c r="H242" t="s">
        <v>4927</v>
      </c>
      <c r="I242" t="s">
        <v>6506</v>
      </c>
      <c r="J242" t="s">
        <v>7169</v>
      </c>
      <c r="K242">
        <v>10040</v>
      </c>
      <c r="N242" t="s">
        <v>7237</v>
      </c>
      <c r="O242" t="s">
        <v>7466</v>
      </c>
      <c r="P242">
        <v>2</v>
      </c>
      <c r="Q242">
        <v>2</v>
      </c>
      <c r="R242">
        <v>143.43</v>
      </c>
      <c r="U242">
        <v>36000</v>
      </c>
      <c r="W242">
        <v>98.40000000000001</v>
      </c>
      <c r="X242" t="s">
        <v>264</v>
      </c>
      <c r="Y242" t="s">
        <v>127</v>
      </c>
      <c r="AA242" t="s">
        <v>10974</v>
      </c>
      <c r="AB242" t="s">
        <v>409</v>
      </c>
      <c r="AC242" t="s">
        <v>11081</v>
      </c>
      <c r="AF242" t="s">
        <v>11118</v>
      </c>
      <c r="AH242" t="s">
        <v>10975</v>
      </c>
      <c r="AJ242" t="s">
        <v>11130</v>
      </c>
      <c r="AK242" t="s">
        <v>7225</v>
      </c>
      <c r="AM242">
        <v>1225</v>
      </c>
      <c r="AN242" t="s">
        <v>11151</v>
      </c>
      <c r="AO242" t="s">
        <v>11153</v>
      </c>
      <c r="AQ242" t="s">
        <v>11157</v>
      </c>
      <c r="AS242" t="s">
        <v>11173</v>
      </c>
      <c r="AU242">
        <v>7</v>
      </c>
      <c r="AW242" t="s">
        <v>11189</v>
      </c>
      <c r="AZ242" t="s">
        <v>11221</v>
      </c>
      <c r="BE242" t="s">
        <v>11856</v>
      </c>
      <c r="BF242" t="s">
        <v>14364</v>
      </c>
      <c r="BM242" t="s">
        <v>15650</v>
      </c>
    </row>
    <row r="243" spans="1:65">
      <c r="A243" s="1">
        <f>HYPERLINK("https://lsnyc.legalserver.org/matter/dynamic-profile/view/1895540","19-1895540")</f>
        <v>0</v>
      </c>
      <c r="B243" t="s">
        <v>86</v>
      </c>
      <c r="C243" t="s">
        <v>245</v>
      </c>
      <c r="D243" t="s">
        <v>370</v>
      </c>
      <c r="F243" t="s">
        <v>1269</v>
      </c>
      <c r="G243" t="s">
        <v>3056</v>
      </c>
      <c r="H243" t="s">
        <v>4868</v>
      </c>
      <c r="I243">
        <v>23</v>
      </c>
      <c r="J243" t="s">
        <v>7169</v>
      </c>
      <c r="K243">
        <v>10034</v>
      </c>
      <c r="N243" t="s">
        <v>7237</v>
      </c>
      <c r="O243" t="s">
        <v>7467</v>
      </c>
      <c r="P243">
        <v>1</v>
      </c>
      <c r="Q243">
        <v>0</v>
      </c>
      <c r="R243">
        <v>320.26</v>
      </c>
      <c r="U243">
        <v>40000</v>
      </c>
      <c r="W243">
        <v>3.7</v>
      </c>
      <c r="X243" t="s">
        <v>528</v>
      </c>
      <c r="Y243" t="s">
        <v>10859</v>
      </c>
      <c r="AA243" t="s">
        <v>10974</v>
      </c>
      <c r="AB243" t="s">
        <v>370</v>
      </c>
      <c r="AD243" t="s">
        <v>11101</v>
      </c>
      <c r="AF243" t="s">
        <v>11118</v>
      </c>
      <c r="AH243" t="s">
        <v>10974</v>
      </c>
      <c r="AJ243" t="s">
        <v>11104</v>
      </c>
      <c r="AK243" t="s">
        <v>7225</v>
      </c>
      <c r="AM243">
        <v>2000</v>
      </c>
      <c r="AO243">
        <v>25</v>
      </c>
      <c r="AQ243" t="s">
        <v>11157</v>
      </c>
      <c r="AS243" t="s">
        <v>11173</v>
      </c>
      <c r="AT243" t="s">
        <v>11184</v>
      </c>
      <c r="AU243">
        <v>0</v>
      </c>
      <c r="AW243" t="s">
        <v>11187</v>
      </c>
      <c r="AY243" t="s">
        <v>11213</v>
      </c>
      <c r="BA243" t="s">
        <v>11222</v>
      </c>
      <c r="BE243" t="s">
        <v>11857</v>
      </c>
      <c r="BG243" t="s">
        <v>14438</v>
      </c>
      <c r="BM243" t="s">
        <v>15650</v>
      </c>
    </row>
    <row r="244" spans="1:65">
      <c r="A244" s="1">
        <f>HYPERLINK("https://lsnyc.legalserver.org/matter/dynamic-profile/view/1867970","18-1867970")</f>
        <v>0</v>
      </c>
      <c r="B244" t="s">
        <v>86</v>
      </c>
      <c r="C244" t="s">
        <v>245</v>
      </c>
      <c r="D244" t="s">
        <v>364</v>
      </c>
      <c r="F244" t="s">
        <v>1270</v>
      </c>
      <c r="G244" t="s">
        <v>3057</v>
      </c>
      <c r="H244" t="s">
        <v>4928</v>
      </c>
      <c r="I244" t="s">
        <v>6507</v>
      </c>
      <c r="J244" t="s">
        <v>7169</v>
      </c>
      <c r="K244">
        <v>10034</v>
      </c>
      <c r="N244" t="s">
        <v>7237</v>
      </c>
      <c r="O244" t="s">
        <v>7468</v>
      </c>
      <c r="P244">
        <v>1</v>
      </c>
      <c r="Q244">
        <v>0</v>
      </c>
      <c r="R244">
        <v>86.83</v>
      </c>
      <c r="U244">
        <v>10540.8</v>
      </c>
      <c r="W244">
        <v>3.9</v>
      </c>
      <c r="X244" t="s">
        <v>1058</v>
      </c>
      <c r="Y244" t="s">
        <v>127</v>
      </c>
      <c r="AA244" t="s">
        <v>10974</v>
      </c>
      <c r="AB244" t="s">
        <v>364</v>
      </c>
      <c r="AD244" t="s">
        <v>11100</v>
      </c>
      <c r="AF244" t="s">
        <v>11120</v>
      </c>
      <c r="AH244" t="s">
        <v>10975</v>
      </c>
      <c r="AJ244" t="s">
        <v>11129</v>
      </c>
      <c r="AK244" t="s">
        <v>7225</v>
      </c>
      <c r="AM244">
        <v>432.57</v>
      </c>
      <c r="AO244">
        <v>41</v>
      </c>
      <c r="AQ244" t="s">
        <v>11160</v>
      </c>
      <c r="AS244" t="s">
        <v>11173</v>
      </c>
      <c r="AU244">
        <v>51</v>
      </c>
      <c r="AW244" t="s">
        <v>11187</v>
      </c>
      <c r="AZ244" t="s">
        <v>11221</v>
      </c>
      <c r="BE244" t="s">
        <v>11858</v>
      </c>
      <c r="BF244" t="s">
        <v>14364</v>
      </c>
      <c r="BM244" t="s">
        <v>15650</v>
      </c>
    </row>
    <row r="245" spans="1:65">
      <c r="A245" s="1">
        <f>HYPERLINK("https://lsnyc.legalserver.org/matter/dynamic-profile/view/1844969","17-1844969")</f>
        <v>0</v>
      </c>
      <c r="B245" t="s">
        <v>86</v>
      </c>
      <c r="C245" t="s">
        <v>245</v>
      </c>
      <c r="D245" t="s">
        <v>410</v>
      </c>
      <c r="F245" t="s">
        <v>1271</v>
      </c>
      <c r="G245" t="s">
        <v>3058</v>
      </c>
      <c r="H245" t="s">
        <v>4929</v>
      </c>
      <c r="I245" t="s">
        <v>6508</v>
      </c>
      <c r="J245" t="s">
        <v>7169</v>
      </c>
      <c r="K245">
        <v>10025</v>
      </c>
      <c r="N245" t="s">
        <v>7237</v>
      </c>
      <c r="O245" t="s">
        <v>7469</v>
      </c>
      <c r="P245">
        <v>1</v>
      </c>
      <c r="Q245">
        <v>0</v>
      </c>
      <c r="R245">
        <v>86.23999999999999</v>
      </c>
      <c r="S245" t="s">
        <v>10254</v>
      </c>
      <c r="T245" t="s">
        <v>10275</v>
      </c>
      <c r="U245">
        <v>10400</v>
      </c>
      <c r="W245">
        <v>63.7</v>
      </c>
      <c r="X245" t="s">
        <v>370</v>
      </c>
      <c r="Y245" t="s">
        <v>10863</v>
      </c>
      <c r="AA245" t="s">
        <v>10974</v>
      </c>
      <c r="AB245" t="s">
        <v>10986</v>
      </c>
      <c r="AD245" t="s">
        <v>11083</v>
      </c>
      <c r="AF245" t="s">
        <v>11118</v>
      </c>
      <c r="AH245" t="s">
        <v>10975</v>
      </c>
      <c r="AJ245" t="s">
        <v>11133</v>
      </c>
      <c r="AK245" t="s">
        <v>11149</v>
      </c>
      <c r="AM245">
        <v>1127</v>
      </c>
      <c r="AO245">
        <v>207</v>
      </c>
      <c r="AQ245" t="s">
        <v>11164</v>
      </c>
      <c r="AS245" t="s">
        <v>11173</v>
      </c>
      <c r="AU245">
        <v>4</v>
      </c>
      <c r="AW245" t="s">
        <v>11187</v>
      </c>
      <c r="AZ245" t="s">
        <v>11221</v>
      </c>
      <c r="BE245" t="s">
        <v>11859</v>
      </c>
      <c r="BG245" t="s">
        <v>14439</v>
      </c>
      <c r="BM245" t="s">
        <v>15650</v>
      </c>
    </row>
    <row r="246" spans="1:65">
      <c r="A246" s="1">
        <f>HYPERLINK("https://lsnyc.legalserver.org/matter/dynamic-profile/view/1877309","18-1877309")</f>
        <v>0</v>
      </c>
      <c r="B246" t="s">
        <v>86</v>
      </c>
      <c r="C246" t="s">
        <v>245</v>
      </c>
      <c r="D246" t="s">
        <v>284</v>
      </c>
      <c r="F246" t="s">
        <v>1272</v>
      </c>
      <c r="G246" t="s">
        <v>3059</v>
      </c>
      <c r="H246" t="s">
        <v>4922</v>
      </c>
      <c r="I246" t="s">
        <v>6448</v>
      </c>
      <c r="J246" t="s">
        <v>7169</v>
      </c>
      <c r="K246">
        <v>10040</v>
      </c>
      <c r="N246" t="s">
        <v>7237</v>
      </c>
      <c r="O246" t="s">
        <v>7470</v>
      </c>
      <c r="P246">
        <v>1</v>
      </c>
      <c r="Q246">
        <v>0</v>
      </c>
      <c r="R246">
        <v>85.7</v>
      </c>
      <c r="U246">
        <v>10404</v>
      </c>
      <c r="W246">
        <v>2.4</v>
      </c>
      <c r="X246" t="s">
        <v>556</v>
      </c>
      <c r="Y246" t="s">
        <v>127</v>
      </c>
      <c r="AA246" t="s">
        <v>10974</v>
      </c>
      <c r="AB246" t="s">
        <v>284</v>
      </c>
      <c r="AD246" t="s">
        <v>11095</v>
      </c>
      <c r="AF246" t="s">
        <v>10384</v>
      </c>
      <c r="AH246" t="s">
        <v>10975</v>
      </c>
      <c r="AJ246" t="s">
        <v>11130</v>
      </c>
      <c r="AK246" t="s">
        <v>7225</v>
      </c>
      <c r="AM246">
        <v>1990.34</v>
      </c>
      <c r="AO246">
        <v>41</v>
      </c>
      <c r="AQ246" t="s">
        <v>11157</v>
      </c>
      <c r="AS246" t="s">
        <v>11174</v>
      </c>
      <c r="AU246">
        <v>7</v>
      </c>
      <c r="AW246" t="s">
        <v>11189</v>
      </c>
      <c r="BA246" t="s">
        <v>11222</v>
      </c>
      <c r="BE246" t="s">
        <v>11860</v>
      </c>
      <c r="BF246" t="s">
        <v>14364</v>
      </c>
      <c r="BM246" t="s">
        <v>15650</v>
      </c>
    </row>
    <row r="247" spans="1:65">
      <c r="A247" s="1">
        <f>HYPERLINK("https://lsnyc.legalserver.org/matter/dynamic-profile/view/1882922","18-1882922")</f>
        <v>0</v>
      </c>
      <c r="B247" t="s">
        <v>86</v>
      </c>
      <c r="C247" t="s">
        <v>245</v>
      </c>
      <c r="D247" t="s">
        <v>400</v>
      </c>
      <c r="F247" t="s">
        <v>1273</v>
      </c>
      <c r="G247" t="s">
        <v>3060</v>
      </c>
      <c r="H247" t="s">
        <v>4862</v>
      </c>
      <c r="I247">
        <v>34</v>
      </c>
      <c r="J247" t="s">
        <v>7169</v>
      </c>
      <c r="K247">
        <v>10034</v>
      </c>
      <c r="N247" t="s">
        <v>7237</v>
      </c>
      <c r="O247" t="s">
        <v>7471</v>
      </c>
      <c r="P247">
        <v>1</v>
      </c>
      <c r="Q247">
        <v>0</v>
      </c>
      <c r="R247">
        <v>249.59</v>
      </c>
      <c r="S247" t="s">
        <v>425</v>
      </c>
      <c r="T247" t="s">
        <v>10276</v>
      </c>
      <c r="U247">
        <v>30300</v>
      </c>
      <c r="W247">
        <v>10.2</v>
      </c>
      <c r="X247" t="s">
        <v>591</v>
      </c>
      <c r="Y247" t="s">
        <v>127</v>
      </c>
      <c r="AA247" t="s">
        <v>10974</v>
      </c>
      <c r="AB247" t="s">
        <v>370</v>
      </c>
      <c r="AD247" t="s">
        <v>11100</v>
      </c>
      <c r="AF247" t="s">
        <v>11120</v>
      </c>
      <c r="AH247" t="s">
        <v>10975</v>
      </c>
      <c r="AJ247" t="s">
        <v>11130</v>
      </c>
      <c r="AK247" t="s">
        <v>7225</v>
      </c>
      <c r="AM247">
        <v>810.26</v>
      </c>
      <c r="AO247">
        <v>25</v>
      </c>
      <c r="AQ247" t="s">
        <v>11157</v>
      </c>
      <c r="AS247" t="s">
        <v>11173</v>
      </c>
      <c r="AU247">
        <v>52</v>
      </c>
      <c r="AW247" t="s">
        <v>11189</v>
      </c>
      <c r="BA247" t="s">
        <v>11222</v>
      </c>
      <c r="BE247" t="s">
        <v>11861</v>
      </c>
      <c r="BF247" t="s">
        <v>14364</v>
      </c>
      <c r="BM247" t="s">
        <v>15650</v>
      </c>
    </row>
    <row r="248" spans="1:65">
      <c r="A248" s="1">
        <f>HYPERLINK("https://lsnyc.legalserver.org/matter/dynamic-profile/view/1867941","18-1867941")</f>
        <v>0</v>
      </c>
      <c r="B248" t="s">
        <v>86</v>
      </c>
      <c r="C248" t="s">
        <v>245</v>
      </c>
      <c r="D248" t="s">
        <v>364</v>
      </c>
      <c r="F248" t="s">
        <v>1270</v>
      </c>
      <c r="G248" t="s">
        <v>3057</v>
      </c>
      <c r="H248" t="s">
        <v>4928</v>
      </c>
      <c r="I248" t="s">
        <v>6507</v>
      </c>
      <c r="J248" t="s">
        <v>7169</v>
      </c>
      <c r="K248">
        <v>10034</v>
      </c>
      <c r="N248" t="s">
        <v>7237</v>
      </c>
      <c r="O248" t="s">
        <v>7468</v>
      </c>
      <c r="P248">
        <v>1</v>
      </c>
      <c r="Q248">
        <v>0</v>
      </c>
      <c r="R248">
        <v>86.83</v>
      </c>
      <c r="U248">
        <v>10540.8</v>
      </c>
      <c r="W248">
        <v>8.199999999999999</v>
      </c>
      <c r="X248" t="s">
        <v>779</v>
      </c>
      <c r="Y248" t="s">
        <v>127</v>
      </c>
      <c r="AA248" t="s">
        <v>10974</v>
      </c>
      <c r="AB248" t="s">
        <v>364</v>
      </c>
      <c r="AD248" t="s">
        <v>11082</v>
      </c>
      <c r="AF248" t="s">
        <v>11118</v>
      </c>
      <c r="AH248" t="s">
        <v>10975</v>
      </c>
      <c r="AJ248" t="s">
        <v>11129</v>
      </c>
      <c r="AK248" t="s">
        <v>7225</v>
      </c>
      <c r="AM248">
        <v>432.57</v>
      </c>
      <c r="AO248">
        <v>41</v>
      </c>
      <c r="AQ248" t="s">
        <v>11160</v>
      </c>
      <c r="AS248" t="s">
        <v>11173</v>
      </c>
      <c r="AU248">
        <v>51</v>
      </c>
      <c r="AW248" t="s">
        <v>11187</v>
      </c>
      <c r="AZ248" t="s">
        <v>11221</v>
      </c>
      <c r="BE248" t="s">
        <v>11858</v>
      </c>
      <c r="BG248" t="s">
        <v>14440</v>
      </c>
      <c r="BM248" t="s">
        <v>15650</v>
      </c>
    </row>
    <row r="249" spans="1:65">
      <c r="A249" s="1">
        <f>HYPERLINK("https://lsnyc.legalserver.org/matter/dynamic-profile/view/1843489","17-1843489")</f>
        <v>0</v>
      </c>
      <c r="B249" t="s">
        <v>86</v>
      </c>
      <c r="C249" t="s">
        <v>245</v>
      </c>
      <c r="D249" t="s">
        <v>411</v>
      </c>
      <c r="F249" t="s">
        <v>1274</v>
      </c>
      <c r="G249" t="s">
        <v>3061</v>
      </c>
      <c r="H249" t="s">
        <v>4869</v>
      </c>
      <c r="I249">
        <v>33</v>
      </c>
      <c r="J249" t="s">
        <v>7169</v>
      </c>
      <c r="K249">
        <v>10031</v>
      </c>
      <c r="N249" t="s">
        <v>7237</v>
      </c>
      <c r="O249" t="s">
        <v>7472</v>
      </c>
      <c r="P249">
        <v>1</v>
      </c>
      <c r="Q249">
        <v>0</v>
      </c>
      <c r="R249">
        <v>88.06</v>
      </c>
      <c r="S249" t="s">
        <v>812</v>
      </c>
      <c r="U249">
        <v>10620</v>
      </c>
      <c r="W249">
        <v>22.1</v>
      </c>
      <c r="X249" t="s">
        <v>729</v>
      </c>
      <c r="Y249" t="s">
        <v>127</v>
      </c>
      <c r="AA249" t="s">
        <v>10974</v>
      </c>
      <c r="AB249" t="s">
        <v>603</v>
      </c>
      <c r="AD249" t="s">
        <v>11083</v>
      </c>
      <c r="AF249" t="s">
        <v>11118</v>
      </c>
      <c r="AH249" t="s">
        <v>10975</v>
      </c>
      <c r="AJ249" t="s">
        <v>11130</v>
      </c>
      <c r="AK249" t="s">
        <v>7225</v>
      </c>
      <c r="AM249">
        <v>424.4</v>
      </c>
      <c r="AO249">
        <v>26</v>
      </c>
      <c r="AQ249" t="s">
        <v>11157</v>
      </c>
      <c r="AS249" t="s">
        <v>11173</v>
      </c>
      <c r="AU249">
        <v>60</v>
      </c>
      <c r="AW249" t="s">
        <v>11187</v>
      </c>
      <c r="AZ249" t="s">
        <v>11221</v>
      </c>
      <c r="BE249" t="s">
        <v>11862</v>
      </c>
      <c r="BG249" t="s">
        <v>14441</v>
      </c>
      <c r="BM249" t="s">
        <v>15650</v>
      </c>
    </row>
    <row r="250" spans="1:65">
      <c r="A250" s="1">
        <f>HYPERLINK("https://lsnyc.legalserver.org/matter/dynamic-profile/view/1904896","19-1904896")</f>
        <v>0</v>
      </c>
      <c r="B250" t="s">
        <v>86</v>
      </c>
      <c r="C250" t="s">
        <v>245</v>
      </c>
      <c r="D250" t="s">
        <v>328</v>
      </c>
      <c r="F250" t="s">
        <v>1155</v>
      </c>
      <c r="G250" t="s">
        <v>1762</v>
      </c>
      <c r="H250" t="s">
        <v>4930</v>
      </c>
      <c r="I250" t="s">
        <v>6509</v>
      </c>
      <c r="J250" t="s">
        <v>7169</v>
      </c>
      <c r="K250">
        <v>10034</v>
      </c>
      <c r="N250" t="s">
        <v>7237</v>
      </c>
      <c r="O250" t="s">
        <v>7473</v>
      </c>
      <c r="P250">
        <v>1</v>
      </c>
      <c r="Q250">
        <v>0</v>
      </c>
      <c r="R250">
        <v>76.86</v>
      </c>
      <c r="U250">
        <v>9600</v>
      </c>
      <c r="W250">
        <v>1.9</v>
      </c>
      <c r="X250" t="s">
        <v>437</v>
      </c>
      <c r="Y250" t="s">
        <v>127</v>
      </c>
      <c r="AA250" t="s">
        <v>10974</v>
      </c>
      <c r="AB250" t="s">
        <v>328</v>
      </c>
      <c r="AC250" t="s">
        <v>11081</v>
      </c>
      <c r="AF250" t="s">
        <v>10384</v>
      </c>
      <c r="AH250" t="s">
        <v>10975</v>
      </c>
      <c r="AJ250" t="s">
        <v>11130</v>
      </c>
      <c r="AK250" t="s">
        <v>7225</v>
      </c>
      <c r="AM250">
        <v>1036.77</v>
      </c>
      <c r="AO250">
        <v>65</v>
      </c>
      <c r="AQ250" t="s">
        <v>11157</v>
      </c>
      <c r="AS250" t="s">
        <v>11173</v>
      </c>
      <c r="AU250">
        <v>4</v>
      </c>
      <c r="AW250" t="s">
        <v>11187</v>
      </c>
      <c r="BA250" t="s">
        <v>11222</v>
      </c>
      <c r="BE250" t="s">
        <v>11863</v>
      </c>
      <c r="BF250" t="s">
        <v>14364</v>
      </c>
      <c r="BM250" t="s">
        <v>15650</v>
      </c>
    </row>
    <row r="251" spans="1:65">
      <c r="A251" s="1">
        <f>HYPERLINK("https://lsnyc.legalserver.org/matter/dynamic-profile/view/1896446","19-1896446")</f>
        <v>0</v>
      </c>
      <c r="B251" t="s">
        <v>86</v>
      </c>
      <c r="C251" t="s">
        <v>245</v>
      </c>
      <c r="D251" t="s">
        <v>412</v>
      </c>
      <c r="F251" t="s">
        <v>1275</v>
      </c>
      <c r="G251" t="s">
        <v>2886</v>
      </c>
      <c r="H251" t="s">
        <v>4931</v>
      </c>
      <c r="I251" t="s">
        <v>6419</v>
      </c>
      <c r="J251" t="s">
        <v>7169</v>
      </c>
      <c r="K251">
        <v>10034</v>
      </c>
      <c r="N251" t="s">
        <v>7237</v>
      </c>
      <c r="O251" t="s">
        <v>7474</v>
      </c>
      <c r="P251">
        <v>1</v>
      </c>
      <c r="Q251">
        <v>0</v>
      </c>
      <c r="R251">
        <v>76.86</v>
      </c>
      <c r="S251" t="s">
        <v>10254</v>
      </c>
      <c r="U251">
        <v>9600</v>
      </c>
      <c r="W251">
        <v>3.1</v>
      </c>
      <c r="X251" t="s">
        <v>394</v>
      </c>
      <c r="Y251" t="s">
        <v>10893</v>
      </c>
      <c r="AA251" t="s">
        <v>10974</v>
      </c>
      <c r="AB251" t="s">
        <v>10984</v>
      </c>
      <c r="AD251" t="s">
        <v>11082</v>
      </c>
      <c r="AF251" t="s">
        <v>10384</v>
      </c>
      <c r="AH251" t="s">
        <v>10975</v>
      </c>
      <c r="AJ251" t="s">
        <v>11130</v>
      </c>
      <c r="AK251" t="s">
        <v>7225</v>
      </c>
      <c r="AL251" t="s">
        <v>11150</v>
      </c>
      <c r="AM251">
        <v>0</v>
      </c>
      <c r="AO251">
        <v>44</v>
      </c>
      <c r="AQ251" t="s">
        <v>11157</v>
      </c>
      <c r="AS251" t="s">
        <v>11175</v>
      </c>
      <c r="AU251">
        <v>33</v>
      </c>
      <c r="AW251" t="s">
        <v>11189</v>
      </c>
      <c r="AY251" t="s">
        <v>11213</v>
      </c>
      <c r="BA251" t="s">
        <v>11222</v>
      </c>
      <c r="BE251" t="s">
        <v>11864</v>
      </c>
      <c r="BG251" t="s">
        <v>14442</v>
      </c>
      <c r="BM251" t="s">
        <v>15650</v>
      </c>
    </row>
    <row r="252" spans="1:65">
      <c r="A252" s="1">
        <f>HYPERLINK("https://lsnyc.legalserver.org/matter/dynamic-profile/view/1855152","18-1855152")</f>
        <v>0</v>
      </c>
      <c r="B252" t="s">
        <v>86</v>
      </c>
      <c r="C252" t="s">
        <v>245</v>
      </c>
      <c r="D252" t="s">
        <v>413</v>
      </c>
      <c r="F252" t="s">
        <v>1245</v>
      </c>
      <c r="G252" t="s">
        <v>3041</v>
      </c>
      <c r="H252" t="s">
        <v>4914</v>
      </c>
      <c r="I252" t="s">
        <v>6502</v>
      </c>
      <c r="J252" t="s">
        <v>7169</v>
      </c>
      <c r="K252">
        <v>10034</v>
      </c>
      <c r="N252" t="s">
        <v>7237</v>
      </c>
      <c r="O252" t="s">
        <v>7448</v>
      </c>
      <c r="P252">
        <v>1</v>
      </c>
      <c r="Q252">
        <v>1</v>
      </c>
      <c r="R252">
        <v>136.55</v>
      </c>
      <c r="U252">
        <v>22176</v>
      </c>
      <c r="W252">
        <v>86.59999999999999</v>
      </c>
      <c r="X252" t="s">
        <v>412</v>
      </c>
      <c r="Y252" t="s">
        <v>127</v>
      </c>
      <c r="AA252" t="s">
        <v>10974</v>
      </c>
      <c r="AB252" t="s">
        <v>413</v>
      </c>
      <c r="AD252" t="s">
        <v>11090</v>
      </c>
      <c r="AF252" t="s">
        <v>11118</v>
      </c>
      <c r="AH252" t="s">
        <v>10975</v>
      </c>
      <c r="AJ252" t="s">
        <v>11129</v>
      </c>
      <c r="AK252" t="s">
        <v>7225</v>
      </c>
      <c r="AM252">
        <v>2300</v>
      </c>
      <c r="AO252">
        <v>22</v>
      </c>
      <c r="AQ252" t="s">
        <v>11157</v>
      </c>
      <c r="AS252" t="s">
        <v>11175</v>
      </c>
      <c r="AU252">
        <v>11</v>
      </c>
      <c r="AW252" t="s">
        <v>11187</v>
      </c>
      <c r="AZ252" t="s">
        <v>11221</v>
      </c>
      <c r="BE252" t="s">
        <v>11839</v>
      </c>
      <c r="BG252" t="s">
        <v>14443</v>
      </c>
      <c r="BM252" t="s">
        <v>15650</v>
      </c>
    </row>
    <row r="253" spans="1:65">
      <c r="A253" s="1">
        <f>HYPERLINK("https://lsnyc.legalserver.org/matter/dynamic-profile/view/1862262","18-1862262")</f>
        <v>0</v>
      </c>
      <c r="B253" t="s">
        <v>87</v>
      </c>
      <c r="C253" t="s">
        <v>245</v>
      </c>
      <c r="D253" t="s">
        <v>368</v>
      </c>
      <c r="E253" t="s">
        <v>449</v>
      </c>
      <c r="F253" t="s">
        <v>1276</v>
      </c>
      <c r="G253" t="s">
        <v>3057</v>
      </c>
      <c r="H253" t="s">
        <v>4932</v>
      </c>
      <c r="I253" t="s">
        <v>6468</v>
      </c>
      <c r="J253" t="s">
        <v>7169</v>
      </c>
      <c r="K253">
        <v>10030</v>
      </c>
      <c r="L253" t="s">
        <v>7216</v>
      </c>
      <c r="N253" t="s">
        <v>7237</v>
      </c>
      <c r="O253" t="s">
        <v>7475</v>
      </c>
      <c r="P253">
        <v>2</v>
      </c>
      <c r="Q253">
        <v>2</v>
      </c>
      <c r="R253">
        <v>34.16</v>
      </c>
      <c r="U253">
        <v>8574.6</v>
      </c>
      <c r="W253">
        <v>0.2</v>
      </c>
      <c r="X253" t="s">
        <v>725</v>
      </c>
      <c r="Y253" t="s">
        <v>10861</v>
      </c>
      <c r="Z253" t="s">
        <v>10972</v>
      </c>
      <c r="AA253" t="s">
        <v>10975</v>
      </c>
      <c r="AD253" t="s">
        <v>11082</v>
      </c>
      <c r="AF253" t="s">
        <v>11119</v>
      </c>
      <c r="AG253" t="s">
        <v>11124</v>
      </c>
      <c r="AI253" t="s">
        <v>11126</v>
      </c>
      <c r="AK253" t="s">
        <v>7225</v>
      </c>
      <c r="AM253">
        <v>249</v>
      </c>
      <c r="AN253" t="s">
        <v>11151</v>
      </c>
      <c r="AO253" t="s">
        <v>11153</v>
      </c>
      <c r="AP253" t="s">
        <v>11155</v>
      </c>
      <c r="AS253" t="s">
        <v>11179</v>
      </c>
      <c r="AU253">
        <v>7</v>
      </c>
      <c r="AV253" t="s">
        <v>11186</v>
      </c>
      <c r="AX253" t="s">
        <v>11212</v>
      </c>
      <c r="AZ253" t="s">
        <v>11221</v>
      </c>
      <c r="BE253" t="s">
        <v>11865</v>
      </c>
      <c r="BG253" t="s">
        <v>14444</v>
      </c>
      <c r="BM253" t="s">
        <v>15651</v>
      </c>
    </row>
    <row r="254" spans="1:65">
      <c r="A254" s="1">
        <f>HYPERLINK("https://lsnyc.legalserver.org/matter/dynamic-profile/view/1861099","18-1861099")</f>
        <v>0</v>
      </c>
      <c r="B254" t="s">
        <v>87</v>
      </c>
      <c r="C254" t="s">
        <v>245</v>
      </c>
      <c r="D254" t="s">
        <v>414</v>
      </c>
      <c r="E254" t="s">
        <v>449</v>
      </c>
      <c r="F254" t="s">
        <v>1277</v>
      </c>
      <c r="G254" t="s">
        <v>3062</v>
      </c>
      <c r="H254" t="s">
        <v>4933</v>
      </c>
      <c r="I254" t="s">
        <v>6510</v>
      </c>
      <c r="J254" t="s">
        <v>7169</v>
      </c>
      <c r="K254">
        <v>10037</v>
      </c>
      <c r="L254" t="s">
        <v>7216</v>
      </c>
      <c r="N254" t="s">
        <v>7241</v>
      </c>
      <c r="O254" t="s">
        <v>7476</v>
      </c>
      <c r="P254">
        <v>1</v>
      </c>
      <c r="Q254">
        <v>1</v>
      </c>
      <c r="R254">
        <v>121.51</v>
      </c>
      <c r="U254">
        <v>20000</v>
      </c>
      <c r="W254">
        <v>0.2</v>
      </c>
      <c r="X254" t="s">
        <v>964</v>
      </c>
      <c r="Y254" t="s">
        <v>10862</v>
      </c>
      <c r="AA254" t="s">
        <v>10974</v>
      </c>
      <c r="AB254" t="s">
        <v>849</v>
      </c>
      <c r="AC254" t="s">
        <v>11081</v>
      </c>
      <c r="AF254" t="s">
        <v>11119</v>
      </c>
      <c r="AG254" t="s">
        <v>11124</v>
      </c>
      <c r="AJ254" t="s">
        <v>11129</v>
      </c>
      <c r="AK254" t="s">
        <v>7225</v>
      </c>
      <c r="AM254">
        <v>989</v>
      </c>
      <c r="AN254" t="s">
        <v>11151</v>
      </c>
      <c r="AO254" t="s">
        <v>11153</v>
      </c>
      <c r="AQ254" t="s">
        <v>11163</v>
      </c>
      <c r="AS254" t="s">
        <v>11173</v>
      </c>
      <c r="AU254">
        <v>9</v>
      </c>
      <c r="AW254" t="s">
        <v>11187</v>
      </c>
      <c r="AZ254" t="s">
        <v>11221</v>
      </c>
      <c r="BE254" t="s">
        <v>11866</v>
      </c>
      <c r="BF254" t="s">
        <v>14364</v>
      </c>
      <c r="BM254" t="s">
        <v>15651</v>
      </c>
    </row>
    <row r="255" spans="1:65">
      <c r="A255" s="1">
        <f>HYPERLINK("https://lsnyc.legalserver.org/matter/dynamic-profile/view/1849246","17-1849246")</f>
        <v>0</v>
      </c>
      <c r="B255" t="s">
        <v>87</v>
      </c>
      <c r="C255" t="s">
        <v>245</v>
      </c>
      <c r="D255" t="s">
        <v>415</v>
      </c>
      <c r="F255" t="s">
        <v>1278</v>
      </c>
      <c r="G255" t="s">
        <v>3063</v>
      </c>
      <c r="H255" t="s">
        <v>4934</v>
      </c>
      <c r="I255" t="s">
        <v>6511</v>
      </c>
      <c r="J255" t="s">
        <v>7169</v>
      </c>
      <c r="K255">
        <v>10019</v>
      </c>
      <c r="M255" t="s">
        <v>7224</v>
      </c>
      <c r="N255" t="s">
        <v>7237</v>
      </c>
      <c r="O255" t="s">
        <v>7477</v>
      </c>
      <c r="P255">
        <v>1</v>
      </c>
      <c r="Q255">
        <v>1</v>
      </c>
      <c r="R255">
        <v>307.88</v>
      </c>
      <c r="S255" t="s">
        <v>10255</v>
      </c>
      <c r="U255">
        <v>50000</v>
      </c>
      <c r="W255">
        <v>0</v>
      </c>
      <c r="Y255" t="s">
        <v>10862</v>
      </c>
      <c r="AA255" t="s">
        <v>10974</v>
      </c>
      <c r="AB255" t="s">
        <v>871</v>
      </c>
      <c r="AD255" t="s">
        <v>11083</v>
      </c>
      <c r="AF255" t="s">
        <v>11119</v>
      </c>
      <c r="AH255" t="s">
        <v>10975</v>
      </c>
      <c r="AJ255" t="s">
        <v>11130</v>
      </c>
      <c r="AK255" t="s">
        <v>7225</v>
      </c>
      <c r="AM255">
        <v>564</v>
      </c>
      <c r="AO255">
        <v>597</v>
      </c>
      <c r="AQ255" t="s">
        <v>11157</v>
      </c>
      <c r="AS255" t="s">
        <v>11173</v>
      </c>
      <c r="AU255">
        <v>7</v>
      </c>
      <c r="AW255" t="s">
        <v>11187</v>
      </c>
      <c r="AZ255" t="s">
        <v>11221</v>
      </c>
      <c r="BE255" t="s">
        <v>11867</v>
      </c>
      <c r="BG255" t="s">
        <v>14445</v>
      </c>
      <c r="BM255" t="s">
        <v>15650</v>
      </c>
    </row>
    <row r="256" spans="1:65">
      <c r="A256" s="1">
        <f>HYPERLINK("https://lsnyc.legalserver.org/matter/dynamic-profile/view/0825210","17-0825210")</f>
        <v>0</v>
      </c>
      <c r="B256" t="s">
        <v>87</v>
      </c>
      <c r="C256" t="s">
        <v>245</v>
      </c>
      <c r="D256" t="s">
        <v>416</v>
      </c>
      <c r="E256" t="s">
        <v>333</v>
      </c>
      <c r="F256" t="s">
        <v>1279</v>
      </c>
      <c r="G256" t="s">
        <v>3064</v>
      </c>
      <c r="H256" t="s">
        <v>4935</v>
      </c>
      <c r="I256" t="s">
        <v>6491</v>
      </c>
      <c r="J256" t="s">
        <v>7169</v>
      </c>
      <c r="K256">
        <v>10003</v>
      </c>
      <c r="L256" t="s">
        <v>7218</v>
      </c>
      <c r="M256" t="s">
        <v>7224</v>
      </c>
      <c r="N256" t="s">
        <v>7237</v>
      </c>
      <c r="O256" t="s">
        <v>7478</v>
      </c>
      <c r="P256">
        <v>1</v>
      </c>
      <c r="Q256">
        <v>0</v>
      </c>
      <c r="R256">
        <v>119.19</v>
      </c>
      <c r="U256">
        <v>14160</v>
      </c>
      <c r="W256">
        <v>336.37</v>
      </c>
      <c r="X256" t="s">
        <v>305</v>
      </c>
      <c r="Y256" t="s">
        <v>10893</v>
      </c>
      <c r="AA256" t="s">
        <v>10974</v>
      </c>
      <c r="AB256" t="s">
        <v>409</v>
      </c>
      <c r="AD256" t="s">
        <v>11082</v>
      </c>
      <c r="AF256" t="s">
        <v>11118</v>
      </c>
      <c r="AH256" t="s">
        <v>10975</v>
      </c>
      <c r="AJ256" t="s">
        <v>11130</v>
      </c>
      <c r="AK256" t="s">
        <v>7225</v>
      </c>
      <c r="AM256">
        <v>444</v>
      </c>
      <c r="AN256" t="s">
        <v>11151</v>
      </c>
      <c r="AO256" t="s">
        <v>11153</v>
      </c>
      <c r="AQ256" t="s">
        <v>11160</v>
      </c>
      <c r="AS256" t="s">
        <v>11175</v>
      </c>
      <c r="AU256">
        <v>44</v>
      </c>
      <c r="AW256" t="s">
        <v>11187</v>
      </c>
      <c r="AZ256" t="s">
        <v>11221</v>
      </c>
      <c r="BE256" t="s">
        <v>11868</v>
      </c>
      <c r="BG256" t="s">
        <v>14446</v>
      </c>
      <c r="BH256" t="s">
        <v>15605</v>
      </c>
      <c r="BJ256" t="s">
        <v>15615</v>
      </c>
      <c r="BL256" t="s">
        <v>15648</v>
      </c>
      <c r="BM256" t="s">
        <v>15651</v>
      </c>
    </row>
    <row r="257" spans="1:67">
      <c r="A257" s="1">
        <f>HYPERLINK("https://lsnyc.legalserver.org/matter/dynamic-profile/view/1868474","18-1868474")</f>
        <v>0</v>
      </c>
      <c r="B257" t="s">
        <v>87</v>
      </c>
      <c r="C257" t="s">
        <v>245</v>
      </c>
      <c r="D257" t="s">
        <v>417</v>
      </c>
      <c r="F257" t="s">
        <v>1280</v>
      </c>
      <c r="G257" t="s">
        <v>3065</v>
      </c>
      <c r="H257" t="s">
        <v>4936</v>
      </c>
      <c r="I257">
        <v>57</v>
      </c>
      <c r="J257" t="s">
        <v>7169</v>
      </c>
      <c r="K257">
        <v>10031</v>
      </c>
      <c r="N257" t="s">
        <v>7237</v>
      </c>
      <c r="O257" t="s">
        <v>7479</v>
      </c>
      <c r="P257">
        <v>1</v>
      </c>
      <c r="Q257">
        <v>0</v>
      </c>
      <c r="R257">
        <v>103.79</v>
      </c>
      <c r="U257">
        <v>12600</v>
      </c>
      <c r="W257">
        <v>0</v>
      </c>
      <c r="Y257" t="s">
        <v>10894</v>
      </c>
      <c r="Z257" t="s">
        <v>10973</v>
      </c>
      <c r="AA257" t="s">
        <v>10975</v>
      </c>
      <c r="AB257" t="s">
        <v>417</v>
      </c>
      <c r="AD257" t="s">
        <v>11086</v>
      </c>
      <c r="AF257" t="s">
        <v>10384</v>
      </c>
      <c r="AH257" t="s">
        <v>10974</v>
      </c>
      <c r="AI257" t="s">
        <v>11126</v>
      </c>
      <c r="AK257" t="s">
        <v>7225</v>
      </c>
      <c r="AM257">
        <v>834.46</v>
      </c>
      <c r="AN257" t="s">
        <v>11151</v>
      </c>
      <c r="AO257" t="s">
        <v>11153</v>
      </c>
      <c r="AP257" t="s">
        <v>11155</v>
      </c>
      <c r="AR257" t="s">
        <v>11172</v>
      </c>
      <c r="AU257">
        <v>41</v>
      </c>
      <c r="AW257" t="s">
        <v>11187</v>
      </c>
      <c r="AY257" t="s">
        <v>11213</v>
      </c>
      <c r="AZ257" t="s">
        <v>11221</v>
      </c>
      <c r="BE257" t="s">
        <v>11869</v>
      </c>
      <c r="BF257" t="s">
        <v>14364</v>
      </c>
      <c r="BM257" t="s">
        <v>15650</v>
      </c>
    </row>
    <row r="258" spans="1:67">
      <c r="A258" s="1">
        <f>HYPERLINK("https://lsnyc.legalserver.org/matter/dynamic-profile/view/1847253","17-1847253")</f>
        <v>0</v>
      </c>
      <c r="B258" t="s">
        <v>88</v>
      </c>
      <c r="C258" t="s">
        <v>246</v>
      </c>
      <c r="D258" t="s">
        <v>418</v>
      </c>
      <c r="F258" t="s">
        <v>1122</v>
      </c>
      <c r="G258" t="s">
        <v>2911</v>
      </c>
      <c r="H258" t="s">
        <v>4785</v>
      </c>
      <c r="I258" t="s">
        <v>6423</v>
      </c>
      <c r="J258" t="s">
        <v>7170</v>
      </c>
      <c r="K258">
        <v>10453</v>
      </c>
      <c r="N258" t="s">
        <v>7237</v>
      </c>
      <c r="O258" t="s">
        <v>7290</v>
      </c>
      <c r="P258">
        <v>2</v>
      </c>
      <c r="Q258">
        <v>1</v>
      </c>
      <c r="R258">
        <v>53.48</v>
      </c>
      <c r="U258">
        <v>10920</v>
      </c>
      <c r="W258">
        <v>57.95</v>
      </c>
      <c r="X258" t="s">
        <v>662</v>
      </c>
      <c r="Y258" t="s">
        <v>10864</v>
      </c>
      <c r="AA258" t="s">
        <v>10974</v>
      </c>
      <c r="AB258" t="s">
        <v>813</v>
      </c>
      <c r="AD258" t="s">
        <v>11082</v>
      </c>
      <c r="AF258" t="s">
        <v>11118</v>
      </c>
      <c r="AG258" t="s">
        <v>11124</v>
      </c>
      <c r="AJ258" t="s">
        <v>11129</v>
      </c>
      <c r="AK258" t="s">
        <v>7225</v>
      </c>
      <c r="AM258">
        <v>959.5</v>
      </c>
      <c r="AO258">
        <v>46</v>
      </c>
      <c r="AQ258" t="s">
        <v>11157</v>
      </c>
      <c r="AS258" t="s">
        <v>11173</v>
      </c>
      <c r="AU258">
        <v>4</v>
      </c>
      <c r="AW258" t="s">
        <v>11189</v>
      </c>
      <c r="AZ258" t="s">
        <v>11221</v>
      </c>
      <c r="BC258" t="s">
        <v>11250</v>
      </c>
      <c r="BE258" t="s">
        <v>11704</v>
      </c>
      <c r="BG258" t="s">
        <v>14447</v>
      </c>
      <c r="BM258" t="s">
        <v>15650</v>
      </c>
      <c r="BO258" t="s">
        <v>15656</v>
      </c>
    </row>
    <row r="259" spans="1:67">
      <c r="A259" s="1">
        <f>HYPERLINK("https://lsnyc.legalserver.org/matter/dynamic-profile/view/1860584","18-1860584")</f>
        <v>0</v>
      </c>
      <c r="B259" t="s">
        <v>89</v>
      </c>
      <c r="C259" t="s">
        <v>249</v>
      </c>
      <c r="D259" t="s">
        <v>419</v>
      </c>
      <c r="F259" t="s">
        <v>1281</v>
      </c>
      <c r="G259" t="s">
        <v>3066</v>
      </c>
      <c r="H259" t="s">
        <v>4937</v>
      </c>
      <c r="I259" t="s">
        <v>6405</v>
      </c>
      <c r="J259" t="s">
        <v>7179</v>
      </c>
      <c r="K259">
        <v>10304</v>
      </c>
      <c r="N259" t="s">
        <v>7237</v>
      </c>
      <c r="O259" t="s">
        <v>7480</v>
      </c>
      <c r="P259">
        <v>3</v>
      </c>
      <c r="Q259">
        <v>1</v>
      </c>
      <c r="R259">
        <v>0</v>
      </c>
      <c r="U259">
        <v>0</v>
      </c>
      <c r="W259">
        <v>13</v>
      </c>
      <c r="X259" t="s">
        <v>9011</v>
      </c>
      <c r="Y259" t="s">
        <v>10895</v>
      </c>
      <c r="AA259" t="s">
        <v>10974</v>
      </c>
      <c r="AB259" t="s">
        <v>419</v>
      </c>
      <c r="AD259" t="s">
        <v>11083</v>
      </c>
      <c r="AF259" t="s">
        <v>11118</v>
      </c>
      <c r="AH259" t="s">
        <v>10975</v>
      </c>
      <c r="AJ259" t="s">
        <v>11129</v>
      </c>
      <c r="AK259" t="s">
        <v>7225</v>
      </c>
      <c r="AM259">
        <v>1547</v>
      </c>
      <c r="AO259">
        <v>118</v>
      </c>
      <c r="AQ259" t="s">
        <v>11161</v>
      </c>
      <c r="AS259" t="s">
        <v>11174</v>
      </c>
      <c r="AU259">
        <v>26</v>
      </c>
      <c r="AW259" t="s">
        <v>11187</v>
      </c>
      <c r="AZ259" t="s">
        <v>11221</v>
      </c>
      <c r="BB259" t="s">
        <v>11224</v>
      </c>
      <c r="BC259" t="s">
        <v>11251</v>
      </c>
      <c r="BE259" t="s">
        <v>11870</v>
      </c>
      <c r="BG259" t="s">
        <v>14448</v>
      </c>
      <c r="BM259" t="s">
        <v>15650</v>
      </c>
    </row>
    <row r="260" spans="1:67">
      <c r="A260" s="1">
        <f>HYPERLINK("https://lsnyc.legalserver.org/matter/dynamic-profile/view/1908439","19-1908439")</f>
        <v>0</v>
      </c>
      <c r="B260" t="s">
        <v>89</v>
      </c>
      <c r="C260" t="s">
        <v>249</v>
      </c>
      <c r="D260" t="s">
        <v>420</v>
      </c>
      <c r="F260" t="s">
        <v>1282</v>
      </c>
      <c r="G260" t="s">
        <v>3067</v>
      </c>
      <c r="H260" t="s">
        <v>4938</v>
      </c>
      <c r="I260" t="s">
        <v>6512</v>
      </c>
      <c r="J260" t="s">
        <v>7179</v>
      </c>
      <c r="K260">
        <v>10305</v>
      </c>
      <c r="N260" t="s">
        <v>7237</v>
      </c>
      <c r="O260" t="s">
        <v>7481</v>
      </c>
      <c r="P260">
        <v>1</v>
      </c>
      <c r="Q260">
        <v>0</v>
      </c>
      <c r="R260">
        <v>105.68</v>
      </c>
      <c r="U260">
        <v>13200</v>
      </c>
      <c r="W260">
        <v>6.15</v>
      </c>
      <c r="X260" t="s">
        <v>614</v>
      </c>
      <c r="Y260" t="s">
        <v>10881</v>
      </c>
      <c r="AA260" t="s">
        <v>10974</v>
      </c>
      <c r="AD260" t="s">
        <v>11082</v>
      </c>
      <c r="AF260" t="s">
        <v>11120</v>
      </c>
      <c r="AH260" t="s">
        <v>10975</v>
      </c>
      <c r="AJ260" t="s">
        <v>11137</v>
      </c>
      <c r="AK260" t="s">
        <v>7225</v>
      </c>
      <c r="AM260">
        <v>1800</v>
      </c>
      <c r="AO260">
        <v>3</v>
      </c>
      <c r="AQ260" t="s">
        <v>11156</v>
      </c>
      <c r="AS260" t="s">
        <v>11173</v>
      </c>
      <c r="AU260">
        <v>7</v>
      </c>
      <c r="AW260" t="s">
        <v>11187</v>
      </c>
      <c r="AY260" t="s">
        <v>11213</v>
      </c>
      <c r="AZ260" t="s">
        <v>11221</v>
      </c>
      <c r="BE260" t="s">
        <v>11871</v>
      </c>
      <c r="BF260" t="s">
        <v>14364</v>
      </c>
      <c r="BG260" t="s">
        <v>14411</v>
      </c>
      <c r="BM260" t="s">
        <v>15650</v>
      </c>
    </row>
    <row r="261" spans="1:67">
      <c r="A261" s="1">
        <f>HYPERLINK("https://lsnyc.legalserver.org/matter/dynamic-profile/view/1907544","19-1907544")</f>
        <v>0</v>
      </c>
      <c r="B261" t="s">
        <v>89</v>
      </c>
      <c r="C261" t="s">
        <v>249</v>
      </c>
      <c r="D261" t="s">
        <v>421</v>
      </c>
      <c r="F261" t="s">
        <v>1283</v>
      </c>
      <c r="G261" t="s">
        <v>3068</v>
      </c>
      <c r="H261" t="s">
        <v>4939</v>
      </c>
      <c r="I261" t="s">
        <v>6513</v>
      </c>
      <c r="J261" t="s">
        <v>7179</v>
      </c>
      <c r="K261">
        <v>10312</v>
      </c>
      <c r="N261" t="s">
        <v>7237</v>
      </c>
      <c r="O261" t="s">
        <v>7482</v>
      </c>
      <c r="P261">
        <v>1</v>
      </c>
      <c r="Q261">
        <v>2</v>
      </c>
      <c r="R261">
        <v>52.55</v>
      </c>
      <c r="U261">
        <v>11208</v>
      </c>
      <c r="W261">
        <v>8.5</v>
      </c>
      <c r="X261" t="s">
        <v>426</v>
      </c>
      <c r="Y261" t="s">
        <v>10881</v>
      </c>
      <c r="AA261" t="s">
        <v>10974</v>
      </c>
      <c r="AD261" t="s">
        <v>11083</v>
      </c>
      <c r="AE261" t="s">
        <v>11117</v>
      </c>
      <c r="AH261" t="s">
        <v>10975</v>
      </c>
      <c r="AJ261" t="s">
        <v>11135</v>
      </c>
      <c r="AK261" t="s">
        <v>7225</v>
      </c>
      <c r="AM261">
        <v>1534</v>
      </c>
      <c r="AO261">
        <v>2</v>
      </c>
      <c r="AQ261" t="s">
        <v>11156</v>
      </c>
      <c r="AS261" t="s">
        <v>11180</v>
      </c>
      <c r="AU261">
        <v>1</v>
      </c>
      <c r="AW261" t="s">
        <v>11196</v>
      </c>
      <c r="AY261" t="s">
        <v>11213</v>
      </c>
      <c r="BA261" t="s">
        <v>11222</v>
      </c>
      <c r="BE261" t="s">
        <v>11872</v>
      </c>
      <c r="BG261" t="s">
        <v>14449</v>
      </c>
      <c r="BM261" t="s">
        <v>15650</v>
      </c>
    </row>
    <row r="262" spans="1:67">
      <c r="A262" s="1">
        <f>HYPERLINK("https://lsnyc.legalserver.org/matter/dynamic-profile/view/1908794","19-1908794")</f>
        <v>0</v>
      </c>
      <c r="B262" t="s">
        <v>89</v>
      </c>
      <c r="C262" t="s">
        <v>249</v>
      </c>
      <c r="D262" t="s">
        <v>422</v>
      </c>
      <c r="F262" t="s">
        <v>1284</v>
      </c>
      <c r="G262" t="s">
        <v>3069</v>
      </c>
      <c r="H262" t="s">
        <v>4940</v>
      </c>
      <c r="I262" t="s">
        <v>6424</v>
      </c>
      <c r="J262" t="s">
        <v>7179</v>
      </c>
      <c r="K262">
        <v>10301</v>
      </c>
      <c r="M262" t="s">
        <v>7225</v>
      </c>
      <c r="N262" t="s">
        <v>7237</v>
      </c>
      <c r="O262" t="s">
        <v>7483</v>
      </c>
      <c r="P262">
        <v>1</v>
      </c>
      <c r="Q262">
        <v>0</v>
      </c>
      <c r="R262">
        <v>153.72</v>
      </c>
      <c r="U262">
        <v>19200</v>
      </c>
      <c r="W262">
        <v>2.95</v>
      </c>
      <c r="X262" t="s">
        <v>925</v>
      </c>
      <c r="Y262" t="s">
        <v>10890</v>
      </c>
      <c r="AA262" t="s">
        <v>10974</v>
      </c>
      <c r="AB262" t="s">
        <v>263</v>
      </c>
      <c r="AD262" t="s">
        <v>11083</v>
      </c>
      <c r="AF262" t="s">
        <v>11119</v>
      </c>
      <c r="AH262" t="s">
        <v>10975</v>
      </c>
      <c r="AJ262" t="s">
        <v>11143</v>
      </c>
      <c r="AK262" t="s">
        <v>7225</v>
      </c>
      <c r="AM262">
        <v>642</v>
      </c>
      <c r="AO262">
        <v>16</v>
      </c>
      <c r="AQ262" t="s">
        <v>11157</v>
      </c>
      <c r="AS262" t="s">
        <v>11173</v>
      </c>
      <c r="AU262">
        <v>7</v>
      </c>
      <c r="AW262" t="s">
        <v>11187</v>
      </c>
      <c r="AY262" t="s">
        <v>11213</v>
      </c>
      <c r="BA262" t="s">
        <v>11222</v>
      </c>
      <c r="BE262" t="s">
        <v>11873</v>
      </c>
      <c r="BF262" t="s">
        <v>14364</v>
      </c>
      <c r="BG262" t="s">
        <v>14410</v>
      </c>
      <c r="BM262" t="s">
        <v>15650</v>
      </c>
    </row>
    <row r="263" spans="1:67">
      <c r="A263" s="1">
        <f>HYPERLINK("https://lsnyc.legalserver.org/matter/dynamic-profile/view/1903102","19-1903102")</f>
        <v>0</v>
      </c>
      <c r="B263" t="s">
        <v>89</v>
      </c>
      <c r="C263" t="s">
        <v>249</v>
      </c>
      <c r="D263" t="s">
        <v>423</v>
      </c>
      <c r="F263" t="s">
        <v>1285</v>
      </c>
      <c r="G263" t="s">
        <v>3070</v>
      </c>
      <c r="H263" t="s">
        <v>4941</v>
      </c>
      <c r="I263" t="s">
        <v>6514</v>
      </c>
      <c r="J263" t="s">
        <v>7179</v>
      </c>
      <c r="K263">
        <v>10301</v>
      </c>
      <c r="N263" t="s">
        <v>7237</v>
      </c>
      <c r="O263" t="s">
        <v>7484</v>
      </c>
      <c r="P263">
        <v>1</v>
      </c>
      <c r="Q263">
        <v>1</v>
      </c>
      <c r="R263">
        <v>184.51</v>
      </c>
      <c r="U263">
        <v>31200</v>
      </c>
      <c r="W263">
        <v>37.46</v>
      </c>
      <c r="X263" t="s">
        <v>436</v>
      </c>
      <c r="Y263" t="s">
        <v>10881</v>
      </c>
      <c r="Z263" t="s">
        <v>10972</v>
      </c>
      <c r="AA263" t="s">
        <v>10976</v>
      </c>
      <c r="AB263" t="s">
        <v>267</v>
      </c>
      <c r="AD263" t="s">
        <v>11082</v>
      </c>
      <c r="AE263" t="s">
        <v>11117</v>
      </c>
      <c r="AH263" t="s">
        <v>10975</v>
      </c>
      <c r="AJ263" t="s">
        <v>11135</v>
      </c>
      <c r="AK263" t="s">
        <v>7225</v>
      </c>
      <c r="AM263">
        <v>961</v>
      </c>
      <c r="AO263">
        <v>454</v>
      </c>
      <c r="AQ263" t="s">
        <v>11161</v>
      </c>
      <c r="AS263" t="s">
        <v>11174</v>
      </c>
      <c r="AU263">
        <v>20</v>
      </c>
      <c r="AW263" t="s">
        <v>11187</v>
      </c>
      <c r="AY263" t="s">
        <v>11213</v>
      </c>
      <c r="AZ263" t="s">
        <v>11221</v>
      </c>
      <c r="BE263" t="s">
        <v>11874</v>
      </c>
      <c r="BG263" t="s">
        <v>14450</v>
      </c>
      <c r="BM263" t="s">
        <v>15650</v>
      </c>
    </row>
    <row r="264" spans="1:67">
      <c r="A264" s="1">
        <f>HYPERLINK("https://lsnyc.legalserver.org/matter/dynamic-profile/view/1889779","19-1889779")</f>
        <v>0</v>
      </c>
      <c r="B264" t="s">
        <v>89</v>
      </c>
      <c r="C264" t="s">
        <v>249</v>
      </c>
      <c r="D264" t="s">
        <v>424</v>
      </c>
      <c r="F264" t="s">
        <v>1286</v>
      </c>
      <c r="G264" t="s">
        <v>3071</v>
      </c>
      <c r="H264" t="s">
        <v>4942</v>
      </c>
      <c r="J264" t="s">
        <v>7179</v>
      </c>
      <c r="K264">
        <v>10301</v>
      </c>
      <c r="N264" t="s">
        <v>7237</v>
      </c>
      <c r="O264" t="s">
        <v>7485</v>
      </c>
      <c r="P264">
        <v>2</v>
      </c>
      <c r="Q264">
        <v>3</v>
      </c>
      <c r="R264">
        <v>28.44</v>
      </c>
      <c r="U264">
        <v>8580</v>
      </c>
      <c r="W264">
        <v>22.4</v>
      </c>
      <c r="X264" t="s">
        <v>598</v>
      </c>
      <c r="Y264" t="s">
        <v>10896</v>
      </c>
      <c r="Z264" t="s">
        <v>10972</v>
      </c>
      <c r="AA264" t="s">
        <v>10976</v>
      </c>
      <c r="AD264" t="s">
        <v>11083</v>
      </c>
      <c r="AE264" t="s">
        <v>11117</v>
      </c>
      <c r="AH264" t="s">
        <v>10975</v>
      </c>
      <c r="AJ264" t="s">
        <v>11130</v>
      </c>
      <c r="AK264" t="s">
        <v>7225</v>
      </c>
      <c r="AM264">
        <v>1956</v>
      </c>
      <c r="AN264" t="s">
        <v>11151</v>
      </c>
      <c r="AO264" t="s">
        <v>11153</v>
      </c>
      <c r="AQ264" t="s">
        <v>11156</v>
      </c>
      <c r="AR264" t="s">
        <v>11172</v>
      </c>
      <c r="AU264">
        <v>1</v>
      </c>
      <c r="AW264" t="s">
        <v>11187</v>
      </c>
      <c r="AY264" t="s">
        <v>11213</v>
      </c>
      <c r="AZ264" t="s">
        <v>11221</v>
      </c>
      <c r="BE264" t="s">
        <v>11875</v>
      </c>
      <c r="BG264" t="s">
        <v>14451</v>
      </c>
      <c r="BM264" t="s">
        <v>15650</v>
      </c>
    </row>
    <row r="265" spans="1:67">
      <c r="A265" s="1">
        <f>HYPERLINK("https://lsnyc.legalserver.org/matter/dynamic-profile/view/1908348","19-1908348")</f>
        <v>0</v>
      </c>
      <c r="B265" t="s">
        <v>89</v>
      </c>
      <c r="C265" t="s">
        <v>249</v>
      </c>
      <c r="D265" t="s">
        <v>421</v>
      </c>
      <c r="F265" t="s">
        <v>1287</v>
      </c>
      <c r="G265" t="s">
        <v>3072</v>
      </c>
      <c r="H265" t="s">
        <v>4943</v>
      </c>
      <c r="I265" t="s">
        <v>6515</v>
      </c>
      <c r="J265" t="s">
        <v>7179</v>
      </c>
      <c r="K265">
        <v>10301</v>
      </c>
      <c r="N265" t="s">
        <v>7237</v>
      </c>
      <c r="O265" t="s">
        <v>7486</v>
      </c>
      <c r="P265">
        <v>1</v>
      </c>
      <c r="Q265">
        <v>2</v>
      </c>
      <c r="R265">
        <v>52.21</v>
      </c>
      <c r="S265" t="s">
        <v>10254</v>
      </c>
      <c r="T265" t="s">
        <v>10275</v>
      </c>
      <c r="U265">
        <v>11136</v>
      </c>
      <c r="V265" t="s">
        <v>10293</v>
      </c>
      <c r="W265">
        <v>6.45</v>
      </c>
      <c r="X265" t="s">
        <v>341</v>
      </c>
      <c r="Y265" t="s">
        <v>89</v>
      </c>
      <c r="AA265" t="s">
        <v>10974</v>
      </c>
      <c r="AB265" t="s">
        <v>565</v>
      </c>
      <c r="AD265" t="s">
        <v>11083</v>
      </c>
      <c r="AF265" t="s">
        <v>11121</v>
      </c>
      <c r="AH265" t="s">
        <v>10975</v>
      </c>
      <c r="AJ265" t="s">
        <v>11133</v>
      </c>
      <c r="AK265" t="s">
        <v>11149</v>
      </c>
      <c r="AM265">
        <v>1348</v>
      </c>
      <c r="AO265">
        <v>4</v>
      </c>
      <c r="AP265" t="s">
        <v>11155</v>
      </c>
      <c r="AS265" t="s">
        <v>11180</v>
      </c>
      <c r="AU265">
        <v>4</v>
      </c>
      <c r="AW265" t="s">
        <v>11187</v>
      </c>
      <c r="AY265" t="s">
        <v>11213</v>
      </c>
      <c r="BA265" t="s">
        <v>11222</v>
      </c>
      <c r="BE265" t="s">
        <v>11876</v>
      </c>
      <c r="BF265" t="s">
        <v>14364</v>
      </c>
      <c r="BM265" t="s">
        <v>15650</v>
      </c>
    </row>
    <row r="266" spans="1:67">
      <c r="A266" s="1">
        <f>HYPERLINK("https://lsnyc.legalserver.org/matter/dynamic-profile/view/1907864","19-1907864")</f>
        <v>0</v>
      </c>
      <c r="B266" t="s">
        <v>89</v>
      </c>
      <c r="C266" t="s">
        <v>249</v>
      </c>
      <c r="D266" t="s">
        <v>421</v>
      </c>
      <c r="F266" t="s">
        <v>1288</v>
      </c>
      <c r="G266" t="s">
        <v>3073</v>
      </c>
      <c r="H266" t="s">
        <v>4944</v>
      </c>
      <c r="I266" t="s">
        <v>6516</v>
      </c>
      <c r="J266" t="s">
        <v>7179</v>
      </c>
      <c r="K266">
        <v>10305</v>
      </c>
      <c r="N266" t="s">
        <v>7237</v>
      </c>
      <c r="O266" t="s">
        <v>7487</v>
      </c>
      <c r="P266">
        <v>1</v>
      </c>
      <c r="Q266">
        <v>0</v>
      </c>
      <c r="R266">
        <v>0</v>
      </c>
      <c r="U266">
        <v>0</v>
      </c>
      <c r="W266">
        <v>18.8</v>
      </c>
      <c r="X266" t="s">
        <v>598</v>
      </c>
      <c r="Y266" t="s">
        <v>10881</v>
      </c>
      <c r="Z266" t="s">
        <v>10972</v>
      </c>
      <c r="AA266" t="s">
        <v>10976</v>
      </c>
      <c r="AD266" t="s">
        <v>11082</v>
      </c>
      <c r="AF266" t="s">
        <v>11118</v>
      </c>
      <c r="AH266" t="s">
        <v>10975</v>
      </c>
      <c r="AJ266" t="s">
        <v>11135</v>
      </c>
      <c r="AK266" t="s">
        <v>7225</v>
      </c>
      <c r="AM266">
        <v>3400</v>
      </c>
      <c r="AO266">
        <v>3</v>
      </c>
      <c r="AQ266" t="s">
        <v>11156</v>
      </c>
      <c r="AS266" t="s">
        <v>11173</v>
      </c>
      <c r="AU266">
        <v>2</v>
      </c>
      <c r="AW266" t="s">
        <v>11187</v>
      </c>
      <c r="AY266" t="s">
        <v>11213</v>
      </c>
      <c r="AZ266" t="s">
        <v>11221</v>
      </c>
      <c r="BE266" t="s">
        <v>11877</v>
      </c>
      <c r="BG266" t="s">
        <v>14452</v>
      </c>
      <c r="BM266" t="s">
        <v>15650</v>
      </c>
    </row>
    <row r="267" spans="1:67">
      <c r="A267" s="1">
        <f>HYPERLINK("https://lsnyc.legalserver.org/matter/dynamic-profile/view/1889748","19-1889748")</f>
        <v>0</v>
      </c>
      <c r="B267" t="s">
        <v>89</v>
      </c>
      <c r="C267" t="s">
        <v>249</v>
      </c>
      <c r="D267" t="s">
        <v>425</v>
      </c>
      <c r="F267" t="s">
        <v>1289</v>
      </c>
      <c r="G267" t="s">
        <v>3074</v>
      </c>
      <c r="H267" t="s">
        <v>4942</v>
      </c>
      <c r="I267" t="s">
        <v>6517</v>
      </c>
      <c r="J267" t="s">
        <v>7179</v>
      </c>
      <c r="K267">
        <v>10301</v>
      </c>
      <c r="N267" t="s">
        <v>7237</v>
      </c>
      <c r="O267" t="s">
        <v>7488</v>
      </c>
      <c r="P267">
        <v>2</v>
      </c>
      <c r="Q267">
        <v>1</v>
      </c>
      <c r="R267">
        <v>134.08</v>
      </c>
      <c r="U267">
        <v>28600</v>
      </c>
      <c r="W267">
        <v>18.75</v>
      </c>
      <c r="X267" t="s">
        <v>269</v>
      </c>
      <c r="Y267" t="s">
        <v>10895</v>
      </c>
      <c r="AA267" t="s">
        <v>10974</v>
      </c>
      <c r="AC267" t="s">
        <v>11081</v>
      </c>
      <c r="AE267" t="s">
        <v>11117</v>
      </c>
      <c r="AG267" t="s">
        <v>11124</v>
      </c>
      <c r="AI267" t="s">
        <v>11126</v>
      </c>
      <c r="AK267" t="s">
        <v>7225</v>
      </c>
      <c r="AL267" t="s">
        <v>11150</v>
      </c>
      <c r="AM267">
        <v>0</v>
      </c>
      <c r="AN267" t="s">
        <v>11151</v>
      </c>
      <c r="AO267" t="s">
        <v>11153</v>
      </c>
      <c r="AP267" t="s">
        <v>11155</v>
      </c>
      <c r="AR267" t="s">
        <v>11172</v>
      </c>
      <c r="AT267" t="s">
        <v>11184</v>
      </c>
      <c r="AU267">
        <v>0</v>
      </c>
      <c r="AW267" t="s">
        <v>11187</v>
      </c>
      <c r="AX267" t="s">
        <v>11212</v>
      </c>
      <c r="BA267" t="s">
        <v>11222</v>
      </c>
      <c r="BE267" t="s">
        <v>11878</v>
      </c>
      <c r="BF267" t="s">
        <v>14364</v>
      </c>
      <c r="BM267" t="s">
        <v>15650</v>
      </c>
    </row>
    <row r="268" spans="1:67">
      <c r="A268" s="1">
        <f>HYPERLINK("https://lsnyc.legalserver.org/matter/dynamic-profile/view/1913997","19-1913997")</f>
        <v>0</v>
      </c>
      <c r="B268" t="s">
        <v>89</v>
      </c>
      <c r="C268" t="s">
        <v>249</v>
      </c>
      <c r="D268" t="s">
        <v>426</v>
      </c>
      <c r="F268" t="s">
        <v>1290</v>
      </c>
      <c r="G268" t="s">
        <v>3075</v>
      </c>
      <c r="H268" t="s">
        <v>4945</v>
      </c>
      <c r="I268" t="s">
        <v>6436</v>
      </c>
      <c r="J268" t="s">
        <v>7179</v>
      </c>
      <c r="K268">
        <v>10301</v>
      </c>
      <c r="N268" t="s">
        <v>7238</v>
      </c>
      <c r="O268" t="s">
        <v>7489</v>
      </c>
      <c r="P268">
        <v>2</v>
      </c>
      <c r="Q268">
        <v>0</v>
      </c>
      <c r="R268">
        <v>8.09</v>
      </c>
      <c r="U268">
        <v>1368</v>
      </c>
      <c r="W268">
        <v>1</v>
      </c>
      <c r="X268" t="s">
        <v>497</v>
      </c>
      <c r="Y268" t="s">
        <v>80</v>
      </c>
      <c r="Z268" t="s">
        <v>10972</v>
      </c>
      <c r="AA268" t="s">
        <v>10975</v>
      </c>
      <c r="AD268" t="s">
        <v>11086</v>
      </c>
      <c r="AF268" t="s">
        <v>11121</v>
      </c>
      <c r="AH268" t="s">
        <v>10974</v>
      </c>
      <c r="AJ268" t="s">
        <v>11134</v>
      </c>
      <c r="AK268" t="s">
        <v>7225</v>
      </c>
      <c r="AM268">
        <v>1327</v>
      </c>
      <c r="AN268" t="s">
        <v>11151</v>
      </c>
      <c r="AO268" t="s">
        <v>11153</v>
      </c>
      <c r="AQ268" t="s">
        <v>11157</v>
      </c>
      <c r="AR268" t="s">
        <v>11172</v>
      </c>
      <c r="AU268">
        <v>8</v>
      </c>
      <c r="AW268" t="s">
        <v>11189</v>
      </c>
      <c r="AX268" t="s">
        <v>11212</v>
      </c>
      <c r="AZ268" t="s">
        <v>11221</v>
      </c>
      <c r="BE268" t="s">
        <v>11879</v>
      </c>
      <c r="BF268" t="s">
        <v>14364</v>
      </c>
      <c r="BM268" t="s">
        <v>15650</v>
      </c>
    </row>
    <row r="269" spans="1:67">
      <c r="A269" s="1">
        <f>HYPERLINK("https://lsnyc.legalserver.org/matter/dynamic-profile/view/1894440","19-1894440")</f>
        <v>0</v>
      </c>
      <c r="B269" t="s">
        <v>89</v>
      </c>
      <c r="C269" t="s">
        <v>249</v>
      </c>
      <c r="D269" t="s">
        <v>427</v>
      </c>
      <c r="F269" t="s">
        <v>1291</v>
      </c>
      <c r="G269" t="s">
        <v>3076</v>
      </c>
      <c r="H269" t="s">
        <v>4946</v>
      </c>
      <c r="I269">
        <v>216</v>
      </c>
      <c r="J269" t="s">
        <v>7179</v>
      </c>
      <c r="K269">
        <v>10304</v>
      </c>
      <c r="N269" t="s">
        <v>7237</v>
      </c>
      <c r="O269" t="s">
        <v>7490</v>
      </c>
      <c r="P269">
        <v>1</v>
      </c>
      <c r="Q269">
        <v>1</v>
      </c>
      <c r="R269">
        <v>0</v>
      </c>
      <c r="U269">
        <v>0</v>
      </c>
      <c r="W269">
        <v>40.7</v>
      </c>
      <c r="X269" t="s">
        <v>436</v>
      </c>
      <c r="Y269" t="s">
        <v>10881</v>
      </c>
      <c r="AA269" t="s">
        <v>10974</v>
      </c>
      <c r="AD269" t="s">
        <v>11082</v>
      </c>
      <c r="AE269" t="s">
        <v>11117</v>
      </c>
      <c r="AH269" t="s">
        <v>10975</v>
      </c>
      <c r="AJ269" t="s">
        <v>11135</v>
      </c>
      <c r="AK269" t="s">
        <v>7225</v>
      </c>
      <c r="AM269">
        <v>1268</v>
      </c>
      <c r="AN269" t="s">
        <v>11151</v>
      </c>
      <c r="AO269" t="s">
        <v>11153</v>
      </c>
      <c r="AQ269" t="s">
        <v>11157</v>
      </c>
      <c r="AR269" t="s">
        <v>11172</v>
      </c>
      <c r="AU269">
        <v>1</v>
      </c>
      <c r="AW269" t="s">
        <v>11187</v>
      </c>
      <c r="AX269" t="s">
        <v>11212</v>
      </c>
      <c r="BA269" t="s">
        <v>11222</v>
      </c>
      <c r="BE269" t="s">
        <v>11880</v>
      </c>
      <c r="BG269" t="s">
        <v>14453</v>
      </c>
      <c r="BM269" t="s">
        <v>15650</v>
      </c>
    </row>
    <row r="270" spans="1:67">
      <c r="A270" s="1">
        <f>HYPERLINK("https://lsnyc.legalserver.org/matter/dynamic-profile/view/1893985","19-1893985")</f>
        <v>0</v>
      </c>
      <c r="B270" t="s">
        <v>89</v>
      </c>
      <c r="C270" t="s">
        <v>249</v>
      </c>
      <c r="D270" t="s">
        <v>428</v>
      </c>
      <c r="F270" t="s">
        <v>1292</v>
      </c>
      <c r="G270" t="s">
        <v>3077</v>
      </c>
      <c r="H270" t="s">
        <v>4947</v>
      </c>
      <c r="I270" t="s">
        <v>6518</v>
      </c>
      <c r="J270" t="s">
        <v>7179</v>
      </c>
      <c r="K270">
        <v>10304</v>
      </c>
      <c r="N270" t="s">
        <v>7237</v>
      </c>
      <c r="O270" t="s">
        <v>7491</v>
      </c>
      <c r="P270">
        <v>2</v>
      </c>
      <c r="Q270">
        <v>0</v>
      </c>
      <c r="R270">
        <v>105.88</v>
      </c>
      <c r="U270">
        <v>17904</v>
      </c>
      <c r="W270">
        <v>10.15</v>
      </c>
      <c r="X270" t="s">
        <v>266</v>
      </c>
      <c r="Y270" t="s">
        <v>10881</v>
      </c>
      <c r="Z270" t="s">
        <v>10972</v>
      </c>
      <c r="AA270" t="s">
        <v>10976</v>
      </c>
      <c r="AD270" t="s">
        <v>11082</v>
      </c>
      <c r="AE270" t="s">
        <v>11117</v>
      </c>
      <c r="AH270" t="s">
        <v>10975</v>
      </c>
      <c r="AJ270" t="s">
        <v>11129</v>
      </c>
      <c r="AK270" t="s">
        <v>7225</v>
      </c>
      <c r="AM270">
        <v>959</v>
      </c>
      <c r="AN270" t="s">
        <v>11151</v>
      </c>
      <c r="AO270" t="s">
        <v>11153</v>
      </c>
      <c r="AQ270" t="s">
        <v>11157</v>
      </c>
      <c r="AR270" t="s">
        <v>11172</v>
      </c>
      <c r="AU270">
        <v>11</v>
      </c>
      <c r="AW270" t="s">
        <v>11187</v>
      </c>
      <c r="AY270" t="s">
        <v>11213</v>
      </c>
      <c r="BA270" t="s">
        <v>11222</v>
      </c>
      <c r="BE270" t="s">
        <v>11881</v>
      </c>
      <c r="BG270" t="s">
        <v>14454</v>
      </c>
      <c r="BM270" t="s">
        <v>15650</v>
      </c>
    </row>
    <row r="271" spans="1:67">
      <c r="A271" s="1">
        <f>HYPERLINK("https://lsnyc.legalserver.org/matter/dynamic-profile/view/1909921","19-1909921")</f>
        <v>0</v>
      </c>
      <c r="B271" t="s">
        <v>89</v>
      </c>
      <c r="C271" t="s">
        <v>249</v>
      </c>
      <c r="D271" t="s">
        <v>335</v>
      </c>
      <c r="F271" t="s">
        <v>1293</v>
      </c>
      <c r="G271" t="s">
        <v>3078</v>
      </c>
      <c r="H271" t="s">
        <v>4948</v>
      </c>
      <c r="J271" t="s">
        <v>7179</v>
      </c>
      <c r="K271">
        <v>10301</v>
      </c>
      <c r="N271" t="s">
        <v>7237</v>
      </c>
      <c r="O271" t="s">
        <v>7492</v>
      </c>
      <c r="P271">
        <v>1</v>
      </c>
      <c r="Q271">
        <v>0</v>
      </c>
      <c r="R271">
        <v>162.37</v>
      </c>
      <c r="U271">
        <v>20280</v>
      </c>
      <c r="W271">
        <v>13.65</v>
      </c>
      <c r="X271" t="s">
        <v>436</v>
      </c>
      <c r="Y271" t="s">
        <v>124</v>
      </c>
      <c r="AA271" t="s">
        <v>10974</v>
      </c>
      <c r="AB271" t="s">
        <v>624</v>
      </c>
      <c r="AD271" t="s">
        <v>11082</v>
      </c>
      <c r="AF271" t="s">
        <v>11118</v>
      </c>
      <c r="AH271" t="s">
        <v>10975</v>
      </c>
      <c r="AJ271" t="s">
        <v>11130</v>
      </c>
      <c r="AK271" t="s">
        <v>7225</v>
      </c>
      <c r="AM271">
        <v>2500</v>
      </c>
      <c r="AO271">
        <v>1</v>
      </c>
      <c r="AQ271" t="s">
        <v>11156</v>
      </c>
      <c r="AR271" t="s">
        <v>11172</v>
      </c>
      <c r="AU271">
        <v>1</v>
      </c>
      <c r="AW271" t="s">
        <v>11187</v>
      </c>
      <c r="AY271" t="s">
        <v>11213</v>
      </c>
      <c r="BA271" t="s">
        <v>11222</v>
      </c>
      <c r="BE271" t="s">
        <v>11882</v>
      </c>
      <c r="BG271" t="s">
        <v>14455</v>
      </c>
      <c r="BM271" t="s">
        <v>15650</v>
      </c>
    </row>
    <row r="272" spans="1:67">
      <c r="A272" s="1">
        <f>HYPERLINK("https://lsnyc.legalserver.org/matter/dynamic-profile/view/1912316","19-1912316")</f>
        <v>0</v>
      </c>
      <c r="B272" t="s">
        <v>89</v>
      </c>
      <c r="C272" t="s">
        <v>249</v>
      </c>
      <c r="D272" t="s">
        <v>305</v>
      </c>
      <c r="F272" t="s">
        <v>1294</v>
      </c>
      <c r="G272" t="s">
        <v>3079</v>
      </c>
      <c r="H272" t="s">
        <v>4949</v>
      </c>
      <c r="J272" t="s">
        <v>7179</v>
      </c>
      <c r="K272">
        <v>10305</v>
      </c>
      <c r="N272" t="s">
        <v>7237</v>
      </c>
      <c r="O272" t="s">
        <v>7493</v>
      </c>
      <c r="P272">
        <v>1</v>
      </c>
      <c r="Q272">
        <v>0</v>
      </c>
      <c r="R272">
        <v>162.47</v>
      </c>
      <c r="U272">
        <v>20292</v>
      </c>
      <c r="W272">
        <v>7</v>
      </c>
      <c r="X272" t="s">
        <v>333</v>
      </c>
      <c r="Y272" t="s">
        <v>10881</v>
      </c>
      <c r="Z272" t="s">
        <v>10972</v>
      </c>
      <c r="AA272" t="s">
        <v>10976</v>
      </c>
      <c r="AD272" t="s">
        <v>11083</v>
      </c>
      <c r="AE272" t="s">
        <v>11117</v>
      </c>
      <c r="AH272" t="s">
        <v>10975</v>
      </c>
      <c r="AJ272" t="s">
        <v>11135</v>
      </c>
      <c r="AK272" t="s">
        <v>7225</v>
      </c>
      <c r="AM272">
        <v>1375</v>
      </c>
      <c r="AO272">
        <v>2</v>
      </c>
      <c r="AQ272" t="s">
        <v>11156</v>
      </c>
      <c r="AS272" t="s">
        <v>11173</v>
      </c>
      <c r="AU272">
        <v>1</v>
      </c>
      <c r="AW272" t="s">
        <v>11187</v>
      </c>
      <c r="AY272" t="s">
        <v>11213</v>
      </c>
      <c r="AZ272" t="s">
        <v>11221</v>
      </c>
      <c r="BE272" t="s">
        <v>11883</v>
      </c>
      <c r="BG272" t="s">
        <v>14456</v>
      </c>
      <c r="BM272" t="s">
        <v>15650</v>
      </c>
    </row>
    <row r="273" spans="1:65">
      <c r="A273" s="1">
        <f>HYPERLINK("https://lsnyc.legalserver.org/matter/dynamic-profile/view/1905425","19-1905425")</f>
        <v>0</v>
      </c>
      <c r="B273" t="s">
        <v>89</v>
      </c>
      <c r="C273" t="s">
        <v>249</v>
      </c>
      <c r="D273" t="s">
        <v>429</v>
      </c>
      <c r="F273" t="s">
        <v>1295</v>
      </c>
      <c r="G273" t="s">
        <v>3080</v>
      </c>
      <c r="H273" t="s">
        <v>4950</v>
      </c>
      <c r="J273" t="s">
        <v>7179</v>
      </c>
      <c r="K273">
        <v>10306</v>
      </c>
      <c r="N273" t="s">
        <v>7237</v>
      </c>
      <c r="O273" t="s">
        <v>7494</v>
      </c>
      <c r="P273">
        <v>1</v>
      </c>
      <c r="Q273">
        <v>3</v>
      </c>
      <c r="R273">
        <v>93.2</v>
      </c>
      <c r="U273">
        <v>24000</v>
      </c>
      <c r="W273">
        <v>14.95</v>
      </c>
      <c r="X273" t="s">
        <v>333</v>
      </c>
      <c r="Y273" t="s">
        <v>10881</v>
      </c>
      <c r="Z273" t="s">
        <v>10972</v>
      </c>
      <c r="AA273" t="s">
        <v>10976</v>
      </c>
      <c r="AD273" t="s">
        <v>11083</v>
      </c>
      <c r="AE273" t="s">
        <v>11117</v>
      </c>
      <c r="AH273" t="s">
        <v>10975</v>
      </c>
      <c r="AJ273" t="s">
        <v>11135</v>
      </c>
      <c r="AK273" t="s">
        <v>7225</v>
      </c>
      <c r="AM273">
        <v>1775</v>
      </c>
      <c r="AN273" t="s">
        <v>11151</v>
      </c>
      <c r="AO273" t="s">
        <v>11153</v>
      </c>
      <c r="AQ273" t="s">
        <v>11156</v>
      </c>
      <c r="AS273" t="s">
        <v>11173</v>
      </c>
      <c r="AT273" t="s">
        <v>11184</v>
      </c>
      <c r="AU273">
        <v>0</v>
      </c>
      <c r="AW273" t="s">
        <v>11187</v>
      </c>
      <c r="AY273" t="s">
        <v>11213</v>
      </c>
      <c r="AZ273" t="s">
        <v>11221</v>
      </c>
      <c r="BE273" t="s">
        <v>11884</v>
      </c>
      <c r="BG273" t="s">
        <v>14457</v>
      </c>
      <c r="BM273" t="s">
        <v>15650</v>
      </c>
    </row>
    <row r="274" spans="1:65">
      <c r="A274" s="1">
        <f>HYPERLINK("https://lsnyc.legalserver.org/matter/dynamic-profile/view/1894945","19-1894945")</f>
        <v>0</v>
      </c>
      <c r="B274" t="s">
        <v>89</v>
      </c>
      <c r="C274" t="s">
        <v>249</v>
      </c>
      <c r="D274" t="s">
        <v>428</v>
      </c>
      <c r="F274" t="s">
        <v>1296</v>
      </c>
      <c r="G274" t="s">
        <v>3081</v>
      </c>
      <c r="H274" t="s">
        <v>4951</v>
      </c>
      <c r="I274" t="s">
        <v>6519</v>
      </c>
      <c r="J274" t="s">
        <v>7179</v>
      </c>
      <c r="K274">
        <v>10301</v>
      </c>
      <c r="N274" t="s">
        <v>7237</v>
      </c>
      <c r="O274" t="s">
        <v>7495</v>
      </c>
      <c r="P274">
        <v>1</v>
      </c>
      <c r="Q274">
        <v>0</v>
      </c>
      <c r="R274">
        <v>249.8</v>
      </c>
      <c r="U274">
        <v>31200</v>
      </c>
      <c r="W274">
        <v>21.7</v>
      </c>
      <c r="X274" t="s">
        <v>272</v>
      </c>
      <c r="Y274" t="s">
        <v>10881</v>
      </c>
      <c r="AA274" t="s">
        <v>10974</v>
      </c>
      <c r="AD274" t="s">
        <v>11101</v>
      </c>
      <c r="AE274" t="s">
        <v>11117</v>
      </c>
      <c r="AH274" t="s">
        <v>10975</v>
      </c>
      <c r="AJ274" t="s">
        <v>11135</v>
      </c>
      <c r="AK274" t="s">
        <v>7225</v>
      </c>
      <c r="AM274">
        <v>1121.2</v>
      </c>
      <c r="AO274">
        <v>120</v>
      </c>
      <c r="AQ274" t="s">
        <v>11157</v>
      </c>
      <c r="AS274" t="s">
        <v>11173</v>
      </c>
      <c r="AU274">
        <v>17</v>
      </c>
      <c r="AW274" t="s">
        <v>11187</v>
      </c>
      <c r="AY274" t="s">
        <v>11213</v>
      </c>
      <c r="BA274" t="s">
        <v>11222</v>
      </c>
      <c r="BE274" t="s">
        <v>11885</v>
      </c>
      <c r="BG274" t="s">
        <v>14458</v>
      </c>
      <c r="BM274" t="s">
        <v>15650</v>
      </c>
    </row>
    <row r="275" spans="1:65">
      <c r="A275" s="1">
        <f>HYPERLINK("https://lsnyc.legalserver.org/matter/dynamic-profile/view/1901574","19-1901574")</f>
        <v>0</v>
      </c>
      <c r="B275" t="s">
        <v>89</v>
      </c>
      <c r="C275" t="s">
        <v>249</v>
      </c>
      <c r="D275" t="s">
        <v>430</v>
      </c>
      <c r="F275" t="s">
        <v>1297</v>
      </c>
      <c r="G275" t="s">
        <v>2308</v>
      </c>
      <c r="H275" t="s">
        <v>4952</v>
      </c>
      <c r="I275">
        <v>1</v>
      </c>
      <c r="J275" t="s">
        <v>7179</v>
      </c>
      <c r="K275">
        <v>10302</v>
      </c>
      <c r="N275" t="s">
        <v>7237</v>
      </c>
      <c r="O275" t="s">
        <v>7496</v>
      </c>
      <c r="P275">
        <v>4</v>
      </c>
      <c r="Q275">
        <v>2</v>
      </c>
      <c r="R275">
        <v>38.16</v>
      </c>
      <c r="S275" t="s">
        <v>10254</v>
      </c>
      <c r="T275" t="s">
        <v>10275</v>
      </c>
      <c r="U275">
        <v>13200</v>
      </c>
      <c r="W275">
        <v>1</v>
      </c>
      <c r="X275" t="s">
        <v>1075</v>
      </c>
      <c r="Y275" t="s">
        <v>89</v>
      </c>
      <c r="AA275" t="s">
        <v>10974</v>
      </c>
      <c r="AD275" t="s">
        <v>11083</v>
      </c>
      <c r="AF275" t="s">
        <v>11121</v>
      </c>
      <c r="AG275" t="s">
        <v>11124</v>
      </c>
      <c r="AI275" t="s">
        <v>11127</v>
      </c>
      <c r="AJ275" t="s">
        <v>11129</v>
      </c>
      <c r="AK275" t="s">
        <v>11149</v>
      </c>
      <c r="AM275">
        <v>1300</v>
      </c>
      <c r="AN275" t="s">
        <v>11151</v>
      </c>
      <c r="AO275" t="s">
        <v>11153</v>
      </c>
      <c r="AP275" t="s">
        <v>11155</v>
      </c>
      <c r="AR275" t="s">
        <v>11172</v>
      </c>
      <c r="AU275">
        <v>6</v>
      </c>
      <c r="AW275" t="s">
        <v>11189</v>
      </c>
      <c r="AX275" t="s">
        <v>11212</v>
      </c>
      <c r="AZ275" t="s">
        <v>11221</v>
      </c>
      <c r="BD275" t="s">
        <v>11667</v>
      </c>
      <c r="BF275" t="s">
        <v>14364</v>
      </c>
      <c r="BM275" t="s">
        <v>15650</v>
      </c>
    </row>
    <row r="276" spans="1:65">
      <c r="A276" s="1">
        <f>HYPERLINK("https://lsnyc.legalserver.org/matter/dynamic-profile/view/1895579","19-1895579")</f>
        <v>0</v>
      </c>
      <c r="B276" t="s">
        <v>89</v>
      </c>
      <c r="C276" t="s">
        <v>249</v>
      </c>
      <c r="D276" t="s">
        <v>389</v>
      </c>
      <c r="F276" t="s">
        <v>1298</v>
      </c>
      <c r="G276" t="s">
        <v>3082</v>
      </c>
      <c r="H276" t="s">
        <v>4953</v>
      </c>
      <c r="J276" t="s">
        <v>7179</v>
      </c>
      <c r="K276">
        <v>10305</v>
      </c>
      <c r="N276" t="s">
        <v>7237</v>
      </c>
      <c r="O276" t="s">
        <v>7497</v>
      </c>
      <c r="P276">
        <v>4</v>
      </c>
      <c r="Q276">
        <v>2</v>
      </c>
      <c r="R276">
        <v>112.75</v>
      </c>
      <c r="U276">
        <v>39000</v>
      </c>
      <c r="W276">
        <v>16.75</v>
      </c>
      <c r="X276" t="s">
        <v>436</v>
      </c>
      <c r="Y276" t="s">
        <v>10896</v>
      </c>
      <c r="AA276" t="s">
        <v>10974</v>
      </c>
      <c r="AD276" t="s">
        <v>11083</v>
      </c>
      <c r="AE276" t="s">
        <v>11117</v>
      </c>
      <c r="AH276" t="s">
        <v>10975</v>
      </c>
      <c r="AJ276" t="s">
        <v>11104</v>
      </c>
      <c r="AK276" t="s">
        <v>7225</v>
      </c>
      <c r="AL276" t="s">
        <v>11150</v>
      </c>
      <c r="AM276">
        <v>0</v>
      </c>
      <c r="AO276">
        <v>1</v>
      </c>
      <c r="AQ276" t="s">
        <v>11156</v>
      </c>
      <c r="AS276" t="s">
        <v>11173</v>
      </c>
      <c r="AU276">
        <v>10</v>
      </c>
      <c r="AW276" t="s">
        <v>11187</v>
      </c>
      <c r="AX276" t="s">
        <v>11212</v>
      </c>
      <c r="BA276" t="s">
        <v>11222</v>
      </c>
      <c r="BE276" t="s">
        <v>11886</v>
      </c>
      <c r="BG276" t="s">
        <v>14459</v>
      </c>
      <c r="BM276" t="s">
        <v>15650</v>
      </c>
    </row>
    <row r="277" spans="1:65">
      <c r="A277" s="1">
        <f>HYPERLINK("https://lsnyc.legalserver.org/matter/dynamic-profile/view/1899598","19-1899598")</f>
        <v>0</v>
      </c>
      <c r="B277" t="s">
        <v>89</v>
      </c>
      <c r="C277" t="s">
        <v>249</v>
      </c>
      <c r="D277" t="s">
        <v>431</v>
      </c>
      <c r="F277" t="s">
        <v>1299</v>
      </c>
      <c r="G277" t="s">
        <v>3083</v>
      </c>
      <c r="H277" t="s">
        <v>4954</v>
      </c>
      <c r="I277" t="s">
        <v>6520</v>
      </c>
      <c r="J277" t="s">
        <v>7179</v>
      </c>
      <c r="K277">
        <v>10304</v>
      </c>
      <c r="N277" t="s">
        <v>7237</v>
      </c>
      <c r="O277" t="s">
        <v>7498</v>
      </c>
      <c r="P277">
        <v>1</v>
      </c>
      <c r="Q277">
        <v>0</v>
      </c>
      <c r="R277">
        <v>91.56</v>
      </c>
      <c r="U277">
        <v>11436</v>
      </c>
      <c r="W277">
        <v>39.8</v>
      </c>
      <c r="X277" t="s">
        <v>449</v>
      </c>
      <c r="Y277" t="s">
        <v>10872</v>
      </c>
      <c r="Z277" t="s">
        <v>10972</v>
      </c>
      <c r="AA277" t="s">
        <v>10976</v>
      </c>
      <c r="AD277" t="s">
        <v>11083</v>
      </c>
      <c r="AE277" t="s">
        <v>11117</v>
      </c>
      <c r="AG277" t="s">
        <v>11124</v>
      </c>
      <c r="AJ277" t="s">
        <v>11104</v>
      </c>
      <c r="AK277" t="s">
        <v>7225</v>
      </c>
      <c r="AM277">
        <v>241</v>
      </c>
      <c r="AN277" t="s">
        <v>11151</v>
      </c>
      <c r="AO277" t="s">
        <v>11153</v>
      </c>
      <c r="AP277" t="s">
        <v>11155</v>
      </c>
      <c r="AR277" t="s">
        <v>11172</v>
      </c>
      <c r="AU277">
        <v>13</v>
      </c>
      <c r="AW277" t="s">
        <v>11187</v>
      </c>
      <c r="AX277" t="s">
        <v>11212</v>
      </c>
      <c r="AZ277" t="s">
        <v>11221</v>
      </c>
      <c r="BE277" t="s">
        <v>11887</v>
      </c>
      <c r="BG277" t="s">
        <v>14460</v>
      </c>
      <c r="BM277" t="s">
        <v>15650</v>
      </c>
    </row>
    <row r="278" spans="1:65">
      <c r="A278" s="1">
        <f>HYPERLINK("https://lsnyc.legalserver.org/matter/dynamic-profile/view/1882733","18-1882733")</f>
        <v>0</v>
      </c>
      <c r="B278" t="s">
        <v>90</v>
      </c>
      <c r="C278" t="s">
        <v>246</v>
      </c>
      <c r="D278" t="s">
        <v>432</v>
      </c>
      <c r="F278" t="s">
        <v>1144</v>
      </c>
      <c r="G278" t="s">
        <v>3084</v>
      </c>
      <c r="H278" t="s">
        <v>4955</v>
      </c>
      <c r="I278" t="s">
        <v>6451</v>
      </c>
      <c r="J278" t="s">
        <v>7170</v>
      </c>
      <c r="K278">
        <v>10457</v>
      </c>
      <c r="N278" t="s">
        <v>7237</v>
      </c>
      <c r="O278" t="s">
        <v>7499</v>
      </c>
      <c r="P278">
        <v>1</v>
      </c>
      <c r="Q278">
        <v>0</v>
      </c>
      <c r="R278">
        <v>0</v>
      </c>
      <c r="U278">
        <v>0</v>
      </c>
      <c r="W278">
        <v>0.3</v>
      </c>
      <c r="X278" t="s">
        <v>300</v>
      </c>
      <c r="Y278" t="s">
        <v>10865</v>
      </c>
      <c r="AA278" t="s">
        <v>10974</v>
      </c>
      <c r="AB278" t="s">
        <v>597</v>
      </c>
      <c r="AD278" t="s">
        <v>11101</v>
      </c>
      <c r="AF278" t="s">
        <v>11118</v>
      </c>
      <c r="AH278" t="s">
        <v>10974</v>
      </c>
      <c r="AJ278" t="s">
        <v>11141</v>
      </c>
      <c r="AK278" t="s">
        <v>7225</v>
      </c>
      <c r="AM278">
        <v>1160</v>
      </c>
      <c r="AO278">
        <v>47</v>
      </c>
      <c r="AQ278" t="s">
        <v>11157</v>
      </c>
      <c r="AS278" t="s">
        <v>11173</v>
      </c>
      <c r="AU278">
        <v>10</v>
      </c>
      <c r="AW278" t="s">
        <v>11189</v>
      </c>
      <c r="AZ278" t="s">
        <v>11221</v>
      </c>
      <c r="BB278" t="s">
        <v>11224</v>
      </c>
      <c r="BC278" t="s">
        <v>11252</v>
      </c>
      <c r="BD278" t="s">
        <v>11667</v>
      </c>
      <c r="BG278" t="s">
        <v>14461</v>
      </c>
      <c r="BM278" t="s">
        <v>15650</v>
      </c>
    </row>
    <row r="279" spans="1:65">
      <c r="A279" s="1">
        <f>HYPERLINK("https://lsnyc.legalserver.org/matter/dynamic-profile/view/1895972","19-1895972")</f>
        <v>0</v>
      </c>
      <c r="B279" t="s">
        <v>90</v>
      </c>
      <c r="C279" t="s">
        <v>246</v>
      </c>
      <c r="D279" t="s">
        <v>295</v>
      </c>
      <c r="F279" t="s">
        <v>1300</v>
      </c>
      <c r="G279" t="s">
        <v>3085</v>
      </c>
      <c r="H279" t="s">
        <v>4956</v>
      </c>
      <c r="I279" t="s">
        <v>6521</v>
      </c>
      <c r="J279" t="s">
        <v>7170</v>
      </c>
      <c r="K279">
        <v>10458</v>
      </c>
      <c r="N279" t="s">
        <v>7237</v>
      </c>
      <c r="O279" t="s">
        <v>7500</v>
      </c>
      <c r="P279">
        <v>2</v>
      </c>
      <c r="Q279">
        <v>0</v>
      </c>
      <c r="R279">
        <v>86.20999999999999</v>
      </c>
      <c r="U279">
        <v>14000</v>
      </c>
      <c r="W279">
        <v>0.1</v>
      </c>
      <c r="X279" t="s">
        <v>1032</v>
      </c>
      <c r="Y279" t="s">
        <v>93</v>
      </c>
      <c r="AA279" t="s">
        <v>10974</v>
      </c>
      <c r="AB279" t="s">
        <v>10987</v>
      </c>
      <c r="AD279" t="s">
        <v>11098</v>
      </c>
      <c r="AF279" t="s">
        <v>11122</v>
      </c>
      <c r="AH279" t="s">
        <v>10974</v>
      </c>
      <c r="AJ279" t="s">
        <v>11141</v>
      </c>
      <c r="AK279" t="s">
        <v>7225</v>
      </c>
      <c r="AM279">
        <v>867</v>
      </c>
      <c r="AO279">
        <v>142</v>
      </c>
      <c r="AQ279" t="s">
        <v>11157</v>
      </c>
      <c r="AS279" t="s">
        <v>11104</v>
      </c>
      <c r="AU279">
        <v>39</v>
      </c>
      <c r="AW279" t="s">
        <v>11187</v>
      </c>
      <c r="BA279" t="s">
        <v>11222</v>
      </c>
      <c r="BB279" t="s">
        <v>11224</v>
      </c>
      <c r="BC279">
        <v>4690917</v>
      </c>
      <c r="BD279" t="s">
        <v>11667</v>
      </c>
      <c r="BG279" t="s">
        <v>14462</v>
      </c>
      <c r="BM279" t="s">
        <v>15650</v>
      </c>
    </row>
    <row r="280" spans="1:65">
      <c r="A280" s="1">
        <f>HYPERLINK("https://lsnyc.legalserver.org/matter/dynamic-profile/view/1886131","18-1886131")</f>
        <v>0</v>
      </c>
      <c r="B280" t="s">
        <v>90</v>
      </c>
      <c r="C280" t="s">
        <v>246</v>
      </c>
      <c r="D280" t="s">
        <v>405</v>
      </c>
      <c r="F280" t="s">
        <v>1301</v>
      </c>
      <c r="G280" t="s">
        <v>2947</v>
      </c>
      <c r="H280" t="s">
        <v>4955</v>
      </c>
      <c r="I280" t="s">
        <v>6522</v>
      </c>
      <c r="J280" t="s">
        <v>7170</v>
      </c>
      <c r="K280">
        <v>10457</v>
      </c>
      <c r="N280" t="s">
        <v>7237</v>
      </c>
      <c r="O280" t="s">
        <v>7501</v>
      </c>
      <c r="P280">
        <v>1</v>
      </c>
      <c r="Q280">
        <v>0</v>
      </c>
      <c r="R280">
        <v>0</v>
      </c>
      <c r="U280">
        <v>0</v>
      </c>
      <c r="W280">
        <v>1</v>
      </c>
      <c r="X280" t="s">
        <v>405</v>
      </c>
      <c r="Y280" t="s">
        <v>210</v>
      </c>
      <c r="AA280" t="s">
        <v>10974</v>
      </c>
      <c r="AB280" t="s">
        <v>597</v>
      </c>
      <c r="AD280" t="s">
        <v>11101</v>
      </c>
      <c r="AF280" t="s">
        <v>11118</v>
      </c>
      <c r="AH280" t="s">
        <v>10974</v>
      </c>
      <c r="AJ280" t="s">
        <v>11141</v>
      </c>
      <c r="AK280" t="s">
        <v>7225</v>
      </c>
      <c r="AM280">
        <v>186</v>
      </c>
      <c r="AO280">
        <v>48</v>
      </c>
      <c r="AQ280" t="s">
        <v>11164</v>
      </c>
      <c r="AS280" t="s">
        <v>11174</v>
      </c>
      <c r="AU280">
        <v>5</v>
      </c>
      <c r="AW280" t="s">
        <v>11189</v>
      </c>
      <c r="AZ280" t="s">
        <v>11221</v>
      </c>
      <c r="BE280" t="s">
        <v>11888</v>
      </c>
      <c r="BG280" t="s">
        <v>14461</v>
      </c>
      <c r="BM280" t="s">
        <v>15650</v>
      </c>
    </row>
    <row r="281" spans="1:65">
      <c r="A281" s="1">
        <f>HYPERLINK("https://lsnyc.legalserver.org/matter/dynamic-profile/view/1908016","19-1908016")</f>
        <v>0</v>
      </c>
      <c r="B281" t="s">
        <v>90</v>
      </c>
      <c r="C281" t="s">
        <v>246</v>
      </c>
      <c r="D281" t="s">
        <v>304</v>
      </c>
      <c r="F281" t="s">
        <v>1302</v>
      </c>
      <c r="G281" t="s">
        <v>2877</v>
      </c>
      <c r="H281" t="s">
        <v>4955</v>
      </c>
      <c r="I281" t="s">
        <v>6523</v>
      </c>
      <c r="J281" t="s">
        <v>7170</v>
      </c>
      <c r="K281">
        <v>10457</v>
      </c>
      <c r="N281" t="s">
        <v>7237</v>
      </c>
      <c r="O281" t="s">
        <v>7502</v>
      </c>
      <c r="P281">
        <v>1</v>
      </c>
      <c r="Q281">
        <v>0</v>
      </c>
      <c r="R281">
        <v>73.69</v>
      </c>
      <c r="U281">
        <v>9204</v>
      </c>
      <c r="W281">
        <v>1.1</v>
      </c>
      <c r="X281" t="s">
        <v>598</v>
      </c>
      <c r="Y281" t="s">
        <v>93</v>
      </c>
      <c r="AA281" t="s">
        <v>10974</v>
      </c>
      <c r="AD281" t="s">
        <v>11098</v>
      </c>
      <c r="AF281" t="s">
        <v>11122</v>
      </c>
      <c r="AH281" t="s">
        <v>10974</v>
      </c>
      <c r="AJ281" t="s">
        <v>11141</v>
      </c>
      <c r="AK281" t="s">
        <v>7225</v>
      </c>
      <c r="AM281">
        <v>385</v>
      </c>
      <c r="AO281">
        <v>48</v>
      </c>
      <c r="AQ281" t="s">
        <v>11157</v>
      </c>
      <c r="AS281" t="s">
        <v>11174</v>
      </c>
      <c r="AU281">
        <v>5</v>
      </c>
      <c r="AW281" t="s">
        <v>11189</v>
      </c>
      <c r="AX281" t="s">
        <v>11212</v>
      </c>
      <c r="AZ281" t="s">
        <v>11221</v>
      </c>
      <c r="BE281" t="s">
        <v>11889</v>
      </c>
      <c r="BG281" t="s">
        <v>14463</v>
      </c>
      <c r="BM281" t="s">
        <v>15650</v>
      </c>
    </row>
    <row r="282" spans="1:65">
      <c r="A282" s="1">
        <f>HYPERLINK("https://lsnyc.legalserver.org/matter/dynamic-profile/view/1907382","19-1907382")</f>
        <v>0</v>
      </c>
      <c r="B282" t="s">
        <v>90</v>
      </c>
      <c r="C282" t="s">
        <v>246</v>
      </c>
      <c r="D282" t="s">
        <v>433</v>
      </c>
      <c r="F282" t="s">
        <v>1303</v>
      </c>
      <c r="G282" t="s">
        <v>3086</v>
      </c>
      <c r="H282" t="s">
        <v>4955</v>
      </c>
      <c r="I282" t="s">
        <v>6524</v>
      </c>
      <c r="J282" t="s">
        <v>7170</v>
      </c>
      <c r="K282">
        <v>10457</v>
      </c>
      <c r="N282" t="s">
        <v>7241</v>
      </c>
      <c r="O282" t="s">
        <v>7503</v>
      </c>
      <c r="P282">
        <v>1</v>
      </c>
      <c r="Q282">
        <v>0</v>
      </c>
      <c r="R282">
        <v>73.98</v>
      </c>
      <c r="U282">
        <v>9240</v>
      </c>
      <c r="W282">
        <v>2.6</v>
      </c>
      <c r="X282" t="s">
        <v>265</v>
      </c>
      <c r="Y282" t="s">
        <v>93</v>
      </c>
      <c r="AA282" t="s">
        <v>10974</v>
      </c>
      <c r="AB282" t="s">
        <v>10988</v>
      </c>
      <c r="AD282" t="s">
        <v>11094</v>
      </c>
      <c r="AF282" t="s">
        <v>11120</v>
      </c>
      <c r="AH282" t="s">
        <v>10975</v>
      </c>
      <c r="AJ282" t="s">
        <v>11129</v>
      </c>
      <c r="AK282" t="s">
        <v>7225</v>
      </c>
      <c r="AM282">
        <v>816</v>
      </c>
      <c r="AO282">
        <v>47</v>
      </c>
      <c r="AQ282" t="s">
        <v>11157</v>
      </c>
      <c r="AS282" t="s">
        <v>11174</v>
      </c>
      <c r="AU282">
        <v>10</v>
      </c>
      <c r="AW282" t="s">
        <v>11187</v>
      </c>
      <c r="BA282" t="s">
        <v>11222</v>
      </c>
      <c r="BE282" t="s">
        <v>11890</v>
      </c>
      <c r="BF282" t="s">
        <v>14364</v>
      </c>
      <c r="BG282" t="s">
        <v>11228</v>
      </c>
      <c r="BM282" t="s">
        <v>15650</v>
      </c>
    </row>
    <row r="283" spans="1:65">
      <c r="A283" s="1">
        <f>HYPERLINK("https://lsnyc.legalserver.org/matter/dynamic-profile/view/1882702","18-1882702")</f>
        <v>0</v>
      </c>
      <c r="B283" t="s">
        <v>90</v>
      </c>
      <c r="C283" t="s">
        <v>246</v>
      </c>
      <c r="D283" t="s">
        <v>432</v>
      </c>
      <c r="F283" t="s">
        <v>1140</v>
      </c>
      <c r="G283" t="s">
        <v>3087</v>
      </c>
      <c r="H283" t="s">
        <v>4955</v>
      </c>
      <c r="I283" t="s">
        <v>6405</v>
      </c>
      <c r="J283" t="s">
        <v>7170</v>
      </c>
      <c r="K283">
        <v>10457</v>
      </c>
      <c r="N283" t="s">
        <v>7237</v>
      </c>
      <c r="O283" t="s">
        <v>7504</v>
      </c>
      <c r="P283">
        <v>2</v>
      </c>
      <c r="Q283">
        <v>0</v>
      </c>
      <c r="R283">
        <v>72.69</v>
      </c>
      <c r="U283">
        <v>11964</v>
      </c>
      <c r="W283">
        <v>0.4</v>
      </c>
      <c r="X283" t="s">
        <v>320</v>
      </c>
      <c r="Y283" t="s">
        <v>10865</v>
      </c>
      <c r="AA283" t="s">
        <v>10974</v>
      </c>
      <c r="AB283" t="s">
        <v>597</v>
      </c>
      <c r="AD283" t="s">
        <v>11098</v>
      </c>
      <c r="AF283" t="s">
        <v>11122</v>
      </c>
      <c r="AH283" t="s">
        <v>10974</v>
      </c>
      <c r="AJ283" t="s">
        <v>11141</v>
      </c>
      <c r="AK283" t="s">
        <v>7225</v>
      </c>
      <c r="AM283">
        <v>1551</v>
      </c>
      <c r="AO283">
        <v>47</v>
      </c>
      <c r="AQ283" t="s">
        <v>11157</v>
      </c>
      <c r="AS283" t="s">
        <v>11174</v>
      </c>
      <c r="AU283">
        <v>12</v>
      </c>
      <c r="AW283" t="s">
        <v>11187</v>
      </c>
      <c r="AZ283" t="s">
        <v>11221</v>
      </c>
      <c r="BE283" t="s">
        <v>11891</v>
      </c>
      <c r="BG283" t="s">
        <v>14463</v>
      </c>
      <c r="BM283" t="s">
        <v>15650</v>
      </c>
    </row>
    <row r="284" spans="1:65">
      <c r="A284" s="1">
        <f>HYPERLINK("https://lsnyc.legalserver.org/matter/dynamic-profile/view/1882686","18-1882686")</f>
        <v>0</v>
      </c>
      <c r="B284" t="s">
        <v>90</v>
      </c>
      <c r="C284" t="s">
        <v>246</v>
      </c>
      <c r="D284" t="s">
        <v>432</v>
      </c>
      <c r="F284" t="s">
        <v>1304</v>
      </c>
      <c r="G284" t="s">
        <v>3088</v>
      </c>
      <c r="H284" t="s">
        <v>4955</v>
      </c>
      <c r="I284" t="s">
        <v>6525</v>
      </c>
      <c r="J284" t="s">
        <v>7170</v>
      </c>
      <c r="K284">
        <v>10457</v>
      </c>
      <c r="N284" t="s">
        <v>7237</v>
      </c>
      <c r="O284" t="s">
        <v>7505</v>
      </c>
      <c r="P284">
        <v>1</v>
      </c>
      <c r="Q284">
        <v>0</v>
      </c>
      <c r="R284">
        <v>148.27</v>
      </c>
      <c r="U284">
        <v>18000</v>
      </c>
      <c r="W284">
        <v>0.8</v>
      </c>
      <c r="X284" t="s">
        <v>495</v>
      </c>
      <c r="Y284" t="s">
        <v>10865</v>
      </c>
      <c r="AA284" t="s">
        <v>10974</v>
      </c>
      <c r="AB284" t="s">
        <v>597</v>
      </c>
      <c r="AD284" t="s">
        <v>11098</v>
      </c>
      <c r="AF284" t="s">
        <v>11122</v>
      </c>
      <c r="AH284" t="s">
        <v>10974</v>
      </c>
      <c r="AJ284" t="s">
        <v>11141</v>
      </c>
      <c r="AK284" t="s">
        <v>7225</v>
      </c>
      <c r="AM284">
        <v>847</v>
      </c>
      <c r="AO284">
        <v>47</v>
      </c>
      <c r="AQ284" t="s">
        <v>11157</v>
      </c>
      <c r="AS284" t="s">
        <v>11173</v>
      </c>
      <c r="AU284">
        <v>30</v>
      </c>
      <c r="AW284" t="s">
        <v>11187</v>
      </c>
      <c r="AZ284" t="s">
        <v>11221</v>
      </c>
      <c r="BE284" t="s">
        <v>11892</v>
      </c>
      <c r="BG284" t="s">
        <v>14463</v>
      </c>
      <c r="BM284" t="s">
        <v>15650</v>
      </c>
    </row>
    <row r="285" spans="1:65">
      <c r="A285" s="1">
        <f>HYPERLINK("https://lsnyc.legalserver.org/matter/dynamic-profile/view/1906734","19-1906734")</f>
        <v>0</v>
      </c>
      <c r="B285" t="s">
        <v>90</v>
      </c>
      <c r="C285" t="s">
        <v>246</v>
      </c>
      <c r="D285" t="s">
        <v>429</v>
      </c>
      <c r="F285" t="s">
        <v>1305</v>
      </c>
      <c r="G285" t="s">
        <v>3089</v>
      </c>
      <c r="H285" t="s">
        <v>4957</v>
      </c>
      <c r="I285" t="s">
        <v>6526</v>
      </c>
      <c r="J285" t="s">
        <v>7170</v>
      </c>
      <c r="K285">
        <v>10457</v>
      </c>
      <c r="N285" t="s">
        <v>7237</v>
      </c>
      <c r="O285" t="s">
        <v>7506</v>
      </c>
      <c r="P285">
        <v>1</v>
      </c>
      <c r="Q285">
        <v>0</v>
      </c>
      <c r="R285">
        <v>76</v>
      </c>
      <c r="U285">
        <v>9492</v>
      </c>
      <c r="V285" t="s">
        <v>10294</v>
      </c>
      <c r="W285">
        <v>6.55</v>
      </c>
      <c r="X285" t="s">
        <v>449</v>
      </c>
      <c r="Y285" t="s">
        <v>10897</v>
      </c>
      <c r="Z285" t="s">
        <v>10972</v>
      </c>
      <c r="AA285" t="s">
        <v>10975</v>
      </c>
      <c r="AD285" t="s">
        <v>11086</v>
      </c>
      <c r="AF285" t="s">
        <v>11119</v>
      </c>
      <c r="AH285" t="s">
        <v>10974</v>
      </c>
      <c r="AJ285" t="s">
        <v>11141</v>
      </c>
      <c r="AK285" t="s">
        <v>7225</v>
      </c>
      <c r="AM285">
        <v>371</v>
      </c>
      <c r="AO285">
        <v>20</v>
      </c>
      <c r="AQ285" t="s">
        <v>11157</v>
      </c>
      <c r="AR285" t="s">
        <v>11172</v>
      </c>
      <c r="AU285">
        <v>17</v>
      </c>
      <c r="AW285" t="s">
        <v>11187</v>
      </c>
      <c r="AX285" t="s">
        <v>11212</v>
      </c>
      <c r="BA285" t="s">
        <v>11223</v>
      </c>
      <c r="BC285" t="s">
        <v>11253</v>
      </c>
      <c r="BE285" t="s">
        <v>11893</v>
      </c>
      <c r="BF285" t="s">
        <v>14364</v>
      </c>
      <c r="BM285" t="s">
        <v>15650</v>
      </c>
    </row>
    <row r="286" spans="1:65">
      <c r="A286" s="1">
        <f>HYPERLINK("https://lsnyc.legalserver.org/matter/dynamic-profile/view/1909771","19-1909771")</f>
        <v>0</v>
      </c>
      <c r="B286" t="s">
        <v>90</v>
      </c>
      <c r="C286" t="s">
        <v>246</v>
      </c>
      <c r="D286" t="s">
        <v>434</v>
      </c>
      <c r="F286" t="s">
        <v>1306</v>
      </c>
      <c r="G286" t="s">
        <v>3090</v>
      </c>
      <c r="H286" t="s">
        <v>4955</v>
      </c>
      <c r="I286" t="s">
        <v>6527</v>
      </c>
      <c r="J286" t="s">
        <v>7170</v>
      </c>
      <c r="K286">
        <v>10457</v>
      </c>
      <c r="N286" t="s">
        <v>7237</v>
      </c>
      <c r="O286" t="s">
        <v>7507</v>
      </c>
      <c r="P286">
        <v>1</v>
      </c>
      <c r="Q286">
        <v>1</v>
      </c>
      <c r="R286">
        <v>27.68</v>
      </c>
      <c r="U286">
        <v>4680</v>
      </c>
      <c r="W286">
        <v>1</v>
      </c>
      <c r="X286" t="s">
        <v>434</v>
      </c>
      <c r="Y286" t="s">
        <v>216</v>
      </c>
      <c r="AA286" t="s">
        <v>10974</v>
      </c>
      <c r="AD286" t="s">
        <v>11098</v>
      </c>
      <c r="AF286" t="s">
        <v>11119</v>
      </c>
      <c r="AH286" t="s">
        <v>10975</v>
      </c>
      <c r="AJ286" t="s">
        <v>11141</v>
      </c>
      <c r="AK286" t="s">
        <v>7225</v>
      </c>
      <c r="AM286">
        <v>1750</v>
      </c>
      <c r="AO286">
        <v>47</v>
      </c>
      <c r="AQ286" t="s">
        <v>11157</v>
      </c>
      <c r="AS286" t="s">
        <v>11173</v>
      </c>
      <c r="AU286">
        <v>5</v>
      </c>
      <c r="AW286" t="s">
        <v>11189</v>
      </c>
      <c r="AX286" t="s">
        <v>11212</v>
      </c>
      <c r="BA286" t="s">
        <v>11222</v>
      </c>
      <c r="BD286" t="s">
        <v>11667</v>
      </c>
      <c r="BG286" t="s">
        <v>14464</v>
      </c>
      <c r="BM286" t="s">
        <v>15650</v>
      </c>
    </row>
    <row r="287" spans="1:65">
      <c r="A287" s="1">
        <f>HYPERLINK("https://lsnyc.legalserver.org/matter/dynamic-profile/view/1882717","18-1882717")</f>
        <v>0</v>
      </c>
      <c r="B287" t="s">
        <v>90</v>
      </c>
      <c r="C287" t="s">
        <v>246</v>
      </c>
      <c r="D287" t="s">
        <v>432</v>
      </c>
      <c r="F287" t="s">
        <v>1307</v>
      </c>
      <c r="G287" t="s">
        <v>3091</v>
      </c>
      <c r="H287" t="s">
        <v>4955</v>
      </c>
      <c r="J287" t="s">
        <v>7170</v>
      </c>
      <c r="K287">
        <v>10457</v>
      </c>
      <c r="N287" t="s">
        <v>7237</v>
      </c>
      <c r="O287" t="s">
        <v>7508</v>
      </c>
      <c r="P287">
        <v>1</v>
      </c>
      <c r="Q287">
        <v>0</v>
      </c>
      <c r="R287">
        <v>66.72</v>
      </c>
      <c r="U287">
        <v>8100</v>
      </c>
      <c r="W287">
        <v>0.5</v>
      </c>
      <c r="X287" t="s">
        <v>611</v>
      </c>
      <c r="Y287" t="s">
        <v>10865</v>
      </c>
      <c r="AA287" t="s">
        <v>10974</v>
      </c>
      <c r="AB287" t="s">
        <v>597</v>
      </c>
      <c r="AD287" t="s">
        <v>11101</v>
      </c>
      <c r="AF287" t="s">
        <v>11118</v>
      </c>
      <c r="AH287" t="s">
        <v>10974</v>
      </c>
      <c r="AJ287" t="s">
        <v>11141</v>
      </c>
      <c r="AK287" t="s">
        <v>7225</v>
      </c>
      <c r="AM287">
        <v>529.97</v>
      </c>
      <c r="AO287">
        <v>47</v>
      </c>
      <c r="AQ287" t="s">
        <v>11157</v>
      </c>
      <c r="AS287" t="s">
        <v>11175</v>
      </c>
      <c r="AU287">
        <v>9</v>
      </c>
      <c r="AW287" t="s">
        <v>11189</v>
      </c>
      <c r="AZ287" t="s">
        <v>11221</v>
      </c>
      <c r="BD287" t="s">
        <v>11667</v>
      </c>
      <c r="BG287" t="s">
        <v>14461</v>
      </c>
      <c r="BM287" t="s">
        <v>15650</v>
      </c>
    </row>
    <row r="288" spans="1:65">
      <c r="A288" s="1">
        <f>HYPERLINK("https://lsnyc.legalserver.org/matter/dynamic-profile/view/1895116","19-1895116")</f>
        <v>0</v>
      </c>
      <c r="B288" t="s">
        <v>90</v>
      </c>
      <c r="C288" t="s">
        <v>246</v>
      </c>
      <c r="D288" t="s">
        <v>428</v>
      </c>
      <c r="F288" t="s">
        <v>1308</v>
      </c>
      <c r="G288" t="s">
        <v>2125</v>
      </c>
      <c r="H288" t="s">
        <v>4958</v>
      </c>
      <c r="J288" t="s">
        <v>7170</v>
      </c>
      <c r="K288">
        <v>10467</v>
      </c>
      <c r="N288" t="s">
        <v>7239</v>
      </c>
      <c r="O288" t="s">
        <v>7509</v>
      </c>
      <c r="P288">
        <v>1</v>
      </c>
      <c r="Q288">
        <v>0</v>
      </c>
      <c r="R288">
        <v>0</v>
      </c>
      <c r="S288" t="s">
        <v>10254</v>
      </c>
      <c r="T288" t="s">
        <v>10275</v>
      </c>
      <c r="U288">
        <v>0</v>
      </c>
      <c r="W288">
        <v>14.5</v>
      </c>
      <c r="X288" t="s">
        <v>497</v>
      </c>
      <c r="Y288" t="s">
        <v>93</v>
      </c>
      <c r="AA288" t="s">
        <v>10974</v>
      </c>
      <c r="AB288" t="s">
        <v>872</v>
      </c>
      <c r="AD288" t="s">
        <v>11105</v>
      </c>
      <c r="AF288" t="s">
        <v>11120</v>
      </c>
      <c r="AH288" t="s">
        <v>10975</v>
      </c>
      <c r="AJ288" t="s">
        <v>11133</v>
      </c>
      <c r="AK288" t="s">
        <v>11149</v>
      </c>
      <c r="AM288">
        <v>670</v>
      </c>
      <c r="AO288">
        <v>300</v>
      </c>
      <c r="AQ288" t="s">
        <v>11166</v>
      </c>
      <c r="AS288" t="s">
        <v>11173</v>
      </c>
      <c r="AU288">
        <v>-1</v>
      </c>
      <c r="AW288" t="s">
        <v>11187</v>
      </c>
      <c r="BA288" t="s">
        <v>11223</v>
      </c>
      <c r="BB288" t="s">
        <v>11224</v>
      </c>
      <c r="BC288" t="s">
        <v>11254</v>
      </c>
      <c r="BD288" t="s">
        <v>11667</v>
      </c>
      <c r="BF288" t="s">
        <v>14364</v>
      </c>
      <c r="BG288" t="s">
        <v>11228</v>
      </c>
      <c r="BM288" t="s">
        <v>15650</v>
      </c>
    </row>
    <row r="289" spans="1:65">
      <c r="A289" s="1">
        <f>HYPERLINK("https://lsnyc.legalserver.org/matter/dynamic-profile/view/1882722","18-1882722")</f>
        <v>0</v>
      </c>
      <c r="B289" t="s">
        <v>90</v>
      </c>
      <c r="C289" t="s">
        <v>246</v>
      </c>
      <c r="D289" t="s">
        <v>432</v>
      </c>
      <c r="F289" t="s">
        <v>1307</v>
      </c>
      <c r="G289" t="s">
        <v>3091</v>
      </c>
      <c r="H289" t="s">
        <v>4955</v>
      </c>
      <c r="J289" t="s">
        <v>7170</v>
      </c>
      <c r="K289">
        <v>10457</v>
      </c>
      <c r="N289" t="s">
        <v>7237</v>
      </c>
      <c r="O289" t="s">
        <v>7508</v>
      </c>
      <c r="P289">
        <v>1</v>
      </c>
      <c r="Q289">
        <v>0</v>
      </c>
      <c r="R289">
        <v>66.72</v>
      </c>
      <c r="U289">
        <v>8100</v>
      </c>
      <c r="W289">
        <v>0.1</v>
      </c>
      <c r="X289" t="s">
        <v>880</v>
      </c>
      <c r="Y289" t="s">
        <v>10865</v>
      </c>
      <c r="AA289" t="s">
        <v>10974</v>
      </c>
      <c r="AB289" t="s">
        <v>597</v>
      </c>
      <c r="AD289" t="s">
        <v>11098</v>
      </c>
      <c r="AF289" t="s">
        <v>11122</v>
      </c>
      <c r="AH289" t="s">
        <v>10974</v>
      </c>
      <c r="AJ289" t="s">
        <v>11141</v>
      </c>
      <c r="AK289" t="s">
        <v>7225</v>
      </c>
      <c r="AM289">
        <v>579.97</v>
      </c>
      <c r="AN289" t="s">
        <v>11151</v>
      </c>
      <c r="AO289" t="s">
        <v>11153</v>
      </c>
      <c r="AQ289" t="s">
        <v>11157</v>
      </c>
      <c r="AS289" t="s">
        <v>11175</v>
      </c>
      <c r="AU289">
        <v>9</v>
      </c>
      <c r="AW289" t="s">
        <v>11189</v>
      </c>
      <c r="AZ289" t="s">
        <v>11221</v>
      </c>
      <c r="BD289" t="s">
        <v>11667</v>
      </c>
      <c r="BG289" t="s">
        <v>14463</v>
      </c>
      <c r="BM289" t="s">
        <v>15650</v>
      </c>
    </row>
    <row r="290" spans="1:65">
      <c r="A290" s="1">
        <f>HYPERLINK("https://lsnyc.legalserver.org/matter/dynamic-profile/view/1882687","18-1882687")</f>
        <v>0</v>
      </c>
      <c r="B290" t="s">
        <v>90</v>
      </c>
      <c r="C290" t="s">
        <v>246</v>
      </c>
      <c r="D290" t="s">
        <v>432</v>
      </c>
      <c r="F290" t="s">
        <v>1177</v>
      </c>
      <c r="G290" t="s">
        <v>3092</v>
      </c>
      <c r="H290" t="s">
        <v>4955</v>
      </c>
      <c r="I290" t="s">
        <v>6407</v>
      </c>
      <c r="J290" t="s">
        <v>7170</v>
      </c>
      <c r="K290">
        <v>10457</v>
      </c>
      <c r="N290" t="s">
        <v>7237</v>
      </c>
      <c r="O290" t="s">
        <v>7510</v>
      </c>
      <c r="P290">
        <v>1</v>
      </c>
      <c r="Q290">
        <v>0</v>
      </c>
      <c r="R290">
        <v>0</v>
      </c>
      <c r="U290">
        <v>0</v>
      </c>
      <c r="W290">
        <v>0</v>
      </c>
      <c r="Y290" t="s">
        <v>10865</v>
      </c>
      <c r="AA290" t="s">
        <v>10974</v>
      </c>
      <c r="AB290" t="s">
        <v>597</v>
      </c>
      <c r="AD290" t="s">
        <v>11101</v>
      </c>
      <c r="AF290" t="s">
        <v>11118</v>
      </c>
      <c r="AH290" t="s">
        <v>10974</v>
      </c>
      <c r="AJ290" t="s">
        <v>11141</v>
      </c>
      <c r="AK290" t="s">
        <v>7225</v>
      </c>
      <c r="AM290">
        <v>1180</v>
      </c>
      <c r="AO290">
        <v>47</v>
      </c>
      <c r="AQ290" t="s">
        <v>11157</v>
      </c>
      <c r="AS290" t="s">
        <v>11174</v>
      </c>
      <c r="AU290">
        <v>15</v>
      </c>
      <c r="AW290" t="s">
        <v>11187</v>
      </c>
      <c r="AZ290" t="s">
        <v>11221</v>
      </c>
      <c r="BE290" t="s">
        <v>11894</v>
      </c>
      <c r="BG290" t="s">
        <v>14461</v>
      </c>
      <c r="BM290" t="s">
        <v>15650</v>
      </c>
    </row>
    <row r="291" spans="1:65">
      <c r="A291" s="1">
        <f>HYPERLINK("https://lsnyc.legalserver.org/matter/dynamic-profile/view/1895986","19-1895986")</f>
        <v>0</v>
      </c>
      <c r="B291" t="s">
        <v>90</v>
      </c>
      <c r="C291" t="s">
        <v>246</v>
      </c>
      <c r="D291" t="s">
        <v>295</v>
      </c>
      <c r="F291" t="s">
        <v>1212</v>
      </c>
      <c r="G291" t="s">
        <v>2308</v>
      </c>
      <c r="H291" t="s">
        <v>4956</v>
      </c>
      <c r="I291" t="s">
        <v>6528</v>
      </c>
      <c r="J291" t="s">
        <v>7170</v>
      </c>
      <c r="K291">
        <v>10458</v>
      </c>
      <c r="N291" t="s">
        <v>7237</v>
      </c>
      <c r="O291" t="s">
        <v>7511</v>
      </c>
      <c r="P291">
        <v>1</v>
      </c>
      <c r="Q291">
        <v>0</v>
      </c>
      <c r="R291">
        <v>148.27</v>
      </c>
      <c r="U291">
        <v>18000</v>
      </c>
      <c r="W291">
        <v>0.4</v>
      </c>
      <c r="X291" t="s">
        <v>544</v>
      </c>
      <c r="Y291" t="s">
        <v>93</v>
      </c>
      <c r="AA291" t="s">
        <v>10974</v>
      </c>
      <c r="AB291" t="s">
        <v>10987</v>
      </c>
      <c r="AD291" t="s">
        <v>11098</v>
      </c>
      <c r="AF291" t="s">
        <v>11122</v>
      </c>
      <c r="AH291" t="s">
        <v>10974</v>
      </c>
      <c r="AJ291" t="s">
        <v>11141</v>
      </c>
      <c r="AK291" t="s">
        <v>7225</v>
      </c>
      <c r="AM291">
        <v>1129.54</v>
      </c>
      <c r="AO291">
        <v>142</v>
      </c>
      <c r="AQ291" t="s">
        <v>11157</v>
      </c>
      <c r="AS291" t="s">
        <v>11173</v>
      </c>
      <c r="AU291">
        <v>4</v>
      </c>
      <c r="AW291" t="s">
        <v>11187</v>
      </c>
      <c r="AZ291" t="s">
        <v>11221</v>
      </c>
      <c r="BB291" t="s">
        <v>11224</v>
      </c>
      <c r="BC291" t="s">
        <v>11255</v>
      </c>
      <c r="BE291" t="s">
        <v>11895</v>
      </c>
      <c r="BG291" t="s">
        <v>14462</v>
      </c>
      <c r="BM291" t="s">
        <v>15650</v>
      </c>
    </row>
    <row r="292" spans="1:65">
      <c r="A292" s="1">
        <f>HYPERLINK("https://lsnyc.legalserver.org/matter/dynamic-profile/view/1882097","18-1882097")</f>
        <v>0</v>
      </c>
      <c r="B292" t="s">
        <v>90</v>
      </c>
      <c r="C292" t="s">
        <v>246</v>
      </c>
      <c r="D292" t="s">
        <v>372</v>
      </c>
      <c r="F292" t="s">
        <v>1303</v>
      </c>
      <c r="G292" t="s">
        <v>3086</v>
      </c>
      <c r="H292" t="s">
        <v>4955</v>
      </c>
      <c r="I292" t="s">
        <v>6524</v>
      </c>
      <c r="J292" t="s">
        <v>7170</v>
      </c>
      <c r="K292">
        <v>10457</v>
      </c>
      <c r="N292" t="s">
        <v>7237</v>
      </c>
      <c r="O292" t="s">
        <v>7503</v>
      </c>
      <c r="P292">
        <v>1</v>
      </c>
      <c r="Q292">
        <v>0</v>
      </c>
      <c r="R292">
        <v>0</v>
      </c>
      <c r="U292">
        <v>0</v>
      </c>
      <c r="W292">
        <v>519.21</v>
      </c>
      <c r="X292" t="s">
        <v>638</v>
      </c>
      <c r="Y292" t="s">
        <v>210</v>
      </c>
      <c r="AA292" t="s">
        <v>10974</v>
      </c>
      <c r="AB292" t="s">
        <v>597</v>
      </c>
      <c r="AD292" t="s">
        <v>11101</v>
      </c>
      <c r="AF292" t="s">
        <v>11118</v>
      </c>
      <c r="AH292" t="s">
        <v>10974</v>
      </c>
      <c r="AJ292" t="s">
        <v>11141</v>
      </c>
      <c r="AK292" t="s">
        <v>7225</v>
      </c>
      <c r="AL292" t="s">
        <v>11150</v>
      </c>
      <c r="AM292">
        <v>0</v>
      </c>
      <c r="AO292">
        <v>47</v>
      </c>
      <c r="AQ292" t="s">
        <v>11157</v>
      </c>
      <c r="AS292" t="s">
        <v>11174</v>
      </c>
      <c r="AT292" t="s">
        <v>11184</v>
      </c>
      <c r="AU292">
        <v>0</v>
      </c>
      <c r="AW292" t="s">
        <v>11187</v>
      </c>
      <c r="AZ292" t="s">
        <v>11221</v>
      </c>
      <c r="BE292" t="s">
        <v>11890</v>
      </c>
      <c r="BG292" t="s">
        <v>14461</v>
      </c>
      <c r="BM292" t="s">
        <v>15650</v>
      </c>
    </row>
    <row r="293" spans="1:65">
      <c r="A293" s="1">
        <f>HYPERLINK("https://lsnyc.legalserver.org/matter/dynamic-profile/view/1896526","19-1896526")</f>
        <v>0</v>
      </c>
      <c r="B293" t="s">
        <v>90</v>
      </c>
      <c r="C293" t="s">
        <v>246</v>
      </c>
      <c r="D293" t="s">
        <v>427</v>
      </c>
      <c r="F293" t="s">
        <v>1309</v>
      </c>
      <c r="G293" t="s">
        <v>1099</v>
      </c>
      <c r="H293" t="s">
        <v>4959</v>
      </c>
      <c r="I293" t="s">
        <v>6413</v>
      </c>
      <c r="J293" t="s">
        <v>7170</v>
      </c>
      <c r="K293">
        <v>10460</v>
      </c>
      <c r="N293" t="s">
        <v>7237</v>
      </c>
      <c r="O293" t="s">
        <v>7512</v>
      </c>
      <c r="P293">
        <v>4</v>
      </c>
      <c r="Q293">
        <v>1</v>
      </c>
      <c r="R293">
        <v>27.47</v>
      </c>
      <c r="U293">
        <v>8288.799999999999</v>
      </c>
      <c r="W293">
        <v>50.8</v>
      </c>
      <c r="X293" t="s">
        <v>426</v>
      </c>
      <c r="Y293" t="s">
        <v>93</v>
      </c>
      <c r="AA293" t="s">
        <v>10974</v>
      </c>
      <c r="AB293" t="s">
        <v>608</v>
      </c>
      <c r="AD293" t="s">
        <v>11082</v>
      </c>
      <c r="AF293" t="s">
        <v>11118</v>
      </c>
      <c r="AH293" t="s">
        <v>10975</v>
      </c>
      <c r="AJ293" t="s">
        <v>11129</v>
      </c>
      <c r="AK293" t="s">
        <v>7225</v>
      </c>
      <c r="AM293">
        <v>1980.45</v>
      </c>
      <c r="AN293" t="s">
        <v>11151</v>
      </c>
      <c r="AO293" t="s">
        <v>11153</v>
      </c>
      <c r="AQ293" t="s">
        <v>11157</v>
      </c>
      <c r="AS293" t="s">
        <v>11180</v>
      </c>
      <c r="AU293">
        <v>2</v>
      </c>
      <c r="AW293" t="s">
        <v>11187</v>
      </c>
      <c r="AY293" t="s">
        <v>11215</v>
      </c>
      <c r="BA293" t="s">
        <v>11223</v>
      </c>
      <c r="BC293" t="s">
        <v>11256</v>
      </c>
      <c r="BE293" t="s">
        <v>11896</v>
      </c>
      <c r="BG293" t="s">
        <v>14465</v>
      </c>
      <c r="BM293" t="s">
        <v>15650</v>
      </c>
    </row>
    <row r="294" spans="1:65">
      <c r="A294" s="1">
        <f>HYPERLINK("https://lsnyc.legalserver.org/matter/dynamic-profile/view/1882654","18-1882654")</f>
        <v>0</v>
      </c>
      <c r="B294" t="s">
        <v>90</v>
      </c>
      <c r="C294" t="s">
        <v>246</v>
      </c>
      <c r="D294" t="s">
        <v>432</v>
      </c>
      <c r="F294" t="s">
        <v>1303</v>
      </c>
      <c r="G294" t="s">
        <v>3086</v>
      </c>
      <c r="H294" t="s">
        <v>4955</v>
      </c>
      <c r="I294" t="s">
        <v>6524</v>
      </c>
      <c r="J294" t="s">
        <v>7170</v>
      </c>
      <c r="K294">
        <v>10457</v>
      </c>
      <c r="N294" t="s">
        <v>7237</v>
      </c>
      <c r="O294" t="s">
        <v>7503</v>
      </c>
      <c r="P294">
        <v>1</v>
      </c>
      <c r="Q294">
        <v>0</v>
      </c>
      <c r="R294">
        <v>0</v>
      </c>
      <c r="U294">
        <v>0</v>
      </c>
      <c r="W294">
        <v>15</v>
      </c>
      <c r="X294" t="s">
        <v>375</v>
      </c>
      <c r="Y294" t="s">
        <v>10865</v>
      </c>
      <c r="AA294" t="s">
        <v>10974</v>
      </c>
      <c r="AB294" t="s">
        <v>597</v>
      </c>
      <c r="AD294" t="s">
        <v>11098</v>
      </c>
      <c r="AF294" t="s">
        <v>11122</v>
      </c>
      <c r="AH294" t="s">
        <v>10974</v>
      </c>
      <c r="AJ294" t="s">
        <v>11129</v>
      </c>
      <c r="AK294" t="s">
        <v>7225</v>
      </c>
      <c r="AM294">
        <v>1089</v>
      </c>
      <c r="AO294">
        <v>47</v>
      </c>
      <c r="AQ294" t="s">
        <v>11157</v>
      </c>
      <c r="AS294" t="s">
        <v>11174</v>
      </c>
      <c r="AU294">
        <v>24</v>
      </c>
      <c r="AW294" t="s">
        <v>11187</v>
      </c>
      <c r="AZ294" t="s">
        <v>11221</v>
      </c>
      <c r="BE294" t="s">
        <v>11890</v>
      </c>
      <c r="BG294" t="s">
        <v>14463</v>
      </c>
      <c r="BM294" t="s">
        <v>15650</v>
      </c>
    </row>
    <row r="295" spans="1:65">
      <c r="A295" s="1">
        <f>HYPERLINK("https://lsnyc.legalserver.org/matter/dynamic-profile/view/1894785","19-1894785")</f>
        <v>0</v>
      </c>
      <c r="B295" t="s">
        <v>90</v>
      </c>
      <c r="C295" t="s">
        <v>246</v>
      </c>
      <c r="D295" t="s">
        <v>435</v>
      </c>
      <c r="F295" t="s">
        <v>1310</v>
      </c>
      <c r="G295" t="s">
        <v>3093</v>
      </c>
      <c r="H295" t="s">
        <v>4956</v>
      </c>
      <c r="I295" t="s">
        <v>6529</v>
      </c>
      <c r="J295" t="s">
        <v>7170</v>
      </c>
      <c r="K295">
        <v>10458</v>
      </c>
      <c r="N295" t="s">
        <v>7237</v>
      </c>
      <c r="O295" t="s">
        <v>7513</v>
      </c>
      <c r="P295">
        <v>1</v>
      </c>
      <c r="Q295">
        <v>2</v>
      </c>
      <c r="R295">
        <v>76.42</v>
      </c>
      <c r="U295">
        <v>16300</v>
      </c>
      <c r="W295">
        <v>6.75</v>
      </c>
      <c r="X295" t="s">
        <v>614</v>
      </c>
      <c r="Y295" t="s">
        <v>90</v>
      </c>
      <c r="AA295" t="s">
        <v>10974</v>
      </c>
      <c r="AB295" t="s">
        <v>10987</v>
      </c>
      <c r="AD295" t="s">
        <v>11098</v>
      </c>
      <c r="AF295" t="s">
        <v>11122</v>
      </c>
      <c r="AH295" t="s">
        <v>10974</v>
      </c>
      <c r="AJ295" t="s">
        <v>11141</v>
      </c>
      <c r="AK295" t="s">
        <v>7225</v>
      </c>
      <c r="AM295">
        <v>1252.6</v>
      </c>
      <c r="AO295">
        <v>129</v>
      </c>
      <c r="AQ295" t="s">
        <v>11157</v>
      </c>
      <c r="AR295" t="s">
        <v>11172</v>
      </c>
      <c r="AU295">
        <v>11</v>
      </c>
      <c r="AW295" t="s">
        <v>11187</v>
      </c>
      <c r="AY295" t="s">
        <v>11213</v>
      </c>
      <c r="BA295" t="s">
        <v>11222</v>
      </c>
      <c r="BE295" t="s">
        <v>11897</v>
      </c>
      <c r="BG295" t="s">
        <v>14462</v>
      </c>
      <c r="BM295" t="s">
        <v>15650</v>
      </c>
    </row>
    <row r="296" spans="1:65">
      <c r="A296" s="1">
        <f>HYPERLINK("https://lsnyc.legalserver.org/matter/dynamic-profile/view/1882688","18-1882688")</f>
        <v>0</v>
      </c>
      <c r="B296" t="s">
        <v>90</v>
      </c>
      <c r="C296" t="s">
        <v>246</v>
      </c>
      <c r="D296" t="s">
        <v>432</v>
      </c>
      <c r="F296" t="s">
        <v>1177</v>
      </c>
      <c r="G296" t="s">
        <v>3092</v>
      </c>
      <c r="H296" t="s">
        <v>4955</v>
      </c>
      <c r="I296" t="s">
        <v>6407</v>
      </c>
      <c r="J296" t="s">
        <v>7170</v>
      </c>
      <c r="K296">
        <v>10457</v>
      </c>
      <c r="N296" t="s">
        <v>7237</v>
      </c>
      <c r="O296" t="s">
        <v>7510</v>
      </c>
      <c r="P296">
        <v>1</v>
      </c>
      <c r="Q296">
        <v>0</v>
      </c>
      <c r="R296">
        <v>0</v>
      </c>
      <c r="U296">
        <v>0</v>
      </c>
      <c r="W296">
        <v>0</v>
      </c>
      <c r="Y296" t="s">
        <v>10865</v>
      </c>
      <c r="AA296" t="s">
        <v>10974</v>
      </c>
      <c r="AB296" t="s">
        <v>597</v>
      </c>
      <c r="AD296" t="s">
        <v>11098</v>
      </c>
      <c r="AF296" t="s">
        <v>11122</v>
      </c>
      <c r="AH296" t="s">
        <v>10974</v>
      </c>
      <c r="AJ296" t="s">
        <v>11141</v>
      </c>
      <c r="AK296" t="s">
        <v>7225</v>
      </c>
      <c r="AM296">
        <v>1180</v>
      </c>
      <c r="AO296">
        <v>47</v>
      </c>
      <c r="AQ296" t="s">
        <v>11157</v>
      </c>
      <c r="AS296" t="s">
        <v>11174</v>
      </c>
      <c r="AU296">
        <v>15</v>
      </c>
      <c r="AW296" t="s">
        <v>11187</v>
      </c>
      <c r="AZ296" t="s">
        <v>11221</v>
      </c>
      <c r="BE296" t="s">
        <v>11894</v>
      </c>
      <c r="BG296" t="s">
        <v>14463</v>
      </c>
      <c r="BM296" t="s">
        <v>15650</v>
      </c>
    </row>
    <row r="297" spans="1:65">
      <c r="A297" s="1">
        <f>HYPERLINK("https://lsnyc.legalserver.org/matter/dynamic-profile/view/1882734","18-1882734")</f>
        <v>0</v>
      </c>
      <c r="B297" t="s">
        <v>90</v>
      </c>
      <c r="C297" t="s">
        <v>246</v>
      </c>
      <c r="D297" t="s">
        <v>432</v>
      </c>
      <c r="F297" t="s">
        <v>1144</v>
      </c>
      <c r="G297" t="s">
        <v>3084</v>
      </c>
      <c r="H297" t="s">
        <v>4955</v>
      </c>
      <c r="I297" t="s">
        <v>6451</v>
      </c>
      <c r="J297" t="s">
        <v>7170</v>
      </c>
      <c r="K297">
        <v>10457</v>
      </c>
      <c r="N297" t="s">
        <v>7237</v>
      </c>
      <c r="O297" t="s">
        <v>7499</v>
      </c>
      <c r="P297">
        <v>1</v>
      </c>
      <c r="Q297">
        <v>0</v>
      </c>
      <c r="R297">
        <v>0</v>
      </c>
      <c r="U297">
        <v>0</v>
      </c>
      <c r="W297">
        <v>0.6</v>
      </c>
      <c r="X297" t="s">
        <v>1032</v>
      </c>
      <c r="Y297" t="s">
        <v>10865</v>
      </c>
      <c r="AA297" t="s">
        <v>10974</v>
      </c>
      <c r="AB297" t="s">
        <v>597</v>
      </c>
      <c r="AD297" t="s">
        <v>11098</v>
      </c>
      <c r="AF297" t="s">
        <v>11122</v>
      </c>
      <c r="AH297" t="s">
        <v>10974</v>
      </c>
      <c r="AJ297" t="s">
        <v>11141</v>
      </c>
      <c r="AK297" t="s">
        <v>7225</v>
      </c>
      <c r="AM297">
        <v>1160</v>
      </c>
      <c r="AO297">
        <v>47</v>
      </c>
      <c r="AQ297" t="s">
        <v>11157</v>
      </c>
      <c r="AS297" t="s">
        <v>11173</v>
      </c>
      <c r="AU297">
        <v>10</v>
      </c>
      <c r="AW297" t="s">
        <v>11189</v>
      </c>
      <c r="AZ297" t="s">
        <v>11221</v>
      </c>
      <c r="BB297" t="s">
        <v>11224</v>
      </c>
      <c r="BC297" t="s">
        <v>11252</v>
      </c>
      <c r="BD297" t="s">
        <v>11667</v>
      </c>
      <c r="BG297" t="s">
        <v>14463</v>
      </c>
      <c r="BM297" t="s">
        <v>15650</v>
      </c>
    </row>
    <row r="298" spans="1:65">
      <c r="A298" s="1">
        <f>HYPERLINK("https://lsnyc.legalserver.org/matter/dynamic-profile/view/1915404","19-1915404")</f>
        <v>0</v>
      </c>
      <c r="B298" t="s">
        <v>90</v>
      </c>
      <c r="C298" t="s">
        <v>246</v>
      </c>
      <c r="D298" t="s">
        <v>436</v>
      </c>
      <c r="F298" t="s">
        <v>1282</v>
      </c>
      <c r="G298" t="s">
        <v>2994</v>
      </c>
      <c r="H298" t="s">
        <v>4960</v>
      </c>
      <c r="I298" t="s">
        <v>6423</v>
      </c>
      <c r="J298" t="s">
        <v>7170</v>
      </c>
      <c r="K298">
        <v>10453</v>
      </c>
      <c r="N298" t="s">
        <v>7237</v>
      </c>
      <c r="O298" t="s">
        <v>7514</v>
      </c>
      <c r="P298">
        <v>2</v>
      </c>
      <c r="Q298">
        <v>0</v>
      </c>
      <c r="R298">
        <v>53.44</v>
      </c>
      <c r="U298">
        <v>9036</v>
      </c>
      <c r="W298">
        <v>0.4</v>
      </c>
      <c r="X298" t="s">
        <v>436</v>
      </c>
      <c r="Y298" t="s">
        <v>93</v>
      </c>
      <c r="AA298" t="s">
        <v>10974</v>
      </c>
      <c r="AD298" t="s">
        <v>11082</v>
      </c>
      <c r="AF298" t="s">
        <v>11118</v>
      </c>
      <c r="AH298" t="s">
        <v>10975</v>
      </c>
      <c r="AJ298" t="s">
        <v>11138</v>
      </c>
      <c r="AK298" t="s">
        <v>7225</v>
      </c>
      <c r="AM298">
        <v>1268</v>
      </c>
      <c r="AO298">
        <v>70</v>
      </c>
      <c r="AQ298" t="s">
        <v>11157</v>
      </c>
      <c r="AS298" t="s">
        <v>11178</v>
      </c>
      <c r="AU298">
        <v>3</v>
      </c>
      <c r="AW298" t="s">
        <v>11187</v>
      </c>
      <c r="AY298" t="s">
        <v>11216</v>
      </c>
      <c r="AZ298" t="s">
        <v>11221</v>
      </c>
      <c r="BC298" t="s">
        <v>11257</v>
      </c>
      <c r="BD298" t="s">
        <v>11667</v>
      </c>
      <c r="BG298" t="s">
        <v>14466</v>
      </c>
      <c r="BM298" t="s">
        <v>15650</v>
      </c>
    </row>
    <row r="299" spans="1:65">
      <c r="A299" s="1">
        <f>HYPERLINK("https://lsnyc.legalserver.org/matter/dynamic-profile/view/1908006","19-1908006")</f>
        <v>0</v>
      </c>
      <c r="B299" t="s">
        <v>90</v>
      </c>
      <c r="C299" t="s">
        <v>246</v>
      </c>
      <c r="D299" t="s">
        <v>437</v>
      </c>
      <c r="F299" t="s">
        <v>1301</v>
      </c>
      <c r="G299" t="s">
        <v>2947</v>
      </c>
      <c r="H299" t="s">
        <v>4955</v>
      </c>
      <c r="I299" t="s">
        <v>6522</v>
      </c>
      <c r="J299" t="s">
        <v>7170</v>
      </c>
      <c r="K299">
        <v>10457</v>
      </c>
      <c r="N299" t="s">
        <v>7237</v>
      </c>
      <c r="O299" t="s">
        <v>7501</v>
      </c>
      <c r="P299">
        <v>1</v>
      </c>
      <c r="Q299">
        <v>0</v>
      </c>
      <c r="R299">
        <v>0</v>
      </c>
      <c r="U299">
        <v>0</v>
      </c>
      <c r="W299">
        <v>0</v>
      </c>
      <c r="Y299" t="s">
        <v>93</v>
      </c>
      <c r="AA299" t="s">
        <v>10974</v>
      </c>
      <c r="AD299" t="s">
        <v>11098</v>
      </c>
      <c r="AF299" t="s">
        <v>11122</v>
      </c>
      <c r="AH299" t="s">
        <v>10974</v>
      </c>
      <c r="AJ299" t="s">
        <v>11141</v>
      </c>
      <c r="AK299" t="s">
        <v>7225</v>
      </c>
      <c r="AM299">
        <v>186</v>
      </c>
      <c r="AO299">
        <v>48</v>
      </c>
      <c r="AQ299" t="s">
        <v>11164</v>
      </c>
      <c r="AS299" t="s">
        <v>11174</v>
      </c>
      <c r="AU299">
        <v>5</v>
      </c>
      <c r="AW299" t="s">
        <v>11189</v>
      </c>
      <c r="AX299" t="s">
        <v>11212</v>
      </c>
      <c r="AZ299" t="s">
        <v>11221</v>
      </c>
      <c r="BE299" t="s">
        <v>11888</v>
      </c>
      <c r="BG299" t="s">
        <v>14461</v>
      </c>
      <c r="BM299" t="s">
        <v>15650</v>
      </c>
    </row>
    <row r="300" spans="1:65">
      <c r="A300" s="1">
        <f>HYPERLINK("https://lsnyc.legalserver.org/matter/dynamic-profile/view/1907945","19-1907945")</f>
        <v>0</v>
      </c>
      <c r="B300" t="s">
        <v>90</v>
      </c>
      <c r="C300" t="s">
        <v>246</v>
      </c>
      <c r="D300" t="s">
        <v>437</v>
      </c>
      <c r="E300" t="s">
        <v>614</v>
      </c>
      <c r="F300" t="s">
        <v>1122</v>
      </c>
      <c r="G300" t="s">
        <v>2877</v>
      </c>
      <c r="H300" t="s">
        <v>4961</v>
      </c>
      <c r="I300" t="s">
        <v>6530</v>
      </c>
      <c r="J300" t="s">
        <v>7170</v>
      </c>
      <c r="K300">
        <v>10458</v>
      </c>
      <c r="L300" t="s">
        <v>7217</v>
      </c>
      <c r="N300" t="s">
        <v>7237</v>
      </c>
      <c r="O300" t="s">
        <v>7515</v>
      </c>
      <c r="P300">
        <v>3</v>
      </c>
      <c r="Q300">
        <v>0</v>
      </c>
      <c r="R300">
        <v>104.19</v>
      </c>
      <c r="U300">
        <v>22224</v>
      </c>
      <c r="W300">
        <v>1</v>
      </c>
      <c r="X300" t="s">
        <v>637</v>
      </c>
      <c r="Y300" t="s">
        <v>93</v>
      </c>
      <c r="AA300" t="s">
        <v>10974</v>
      </c>
      <c r="AD300" t="s">
        <v>11098</v>
      </c>
      <c r="AF300" t="s">
        <v>10384</v>
      </c>
      <c r="AH300" t="s">
        <v>10974</v>
      </c>
      <c r="AJ300" t="s">
        <v>11141</v>
      </c>
      <c r="AK300" t="s">
        <v>7225</v>
      </c>
      <c r="AM300">
        <v>1209.23</v>
      </c>
      <c r="AO300">
        <v>136</v>
      </c>
      <c r="AQ300" t="s">
        <v>11157</v>
      </c>
      <c r="AS300" t="s">
        <v>11175</v>
      </c>
      <c r="AU300">
        <v>16</v>
      </c>
      <c r="AW300" t="s">
        <v>11187</v>
      </c>
      <c r="AX300" t="s">
        <v>11212</v>
      </c>
      <c r="AZ300" t="s">
        <v>11221</v>
      </c>
      <c r="BE300" t="s">
        <v>11898</v>
      </c>
      <c r="BG300" t="s">
        <v>14467</v>
      </c>
      <c r="BM300" t="s">
        <v>15651</v>
      </c>
    </row>
    <row r="301" spans="1:65">
      <c r="A301" s="1">
        <f>HYPERLINK("https://lsnyc.legalserver.org/matter/dynamic-profile/view/1893653","19-1893653")</f>
        <v>0</v>
      </c>
      <c r="B301" t="s">
        <v>90</v>
      </c>
      <c r="C301" t="s">
        <v>246</v>
      </c>
      <c r="D301" t="s">
        <v>296</v>
      </c>
      <c r="E301" t="s">
        <v>539</v>
      </c>
      <c r="F301" t="s">
        <v>1311</v>
      </c>
      <c r="G301" t="s">
        <v>3094</v>
      </c>
      <c r="H301" t="s">
        <v>4962</v>
      </c>
      <c r="I301">
        <v>2</v>
      </c>
      <c r="J301" t="s">
        <v>7170</v>
      </c>
      <c r="K301">
        <v>10453</v>
      </c>
      <c r="L301" t="s">
        <v>7216</v>
      </c>
      <c r="N301" t="s">
        <v>7237</v>
      </c>
      <c r="O301" t="s">
        <v>7516</v>
      </c>
      <c r="P301">
        <v>1</v>
      </c>
      <c r="Q301">
        <v>0</v>
      </c>
      <c r="R301">
        <v>58.49</v>
      </c>
      <c r="U301">
        <v>7306</v>
      </c>
      <c r="W301">
        <v>1.5</v>
      </c>
      <c r="X301" t="s">
        <v>539</v>
      </c>
      <c r="Y301" t="s">
        <v>10890</v>
      </c>
      <c r="Z301" t="s">
        <v>10972</v>
      </c>
      <c r="AA301" t="s">
        <v>10976</v>
      </c>
      <c r="AC301" t="s">
        <v>11081</v>
      </c>
      <c r="AE301" t="s">
        <v>11117</v>
      </c>
      <c r="AG301" t="s">
        <v>11124</v>
      </c>
      <c r="AJ301" t="s">
        <v>11143</v>
      </c>
      <c r="AK301" t="s">
        <v>7225</v>
      </c>
      <c r="AM301">
        <v>1956</v>
      </c>
      <c r="AO301">
        <v>3</v>
      </c>
      <c r="AP301" t="s">
        <v>11155</v>
      </c>
      <c r="AR301" t="s">
        <v>11172</v>
      </c>
      <c r="AU301">
        <v>4</v>
      </c>
      <c r="AW301" t="s">
        <v>11187</v>
      </c>
      <c r="AX301" t="s">
        <v>11212</v>
      </c>
      <c r="AZ301" t="s">
        <v>11221</v>
      </c>
      <c r="BE301" t="s">
        <v>11899</v>
      </c>
      <c r="BF301" t="s">
        <v>14364</v>
      </c>
      <c r="BG301" t="s">
        <v>14468</v>
      </c>
      <c r="BM301" t="s">
        <v>15651</v>
      </c>
    </row>
    <row r="302" spans="1:65">
      <c r="A302" s="1">
        <f>HYPERLINK("https://lsnyc.legalserver.org/matter/dynamic-profile/view/1882709","18-1882709")</f>
        <v>0</v>
      </c>
      <c r="B302" t="s">
        <v>90</v>
      </c>
      <c r="C302" t="s">
        <v>246</v>
      </c>
      <c r="D302" t="s">
        <v>432</v>
      </c>
      <c r="F302" t="s">
        <v>1312</v>
      </c>
      <c r="G302" t="s">
        <v>3095</v>
      </c>
      <c r="H302" t="s">
        <v>4955</v>
      </c>
      <c r="I302" t="s">
        <v>6415</v>
      </c>
      <c r="J302" t="s">
        <v>7170</v>
      </c>
      <c r="K302">
        <v>10457</v>
      </c>
      <c r="N302" t="s">
        <v>7237</v>
      </c>
      <c r="O302" t="s">
        <v>7517</v>
      </c>
      <c r="P302">
        <v>1</v>
      </c>
      <c r="Q302">
        <v>0</v>
      </c>
      <c r="R302">
        <v>94.5</v>
      </c>
      <c r="U302">
        <v>11472</v>
      </c>
      <c r="W302">
        <v>0</v>
      </c>
      <c r="Y302" t="s">
        <v>10865</v>
      </c>
      <c r="AA302" t="s">
        <v>10974</v>
      </c>
      <c r="AB302" t="s">
        <v>597</v>
      </c>
      <c r="AD302" t="s">
        <v>11101</v>
      </c>
      <c r="AF302" t="s">
        <v>11118</v>
      </c>
      <c r="AH302" t="s">
        <v>10974</v>
      </c>
      <c r="AJ302" t="s">
        <v>11141</v>
      </c>
      <c r="AK302" t="s">
        <v>7225</v>
      </c>
      <c r="AM302">
        <v>235.4</v>
      </c>
      <c r="AO302">
        <v>47</v>
      </c>
      <c r="AQ302" t="s">
        <v>11160</v>
      </c>
      <c r="AS302" t="s">
        <v>11173</v>
      </c>
      <c r="AU302">
        <v>49</v>
      </c>
      <c r="AW302" t="s">
        <v>11189</v>
      </c>
      <c r="AZ302" t="s">
        <v>11221</v>
      </c>
      <c r="BE302" t="s">
        <v>11900</v>
      </c>
      <c r="BG302" t="s">
        <v>14461</v>
      </c>
      <c r="BM302" t="s">
        <v>15650</v>
      </c>
    </row>
    <row r="303" spans="1:65">
      <c r="A303" s="1">
        <f>HYPERLINK("https://lsnyc.legalserver.org/matter/dynamic-profile/view/1896099","19-1896099")</f>
        <v>0</v>
      </c>
      <c r="B303" t="s">
        <v>90</v>
      </c>
      <c r="C303" t="s">
        <v>246</v>
      </c>
      <c r="D303" t="s">
        <v>438</v>
      </c>
      <c r="F303" t="s">
        <v>1313</v>
      </c>
      <c r="G303" t="s">
        <v>3091</v>
      </c>
      <c r="H303" t="s">
        <v>4956</v>
      </c>
      <c r="J303" t="s">
        <v>7170</v>
      </c>
      <c r="K303">
        <v>10458</v>
      </c>
      <c r="N303" t="s">
        <v>7237</v>
      </c>
      <c r="O303" t="s">
        <v>7518</v>
      </c>
      <c r="P303">
        <v>1</v>
      </c>
      <c r="Q303">
        <v>1</v>
      </c>
      <c r="R303">
        <v>170.11</v>
      </c>
      <c r="U303">
        <v>28000</v>
      </c>
      <c r="W303">
        <v>0</v>
      </c>
      <c r="Y303" t="s">
        <v>93</v>
      </c>
      <c r="AA303" t="s">
        <v>10974</v>
      </c>
      <c r="AB303" t="s">
        <v>10987</v>
      </c>
      <c r="AD303" t="s">
        <v>11098</v>
      </c>
      <c r="AF303" t="s">
        <v>11122</v>
      </c>
      <c r="AH303" t="s">
        <v>10974</v>
      </c>
      <c r="AJ303" t="s">
        <v>11141</v>
      </c>
      <c r="AK303" t="s">
        <v>7225</v>
      </c>
      <c r="AM303">
        <v>1218</v>
      </c>
      <c r="AO303">
        <v>142</v>
      </c>
      <c r="AQ303" t="s">
        <v>11164</v>
      </c>
      <c r="AS303" t="s">
        <v>11173</v>
      </c>
      <c r="AU303">
        <v>3</v>
      </c>
      <c r="AW303" t="s">
        <v>11189</v>
      </c>
      <c r="AZ303" t="s">
        <v>11221</v>
      </c>
      <c r="BD303" t="s">
        <v>11667</v>
      </c>
      <c r="BG303" t="s">
        <v>14462</v>
      </c>
      <c r="BM303" t="s">
        <v>15650</v>
      </c>
    </row>
    <row r="304" spans="1:65">
      <c r="A304" s="1">
        <f>HYPERLINK("https://lsnyc.legalserver.org/matter/dynamic-profile/view/1882754","18-1882754")</f>
        <v>0</v>
      </c>
      <c r="B304" t="s">
        <v>90</v>
      </c>
      <c r="C304" t="s">
        <v>246</v>
      </c>
      <c r="D304" t="s">
        <v>432</v>
      </c>
      <c r="F304" t="s">
        <v>1157</v>
      </c>
      <c r="G304" t="s">
        <v>3096</v>
      </c>
      <c r="H304" t="s">
        <v>4955</v>
      </c>
      <c r="I304" t="s">
        <v>6449</v>
      </c>
      <c r="J304" t="s">
        <v>7170</v>
      </c>
      <c r="K304">
        <v>10457</v>
      </c>
      <c r="N304" t="s">
        <v>7237</v>
      </c>
      <c r="O304" t="s">
        <v>7519</v>
      </c>
      <c r="P304">
        <v>1</v>
      </c>
      <c r="Q304">
        <v>0</v>
      </c>
      <c r="R304">
        <v>326.19</v>
      </c>
      <c r="U304">
        <v>39600</v>
      </c>
      <c r="W304">
        <v>0.6</v>
      </c>
      <c r="X304" t="s">
        <v>1032</v>
      </c>
      <c r="Y304" t="s">
        <v>10865</v>
      </c>
      <c r="AA304" t="s">
        <v>10974</v>
      </c>
      <c r="AB304" t="s">
        <v>597</v>
      </c>
      <c r="AD304" t="s">
        <v>11098</v>
      </c>
      <c r="AF304" t="s">
        <v>11122</v>
      </c>
      <c r="AH304" t="s">
        <v>10974</v>
      </c>
      <c r="AJ304" t="s">
        <v>11141</v>
      </c>
      <c r="AK304" t="s">
        <v>7225</v>
      </c>
      <c r="AM304">
        <v>997</v>
      </c>
      <c r="AO304">
        <v>47</v>
      </c>
      <c r="AQ304" t="s">
        <v>11164</v>
      </c>
      <c r="AS304" t="s">
        <v>11173</v>
      </c>
      <c r="AU304">
        <v>9</v>
      </c>
      <c r="AW304" t="s">
        <v>11187</v>
      </c>
      <c r="AZ304" t="s">
        <v>11221</v>
      </c>
      <c r="BE304" t="s">
        <v>11901</v>
      </c>
      <c r="BG304" t="s">
        <v>14463</v>
      </c>
      <c r="BM304" t="s">
        <v>15650</v>
      </c>
    </row>
    <row r="305" spans="1:67">
      <c r="A305" s="1">
        <f>HYPERLINK("https://lsnyc.legalserver.org/matter/dynamic-profile/view/1882714","18-1882714")</f>
        <v>0</v>
      </c>
      <c r="B305" t="s">
        <v>90</v>
      </c>
      <c r="C305" t="s">
        <v>246</v>
      </c>
      <c r="D305" t="s">
        <v>432</v>
      </c>
      <c r="F305" t="s">
        <v>1312</v>
      </c>
      <c r="G305" t="s">
        <v>3095</v>
      </c>
      <c r="H305" t="s">
        <v>4955</v>
      </c>
      <c r="I305" t="s">
        <v>6415</v>
      </c>
      <c r="J305" t="s">
        <v>7170</v>
      </c>
      <c r="K305">
        <v>10457</v>
      </c>
      <c r="N305" t="s">
        <v>7237</v>
      </c>
      <c r="O305" t="s">
        <v>7517</v>
      </c>
      <c r="P305">
        <v>1</v>
      </c>
      <c r="Q305">
        <v>0</v>
      </c>
      <c r="R305">
        <v>94.5</v>
      </c>
      <c r="U305">
        <v>11472</v>
      </c>
      <c r="W305">
        <v>1.3</v>
      </c>
      <c r="X305" t="s">
        <v>598</v>
      </c>
      <c r="Y305" t="s">
        <v>10865</v>
      </c>
      <c r="AA305" t="s">
        <v>10974</v>
      </c>
      <c r="AB305" t="s">
        <v>597</v>
      </c>
      <c r="AD305" t="s">
        <v>11098</v>
      </c>
      <c r="AF305" t="s">
        <v>11122</v>
      </c>
      <c r="AH305" t="s">
        <v>10974</v>
      </c>
      <c r="AJ305" t="s">
        <v>11141</v>
      </c>
      <c r="AK305" t="s">
        <v>7225</v>
      </c>
      <c r="AM305">
        <v>235.4</v>
      </c>
      <c r="AO305">
        <v>47</v>
      </c>
      <c r="AQ305" t="s">
        <v>11160</v>
      </c>
      <c r="AS305" t="s">
        <v>11173</v>
      </c>
      <c r="AU305">
        <v>49</v>
      </c>
      <c r="AW305" t="s">
        <v>11189</v>
      </c>
      <c r="AZ305" t="s">
        <v>11221</v>
      </c>
      <c r="BE305" t="s">
        <v>11900</v>
      </c>
      <c r="BG305" t="s">
        <v>14463</v>
      </c>
      <c r="BM305" t="s">
        <v>15650</v>
      </c>
    </row>
    <row r="306" spans="1:67">
      <c r="A306" s="1">
        <f>HYPERLINK("https://lsnyc.legalserver.org/matter/dynamic-profile/view/0796071","16-0796071")</f>
        <v>0</v>
      </c>
      <c r="B306" t="s">
        <v>90</v>
      </c>
      <c r="C306" t="s">
        <v>246</v>
      </c>
      <c r="D306" t="s">
        <v>439</v>
      </c>
      <c r="F306" t="s">
        <v>1314</v>
      </c>
      <c r="G306" t="s">
        <v>3097</v>
      </c>
      <c r="H306" t="s">
        <v>4782</v>
      </c>
      <c r="I306" t="s">
        <v>6422</v>
      </c>
      <c r="J306" t="s">
        <v>7170</v>
      </c>
      <c r="K306">
        <v>10453</v>
      </c>
      <c r="N306" t="s">
        <v>7244</v>
      </c>
      <c r="O306" t="s">
        <v>7520</v>
      </c>
      <c r="P306">
        <v>1</v>
      </c>
      <c r="Q306">
        <v>0</v>
      </c>
      <c r="R306">
        <v>36.7</v>
      </c>
      <c r="U306">
        <v>4320</v>
      </c>
      <c r="W306">
        <v>55.68</v>
      </c>
      <c r="X306" t="s">
        <v>375</v>
      </c>
      <c r="Y306" t="s">
        <v>10887</v>
      </c>
      <c r="AA306" t="s">
        <v>10974</v>
      </c>
      <c r="AB306" t="s">
        <v>10989</v>
      </c>
      <c r="AD306" t="s">
        <v>11106</v>
      </c>
      <c r="AF306" t="s">
        <v>11122</v>
      </c>
      <c r="AH306" t="s">
        <v>10975</v>
      </c>
      <c r="AJ306" t="s">
        <v>11143</v>
      </c>
      <c r="AK306" t="s">
        <v>7225</v>
      </c>
      <c r="AM306">
        <v>991</v>
      </c>
      <c r="AO306">
        <v>40</v>
      </c>
      <c r="AQ306" t="s">
        <v>11157</v>
      </c>
      <c r="AS306" t="s">
        <v>11104</v>
      </c>
      <c r="AU306">
        <v>19</v>
      </c>
      <c r="AW306" t="s">
        <v>11104</v>
      </c>
      <c r="AZ306" t="s">
        <v>11221</v>
      </c>
      <c r="BC306" t="s">
        <v>11258</v>
      </c>
      <c r="BE306" t="s">
        <v>11902</v>
      </c>
      <c r="BF306" t="s">
        <v>14364</v>
      </c>
      <c r="BG306" t="s">
        <v>14469</v>
      </c>
      <c r="BM306" t="s">
        <v>15650</v>
      </c>
    </row>
    <row r="307" spans="1:67">
      <c r="A307" s="1">
        <f>HYPERLINK("https://lsnyc.legalserver.org/matter/dynamic-profile/view/1909393","19-1909393")</f>
        <v>0</v>
      </c>
      <c r="B307" t="s">
        <v>90</v>
      </c>
      <c r="C307" t="s">
        <v>246</v>
      </c>
      <c r="D307" t="s">
        <v>270</v>
      </c>
      <c r="F307" t="s">
        <v>1303</v>
      </c>
      <c r="G307" t="s">
        <v>3086</v>
      </c>
      <c r="H307" t="s">
        <v>4955</v>
      </c>
      <c r="I307" t="s">
        <v>6524</v>
      </c>
      <c r="J307" t="s">
        <v>7170</v>
      </c>
      <c r="K307">
        <v>10457</v>
      </c>
      <c r="N307" t="s">
        <v>7237</v>
      </c>
      <c r="O307" t="s">
        <v>7503</v>
      </c>
      <c r="P307">
        <v>1</v>
      </c>
      <c r="Q307">
        <v>0</v>
      </c>
      <c r="R307">
        <v>73.98</v>
      </c>
      <c r="U307">
        <v>9240</v>
      </c>
      <c r="W307">
        <v>9.199999999999999</v>
      </c>
      <c r="X307" t="s">
        <v>548</v>
      </c>
      <c r="Y307" t="s">
        <v>93</v>
      </c>
      <c r="AA307" t="s">
        <v>10974</v>
      </c>
      <c r="AD307" t="s">
        <v>11098</v>
      </c>
      <c r="AF307" t="s">
        <v>11122</v>
      </c>
      <c r="AH307" t="s">
        <v>10975</v>
      </c>
      <c r="AJ307" t="s">
        <v>11129</v>
      </c>
      <c r="AK307" t="s">
        <v>7225</v>
      </c>
      <c r="AM307">
        <v>816</v>
      </c>
      <c r="AO307">
        <v>47</v>
      </c>
      <c r="AQ307" t="s">
        <v>11157</v>
      </c>
      <c r="AS307" t="s">
        <v>11174</v>
      </c>
      <c r="AU307">
        <v>10</v>
      </c>
      <c r="AW307" t="s">
        <v>11187</v>
      </c>
      <c r="AX307" t="s">
        <v>11212</v>
      </c>
      <c r="AZ307" t="s">
        <v>11221</v>
      </c>
      <c r="BE307" t="s">
        <v>11890</v>
      </c>
      <c r="BG307" t="s">
        <v>14464</v>
      </c>
      <c r="BM307" t="s">
        <v>15650</v>
      </c>
    </row>
    <row r="308" spans="1:67">
      <c r="A308" s="1">
        <f>HYPERLINK("https://lsnyc.legalserver.org/matter/dynamic-profile/view/0828485","17-0828485")</f>
        <v>0</v>
      </c>
      <c r="B308" t="s">
        <v>90</v>
      </c>
      <c r="C308" t="s">
        <v>246</v>
      </c>
      <c r="D308" t="s">
        <v>440</v>
      </c>
      <c r="E308" t="s">
        <v>301</v>
      </c>
      <c r="F308" t="s">
        <v>1294</v>
      </c>
      <c r="G308" t="s">
        <v>2977</v>
      </c>
      <c r="H308" t="s">
        <v>4963</v>
      </c>
      <c r="I308" t="s">
        <v>6419</v>
      </c>
      <c r="J308" t="s">
        <v>7170</v>
      </c>
      <c r="K308">
        <v>10453</v>
      </c>
      <c r="L308" t="s">
        <v>7219</v>
      </c>
      <c r="N308" t="s">
        <v>7237</v>
      </c>
      <c r="O308" t="s">
        <v>7499</v>
      </c>
      <c r="P308">
        <v>4</v>
      </c>
      <c r="Q308">
        <v>0</v>
      </c>
      <c r="R308">
        <v>45.43</v>
      </c>
      <c r="U308">
        <v>11176</v>
      </c>
      <c r="W308">
        <v>138.9</v>
      </c>
      <c r="X308" t="s">
        <v>373</v>
      </c>
      <c r="Y308" t="s">
        <v>10897</v>
      </c>
      <c r="AA308" t="s">
        <v>10974</v>
      </c>
      <c r="AB308" t="s">
        <v>924</v>
      </c>
      <c r="AD308" t="s">
        <v>11083</v>
      </c>
      <c r="AF308" t="s">
        <v>11118</v>
      </c>
      <c r="AH308" t="s">
        <v>10975</v>
      </c>
      <c r="AJ308" t="s">
        <v>11141</v>
      </c>
      <c r="AK308" t="s">
        <v>7225</v>
      </c>
      <c r="AM308">
        <v>851</v>
      </c>
      <c r="AO308">
        <v>16</v>
      </c>
      <c r="AQ308" t="s">
        <v>11157</v>
      </c>
      <c r="AS308" t="s">
        <v>11180</v>
      </c>
      <c r="AU308">
        <v>28</v>
      </c>
      <c r="AW308" t="s">
        <v>11187</v>
      </c>
      <c r="AY308" t="s">
        <v>11213</v>
      </c>
      <c r="AZ308" t="s">
        <v>11221</v>
      </c>
      <c r="BC308" t="s">
        <v>11259</v>
      </c>
      <c r="BE308" t="s">
        <v>11903</v>
      </c>
      <c r="BG308" t="s">
        <v>14470</v>
      </c>
      <c r="BI308" t="s">
        <v>15610</v>
      </c>
      <c r="BK308" t="s">
        <v>15622</v>
      </c>
      <c r="BM308" t="s">
        <v>15651</v>
      </c>
      <c r="BN308" t="s">
        <v>15652</v>
      </c>
      <c r="BO308" t="s">
        <v>15664</v>
      </c>
    </row>
    <row r="309" spans="1:67">
      <c r="A309" s="1">
        <f>HYPERLINK("https://lsnyc.legalserver.org/matter/dynamic-profile/view/1912448","19-1912448")</f>
        <v>0</v>
      </c>
      <c r="B309" t="s">
        <v>90</v>
      </c>
      <c r="C309" t="s">
        <v>246</v>
      </c>
      <c r="D309" t="s">
        <v>441</v>
      </c>
      <c r="E309" t="s">
        <v>497</v>
      </c>
      <c r="F309" t="s">
        <v>1315</v>
      </c>
      <c r="G309" t="s">
        <v>3098</v>
      </c>
      <c r="H309" t="s">
        <v>4955</v>
      </c>
      <c r="I309" t="s">
        <v>6408</v>
      </c>
      <c r="J309" t="s">
        <v>7170</v>
      </c>
      <c r="K309">
        <v>10457</v>
      </c>
      <c r="L309" t="s">
        <v>7217</v>
      </c>
      <c r="N309" t="s">
        <v>7237</v>
      </c>
      <c r="O309" t="s">
        <v>7521</v>
      </c>
      <c r="P309">
        <v>1</v>
      </c>
      <c r="Q309">
        <v>0</v>
      </c>
      <c r="R309">
        <v>176.94</v>
      </c>
      <c r="U309">
        <v>22100</v>
      </c>
      <c r="W309">
        <v>1.4</v>
      </c>
      <c r="X309" t="s">
        <v>266</v>
      </c>
      <c r="Y309" t="s">
        <v>93</v>
      </c>
      <c r="AA309" t="s">
        <v>10974</v>
      </c>
      <c r="AD309" t="s">
        <v>11100</v>
      </c>
      <c r="AF309" t="s">
        <v>10384</v>
      </c>
      <c r="AH309" t="s">
        <v>10974</v>
      </c>
      <c r="AJ309" t="s">
        <v>11141</v>
      </c>
      <c r="AK309" t="s">
        <v>7225</v>
      </c>
      <c r="AM309">
        <v>1022.34</v>
      </c>
      <c r="AO309">
        <v>48</v>
      </c>
      <c r="AQ309" t="s">
        <v>11157</v>
      </c>
      <c r="AS309" t="s">
        <v>11174</v>
      </c>
      <c r="AU309">
        <v>15</v>
      </c>
      <c r="AW309" t="s">
        <v>11189</v>
      </c>
      <c r="AX309" t="s">
        <v>11212</v>
      </c>
      <c r="BA309" t="s">
        <v>11222</v>
      </c>
      <c r="BE309" t="s">
        <v>11904</v>
      </c>
      <c r="BF309" t="s">
        <v>14364</v>
      </c>
      <c r="BM309" t="s">
        <v>15651</v>
      </c>
    </row>
    <row r="310" spans="1:67">
      <c r="A310" s="1">
        <f>HYPERLINK("https://lsnyc.legalserver.org/matter/dynamic-profile/view/1895983","19-1895983")</f>
        <v>0</v>
      </c>
      <c r="B310" t="s">
        <v>90</v>
      </c>
      <c r="C310" t="s">
        <v>246</v>
      </c>
      <c r="D310" t="s">
        <v>295</v>
      </c>
      <c r="F310" t="s">
        <v>1168</v>
      </c>
      <c r="G310" t="s">
        <v>2911</v>
      </c>
      <c r="H310" t="s">
        <v>4956</v>
      </c>
      <c r="I310" t="s">
        <v>6531</v>
      </c>
      <c r="J310" t="s">
        <v>7170</v>
      </c>
      <c r="K310">
        <v>10458</v>
      </c>
      <c r="N310" t="s">
        <v>7237</v>
      </c>
      <c r="O310" t="s">
        <v>7522</v>
      </c>
      <c r="P310">
        <v>3</v>
      </c>
      <c r="Q310">
        <v>2</v>
      </c>
      <c r="R310">
        <v>109.06</v>
      </c>
      <c r="U310">
        <v>32084</v>
      </c>
      <c r="W310">
        <v>0</v>
      </c>
      <c r="Y310" t="s">
        <v>93</v>
      </c>
      <c r="AA310" t="s">
        <v>10974</v>
      </c>
      <c r="AB310" t="s">
        <v>10987</v>
      </c>
      <c r="AD310" t="s">
        <v>11098</v>
      </c>
      <c r="AF310" t="s">
        <v>11122</v>
      </c>
      <c r="AH310" t="s">
        <v>10974</v>
      </c>
      <c r="AJ310" t="s">
        <v>11141</v>
      </c>
      <c r="AK310" t="s">
        <v>7225</v>
      </c>
      <c r="AM310">
        <v>1248.14</v>
      </c>
      <c r="AO310">
        <v>142</v>
      </c>
      <c r="AQ310" t="s">
        <v>11156</v>
      </c>
      <c r="AS310" t="s">
        <v>11173</v>
      </c>
      <c r="AU310">
        <v>6</v>
      </c>
      <c r="AW310" t="s">
        <v>11189</v>
      </c>
      <c r="AZ310" t="s">
        <v>11221</v>
      </c>
      <c r="BD310" t="s">
        <v>11667</v>
      </c>
      <c r="BG310" t="s">
        <v>14462</v>
      </c>
      <c r="BM310" t="s">
        <v>15650</v>
      </c>
    </row>
    <row r="311" spans="1:67">
      <c r="A311" s="1">
        <f>HYPERLINK("https://lsnyc.legalserver.org/matter/dynamic-profile/view/1882659","18-1882659")</f>
        <v>0</v>
      </c>
      <c r="B311" t="s">
        <v>90</v>
      </c>
      <c r="C311" t="s">
        <v>246</v>
      </c>
      <c r="D311" t="s">
        <v>432</v>
      </c>
      <c r="F311" t="s">
        <v>1316</v>
      </c>
      <c r="G311" t="s">
        <v>3099</v>
      </c>
      <c r="H311" t="s">
        <v>4955</v>
      </c>
      <c r="I311" t="s">
        <v>6437</v>
      </c>
      <c r="J311" t="s">
        <v>7170</v>
      </c>
      <c r="K311">
        <v>10457</v>
      </c>
      <c r="N311" t="s">
        <v>7237</v>
      </c>
      <c r="O311" t="s">
        <v>7523</v>
      </c>
      <c r="P311">
        <v>2</v>
      </c>
      <c r="Q311">
        <v>0</v>
      </c>
      <c r="R311">
        <v>157.96</v>
      </c>
      <c r="U311">
        <v>26000</v>
      </c>
      <c r="W311">
        <v>0.6</v>
      </c>
      <c r="X311" t="s">
        <v>347</v>
      </c>
      <c r="Y311" t="s">
        <v>10865</v>
      </c>
      <c r="AA311" t="s">
        <v>10974</v>
      </c>
      <c r="AB311" t="s">
        <v>597</v>
      </c>
      <c r="AD311" t="s">
        <v>11101</v>
      </c>
      <c r="AF311" t="s">
        <v>11118</v>
      </c>
      <c r="AH311" t="s">
        <v>10974</v>
      </c>
      <c r="AJ311" t="s">
        <v>11129</v>
      </c>
      <c r="AK311" t="s">
        <v>7225</v>
      </c>
      <c r="AM311">
        <v>900</v>
      </c>
      <c r="AO311">
        <v>47</v>
      </c>
      <c r="AQ311" t="s">
        <v>11160</v>
      </c>
      <c r="AS311" t="s">
        <v>11173</v>
      </c>
      <c r="AU311">
        <v>40</v>
      </c>
      <c r="AW311" t="s">
        <v>11187</v>
      </c>
      <c r="AZ311" t="s">
        <v>11221</v>
      </c>
      <c r="BE311" t="s">
        <v>11905</v>
      </c>
      <c r="BG311" t="s">
        <v>14461</v>
      </c>
      <c r="BM311" t="s">
        <v>15650</v>
      </c>
    </row>
    <row r="312" spans="1:67">
      <c r="A312" s="1">
        <f>HYPERLINK("https://lsnyc.legalserver.org/matter/dynamic-profile/view/1912468","19-1912468")</f>
        <v>0</v>
      </c>
      <c r="B312" t="s">
        <v>90</v>
      </c>
      <c r="C312" t="s">
        <v>246</v>
      </c>
      <c r="D312" t="s">
        <v>441</v>
      </c>
      <c r="F312" t="s">
        <v>1315</v>
      </c>
      <c r="G312" t="s">
        <v>3098</v>
      </c>
      <c r="H312" t="s">
        <v>4955</v>
      </c>
      <c r="I312" t="s">
        <v>6408</v>
      </c>
      <c r="J312" t="s">
        <v>7170</v>
      </c>
      <c r="K312">
        <v>10457</v>
      </c>
      <c r="N312" t="s">
        <v>7237</v>
      </c>
      <c r="O312" t="s">
        <v>7521</v>
      </c>
      <c r="P312">
        <v>1</v>
      </c>
      <c r="Q312">
        <v>0</v>
      </c>
      <c r="R312">
        <v>176.94</v>
      </c>
      <c r="U312">
        <v>22100</v>
      </c>
      <c r="W312">
        <v>6</v>
      </c>
      <c r="X312" t="s">
        <v>312</v>
      </c>
      <c r="Y312" t="s">
        <v>93</v>
      </c>
      <c r="AA312" t="s">
        <v>10974</v>
      </c>
      <c r="AD312" t="s">
        <v>11093</v>
      </c>
      <c r="AF312" t="s">
        <v>11119</v>
      </c>
      <c r="AH312" t="s">
        <v>10974</v>
      </c>
      <c r="AJ312" t="s">
        <v>11141</v>
      </c>
      <c r="AK312" t="s">
        <v>7225</v>
      </c>
      <c r="AM312">
        <v>1022.34</v>
      </c>
      <c r="AO312">
        <v>48</v>
      </c>
      <c r="AQ312" t="s">
        <v>11157</v>
      </c>
      <c r="AS312" t="s">
        <v>11174</v>
      </c>
      <c r="AU312">
        <v>1</v>
      </c>
      <c r="AW312" t="s">
        <v>11189</v>
      </c>
      <c r="AX312" t="s">
        <v>11212</v>
      </c>
      <c r="AZ312" t="s">
        <v>11221</v>
      </c>
      <c r="BE312" t="s">
        <v>11904</v>
      </c>
      <c r="BF312" t="s">
        <v>14364</v>
      </c>
      <c r="BM312" t="s">
        <v>15650</v>
      </c>
    </row>
    <row r="313" spans="1:67">
      <c r="A313" s="1">
        <f>HYPERLINK("https://lsnyc.legalserver.org/matter/dynamic-profile/view/1886128","18-1886128")</f>
        <v>0</v>
      </c>
      <c r="B313" t="s">
        <v>90</v>
      </c>
      <c r="C313" t="s">
        <v>246</v>
      </c>
      <c r="D313" t="s">
        <v>405</v>
      </c>
      <c r="F313" t="s">
        <v>1315</v>
      </c>
      <c r="G313" t="s">
        <v>3098</v>
      </c>
      <c r="H313" t="s">
        <v>4955</v>
      </c>
      <c r="I313" t="s">
        <v>6408</v>
      </c>
      <c r="J313" t="s">
        <v>7170</v>
      </c>
      <c r="K313">
        <v>10457</v>
      </c>
      <c r="N313" t="s">
        <v>7237</v>
      </c>
      <c r="O313" t="s">
        <v>7521</v>
      </c>
      <c r="P313">
        <v>1</v>
      </c>
      <c r="Q313">
        <v>0</v>
      </c>
      <c r="R313">
        <v>182.04</v>
      </c>
      <c r="U313">
        <v>22100</v>
      </c>
      <c r="W313">
        <v>3.6</v>
      </c>
      <c r="X313" t="s">
        <v>384</v>
      </c>
      <c r="Y313" t="s">
        <v>210</v>
      </c>
      <c r="AA313" t="s">
        <v>10974</v>
      </c>
      <c r="AB313" t="s">
        <v>597</v>
      </c>
      <c r="AD313" t="s">
        <v>11101</v>
      </c>
      <c r="AF313" t="s">
        <v>11118</v>
      </c>
      <c r="AH313" t="s">
        <v>10974</v>
      </c>
      <c r="AJ313" t="s">
        <v>11141</v>
      </c>
      <c r="AK313" t="s">
        <v>7225</v>
      </c>
      <c r="AM313">
        <v>1022.34</v>
      </c>
      <c r="AO313">
        <v>48</v>
      </c>
      <c r="AQ313" t="s">
        <v>11157</v>
      </c>
      <c r="AS313" t="s">
        <v>11174</v>
      </c>
      <c r="AU313">
        <v>15</v>
      </c>
      <c r="AW313" t="s">
        <v>11189</v>
      </c>
      <c r="AZ313" t="s">
        <v>11221</v>
      </c>
      <c r="BE313" t="s">
        <v>11904</v>
      </c>
      <c r="BG313" t="s">
        <v>14461</v>
      </c>
      <c r="BM313" t="s">
        <v>15650</v>
      </c>
    </row>
    <row r="314" spans="1:67">
      <c r="A314" s="1">
        <f>HYPERLINK("https://lsnyc.legalserver.org/matter/dynamic-profile/view/1882953","18-1882953")</f>
        <v>0</v>
      </c>
      <c r="B314" t="s">
        <v>90</v>
      </c>
      <c r="C314" t="s">
        <v>246</v>
      </c>
      <c r="D314" t="s">
        <v>400</v>
      </c>
      <c r="F314" t="s">
        <v>1317</v>
      </c>
      <c r="G314" t="s">
        <v>3100</v>
      </c>
      <c r="H314" t="s">
        <v>4955</v>
      </c>
      <c r="I314" t="s">
        <v>6532</v>
      </c>
      <c r="J314" t="s">
        <v>7170</v>
      </c>
      <c r="K314">
        <v>10457</v>
      </c>
      <c r="N314" t="s">
        <v>7237</v>
      </c>
      <c r="O314" t="s">
        <v>7524</v>
      </c>
      <c r="P314">
        <v>4</v>
      </c>
      <c r="Q314">
        <v>1</v>
      </c>
      <c r="R314">
        <v>132.56</v>
      </c>
      <c r="U314">
        <v>39000</v>
      </c>
      <c r="W314">
        <v>1.2</v>
      </c>
      <c r="X314" t="s">
        <v>578</v>
      </c>
      <c r="Y314" t="s">
        <v>10865</v>
      </c>
      <c r="AA314" t="s">
        <v>10974</v>
      </c>
      <c r="AB314" t="s">
        <v>597</v>
      </c>
      <c r="AD314" t="s">
        <v>11098</v>
      </c>
      <c r="AF314" t="s">
        <v>11122</v>
      </c>
      <c r="AH314" t="s">
        <v>10974</v>
      </c>
      <c r="AJ314" t="s">
        <v>11141</v>
      </c>
      <c r="AK314" t="s">
        <v>7225</v>
      </c>
      <c r="AM314">
        <v>902</v>
      </c>
      <c r="AO314">
        <v>47</v>
      </c>
      <c r="AQ314" t="s">
        <v>11164</v>
      </c>
      <c r="AS314" t="s">
        <v>11173</v>
      </c>
      <c r="AU314">
        <v>31</v>
      </c>
      <c r="AW314" t="s">
        <v>11189</v>
      </c>
      <c r="AZ314" t="s">
        <v>11221</v>
      </c>
      <c r="BE314" t="s">
        <v>11906</v>
      </c>
      <c r="BG314" t="s">
        <v>14463</v>
      </c>
      <c r="BM314" t="s">
        <v>15650</v>
      </c>
    </row>
    <row r="315" spans="1:67">
      <c r="A315" s="1">
        <f>HYPERLINK("https://lsnyc.legalserver.org/matter/dynamic-profile/view/1882738","18-1882738")</f>
        <v>0</v>
      </c>
      <c r="B315" t="s">
        <v>90</v>
      </c>
      <c r="C315" t="s">
        <v>246</v>
      </c>
      <c r="D315" t="s">
        <v>432</v>
      </c>
      <c r="F315" t="s">
        <v>1157</v>
      </c>
      <c r="G315" t="s">
        <v>3096</v>
      </c>
      <c r="H315" t="s">
        <v>4955</v>
      </c>
      <c r="I315" t="s">
        <v>6449</v>
      </c>
      <c r="J315" t="s">
        <v>7170</v>
      </c>
      <c r="K315">
        <v>10457</v>
      </c>
      <c r="N315" t="s">
        <v>7237</v>
      </c>
      <c r="O315" t="s">
        <v>7519</v>
      </c>
      <c r="P315">
        <v>1</v>
      </c>
      <c r="Q315">
        <v>0</v>
      </c>
      <c r="R315">
        <v>326.19</v>
      </c>
      <c r="U315">
        <v>39600</v>
      </c>
      <c r="W315">
        <v>0.5</v>
      </c>
      <c r="X315" t="s">
        <v>389</v>
      </c>
      <c r="Y315" t="s">
        <v>10865</v>
      </c>
      <c r="AA315" t="s">
        <v>10974</v>
      </c>
      <c r="AB315" t="s">
        <v>597</v>
      </c>
      <c r="AD315" t="s">
        <v>11101</v>
      </c>
      <c r="AF315" t="s">
        <v>11118</v>
      </c>
      <c r="AH315" t="s">
        <v>10974</v>
      </c>
      <c r="AJ315" t="s">
        <v>11141</v>
      </c>
      <c r="AK315" t="s">
        <v>7225</v>
      </c>
      <c r="AM315">
        <v>997</v>
      </c>
      <c r="AO315">
        <v>47</v>
      </c>
      <c r="AQ315" t="s">
        <v>11164</v>
      </c>
      <c r="AS315" t="s">
        <v>11173</v>
      </c>
      <c r="AU315">
        <v>9</v>
      </c>
      <c r="AW315" t="s">
        <v>11187</v>
      </c>
      <c r="AZ315" t="s">
        <v>11221</v>
      </c>
      <c r="BE315" t="s">
        <v>11901</v>
      </c>
      <c r="BG315" t="s">
        <v>14461</v>
      </c>
      <c r="BM315" t="s">
        <v>15650</v>
      </c>
    </row>
    <row r="316" spans="1:67">
      <c r="A316" s="1">
        <f>HYPERLINK("https://lsnyc.legalserver.org/matter/dynamic-profile/view/1882756","18-1882756")</f>
        <v>0</v>
      </c>
      <c r="B316" t="s">
        <v>90</v>
      </c>
      <c r="C316" t="s">
        <v>246</v>
      </c>
      <c r="D316" t="s">
        <v>432</v>
      </c>
      <c r="F316" t="s">
        <v>1318</v>
      </c>
      <c r="G316" t="s">
        <v>3101</v>
      </c>
      <c r="H316" t="s">
        <v>4955</v>
      </c>
      <c r="I316" t="s">
        <v>6502</v>
      </c>
      <c r="J316" t="s">
        <v>7170</v>
      </c>
      <c r="K316">
        <v>10457</v>
      </c>
      <c r="N316" t="s">
        <v>7237</v>
      </c>
      <c r="O316" t="s">
        <v>7525</v>
      </c>
      <c r="P316">
        <v>1</v>
      </c>
      <c r="Q316">
        <v>0</v>
      </c>
      <c r="R316">
        <v>22.92</v>
      </c>
      <c r="U316">
        <v>2782</v>
      </c>
      <c r="W316">
        <v>0.5</v>
      </c>
      <c r="X316" t="s">
        <v>320</v>
      </c>
      <c r="Y316" t="s">
        <v>10865</v>
      </c>
      <c r="AA316" t="s">
        <v>10974</v>
      </c>
      <c r="AB316" t="s">
        <v>597</v>
      </c>
      <c r="AD316" t="s">
        <v>11098</v>
      </c>
      <c r="AF316" t="s">
        <v>11122</v>
      </c>
      <c r="AH316" t="s">
        <v>10974</v>
      </c>
      <c r="AJ316" t="s">
        <v>11141</v>
      </c>
      <c r="AK316" t="s">
        <v>7225</v>
      </c>
      <c r="AM316">
        <v>1158</v>
      </c>
      <c r="AO316">
        <v>47</v>
      </c>
      <c r="AQ316" t="s">
        <v>11157</v>
      </c>
      <c r="AS316" t="s">
        <v>11173</v>
      </c>
      <c r="AU316">
        <v>9</v>
      </c>
      <c r="AW316" t="s">
        <v>11187</v>
      </c>
      <c r="AZ316" t="s">
        <v>11221</v>
      </c>
      <c r="BE316" t="s">
        <v>11907</v>
      </c>
      <c r="BG316" t="s">
        <v>14463</v>
      </c>
      <c r="BM316" t="s">
        <v>15650</v>
      </c>
    </row>
    <row r="317" spans="1:67">
      <c r="A317" s="1">
        <f>HYPERLINK("https://lsnyc.legalserver.org/matter/dynamic-profile/view/1882685","18-1882685")</f>
        <v>0</v>
      </c>
      <c r="B317" t="s">
        <v>90</v>
      </c>
      <c r="C317" t="s">
        <v>246</v>
      </c>
      <c r="D317" t="s">
        <v>432</v>
      </c>
      <c r="F317" t="s">
        <v>1304</v>
      </c>
      <c r="G317" t="s">
        <v>3088</v>
      </c>
      <c r="H317" t="s">
        <v>4955</v>
      </c>
      <c r="I317" t="s">
        <v>6525</v>
      </c>
      <c r="J317" t="s">
        <v>7170</v>
      </c>
      <c r="K317">
        <v>10457</v>
      </c>
      <c r="N317" t="s">
        <v>7237</v>
      </c>
      <c r="O317" t="s">
        <v>7505</v>
      </c>
      <c r="P317">
        <v>1</v>
      </c>
      <c r="Q317">
        <v>0</v>
      </c>
      <c r="R317">
        <v>148.27</v>
      </c>
      <c r="U317">
        <v>18000</v>
      </c>
      <c r="W317">
        <v>1</v>
      </c>
      <c r="X317" t="s">
        <v>354</v>
      </c>
      <c r="Y317" t="s">
        <v>10865</v>
      </c>
      <c r="AA317" t="s">
        <v>10974</v>
      </c>
      <c r="AB317" t="s">
        <v>597</v>
      </c>
      <c r="AD317" t="s">
        <v>11101</v>
      </c>
      <c r="AF317" t="s">
        <v>11118</v>
      </c>
      <c r="AH317" t="s">
        <v>10974</v>
      </c>
      <c r="AJ317" t="s">
        <v>11141</v>
      </c>
      <c r="AK317" t="s">
        <v>7225</v>
      </c>
      <c r="AM317">
        <v>847</v>
      </c>
      <c r="AO317">
        <v>47</v>
      </c>
      <c r="AQ317" t="s">
        <v>11157</v>
      </c>
      <c r="AS317" t="s">
        <v>11173</v>
      </c>
      <c r="AU317">
        <v>30</v>
      </c>
      <c r="AW317" t="s">
        <v>11187</v>
      </c>
      <c r="AZ317" t="s">
        <v>11221</v>
      </c>
      <c r="BE317" t="s">
        <v>11892</v>
      </c>
      <c r="BG317" t="s">
        <v>14461</v>
      </c>
      <c r="BM317" t="s">
        <v>15650</v>
      </c>
    </row>
    <row r="318" spans="1:67">
      <c r="A318" s="1">
        <f>HYPERLINK("https://lsnyc.legalserver.org/matter/dynamic-profile/view/1882693","18-1882693")</f>
        <v>0</v>
      </c>
      <c r="B318" t="s">
        <v>90</v>
      </c>
      <c r="C318" t="s">
        <v>246</v>
      </c>
      <c r="D318" t="s">
        <v>432</v>
      </c>
      <c r="F318" t="s">
        <v>1319</v>
      </c>
      <c r="G318" t="s">
        <v>3017</v>
      </c>
      <c r="H318" t="s">
        <v>4955</v>
      </c>
      <c r="I318" t="s">
        <v>6533</v>
      </c>
      <c r="J318" t="s">
        <v>7170</v>
      </c>
      <c r="K318">
        <v>10457</v>
      </c>
      <c r="N318" t="s">
        <v>7237</v>
      </c>
      <c r="O318" t="s">
        <v>7526</v>
      </c>
      <c r="P318">
        <v>2</v>
      </c>
      <c r="Q318">
        <v>0</v>
      </c>
      <c r="R318">
        <v>382.75</v>
      </c>
      <c r="U318">
        <v>63000</v>
      </c>
      <c r="W318">
        <v>0.1</v>
      </c>
      <c r="X318" t="s">
        <v>1032</v>
      </c>
      <c r="Y318" t="s">
        <v>10865</v>
      </c>
      <c r="AA318" t="s">
        <v>10974</v>
      </c>
      <c r="AB318" t="s">
        <v>597</v>
      </c>
      <c r="AD318" t="s">
        <v>11101</v>
      </c>
      <c r="AF318" t="s">
        <v>11118</v>
      </c>
      <c r="AH318" t="s">
        <v>10974</v>
      </c>
      <c r="AJ318" t="s">
        <v>11141</v>
      </c>
      <c r="AK318" t="s">
        <v>7225</v>
      </c>
      <c r="AM318">
        <v>810</v>
      </c>
      <c r="AO318">
        <v>47</v>
      </c>
      <c r="AQ318" t="s">
        <v>11157</v>
      </c>
      <c r="AS318" t="s">
        <v>11173</v>
      </c>
      <c r="AU318">
        <v>39</v>
      </c>
      <c r="AW318" t="s">
        <v>11187</v>
      </c>
      <c r="AZ318" t="s">
        <v>11221</v>
      </c>
      <c r="BE318" t="s">
        <v>11908</v>
      </c>
      <c r="BG318" t="s">
        <v>14461</v>
      </c>
      <c r="BM318" t="s">
        <v>15650</v>
      </c>
    </row>
    <row r="319" spans="1:67">
      <c r="A319" s="1">
        <f>HYPERLINK("https://lsnyc.legalserver.org/matter/dynamic-profile/view/1890545","19-1890545")</f>
        <v>0</v>
      </c>
      <c r="B319" t="s">
        <v>90</v>
      </c>
      <c r="C319" t="s">
        <v>246</v>
      </c>
      <c r="D319" t="s">
        <v>442</v>
      </c>
      <c r="E319" t="s">
        <v>539</v>
      </c>
      <c r="F319" t="s">
        <v>1320</v>
      </c>
      <c r="G319" t="s">
        <v>3102</v>
      </c>
      <c r="H319" t="s">
        <v>4964</v>
      </c>
      <c r="I319" t="s">
        <v>6417</v>
      </c>
      <c r="J319" t="s">
        <v>7170</v>
      </c>
      <c r="K319">
        <v>10457</v>
      </c>
      <c r="L319" t="s">
        <v>7216</v>
      </c>
      <c r="N319" t="s">
        <v>7237</v>
      </c>
      <c r="O319" t="s">
        <v>7527</v>
      </c>
      <c r="P319">
        <v>1</v>
      </c>
      <c r="Q319">
        <v>0</v>
      </c>
      <c r="R319">
        <v>176.59</v>
      </c>
      <c r="U319">
        <v>22056</v>
      </c>
      <c r="W319">
        <v>1.5</v>
      </c>
      <c r="X319" t="s">
        <v>539</v>
      </c>
      <c r="Y319" t="s">
        <v>10872</v>
      </c>
      <c r="Z319" t="s">
        <v>10972</v>
      </c>
      <c r="AA319" t="s">
        <v>10976</v>
      </c>
      <c r="AC319" t="s">
        <v>11081</v>
      </c>
      <c r="AE319" t="s">
        <v>11117</v>
      </c>
      <c r="AG319" t="s">
        <v>11124</v>
      </c>
      <c r="AJ319" t="s">
        <v>11130</v>
      </c>
      <c r="AK319" t="s">
        <v>7225</v>
      </c>
      <c r="AM319">
        <v>1431</v>
      </c>
      <c r="AN319" t="s">
        <v>11151</v>
      </c>
      <c r="AO319" t="s">
        <v>11153</v>
      </c>
      <c r="AP319" t="s">
        <v>11155</v>
      </c>
      <c r="AR319" t="s">
        <v>11172</v>
      </c>
      <c r="AU319">
        <v>5</v>
      </c>
      <c r="AW319" t="s">
        <v>11187</v>
      </c>
      <c r="AX319" t="s">
        <v>11212</v>
      </c>
      <c r="AZ319" t="s">
        <v>11221</v>
      </c>
      <c r="BE319" t="s">
        <v>11909</v>
      </c>
      <c r="BF319" t="s">
        <v>14364</v>
      </c>
      <c r="BM319" t="s">
        <v>15651</v>
      </c>
    </row>
    <row r="320" spans="1:67">
      <c r="A320" s="1">
        <f>HYPERLINK("https://lsnyc.legalserver.org/matter/dynamic-profile/view/1910321","19-1910321")</f>
        <v>0</v>
      </c>
      <c r="B320" t="s">
        <v>90</v>
      </c>
      <c r="C320" t="s">
        <v>246</v>
      </c>
      <c r="D320" t="s">
        <v>443</v>
      </c>
      <c r="F320" t="s">
        <v>1321</v>
      </c>
      <c r="G320" t="s">
        <v>3103</v>
      </c>
      <c r="H320" t="s">
        <v>4965</v>
      </c>
      <c r="I320">
        <v>23</v>
      </c>
      <c r="J320" t="s">
        <v>7170</v>
      </c>
      <c r="K320">
        <v>10455</v>
      </c>
      <c r="N320" t="s">
        <v>7237</v>
      </c>
      <c r="O320" t="s">
        <v>7528</v>
      </c>
      <c r="P320">
        <v>2</v>
      </c>
      <c r="Q320">
        <v>1</v>
      </c>
      <c r="R320">
        <v>0</v>
      </c>
      <c r="S320" t="s">
        <v>10254</v>
      </c>
      <c r="T320" t="s">
        <v>10275</v>
      </c>
      <c r="U320">
        <v>0</v>
      </c>
      <c r="W320">
        <v>20.8</v>
      </c>
      <c r="X320" t="s">
        <v>528</v>
      </c>
      <c r="Y320" t="s">
        <v>93</v>
      </c>
      <c r="AA320" t="s">
        <v>10974</v>
      </c>
      <c r="AB320" t="s">
        <v>336</v>
      </c>
      <c r="AD320" t="s">
        <v>11082</v>
      </c>
      <c r="AF320" t="s">
        <v>11118</v>
      </c>
      <c r="AH320" t="s">
        <v>10975</v>
      </c>
      <c r="AJ320" t="s">
        <v>11133</v>
      </c>
      <c r="AK320" t="s">
        <v>11149</v>
      </c>
      <c r="AM320">
        <v>1272</v>
      </c>
      <c r="AO320">
        <v>41</v>
      </c>
      <c r="AQ320" t="s">
        <v>11157</v>
      </c>
      <c r="AR320" t="s">
        <v>11172</v>
      </c>
      <c r="AU320">
        <v>13</v>
      </c>
      <c r="AW320" t="s">
        <v>11189</v>
      </c>
      <c r="AY320" t="s">
        <v>11213</v>
      </c>
      <c r="BA320" t="s">
        <v>11222</v>
      </c>
      <c r="BE320" t="s">
        <v>11910</v>
      </c>
      <c r="BG320" t="s">
        <v>14471</v>
      </c>
      <c r="BM320" t="s">
        <v>15650</v>
      </c>
    </row>
    <row r="321" spans="1:65">
      <c r="A321" s="1">
        <f>HYPERLINK("https://lsnyc.legalserver.org/matter/dynamic-profile/view/1882682","18-1882682")</f>
        <v>0</v>
      </c>
      <c r="B321" t="s">
        <v>90</v>
      </c>
      <c r="C321" t="s">
        <v>246</v>
      </c>
      <c r="D321" t="s">
        <v>432</v>
      </c>
      <c r="F321" t="s">
        <v>1316</v>
      </c>
      <c r="G321" t="s">
        <v>3099</v>
      </c>
      <c r="H321" t="s">
        <v>4955</v>
      </c>
      <c r="I321" t="s">
        <v>6437</v>
      </c>
      <c r="J321" t="s">
        <v>7170</v>
      </c>
      <c r="K321">
        <v>10457</v>
      </c>
      <c r="N321" t="s">
        <v>7237</v>
      </c>
      <c r="O321" t="s">
        <v>7523</v>
      </c>
      <c r="P321">
        <v>2</v>
      </c>
      <c r="Q321">
        <v>0</v>
      </c>
      <c r="R321">
        <v>157.96</v>
      </c>
      <c r="U321">
        <v>26000</v>
      </c>
      <c r="W321">
        <v>0.1</v>
      </c>
      <c r="X321" t="s">
        <v>880</v>
      </c>
      <c r="Y321" t="s">
        <v>10865</v>
      </c>
      <c r="AA321" t="s">
        <v>10974</v>
      </c>
      <c r="AB321" t="s">
        <v>597</v>
      </c>
      <c r="AD321" t="s">
        <v>11098</v>
      </c>
      <c r="AF321" t="s">
        <v>11122</v>
      </c>
      <c r="AH321" t="s">
        <v>10974</v>
      </c>
      <c r="AJ321" t="s">
        <v>11141</v>
      </c>
      <c r="AK321" t="s">
        <v>7225</v>
      </c>
      <c r="AM321">
        <v>900</v>
      </c>
      <c r="AO321">
        <v>47</v>
      </c>
      <c r="AQ321" t="s">
        <v>11160</v>
      </c>
      <c r="AS321" t="s">
        <v>11173</v>
      </c>
      <c r="AU321">
        <v>40</v>
      </c>
      <c r="AW321" t="s">
        <v>11187</v>
      </c>
      <c r="AZ321" t="s">
        <v>11221</v>
      </c>
      <c r="BE321" t="s">
        <v>11905</v>
      </c>
      <c r="BG321" t="s">
        <v>14463</v>
      </c>
      <c r="BM321" t="s">
        <v>15650</v>
      </c>
    </row>
    <row r="322" spans="1:65">
      <c r="A322" s="1">
        <f>HYPERLINK("https://lsnyc.legalserver.org/matter/dynamic-profile/view/1882696","18-1882696")</f>
        <v>0</v>
      </c>
      <c r="B322" t="s">
        <v>90</v>
      </c>
      <c r="C322" t="s">
        <v>246</v>
      </c>
      <c r="D322" t="s">
        <v>432</v>
      </c>
      <c r="F322" t="s">
        <v>1319</v>
      </c>
      <c r="G322" t="s">
        <v>3017</v>
      </c>
      <c r="H322" t="s">
        <v>4955</v>
      </c>
      <c r="I322" t="s">
        <v>6533</v>
      </c>
      <c r="J322" t="s">
        <v>7170</v>
      </c>
      <c r="K322">
        <v>10457</v>
      </c>
      <c r="N322" t="s">
        <v>7237</v>
      </c>
      <c r="O322" t="s">
        <v>7526</v>
      </c>
      <c r="P322">
        <v>2</v>
      </c>
      <c r="Q322">
        <v>0</v>
      </c>
      <c r="R322">
        <v>382.75</v>
      </c>
      <c r="U322">
        <v>63000</v>
      </c>
      <c r="W322">
        <v>0.1</v>
      </c>
      <c r="X322" t="s">
        <v>1032</v>
      </c>
      <c r="Y322" t="s">
        <v>10865</v>
      </c>
      <c r="AA322" t="s">
        <v>10974</v>
      </c>
      <c r="AB322" t="s">
        <v>597</v>
      </c>
      <c r="AD322" t="s">
        <v>11098</v>
      </c>
      <c r="AF322" t="s">
        <v>11122</v>
      </c>
      <c r="AH322" t="s">
        <v>10974</v>
      </c>
      <c r="AJ322" t="s">
        <v>11141</v>
      </c>
      <c r="AK322" t="s">
        <v>7225</v>
      </c>
      <c r="AM322">
        <v>810</v>
      </c>
      <c r="AO322">
        <v>47</v>
      </c>
      <c r="AQ322" t="s">
        <v>11157</v>
      </c>
      <c r="AS322" t="s">
        <v>11173</v>
      </c>
      <c r="AU322">
        <v>39</v>
      </c>
      <c r="AW322" t="s">
        <v>11187</v>
      </c>
      <c r="AZ322" t="s">
        <v>11221</v>
      </c>
      <c r="BE322" t="s">
        <v>11908</v>
      </c>
      <c r="BG322" t="s">
        <v>14463</v>
      </c>
      <c r="BM322" t="s">
        <v>15650</v>
      </c>
    </row>
    <row r="323" spans="1:65">
      <c r="A323" s="1">
        <f>HYPERLINK("https://lsnyc.legalserver.org/matter/dynamic-profile/view/1897227","19-1897227")</f>
        <v>0</v>
      </c>
      <c r="B323" t="s">
        <v>90</v>
      </c>
      <c r="C323" t="s">
        <v>246</v>
      </c>
      <c r="D323" t="s">
        <v>444</v>
      </c>
      <c r="E323" t="s">
        <v>539</v>
      </c>
      <c r="F323" t="s">
        <v>1322</v>
      </c>
      <c r="G323" t="s">
        <v>3104</v>
      </c>
      <c r="H323" t="s">
        <v>4966</v>
      </c>
      <c r="I323" t="s">
        <v>6534</v>
      </c>
      <c r="J323" t="s">
        <v>7170</v>
      </c>
      <c r="K323">
        <v>10452</v>
      </c>
      <c r="L323" t="s">
        <v>7217</v>
      </c>
      <c r="N323" t="s">
        <v>7237</v>
      </c>
      <c r="O323" t="s">
        <v>7529</v>
      </c>
      <c r="P323">
        <v>2</v>
      </c>
      <c r="Q323">
        <v>1</v>
      </c>
      <c r="R323">
        <v>96.88</v>
      </c>
      <c r="U323">
        <v>20664</v>
      </c>
      <c r="W323">
        <v>4.2</v>
      </c>
      <c r="X323" t="s">
        <v>263</v>
      </c>
      <c r="Y323" t="s">
        <v>90</v>
      </c>
      <c r="AA323" t="s">
        <v>10974</v>
      </c>
      <c r="AB323" t="s">
        <v>444</v>
      </c>
      <c r="AD323" t="s">
        <v>11083</v>
      </c>
      <c r="AF323" t="s">
        <v>10384</v>
      </c>
      <c r="AH323" t="s">
        <v>10975</v>
      </c>
      <c r="AJ323" t="s">
        <v>11132</v>
      </c>
      <c r="AK323" t="s">
        <v>7225</v>
      </c>
      <c r="AM323">
        <v>1500</v>
      </c>
      <c r="AO323">
        <v>49</v>
      </c>
      <c r="AQ323" t="s">
        <v>11157</v>
      </c>
      <c r="AR323" t="s">
        <v>11172</v>
      </c>
      <c r="AU323">
        <v>10</v>
      </c>
      <c r="AW323" t="s">
        <v>11189</v>
      </c>
      <c r="AY323" t="s">
        <v>11213</v>
      </c>
      <c r="BA323" t="s">
        <v>11223</v>
      </c>
      <c r="BC323">
        <v>370953540</v>
      </c>
      <c r="BE323" t="s">
        <v>11911</v>
      </c>
      <c r="BF323" t="s">
        <v>14364</v>
      </c>
      <c r="BM323" t="s">
        <v>15651</v>
      </c>
    </row>
    <row r="324" spans="1:65">
      <c r="A324" s="1">
        <f>HYPERLINK("https://lsnyc.legalserver.org/matter/dynamic-profile/view/1882698","18-1882698")</f>
        <v>0</v>
      </c>
      <c r="B324" t="s">
        <v>90</v>
      </c>
      <c r="C324" t="s">
        <v>246</v>
      </c>
      <c r="D324" t="s">
        <v>432</v>
      </c>
      <c r="F324" t="s">
        <v>1140</v>
      </c>
      <c r="G324" t="s">
        <v>3087</v>
      </c>
      <c r="H324" t="s">
        <v>4955</v>
      </c>
      <c r="I324" t="s">
        <v>6405</v>
      </c>
      <c r="J324" t="s">
        <v>7170</v>
      </c>
      <c r="K324">
        <v>10457</v>
      </c>
      <c r="N324" t="s">
        <v>7237</v>
      </c>
      <c r="O324" t="s">
        <v>7504</v>
      </c>
      <c r="P324">
        <v>2</v>
      </c>
      <c r="Q324">
        <v>0</v>
      </c>
      <c r="R324">
        <v>72.69</v>
      </c>
      <c r="U324">
        <v>11964</v>
      </c>
      <c r="W324">
        <v>1</v>
      </c>
      <c r="X324" t="s">
        <v>389</v>
      </c>
      <c r="Y324" t="s">
        <v>10865</v>
      </c>
      <c r="AA324" t="s">
        <v>10974</v>
      </c>
      <c r="AB324" t="s">
        <v>597</v>
      </c>
      <c r="AD324" t="s">
        <v>11101</v>
      </c>
      <c r="AF324" t="s">
        <v>11118</v>
      </c>
      <c r="AH324" t="s">
        <v>10974</v>
      </c>
      <c r="AJ324" t="s">
        <v>11141</v>
      </c>
      <c r="AK324" t="s">
        <v>7225</v>
      </c>
      <c r="AM324">
        <v>1551</v>
      </c>
      <c r="AO324">
        <v>47</v>
      </c>
      <c r="AQ324" t="s">
        <v>11157</v>
      </c>
      <c r="AS324" t="s">
        <v>11174</v>
      </c>
      <c r="AU324">
        <v>12</v>
      </c>
      <c r="AW324" t="s">
        <v>11187</v>
      </c>
      <c r="AZ324" t="s">
        <v>11221</v>
      </c>
      <c r="BE324" t="s">
        <v>11891</v>
      </c>
      <c r="BG324" t="s">
        <v>14461</v>
      </c>
      <c r="BM324" t="s">
        <v>15650</v>
      </c>
    </row>
    <row r="325" spans="1:65">
      <c r="A325" s="1">
        <f>HYPERLINK("https://lsnyc.legalserver.org/matter/dynamic-profile/view/1896135","19-1896135")</f>
        <v>0</v>
      </c>
      <c r="B325" t="s">
        <v>90</v>
      </c>
      <c r="C325" t="s">
        <v>246</v>
      </c>
      <c r="D325" t="s">
        <v>445</v>
      </c>
      <c r="E325" t="s">
        <v>539</v>
      </c>
      <c r="F325" t="s">
        <v>1322</v>
      </c>
      <c r="G325" t="s">
        <v>3104</v>
      </c>
      <c r="H325" t="s">
        <v>4966</v>
      </c>
      <c r="I325" t="s">
        <v>6534</v>
      </c>
      <c r="J325" t="s">
        <v>7170</v>
      </c>
      <c r="K325">
        <v>10452</v>
      </c>
      <c r="L325" t="s">
        <v>7220</v>
      </c>
      <c r="N325" t="s">
        <v>7241</v>
      </c>
      <c r="O325" t="s">
        <v>7529</v>
      </c>
      <c r="P325">
        <v>2</v>
      </c>
      <c r="Q325">
        <v>1</v>
      </c>
      <c r="R325">
        <v>90.86</v>
      </c>
      <c r="U325">
        <v>19380</v>
      </c>
      <c r="W325">
        <v>16.8</v>
      </c>
      <c r="X325" t="s">
        <v>263</v>
      </c>
      <c r="Y325" t="s">
        <v>10890</v>
      </c>
      <c r="AA325" t="s">
        <v>10974</v>
      </c>
      <c r="AB325" t="s">
        <v>591</v>
      </c>
      <c r="AD325" t="s">
        <v>11094</v>
      </c>
      <c r="AF325" t="s">
        <v>11120</v>
      </c>
      <c r="AH325" t="s">
        <v>10975</v>
      </c>
      <c r="AJ325" t="s">
        <v>11143</v>
      </c>
      <c r="AK325" t="s">
        <v>7225</v>
      </c>
      <c r="AM325">
        <v>1500</v>
      </c>
      <c r="AO325">
        <v>49</v>
      </c>
      <c r="AQ325" t="s">
        <v>11157</v>
      </c>
      <c r="AR325" t="s">
        <v>11172</v>
      </c>
      <c r="AU325">
        <v>10</v>
      </c>
      <c r="AW325" t="s">
        <v>11189</v>
      </c>
      <c r="BA325" t="s">
        <v>11222</v>
      </c>
      <c r="BC325">
        <v>370953540</v>
      </c>
      <c r="BE325" t="s">
        <v>11911</v>
      </c>
      <c r="BF325" t="s">
        <v>14364</v>
      </c>
      <c r="BG325" t="s">
        <v>11228</v>
      </c>
      <c r="BM325" t="s">
        <v>15651</v>
      </c>
    </row>
    <row r="326" spans="1:65">
      <c r="A326" s="1">
        <f>HYPERLINK("https://lsnyc.legalserver.org/matter/dynamic-profile/view/1882962","18-1882962")</f>
        <v>0</v>
      </c>
      <c r="B326" t="s">
        <v>90</v>
      </c>
      <c r="C326" t="s">
        <v>246</v>
      </c>
      <c r="D326" t="s">
        <v>400</v>
      </c>
      <c r="F326" t="s">
        <v>1323</v>
      </c>
      <c r="G326" t="s">
        <v>3105</v>
      </c>
      <c r="H326" t="s">
        <v>4955</v>
      </c>
      <c r="I326" t="s">
        <v>6404</v>
      </c>
      <c r="J326" t="s">
        <v>7170</v>
      </c>
      <c r="K326">
        <v>10457</v>
      </c>
      <c r="N326" t="s">
        <v>7237</v>
      </c>
      <c r="O326" t="s">
        <v>7530</v>
      </c>
      <c r="P326">
        <v>1</v>
      </c>
      <c r="Q326">
        <v>1</v>
      </c>
      <c r="R326">
        <v>151.88</v>
      </c>
      <c r="U326">
        <v>25000</v>
      </c>
      <c r="W326">
        <v>0.1</v>
      </c>
      <c r="X326" t="s">
        <v>880</v>
      </c>
      <c r="Y326" t="s">
        <v>10865</v>
      </c>
      <c r="AA326" t="s">
        <v>10974</v>
      </c>
      <c r="AB326" t="s">
        <v>597</v>
      </c>
      <c r="AD326" t="s">
        <v>11098</v>
      </c>
      <c r="AF326" t="s">
        <v>11122</v>
      </c>
      <c r="AH326" t="s">
        <v>10974</v>
      </c>
      <c r="AJ326" t="s">
        <v>11141</v>
      </c>
      <c r="AK326" t="s">
        <v>7225</v>
      </c>
      <c r="AM326">
        <v>1179</v>
      </c>
      <c r="AO326">
        <v>47</v>
      </c>
      <c r="AQ326" t="s">
        <v>11157</v>
      </c>
      <c r="AS326" t="s">
        <v>11173</v>
      </c>
      <c r="AU326">
        <v>8</v>
      </c>
      <c r="AW326" t="s">
        <v>11189</v>
      </c>
      <c r="AZ326" t="s">
        <v>11221</v>
      </c>
      <c r="BE326" t="s">
        <v>11912</v>
      </c>
      <c r="BG326" t="s">
        <v>14463</v>
      </c>
      <c r="BM326" t="s">
        <v>15650</v>
      </c>
    </row>
    <row r="327" spans="1:65">
      <c r="A327" s="1">
        <f>HYPERLINK("https://lsnyc.legalserver.org/matter/dynamic-profile/view/1882956","18-1882956")</f>
        <v>0</v>
      </c>
      <c r="B327" t="s">
        <v>90</v>
      </c>
      <c r="C327" t="s">
        <v>246</v>
      </c>
      <c r="D327" t="s">
        <v>400</v>
      </c>
      <c r="F327" t="s">
        <v>1323</v>
      </c>
      <c r="G327" t="s">
        <v>3105</v>
      </c>
      <c r="H327" t="s">
        <v>4955</v>
      </c>
      <c r="I327" t="s">
        <v>6404</v>
      </c>
      <c r="J327" t="s">
        <v>7170</v>
      </c>
      <c r="K327">
        <v>10457</v>
      </c>
      <c r="N327" t="s">
        <v>7237</v>
      </c>
      <c r="O327" t="s">
        <v>7530</v>
      </c>
      <c r="P327">
        <v>1</v>
      </c>
      <c r="Q327">
        <v>1</v>
      </c>
      <c r="R327">
        <v>151.88</v>
      </c>
      <c r="U327">
        <v>25000</v>
      </c>
      <c r="W327">
        <v>0.2</v>
      </c>
      <c r="X327" t="s">
        <v>438</v>
      </c>
      <c r="Y327" t="s">
        <v>10865</v>
      </c>
      <c r="AA327" t="s">
        <v>10974</v>
      </c>
      <c r="AB327" t="s">
        <v>597</v>
      </c>
      <c r="AD327" t="s">
        <v>11101</v>
      </c>
      <c r="AF327" t="s">
        <v>11118</v>
      </c>
      <c r="AH327" t="s">
        <v>10974</v>
      </c>
      <c r="AJ327" t="s">
        <v>11141</v>
      </c>
      <c r="AK327" t="s">
        <v>7225</v>
      </c>
      <c r="AM327">
        <v>1179</v>
      </c>
      <c r="AO327">
        <v>47</v>
      </c>
      <c r="AQ327" t="s">
        <v>11157</v>
      </c>
      <c r="AS327" t="s">
        <v>11173</v>
      </c>
      <c r="AU327">
        <v>8</v>
      </c>
      <c r="AW327" t="s">
        <v>11189</v>
      </c>
      <c r="AZ327" t="s">
        <v>11221</v>
      </c>
      <c r="BE327" t="s">
        <v>11912</v>
      </c>
      <c r="BG327" t="s">
        <v>14461</v>
      </c>
      <c r="BM327" t="s">
        <v>15650</v>
      </c>
    </row>
    <row r="328" spans="1:65">
      <c r="A328" s="1">
        <f>HYPERLINK("https://lsnyc.legalserver.org/matter/dynamic-profile/view/1882728","18-1882728")</f>
        <v>0</v>
      </c>
      <c r="B328" t="s">
        <v>90</v>
      </c>
      <c r="C328" t="s">
        <v>246</v>
      </c>
      <c r="D328" t="s">
        <v>432</v>
      </c>
      <c r="F328" t="s">
        <v>1324</v>
      </c>
      <c r="G328" t="s">
        <v>3106</v>
      </c>
      <c r="H328" t="s">
        <v>4955</v>
      </c>
      <c r="I328" t="s">
        <v>6413</v>
      </c>
      <c r="J328" t="s">
        <v>7170</v>
      </c>
      <c r="K328">
        <v>10457</v>
      </c>
      <c r="N328" t="s">
        <v>7237</v>
      </c>
      <c r="O328" t="s">
        <v>7531</v>
      </c>
      <c r="P328">
        <v>2</v>
      </c>
      <c r="Q328">
        <v>2</v>
      </c>
      <c r="R328">
        <v>525.9</v>
      </c>
      <c r="U328">
        <v>132000</v>
      </c>
      <c r="W328">
        <v>0.7</v>
      </c>
      <c r="X328" t="s">
        <v>521</v>
      </c>
      <c r="Y328" t="s">
        <v>10865</v>
      </c>
      <c r="AA328" t="s">
        <v>10974</v>
      </c>
      <c r="AB328" t="s">
        <v>597</v>
      </c>
      <c r="AD328" t="s">
        <v>11098</v>
      </c>
      <c r="AF328" t="s">
        <v>11122</v>
      </c>
      <c r="AH328" t="s">
        <v>10974</v>
      </c>
      <c r="AJ328" t="s">
        <v>11141</v>
      </c>
      <c r="AK328" t="s">
        <v>7225</v>
      </c>
      <c r="AM328">
        <v>1284.72</v>
      </c>
      <c r="AO328">
        <v>47</v>
      </c>
      <c r="AQ328" t="s">
        <v>11157</v>
      </c>
      <c r="AS328" t="s">
        <v>11173</v>
      </c>
      <c r="AU328">
        <v>7</v>
      </c>
      <c r="AW328" t="s">
        <v>11187</v>
      </c>
      <c r="AZ328" t="s">
        <v>11221</v>
      </c>
      <c r="BE328" t="s">
        <v>11913</v>
      </c>
      <c r="BG328" t="s">
        <v>14463</v>
      </c>
      <c r="BM328" t="s">
        <v>15650</v>
      </c>
    </row>
    <row r="329" spans="1:65">
      <c r="A329" s="1">
        <f>HYPERLINK("https://lsnyc.legalserver.org/matter/dynamic-profile/view/1884730","18-1884730")</f>
        <v>0</v>
      </c>
      <c r="B329" t="s">
        <v>90</v>
      </c>
      <c r="C329" t="s">
        <v>246</v>
      </c>
      <c r="D329" t="s">
        <v>446</v>
      </c>
      <c r="F329" t="s">
        <v>1302</v>
      </c>
      <c r="G329" t="s">
        <v>2877</v>
      </c>
      <c r="H329" t="s">
        <v>4955</v>
      </c>
      <c r="I329" t="s">
        <v>6523</v>
      </c>
      <c r="J329" t="s">
        <v>7170</v>
      </c>
      <c r="K329">
        <v>10457</v>
      </c>
      <c r="N329" t="s">
        <v>7237</v>
      </c>
      <c r="O329" t="s">
        <v>7502</v>
      </c>
      <c r="P329">
        <v>1</v>
      </c>
      <c r="Q329">
        <v>0</v>
      </c>
      <c r="R329">
        <v>75.81999999999999</v>
      </c>
      <c r="U329">
        <v>9204</v>
      </c>
      <c r="W329">
        <v>2.2</v>
      </c>
      <c r="X329" t="s">
        <v>880</v>
      </c>
      <c r="Y329" t="s">
        <v>10865</v>
      </c>
      <c r="AA329" t="s">
        <v>10974</v>
      </c>
      <c r="AB329" t="s">
        <v>597</v>
      </c>
      <c r="AD329" t="s">
        <v>11101</v>
      </c>
      <c r="AF329" t="s">
        <v>11118</v>
      </c>
      <c r="AH329" t="s">
        <v>10974</v>
      </c>
      <c r="AJ329" t="s">
        <v>11141</v>
      </c>
      <c r="AK329" t="s">
        <v>7225</v>
      </c>
      <c r="AM329">
        <v>385</v>
      </c>
      <c r="AO329">
        <v>47</v>
      </c>
      <c r="AQ329" t="s">
        <v>11157</v>
      </c>
      <c r="AS329" t="s">
        <v>11174</v>
      </c>
      <c r="AU329">
        <v>5</v>
      </c>
      <c r="AW329" t="s">
        <v>11189</v>
      </c>
      <c r="AZ329" t="s">
        <v>11221</v>
      </c>
      <c r="BE329" t="s">
        <v>11889</v>
      </c>
      <c r="BG329" t="s">
        <v>14461</v>
      </c>
      <c r="BM329" t="s">
        <v>15650</v>
      </c>
    </row>
    <row r="330" spans="1:65">
      <c r="A330" s="1">
        <f>HYPERLINK("https://lsnyc.legalserver.org/matter/dynamic-profile/view/1895526","19-1895526")</f>
        <v>0</v>
      </c>
      <c r="B330" t="s">
        <v>90</v>
      </c>
      <c r="C330" t="s">
        <v>246</v>
      </c>
      <c r="D330" t="s">
        <v>428</v>
      </c>
      <c r="F330" t="s">
        <v>1325</v>
      </c>
      <c r="G330" t="s">
        <v>3107</v>
      </c>
      <c r="H330" t="s">
        <v>4967</v>
      </c>
      <c r="I330" t="s">
        <v>6466</v>
      </c>
      <c r="J330" t="s">
        <v>7170</v>
      </c>
      <c r="K330">
        <v>10452</v>
      </c>
      <c r="N330" t="s">
        <v>7237</v>
      </c>
      <c r="O330" t="s">
        <v>7532</v>
      </c>
      <c r="P330">
        <v>1</v>
      </c>
      <c r="Q330">
        <v>0</v>
      </c>
      <c r="R330">
        <v>66.2</v>
      </c>
      <c r="U330">
        <v>8268</v>
      </c>
      <c r="V330" t="s">
        <v>10295</v>
      </c>
      <c r="W330">
        <v>22.75</v>
      </c>
      <c r="X330" t="s">
        <v>544</v>
      </c>
      <c r="Y330" t="s">
        <v>90</v>
      </c>
      <c r="AA330" t="s">
        <v>10974</v>
      </c>
      <c r="AB330" t="s">
        <v>428</v>
      </c>
      <c r="AD330" t="s">
        <v>11083</v>
      </c>
      <c r="AF330" t="s">
        <v>11120</v>
      </c>
      <c r="AH330" t="s">
        <v>10975</v>
      </c>
      <c r="AJ330" t="s">
        <v>11141</v>
      </c>
      <c r="AK330" t="s">
        <v>7225</v>
      </c>
      <c r="AM330">
        <v>1477</v>
      </c>
      <c r="AO330">
        <v>82</v>
      </c>
      <c r="AQ330" t="s">
        <v>11157</v>
      </c>
      <c r="AS330" t="s">
        <v>11174</v>
      </c>
      <c r="AU330">
        <v>10</v>
      </c>
      <c r="AW330" t="s">
        <v>11187</v>
      </c>
      <c r="AY330" t="s">
        <v>11216</v>
      </c>
      <c r="BA330" t="s">
        <v>11223</v>
      </c>
      <c r="BC330" t="s">
        <v>11260</v>
      </c>
      <c r="BE330" t="s">
        <v>11914</v>
      </c>
      <c r="BF330" t="s">
        <v>14364</v>
      </c>
      <c r="BG330" t="s">
        <v>14472</v>
      </c>
      <c r="BM330" t="s">
        <v>15650</v>
      </c>
    </row>
    <row r="331" spans="1:65">
      <c r="A331" s="1">
        <f>HYPERLINK("https://lsnyc.legalserver.org/matter/dynamic-profile/view/1907995","19-1907995")</f>
        <v>0</v>
      </c>
      <c r="B331" t="s">
        <v>90</v>
      </c>
      <c r="C331" t="s">
        <v>246</v>
      </c>
      <c r="D331" t="s">
        <v>437</v>
      </c>
      <c r="F331" t="s">
        <v>1315</v>
      </c>
      <c r="G331" t="s">
        <v>3098</v>
      </c>
      <c r="H331" t="s">
        <v>4955</v>
      </c>
      <c r="I331" t="s">
        <v>6408</v>
      </c>
      <c r="J331" t="s">
        <v>7170</v>
      </c>
      <c r="K331">
        <v>10457</v>
      </c>
      <c r="N331" t="s">
        <v>7237</v>
      </c>
      <c r="O331" t="s">
        <v>7521</v>
      </c>
      <c r="P331">
        <v>1</v>
      </c>
      <c r="Q331">
        <v>0</v>
      </c>
      <c r="R331">
        <v>176.94</v>
      </c>
      <c r="U331">
        <v>22100</v>
      </c>
      <c r="W331">
        <v>0.2</v>
      </c>
      <c r="X331" t="s">
        <v>441</v>
      </c>
      <c r="Y331" t="s">
        <v>93</v>
      </c>
      <c r="AA331" t="s">
        <v>10974</v>
      </c>
      <c r="AD331" t="s">
        <v>11098</v>
      </c>
      <c r="AF331" t="s">
        <v>11122</v>
      </c>
      <c r="AH331" t="s">
        <v>10974</v>
      </c>
      <c r="AJ331" t="s">
        <v>11141</v>
      </c>
      <c r="AK331" t="s">
        <v>7225</v>
      </c>
      <c r="AM331">
        <v>1022.34</v>
      </c>
      <c r="AO331">
        <v>48</v>
      </c>
      <c r="AQ331" t="s">
        <v>11157</v>
      </c>
      <c r="AS331" t="s">
        <v>11174</v>
      </c>
      <c r="AU331">
        <v>15</v>
      </c>
      <c r="AW331" t="s">
        <v>11189</v>
      </c>
      <c r="AX331" t="s">
        <v>11212</v>
      </c>
      <c r="AZ331" t="s">
        <v>11221</v>
      </c>
      <c r="BE331" t="s">
        <v>11904</v>
      </c>
      <c r="BG331" t="s">
        <v>14461</v>
      </c>
      <c r="BM331" t="s">
        <v>15650</v>
      </c>
    </row>
    <row r="332" spans="1:65">
      <c r="A332" s="1">
        <f>HYPERLINK("https://lsnyc.legalserver.org/matter/dynamic-profile/view/1884739","18-1884739")</f>
        <v>0</v>
      </c>
      <c r="B332" t="s">
        <v>90</v>
      </c>
      <c r="C332" t="s">
        <v>246</v>
      </c>
      <c r="D332" t="s">
        <v>446</v>
      </c>
      <c r="F332" t="s">
        <v>1302</v>
      </c>
      <c r="G332" t="s">
        <v>2877</v>
      </c>
      <c r="H332" t="s">
        <v>4955</v>
      </c>
      <c r="I332" t="s">
        <v>6523</v>
      </c>
      <c r="J332" t="s">
        <v>7170</v>
      </c>
      <c r="K332">
        <v>10457</v>
      </c>
      <c r="N332" t="s">
        <v>7241</v>
      </c>
      <c r="O332" t="s">
        <v>7502</v>
      </c>
      <c r="P332">
        <v>1</v>
      </c>
      <c r="Q332">
        <v>0</v>
      </c>
      <c r="R332">
        <v>75.81999999999999</v>
      </c>
      <c r="U332">
        <v>9204</v>
      </c>
      <c r="V332" t="s">
        <v>10296</v>
      </c>
      <c r="W332">
        <v>2.2</v>
      </c>
      <c r="X332" t="s">
        <v>265</v>
      </c>
      <c r="Y332" t="s">
        <v>10865</v>
      </c>
      <c r="AA332" t="s">
        <v>10974</v>
      </c>
      <c r="AB332" t="s">
        <v>446</v>
      </c>
      <c r="AD332" t="s">
        <v>11095</v>
      </c>
      <c r="AF332" t="s">
        <v>10384</v>
      </c>
      <c r="AH332" t="s">
        <v>10975</v>
      </c>
      <c r="AJ332" t="s">
        <v>11129</v>
      </c>
      <c r="AK332" t="s">
        <v>7225</v>
      </c>
      <c r="AM332">
        <v>227</v>
      </c>
      <c r="AO332">
        <v>47</v>
      </c>
      <c r="AQ332" t="s">
        <v>11157</v>
      </c>
      <c r="AS332" t="s">
        <v>11174</v>
      </c>
      <c r="AU332">
        <v>25</v>
      </c>
      <c r="AW332" t="s">
        <v>11189</v>
      </c>
      <c r="AZ332" t="s">
        <v>11221</v>
      </c>
      <c r="BE332" t="s">
        <v>11889</v>
      </c>
      <c r="BF332" t="s">
        <v>14364</v>
      </c>
      <c r="BM332" t="s">
        <v>15650</v>
      </c>
    </row>
    <row r="333" spans="1:65">
      <c r="A333" s="1">
        <f>HYPERLINK("https://lsnyc.legalserver.org/matter/dynamic-profile/view/1882757","18-1882757")</f>
        <v>0</v>
      </c>
      <c r="B333" t="s">
        <v>90</v>
      </c>
      <c r="C333" t="s">
        <v>246</v>
      </c>
      <c r="D333" t="s">
        <v>400</v>
      </c>
      <c r="F333" t="s">
        <v>1317</v>
      </c>
      <c r="G333" t="s">
        <v>3100</v>
      </c>
      <c r="H333" t="s">
        <v>4955</v>
      </c>
      <c r="I333" t="s">
        <v>6532</v>
      </c>
      <c r="J333" t="s">
        <v>7170</v>
      </c>
      <c r="K333">
        <v>10457</v>
      </c>
      <c r="N333" t="s">
        <v>7237</v>
      </c>
      <c r="O333" t="s">
        <v>7524</v>
      </c>
      <c r="P333">
        <v>4</v>
      </c>
      <c r="Q333">
        <v>1</v>
      </c>
      <c r="R333">
        <v>132.56</v>
      </c>
      <c r="U333">
        <v>39000</v>
      </c>
      <c r="W333">
        <v>0.4</v>
      </c>
      <c r="X333" t="s">
        <v>608</v>
      </c>
      <c r="Y333" t="s">
        <v>10865</v>
      </c>
      <c r="AA333" t="s">
        <v>10974</v>
      </c>
      <c r="AB333" t="s">
        <v>597</v>
      </c>
      <c r="AD333" t="s">
        <v>11101</v>
      </c>
      <c r="AF333" t="s">
        <v>11118</v>
      </c>
      <c r="AH333" t="s">
        <v>10974</v>
      </c>
      <c r="AJ333" t="s">
        <v>11141</v>
      </c>
      <c r="AK333" t="s">
        <v>7225</v>
      </c>
      <c r="AM333">
        <v>902</v>
      </c>
      <c r="AO333">
        <v>47</v>
      </c>
      <c r="AQ333" t="s">
        <v>11164</v>
      </c>
      <c r="AS333" t="s">
        <v>11173</v>
      </c>
      <c r="AU333">
        <v>31</v>
      </c>
      <c r="AW333" t="s">
        <v>11189</v>
      </c>
      <c r="AZ333" t="s">
        <v>11221</v>
      </c>
      <c r="BE333" t="s">
        <v>11906</v>
      </c>
      <c r="BG333" t="s">
        <v>14461</v>
      </c>
      <c r="BM333" t="s">
        <v>15650</v>
      </c>
    </row>
    <row r="334" spans="1:65">
      <c r="A334" s="1">
        <f>HYPERLINK("https://lsnyc.legalserver.org/matter/dynamic-profile/view/1902269","19-1902269")</f>
        <v>0</v>
      </c>
      <c r="B334" t="s">
        <v>90</v>
      </c>
      <c r="C334" t="s">
        <v>246</v>
      </c>
      <c r="D334" t="s">
        <v>447</v>
      </c>
      <c r="F334" t="s">
        <v>1309</v>
      </c>
      <c r="G334" t="s">
        <v>1099</v>
      </c>
      <c r="H334" t="s">
        <v>4959</v>
      </c>
      <c r="I334" t="s">
        <v>6413</v>
      </c>
      <c r="J334" t="s">
        <v>7170</v>
      </c>
      <c r="K334">
        <v>10460</v>
      </c>
      <c r="N334" t="s">
        <v>7237</v>
      </c>
      <c r="O334" t="s">
        <v>7512</v>
      </c>
      <c r="P334">
        <v>4</v>
      </c>
      <c r="Q334">
        <v>1</v>
      </c>
      <c r="R334">
        <v>8.029999999999999</v>
      </c>
      <c r="U334">
        <v>2424</v>
      </c>
      <c r="W334">
        <v>12.7</v>
      </c>
      <c r="X334" t="s">
        <v>426</v>
      </c>
      <c r="Y334" t="s">
        <v>93</v>
      </c>
      <c r="AA334" t="s">
        <v>10974</v>
      </c>
      <c r="AB334" t="s">
        <v>447</v>
      </c>
      <c r="AD334" t="s">
        <v>11101</v>
      </c>
      <c r="AF334" t="s">
        <v>11118</v>
      </c>
      <c r="AH334" t="s">
        <v>10975</v>
      </c>
      <c r="AJ334" t="s">
        <v>11129</v>
      </c>
      <c r="AK334" t="s">
        <v>7225</v>
      </c>
      <c r="AM334">
        <v>1980.45</v>
      </c>
      <c r="AN334" t="s">
        <v>11151</v>
      </c>
      <c r="AO334" t="s">
        <v>11153</v>
      </c>
      <c r="AQ334" t="s">
        <v>11157</v>
      </c>
      <c r="AS334" t="s">
        <v>11180</v>
      </c>
      <c r="AU334">
        <v>2</v>
      </c>
      <c r="AW334" t="s">
        <v>11187</v>
      </c>
      <c r="AY334" t="s">
        <v>11213</v>
      </c>
      <c r="BA334" t="s">
        <v>11223</v>
      </c>
      <c r="BC334" t="s">
        <v>11256</v>
      </c>
      <c r="BE334" t="s">
        <v>11896</v>
      </c>
      <c r="BG334" t="s">
        <v>14465</v>
      </c>
      <c r="BM334" t="s">
        <v>15650</v>
      </c>
    </row>
    <row r="335" spans="1:65">
      <c r="A335" s="1">
        <f>HYPERLINK("https://lsnyc.legalserver.org/matter/dynamic-profile/view/0768714","14-0768714")</f>
        <v>0</v>
      </c>
      <c r="B335" t="s">
        <v>91</v>
      </c>
      <c r="C335" t="s">
        <v>248</v>
      </c>
      <c r="D335" t="s">
        <v>448</v>
      </c>
      <c r="F335" t="s">
        <v>1175</v>
      </c>
      <c r="G335" t="s">
        <v>2913</v>
      </c>
      <c r="H335" t="s">
        <v>4968</v>
      </c>
      <c r="I335" t="s">
        <v>6535</v>
      </c>
      <c r="J335" t="s">
        <v>7174</v>
      </c>
      <c r="K335">
        <v>11216</v>
      </c>
      <c r="M335" t="s">
        <v>7226</v>
      </c>
      <c r="N335" t="s">
        <v>7237</v>
      </c>
      <c r="O335" t="s">
        <v>7316</v>
      </c>
      <c r="P335">
        <v>2</v>
      </c>
      <c r="Q335">
        <v>1</v>
      </c>
      <c r="R335">
        <v>221.45</v>
      </c>
      <c r="S335" t="s">
        <v>10255</v>
      </c>
      <c r="U335">
        <v>43824</v>
      </c>
      <c r="W335">
        <v>56.9</v>
      </c>
      <c r="X335" t="s">
        <v>511</v>
      </c>
      <c r="Y335" t="s">
        <v>10898</v>
      </c>
      <c r="AA335" t="s">
        <v>10974</v>
      </c>
      <c r="AB335" t="s">
        <v>10990</v>
      </c>
      <c r="AD335" t="s">
        <v>11096</v>
      </c>
      <c r="AF335" t="s">
        <v>11122</v>
      </c>
      <c r="AG335" t="s">
        <v>11124</v>
      </c>
      <c r="AI335" t="s">
        <v>11126</v>
      </c>
      <c r="AK335" t="s">
        <v>7225</v>
      </c>
      <c r="AL335" t="s">
        <v>11150</v>
      </c>
      <c r="AM335">
        <v>0</v>
      </c>
      <c r="AO335">
        <v>8</v>
      </c>
      <c r="AQ335" t="s">
        <v>11160</v>
      </c>
      <c r="AR335" t="s">
        <v>11172</v>
      </c>
      <c r="AU335">
        <v>49</v>
      </c>
      <c r="AV335" t="s">
        <v>11186</v>
      </c>
      <c r="AZ335" t="s">
        <v>11221</v>
      </c>
      <c r="BD335" t="s">
        <v>11667</v>
      </c>
      <c r="BG335" t="s">
        <v>14473</v>
      </c>
      <c r="BM335" t="s">
        <v>15650</v>
      </c>
    </row>
    <row r="336" spans="1:65">
      <c r="A336" s="1">
        <f>HYPERLINK("https://lsnyc.legalserver.org/matter/dynamic-profile/view/1910500","19-1910500")</f>
        <v>0</v>
      </c>
      <c r="B336" t="s">
        <v>92</v>
      </c>
      <c r="C336" t="s">
        <v>247</v>
      </c>
      <c r="D336" t="s">
        <v>263</v>
      </c>
      <c r="F336" t="s">
        <v>1326</v>
      </c>
      <c r="G336" t="s">
        <v>3108</v>
      </c>
      <c r="H336" t="s">
        <v>4969</v>
      </c>
      <c r="I336" t="s">
        <v>6536</v>
      </c>
      <c r="J336" t="s">
        <v>7181</v>
      </c>
      <c r="K336">
        <v>11101</v>
      </c>
      <c r="N336" t="s">
        <v>7237</v>
      </c>
      <c r="O336" t="s">
        <v>7533</v>
      </c>
      <c r="P336">
        <v>1</v>
      </c>
      <c r="Q336">
        <v>0</v>
      </c>
      <c r="R336">
        <v>33.31</v>
      </c>
      <c r="U336">
        <v>4160</v>
      </c>
      <c r="W336">
        <v>2.5</v>
      </c>
      <c r="X336" t="s">
        <v>563</v>
      </c>
      <c r="Y336" t="s">
        <v>10875</v>
      </c>
      <c r="AA336" t="s">
        <v>10974</v>
      </c>
      <c r="AD336" t="s">
        <v>11102</v>
      </c>
      <c r="AF336" t="s">
        <v>11119</v>
      </c>
      <c r="AH336" t="s">
        <v>10975</v>
      </c>
      <c r="AJ336" t="s">
        <v>11138</v>
      </c>
      <c r="AK336" t="s">
        <v>7225</v>
      </c>
      <c r="AM336">
        <v>281</v>
      </c>
      <c r="AO336">
        <v>50</v>
      </c>
      <c r="AQ336" t="s">
        <v>11156</v>
      </c>
      <c r="AS336" t="s">
        <v>11173</v>
      </c>
      <c r="AU336">
        <v>-1</v>
      </c>
      <c r="AW336" t="s">
        <v>11187</v>
      </c>
      <c r="AX336" t="s">
        <v>11212</v>
      </c>
      <c r="BA336" t="s">
        <v>11222</v>
      </c>
      <c r="BE336" t="s">
        <v>11915</v>
      </c>
      <c r="BG336" t="s">
        <v>14474</v>
      </c>
      <c r="BM336" t="s">
        <v>15650</v>
      </c>
    </row>
    <row r="337" spans="1:67">
      <c r="A337" s="1">
        <f>HYPERLINK("https://lsnyc.legalserver.org/matter/dynamic-profile/view/1915146","19-1915146")</f>
        <v>0</v>
      </c>
      <c r="B337" t="s">
        <v>92</v>
      </c>
      <c r="C337" t="s">
        <v>247</v>
      </c>
      <c r="D337" t="s">
        <v>449</v>
      </c>
      <c r="F337" t="s">
        <v>1327</v>
      </c>
      <c r="G337" t="s">
        <v>3109</v>
      </c>
      <c r="H337" t="s">
        <v>4970</v>
      </c>
      <c r="I337" t="s">
        <v>6537</v>
      </c>
      <c r="J337" t="s">
        <v>7176</v>
      </c>
      <c r="K337">
        <v>11368</v>
      </c>
      <c r="N337" t="s">
        <v>7237</v>
      </c>
      <c r="O337" t="s">
        <v>7534</v>
      </c>
      <c r="P337">
        <v>1</v>
      </c>
      <c r="Q337">
        <v>0</v>
      </c>
      <c r="R337">
        <v>115.29</v>
      </c>
      <c r="U337">
        <v>14400</v>
      </c>
      <c r="W337">
        <v>1.1</v>
      </c>
      <c r="X337" t="s">
        <v>426</v>
      </c>
      <c r="Y337" t="s">
        <v>10870</v>
      </c>
      <c r="AA337" t="s">
        <v>10974</v>
      </c>
      <c r="AB337" t="s">
        <v>449</v>
      </c>
      <c r="AD337" t="s">
        <v>11082</v>
      </c>
      <c r="AF337" t="s">
        <v>11121</v>
      </c>
      <c r="AH337" t="s">
        <v>10975</v>
      </c>
      <c r="AJ337" t="s">
        <v>11138</v>
      </c>
      <c r="AK337" t="s">
        <v>7225</v>
      </c>
      <c r="AM337">
        <v>1437</v>
      </c>
      <c r="AN337" t="s">
        <v>11151</v>
      </c>
      <c r="AO337" t="s">
        <v>11153</v>
      </c>
      <c r="AQ337" t="s">
        <v>11164</v>
      </c>
      <c r="AS337" t="s">
        <v>11173</v>
      </c>
      <c r="AU337">
        <v>5</v>
      </c>
      <c r="AW337" t="s">
        <v>11194</v>
      </c>
      <c r="BA337" t="s">
        <v>11222</v>
      </c>
      <c r="BC337" t="s">
        <v>11261</v>
      </c>
      <c r="BE337" t="s">
        <v>11916</v>
      </c>
      <c r="BG337" t="s">
        <v>14475</v>
      </c>
      <c r="BM337" t="s">
        <v>15650</v>
      </c>
    </row>
    <row r="338" spans="1:67">
      <c r="A338" s="1">
        <f>HYPERLINK("https://lsnyc.legalserver.org/matter/dynamic-profile/view/1900007","19-1900007")</f>
        <v>0</v>
      </c>
      <c r="B338" t="s">
        <v>93</v>
      </c>
      <c r="C338" t="s">
        <v>246</v>
      </c>
      <c r="D338" t="s">
        <v>314</v>
      </c>
      <c r="F338" t="s">
        <v>1328</v>
      </c>
      <c r="G338" t="s">
        <v>3110</v>
      </c>
      <c r="H338" t="s">
        <v>4971</v>
      </c>
      <c r="I338" t="s">
        <v>6538</v>
      </c>
      <c r="J338" t="s">
        <v>7170</v>
      </c>
      <c r="K338">
        <v>10460</v>
      </c>
      <c r="N338" t="s">
        <v>7237</v>
      </c>
      <c r="O338" t="s">
        <v>7535</v>
      </c>
      <c r="P338">
        <v>2</v>
      </c>
      <c r="Q338">
        <v>0</v>
      </c>
      <c r="R338">
        <v>206.98</v>
      </c>
      <c r="U338">
        <v>35000</v>
      </c>
      <c r="W338">
        <v>0</v>
      </c>
      <c r="Y338" t="s">
        <v>93</v>
      </c>
      <c r="AA338" t="s">
        <v>10974</v>
      </c>
      <c r="AB338" t="s">
        <v>10979</v>
      </c>
      <c r="AD338" t="s">
        <v>11086</v>
      </c>
      <c r="AF338" t="s">
        <v>11120</v>
      </c>
      <c r="AH338" t="s">
        <v>10974</v>
      </c>
      <c r="AJ338" t="s">
        <v>11141</v>
      </c>
      <c r="AK338" t="s">
        <v>7225</v>
      </c>
      <c r="AM338">
        <v>1169</v>
      </c>
      <c r="AO338">
        <v>168</v>
      </c>
      <c r="AQ338" t="s">
        <v>11157</v>
      </c>
      <c r="AS338" t="s">
        <v>11174</v>
      </c>
      <c r="AU338">
        <v>-1</v>
      </c>
      <c r="AW338" t="s">
        <v>11187</v>
      </c>
      <c r="BA338" t="s">
        <v>11222</v>
      </c>
      <c r="BD338" t="s">
        <v>11667</v>
      </c>
      <c r="BF338" t="s">
        <v>14364</v>
      </c>
      <c r="BM338" t="s">
        <v>15650</v>
      </c>
    </row>
    <row r="339" spans="1:67">
      <c r="A339" s="1">
        <f>HYPERLINK("https://lsnyc.legalserver.org/matter/dynamic-profile/view/1906922","19-1906922")</f>
        <v>0</v>
      </c>
      <c r="B339" t="s">
        <v>93</v>
      </c>
      <c r="C339" t="s">
        <v>246</v>
      </c>
      <c r="D339" t="s">
        <v>450</v>
      </c>
      <c r="F339" t="s">
        <v>1223</v>
      </c>
      <c r="G339" t="s">
        <v>2886</v>
      </c>
      <c r="H339" t="s">
        <v>4972</v>
      </c>
      <c r="I339" t="s">
        <v>6477</v>
      </c>
      <c r="J339" t="s">
        <v>7170</v>
      </c>
      <c r="K339">
        <v>10452</v>
      </c>
      <c r="N339" t="s">
        <v>7237</v>
      </c>
      <c r="O339" t="s">
        <v>7536</v>
      </c>
      <c r="P339">
        <v>1</v>
      </c>
      <c r="Q339">
        <v>0</v>
      </c>
      <c r="R339">
        <v>80.7</v>
      </c>
      <c r="U339">
        <v>10080</v>
      </c>
      <c r="W339">
        <v>0</v>
      </c>
      <c r="Y339" t="s">
        <v>93</v>
      </c>
      <c r="AA339" t="s">
        <v>10974</v>
      </c>
      <c r="AC339" t="s">
        <v>11081</v>
      </c>
      <c r="AE339" t="s">
        <v>11117</v>
      </c>
      <c r="AH339" t="s">
        <v>10974</v>
      </c>
      <c r="AJ339" t="s">
        <v>11134</v>
      </c>
      <c r="AK339" t="s">
        <v>7225</v>
      </c>
      <c r="AM339">
        <v>671.5</v>
      </c>
      <c r="AO339">
        <v>65</v>
      </c>
      <c r="AQ339" t="s">
        <v>11157</v>
      </c>
      <c r="AS339" t="s">
        <v>11173</v>
      </c>
      <c r="AU339">
        <v>38</v>
      </c>
      <c r="AW339" t="s">
        <v>11189</v>
      </c>
      <c r="AX339" t="s">
        <v>11212</v>
      </c>
      <c r="AZ339" t="s">
        <v>11221</v>
      </c>
      <c r="BE339" t="s">
        <v>11917</v>
      </c>
      <c r="BF339" t="s">
        <v>14364</v>
      </c>
      <c r="BM339" t="s">
        <v>15650</v>
      </c>
    </row>
    <row r="340" spans="1:67">
      <c r="A340" s="1">
        <f>HYPERLINK("https://lsnyc.legalserver.org/matter/dynamic-profile/view/1895928","19-1895928")</f>
        <v>0</v>
      </c>
      <c r="B340" t="s">
        <v>93</v>
      </c>
      <c r="C340" t="s">
        <v>246</v>
      </c>
      <c r="D340" t="s">
        <v>295</v>
      </c>
      <c r="F340" t="s">
        <v>1329</v>
      </c>
      <c r="G340" t="s">
        <v>3111</v>
      </c>
      <c r="H340" t="s">
        <v>4956</v>
      </c>
      <c r="I340" t="s">
        <v>6539</v>
      </c>
      <c r="J340" t="s">
        <v>7170</v>
      </c>
      <c r="K340">
        <v>10458</v>
      </c>
      <c r="N340" t="s">
        <v>7237</v>
      </c>
      <c r="O340" t="s">
        <v>7537</v>
      </c>
      <c r="P340">
        <v>3</v>
      </c>
      <c r="Q340">
        <v>0</v>
      </c>
      <c r="R340">
        <v>169.92</v>
      </c>
      <c r="U340">
        <v>36244</v>
      </c>
      <c r="W340">
        <v>0</v>
      </c>
      <c r="Y340" t="s">
        <v>93</v>
      </c>
      <c r="AA340" t="s">
        <v>10974</v>
      </c>
      <c r="AB340" t="s">
        <v>10987</v>
      </c>
      <c r="AD340" t="s">
        <v>11098</v>
      </c>
      <c r="AF340" t="s">
        <v>11122</v>
      </c>
      <c r="AH340" t="s">
        <v>10974</v>
      </c>
      <c r="AJ340" t="s">
        <v>11141</v>
      </c>
      <c r="AK340" t="s">
        <v>7225</v>
      </c>
      <c r="AM340">
        <v>1125</v>
      </c>
      <c r="AO340">
        <v>136</v>
      </c>
      <c r="AQ340" t="s">
        <v>11157</v>
      </c>
      <c r="AR340" t="s">
        <v>11172</v>
      </c>
      <c r="AU340">
        <v>19</v>
      </c>
      <c r="AW340" t="s">
        <v>11189</v>
      </c>
      <c r="AZ340" t="s">
        <v>11221</v>
      </c>
      <c r="BD340" t="s">
        <v>11667</v>
      </c>
      <c r="BG340" t="s">
        <v>14462</v>
      </c>
      <c r="BM340" t="s">
        <v>15650</v>
      </c>
    </row>
    <row r="341" spans="1:67">
      <c r="A341" s="1">
        <f>HYPERLINK("https://lsnyc.legalserver.org/matter/dynamic-profile/view/1859264","18-1859264")</f>
        <v>0</v>
      </c>
      <c r="B341" t="s">
        <v>94</v>
      </c>
      <c r="C341" t="s">
        <v>246</v>
      </c>
      <c r="D341" t="s">
        <v>451</v>
      </c>
      <c r="F341" t="s">
        <v>1330</v>
      </c>
      <c r="G341" t="s">
        <v>3112</v>
      </c>
      <c r="H341" t="s">
        <v>4973</v>
      </c>
      <c r="I341">
        <v>120</v>
      </c>
      <c r="J341" t="s">
        <v>7170</v>
      </c>
      <c r="K341">
        <v>10453</v>
      </c>
      <c r="N341" t="s">
        <v>7237</v>
      </c>
      <c r="O341" t="s">
        <v>7538</v>
      </c>
      <c r="P341">
        <v>1</v>
      </c>
      <c r="Q341">
        <v>1</v>
      </c>
      <c r="R341">
        <v>59.11</v>
      </c>
      <c r="U341">
        <v>9600</v>
      </c>
      <c r="W341">
        <v>2.4</v>
      </c>
      <c r="X341" t="s">
        <v>389</v>
      </c>
      <c r="Y341" t="s">
        <v>10897</v>
      </c>
      <c r="AA341" t="s">
        <v>10974</v>
      </c>
      <c r="AB341" t="s">
        <v>381</v>
      </c>
      <c r="AD341" t="s">
        <v>11096</v>
      </c>
      <c r="AF341" t="s">
        <v>11122</v>
      </c>
      <c r="AH341" t="s">
        <v>10974</v>
      </c>
      <c r="AJ341" t="s">
        <v>11134</v>
      </c>
      <c r="AK341" t="s">
        <v>7225</v>
      </c>
      <c r="AM341">
        <v>725.22</v>
      </c>
      <c r="AO341">
        <v>146</v>
      </c>
      <c r="AQ341" t="s">
        <v>11157</v>
      </c>
      <c r="AS341" t="s">
        <v>11175</v>
      </c>
      <c r="AU341">
        <v>34</v>
      </c>
      <c r="AW341" t="s">
        <v>11187</v>
      </c>
      <c r="AZ341" t="s">
        <v>11221</v>
      </c>
      <c r="BB341" t="s">
        <v>11224</v>
      </c>
      <c r="BC341" t="s">
        <v>11262</v>
      </c>
      <c r="BE341" t="s">
        <v>11918</v>
      </c>
      <c r="BF341" t="s">
        <v>14364</v>
      </c>
      <c r="BM341" t="s">
        <v>15650</v>
      </c>
    </row>
    <row r="342" spans="1:67">
      <c r="A342" s="1">
        <f>HYPERLINK("https://lsnyc.legalserver.org/matter/dynamic-profile/view/1868260","18-1868260")</f>
        <v>0</v>
      </c>
      <c r="B342" t="s">
        <v>94</v>
      </c>
      <c r="C342" t="s">
        <v>246</v>
      </c>
      <c r="D342" t="s">
        <v>452</v>
      </c>
      <c r="E342" t="s">
        <v>426</v>
      </c>
      <c r="F342" t="s">
        <v>1331</v>
      </c>
      <c r="G342" t="s">
        <v>3113</v>
      </c>
      <c r="H342" t="s">
        <v>4974</v>
      </c>
      <c r="I342" t="s">
        <v>6540</v>
      </c>
      <c r="J342" t="s">
        <v>7170</v>
      </c>
      <c r="K342">
        <v>10452</v>
      </c>
      <c r="L342" t="s">
        <v>7219</v>
      </c>
      <c r="N342" t="s">
        <v>7237</v>
      </c>
      <c r="O342" t="s">
        <v>7539</v>
      </c>
      <c r="P342">
        <v>1</v>
      </c>
      <c r="Q342">
        <v>0</v>
      </c>
      <c r="R342">
        <v>247.31</v>
      </c>
      <c r="S342" t="s">
        <v>10255</v>
      </c>
      <c r="U342">
        <v>30024</v>
      </c>
      <c r="W342">
        <v>53.65</v>
      </c>
      <c r="X342" t="s">
        <v>511</v>
      </c>
      <c r="Y342" t="s">
        <v>216</v>
      </c>
      <c r="AA342" t="s">
        <v>10974</v>
      </c>
      <c r="AB342" t="s">
        <v>939</v>
      </c>
      <c r="AD342" t="s">
        <v>11082</v>
      </c>
      <c r="AF342" t="s">
        <v>11118</v>
      </c>
      <c r="AG342" t="s">
        <v>11124</v>
      </c>
      <c r="AJ342" t="s">
        <v>11143</v>
      </c>
      <c r="AK342" t="s">
        <v>7225</v>
      </c>
      <c r="AM342">
        <v>278</v>
      </c>
      <c r="AO342">
        <v>42</v>
      </c>
      <c r="AQ342" t="s">
        <v>11157</v>
      </c>
      <c r="AR342" t="s">
        <v>11172</v>
      </c>
      <c r="AU342">
        <v>14</v>
      </c>
      <c r="AW342" t="s">
        <v>11187</v>
      </c>
      <c r="AY342" t="s">
        <v>11213</v>
      </c>
      <c r="BA342" t="s">
        <v>11222</v>
      </c>
      <c r="BE342" t="s">
        <v>11919</v>
      </c>
      <c r="BG342" t="s">
        <v>14476</v>
      </c>
      <c r="BI342" t="s">
        <v>15608</v>
      </c>
      <c r="BK342" t="s">
        <v>15622</v>
      </c>
      <c r="BM342" t="s">
        <v>15651</v>
      </c>
      <c r="BN342" t="s">
        <v>15652</v>
      </c>
      <c r="BO342" t="s">
        <v>15665</v>
      </c>
    </row>
    <row r="343" spans="1:67">
      <c r="A343" s="1">
        <f>HYPERLINK("https://lsnyc.legalserver.org/matter/dynamic-profile/view/0830619","17-0830619")</f>
        <v>0</v>
      </c>
      <c r="B343" t="s">
        <v>94</v>
      </c>
      <c r="C343" t="s">
        <v>246</v>
      </c>
      <c r="D343" t="s">
        <v>385</v>
      </c>
      <c r="F343" t="s">
        <v>1332</v>
      </c>
      <c r="G343" t="s">
        <v>2889</v>
      </c>
      <c r="H343" t="s">
        <v>4975</v>
      </c>
      <c r="I343" t="s">
        <v>6471</v>
      </c>
      <c r="J343" t="s">
        <v>7170</v>
      </c>
      <c r="K343">
        <v>10452</v>
      </c>
      <c r="N343" t="s">
        <v>7237</v>
      </c>
      <c r="O343" t="s">
        <v>7540</v>
      </c>
      <c r="P343">
        <v>2</v>
      </c>
      <c r="Q343">
        <v>0</v>
      </c>
      <c r="R343">
        <v>512.3200000000001</v>
      </c>
      <c r="U343">
        <v>83200</v>
      </c>
      <c r="W343">
        <v>2.75</v>
      </c>
      <c r="X343" t="s">
        <v>356</v>
      </c>
      <c r="Y343" t="s">
        <v>10899</v>
      </c>
      <c r="AA343" t="s">
        <v>10974</v>
      </c>
      <c r="AB343" t="s">
        <v>1050</v>
      </c>
      <c r="AD343" t="s">
        <v>11104</v>
      </c>
      <c r="AF343" t="s">
        <v>11120</v>
      </c>
      <c r="AH343" t="s">
        <v>10974</v>
      </c>
      <c r="AJ343" t="s">
        <v>11141</v>
      </c>
      <c r="AK343" t="s">
        <v>7225</v>
      </c>
      <c r="AM343">
        <v>748.29</v>
      </c>
      <c r="AO343">
        <v>130</v>
      </c>
      <c r="AQ343" t="s">
        <v>11157</v>
      </c>
      <c r="AR343" t="s">
        <v>11172</v>
      </c>
      <c r="AU343">
        <v>10</v>
      </c>
      <c r="AW343" t="s">
        <v>11187</v>
      </c>
      <c r="AZ343" t="s">
        <v>11221</v>
      </c>
      <c r="BE343" t="s">
        <v>11920</v>
      </c>
      <c r="BF343" t="s">
        <v>14364</v>
      </c>
      <c r="BM343" t="s">
        <v>15650</v>
      </c>
    </row>
    <row r="344" spans="1:67">
      <c r="A344" s="1">
        <f>HYPERLINK("https://lsnyc.legalserver.org/matter/dynamic-profile/view/1859672","18-1859672")</f>
        <v>0</v>
      </c>
      <c r="B344" t="s">
        <v>94</v>
      </c>
      <c r="C344" t="s">
        <v>246</v>
      </c>
      <c r="D344" t="s">
        <v>453</v>
      </c>
      <c r="F344" t="s">
        <v>1333</v>
      </c>
      <c r="G344" t="s">
        <v>3114</v>
      </c>
      <c r="H344" t="s">
        <v>4973</v>
      </c>
      <c r="I344">
        <v>417</v>
      </c>
      <c r="J344" t="s">
        <v>7170</v>
      </c>
      <c r="K344">
        <v>10453</v>
      </c>
      <c r="N344" t="s">
        <v>7237</v>
      </c>
      <c r="O344" t="s">
        <v>7541</v>
      </c>
      <c r="P344">
        <v>4</v>
      </c>
      <c r="Q344">
        <v>1</v>
      </c>
      <c r="R344">
        <v>264.25</v>
      </c>
      <c r="U344">
        <v>93860</v>
      </c>
      <c r="W344">
        <v>0.6</v>
      </c>
      <c r="X344" t="s">
        <v>522</v>
      </c>
      <c r="Y344" t="s">
        <v>10897</v>
      </c>
      <c r="AA344" t="s">
        <v>10974</v>
      </c>
      <c r="AB344" t="s">
        <v>952</v>
      </c>
      <c r="AD344" t="s">
        <v>11096</v>
      </c>
      <c r="AF344" t="s">
        <v>11122</v>
      </c>
      <c r="AH344" t="s">
        <v>10974</v>
      </c>
      <c r="AJ344" t="s">
        <v>11134</v>
      </c>
      <c r="AK344" t="s">
        <v>7225</v>
      </c>
      <c r="AM344">
        <v>988</v>
      </c>
      <c r="AO344">
        <v>146</v>
      </c>
      <c r="AQ344" t="s">
        <v>11157</v>
      </c>
      <c r="AS344" t="s">
        <v>11173</v>
      </c>
      <c r="AU344">
        <v>7</v>
      </c>
      <c r="AW344" t="s">
        <v>11189</v>
      </c>
      <c r="AZ344" t="s">
        <v>11221</v>
      </c>
      <c r="BE344" t="s">
        <v>11921</v>
      </c>
      <c r="BF344" t="s">
        <v>14364</v>
      </c>
      <c r="BM344" t="s">
        <v>15650</v>
      </c>
    </row>
    <row r="345" spans="1:67">
      <c r="A345" s="1">
        <f>HYPERLINK("https://lsnyc.legalserver.org/matter/dynamic-profile/view/1859703","18-1859703")</f>
        <v>0</v>
      </c>
      <c r="B345" t="s">
        <v>94</v>
      </c>
      <c r="C345" t="s">
        <v>246</v>
      </c>
      <c r="D345" t="s">
        <v>453</v>
      </c>
      <c r="F345" t="s">
        <v>1334</v>
      </c>
      <c r="G345" t="s">
        <v>3115</v>
      </c>
      <c r="H345" t="s">
        <v>4973</v>
      </c>
      <c r="I345">
        <v>517</v>
      </c>
      <c r="J345" t="s">
        <v>7170</v>
      </c>
      <c r="K345">
        <v>10453</v>
      </c>
      <c r="N345" t="s">
        <v>7237</v>
      </c>
      <c r="O345" t="s">
        <v>7542</v>
      </c>
      <c r="P345">
        <v>1</v>
      </c>
      <c r="Q345">
        <v>0</v>
      </c>
      <c r="R345">
        <v>110.95</v>
      </c>
      <c r="U345">
        <v>13380</v>
      </c>
      <c r="W345">
        <v>0.1</v>
      </c>
      <c r="X345" t="s">
        <v>717</v>
      </c>
      <c r="Y345" t="s">
        <v>10897</v>
      </c>
      <c r="AA345" t="s">
        <v>10974</v>
      </c>
      <c r="AB345" t="s">
        <v>825</v>
      </c>
      <c r="AD345" t="s">
        <v>11096</v>
      </c>
      <c r="AF345" t="s">
        <v>11122</v>
      </c>
      <c r="AH345" t="s">
        <v>10974</v>
      </c>
      <c r="AJ345" t="s">
        <v>11134</v>
      </c>
      <c r="AK345" t="s">
        <v>7225</v>
      </c>
      <c r="AM345">
        <v>1017.67</v>
      </c>
      <c r="AO345">
        <v>146</v>
      </c>
      <c r="AQ345" t="s">
        <v>11157</v>
      </c>
      <c r="AS345" t="s">
        <v>11173</v>
      </c>
      <c r="AU345">
        <v>10</v>
      </c>
      <c r="AW345" t="s">
        <v>11189</v>
      </c>
      <c r="AZ345" t="s">
        <v>11221</v>
      </c>
      <c r="BE345" t="s">
        <v>11922</v>
      </c>
      <c r="BF345" t="s">
        <v>14364</v>
      </c>
      <c r="BM345" t="s">
        <v>15650</v>
      </c>
    </row>
    <row r="346" spans="1:67">
      <c r="A346" s="1">
        <f>HYPERLINK("https://lsnyc.legalserver.org/matter/dynamic-profile/view/0830595","17-0830595")</f>
        <v>0</v>
      </c>
      <c r="B346" t="s">
        <v>94</v>
      </c>
      <c r="C346" t="s">
        <v>246</v>
      </c>
      <c r="D346" t="s">
        <v>385</v>
      </c>
      <c r="F346" t="s">
        <v>1335</v>
      </c>
      <c r="G346" t="s">
        <v>3116</v>
      </c>
      <c r="H346" t="s">
        <v>4975</v>
      </c>
      <c r="I346" t="s">
        <v>6541</v>
      </c>
      <c r="J346" t="s">
        <v>7170</v>
      </c>
      <c r="K346">
        <v>10452</v>
      </c>
      <c r="N346" t="s">
        <v>7237</v>
      </c>
      <c r="O346" t="s">
        <v>7543</v>
      </c>
      <c r="P346">
        <v>2</v>
      </c>
      <c r="Q346">
        <v>0</v>
      </c>
      <c r="R346">
        <v>264.78</v>
      </c>
      <c r="U346">
        <v>43000</v>
      </c>
      <c r="W346">
        <v>0.5</v>
      </c>
      <c r="X346" t="s">
        <v>385</v>
      </c>
      <c r="Y346" t="s">
        <v>10899</v>
      </c>
      <c r="AA346" t="s">
        <v>10974</v>
      </c>
      <c r="AB346" t="s">
        <v>694</v>
      </c>
      <c r="AD346" t="s">
        <v>11085</v>
      </c>
      <c r="AF346" t="s">
        <v>11118</v>
      </c>
      <c r="AH346" t="s">
        <v>10974</v>
      </c>
      <c r="AI346" t="s">
        <v>11126</v>
      </c>
      <c r="AK346" t="s">
        <v>7225</v>
      </c>
      <c r="AM346">
        <v>1053.7</v>
      </c>
      <c r="AN346" t="s">
        <v>11151</v>
      </c>
      <c r="AO346" t="s">
        <v>11153</v>
      </c>
      <c r="AQ346" t="s">
        <v>11157</v>
      </c>
      <c r="AR346" t="s">
        <v>11172</v>
      </c>
      <c r="AU346">
        <v>10</v>
      </c>
      <c r="AW346" t="s">
        <v>11187</v>
      </c>
      <c r="AZ346" t="s">
        <v>11221</v>
      </c>
      <c r="BD346" t="s">
        <v>11667</v>
      </c>
      <c r="BG346" t="s">
        <v>14477</v>
      </c>
      <c r="BM346" t="s">
        <v>15650</v>
      </c>
    </row>
    <row r="347" spans="1:67">
      <c r="A347" s="1">
        <f>HYPERLINK("https://lsnyc.legalserver.org/matter/dynamic-profile/view/0805358","16-0805358")</f>
        <v>0</v>
      </c>
      <c r="B347" t="s">
        <v>94</v>
      </c>
      <c r="C347" t="s">
        <v>246</v>
      </c>
      <c r="D347" t="s">
        <v>454</v>
      </c>
      <c r="F347" t="s">
        <v>1336</v>
      </c>
      <c r="G347" t="s">
        <v>3117</v>
      </c>
      <c r="H347" t="s">
        <v>4976</v>
      </c>
      <c r="I347" t="s">
        <v>6542</v>
      </c>
      <c r="J347" t="s">
        <v>7170</v>
      </c>
      <c r="K347">
        <v>10453</v>
      </c>
      <c r="N347" t="s">
        <v>7237</v>
      </c>
      <c r="O347" t="s">
        <v>7544</v>
      </c>
      <c r="P347">
        <v>2</v>
      </c>
      <c r="Q347">
        <v>2</v>
      </c>
      <c r="R347">
        <v>77.56999999999999</v>
      </c>
      <c r="U347">
        <v>18850</v>
      </c>
      <c r="W347">
        <v>12.1</v>
      </c>
      <c r="X347" t="s">
        <v>10810</v>
      </c>
      <c r="Y347" t="s">
        <v>10897</v>
      </c>
      <c r="AA347" t="s">
        <v>10974</v>
      </c>
      <c r="AB347" t="s">
        <v>1001</v>
      </c>
      <c r="AD347" t="s">
        <v>11096</v>
      </c>
      <c r="AF347" t="s">
        <v>11120</v>
      </c>
      <c r="AH347" t="s">
        <v>10974</v>
      </c>
      <c r="AJ347" t="s">
        <v>11134</v>
      </c>
      <c r="AK347" t="s">
        <v>7225</v>
      </c>
      <c r="AM347">
        <v>1700</v>
      </c>
      <c r="AO347">
        <v>99</v>
      </c>
      <c r="AQ347" t="s">
        <v>11157</v>
      </c>
      <c r="AR347" t="s">
        <v>11172</v>
      </c>
      <c r="AU347">
        <v>2</v>
      </c>
      <c r="AW347" t="s">
        <v>11197</v>
      </c>
      <c r="AZ347" t="s">
        <v>11221</v>
      </c>
      <c r="BD347" t="s">
        <v>11667</v>
      </c>
      <c r="BF347" t="s">
        <v>14364</v>
      </c>
      <c r="BM347" t="s">
        <v>15650</v>
      </c>
    </row>
    <row r="348" spans="1:67">
      <c r="A348" s="1">
        <f>HYPERLINK("https://lsnyc.legalserver.org/matter/dynamic-profile/view/1859656","18-1859656")</f>
        <v>0</v>
      </c>
      <c r="B348" t="s">
        <v>94</v>
      </c>
      <c r="C348" t="s">
        <v>246</v>
      </c>
      <c r="D348" t="s">
        <v>453</v>
      </c>
      <c r="F348" t="s">
        <v>1337</v>
      </c>
      <c r="G348" t="s">
        <v>3118</v>
      </c>
      <c r="H348" t="s">
        <v>4973</v>
      </c>
      <c r="I348">
        <v>516</v>
      </c>
      <c r="J348" t="s">
        <v>7170</v>
      </c>
      <c r="K348">
        <v>10453</v>
      </c>
      <c r="N348" t="s">
        <v>7237</v>
      </c>
      <c r="O348" t="s">
        <v>7545</v>
      </c>
      <c r="P348">
        <v>1</v>
      </c>
      <c r="Q348">
        <v>2</v>
      </c>
      <c r="R348">
        <v>69.27</v>
      </c>
      <c r="U348">
        <v>14144</v>
      </c>
      <c r="W348">
        <v>1.1</v>
      </c>
      <c r="X348" t="s">
        <v>687</v>
      </c>
      <c r="Y348" t="s">
        <v>10897</v>
      </c>
      <c r="AA348" t="s">
        <v>10974</v>
      </c>
      <c r="AB348" t="s">
        <v>381</v>
      </c>
      <c r="AD348" t="s">
        <v>11096</v>
      </c>
      <c r="AF348" t="s">
        <v>11122</v>
      </c>
      <c r="AH348" t="s">
        <v>10974</v>
      </c>
      <c r="AJ348" t="s">
        <v>11134</v>
      </c>
      <c r="AK348" t="s">
        <v>7225</v>
      </c>
      <c r="AM348">
        <v>965</v>
      </c>
      <c r="AO348">
        <v>146</v>
      </c>
      <c r="AQ348" t="s">
        <v>11157</v>
      </c>
      <c r="AS348" t="s">
        <v>11178</v>
      </c>
      <c r="AU348">
        <v>11</v>
      </c>
      <c r="AW348" t="s">
        <v>11189</v>
      </c>
      <c r="AZ348" t="s">
        <v>11221</v>
      </c>
      <c r="BE348" t="s">
        <v>11923</v>
      </c>
      <c r="BF348" t="s">
        <v>14364</v>
      </c>
      <c r="BM348" t="s">
        <v>15650</v>
      </c>
    </row>
    <row r="349" spans="1:67">
      <c r="A349" s="1">
        <f>HYPERLINK("https://lsnyc.legalserver.org/matter/dynamic-profile/view/1836298","17-1836298")</f>
        <v>0</v>
      </c>
      <c r="B349" t="s">
        <v>94</v>
      </c>
      <c r="C349" t="s">
        <v>246</v>
      </c>
      <c r="D349" t="s">
        <v>455</v>
      </c>
      <c r="F349" t="s">
        <v>1140</v>
      </c>
      <c r="G349" t="s">
        <v>2938</v>
      </c>
      <c r="H349" t="s">
        <v>4975</v>
      </c>
      <c r="I349" t="s">
        <v>6501</v>
      </c>
      <c r="J349" t="s">
        <v>7170</v>
      </c>
      <c r="K349">
        <v>10452</v>
      </c>
      <c r="N349" t="s">
        <v>7237</v>
      </c>
      <c r="O349" t="s">
        <v>7546</v>
      </c>
      <c r="P349">
        <v>2</v>
      </c>
      <c r="Q349">
        <v>2</v>
      </c>
      <c r="R349">
        <v>166.67</v>
      </c>
      <c r="U349">
        <v>41000</v>
      </c>
      <c r="W349">
        <v>0</v>
      </c>
      <c r="Y349" t="s">
        <v>10900</v>
      </c>
      <c r="AA349" t="s">
        <v>10974</v>
      </c>
      <c r="AB349" t="s">
        <v>694</v>
      </c>
      <c r="AC349" t="s">
        <v>11081</v>
      </c>
      <c r="AF349" t="s">
        <v>11120</v>
      </c>
      <c r="AH349" t="s">
        <v>10974</v>
      </c>
      <c r="AJ349" t="s">
        <v>11134</v>
      </c>
      <c r="AK349" t="s">
        <v>7225</v>
      </c>
      <c r="AM349">
        <v>968.8</v>
      </c>
      <c r="AN349" t="s">
        <v>11151</v>
      </c>
      <c r="AO349" t="s">
        <v>11153</v>
      </c>
      <c r="AQ349" t="s">
        <v>11157</v>
      </c>
      <c r="AS349" t="s">
        <v>11173</v>
      </c>
      <c r="AU349">
        <v>8</v>
      </c>
      <c r="AW349" t="s">
        <v>11189</v>
      </c>
      <c r="AZ349" t="s">
        <v>11221</v>
      </c>
      <c r="BB349" t="s">
        <v>11224</v>
      </c>
      <c r="BC349" t="s">
        <v>11263</v>
      </c>
      <c r="BE349" t="s">
        <v>11924</v>
      </c>
      <c r="BF349" t="s">
        <v>14364</v>
      </c>
      <c r="BM349" t="s">
        <v>15650</v>
      </c>
    </row>
    <row r="350" spans="1:67">
      <c r="A350" s="1">
        <f>HYPERLINK("https://lsnyc.legalserver.org/matter/dynamic-profile/view/1859453","18-1859453")</f>
        <v>0</v>
      </c>
      <c r="B350" t="s">
        <v>94</v>
      </c>
      <c r="C350" t="s">
        <v>246</v>
      </c>
      <c r="D350" t="s">
        <v>456</v>
      </c>
      <c r="F350" t="s">
        <v>1338</v>
      </c>
      <c r="G350" t="s">
        <v>3036</v>
      </c>
      <c r="H350" t="s">
        <v>4973</v>
      </c>
      <c r="I350">
        <v>123</v>
      </c>
      <c r="J350" t="s">
        <v>7170</v>
      </c>
      <c r="K350">
        <v>10453</v>
      </c>
      <c r="N350" t="s">
        <v>7237</v>
      </c>
      <c r="O350" t="s">
        <v>7547</v>
      </c>
      <c r="P350">
        <v>1</v>
      </c>
      <c r="Q350">
        <v>0</v>
      </c>
      <c r="R350">
        <v>129.35</v>
      </c>
      <c r="U350">
        <v>15600</v>
      </c>
      <c r="W350">
        <v>0.6</v>
      </c>
      <c r="X350" t="s">
        <v>836</v>
      </c>
      <c r="Y350" t="s">
        <v>10897</v>
      </c>
      <c r="AA350" t="s">
        <v>10974</v>
      </c>
      <c r="AB350" t="s">
        <v>381</v>
      </c>
      <c r="AD350" t="s">
        <v>11096</v>
      </c>
      <c r="AF350" t="s">
        <v>11122</v>
      </c>
      <c r="AH350" t="s">
        <v>10974</v>
      </c>
      <c r="AJ350" t="s">
        <v>11134</v>
      </c>
      <c r="AK350" t="s">
        <v>7225</v>
      </c>
      <c r="AM350">
        <v>990.26</v>
      </c>
      <c r="AO350">
        <v>146</v>
      </c>
      <c r="AQ350" t="s">
        <v>11157</v>
      </c>
      <c r="AS350" t="s">
        <v>11173</v>
      </c>
      <c r="AU350">
        <v>6</v>
      </c>
      <c r="AW350" t="s">
        <v>11189</v>
      </c>
      <c r="AZ350" t="s">
        <v>11221</v>
      </c>
      <c r="BE350" t="s">
        <v>11925</v>
      </c>
      <c r="BF350" t="s">
        <v>14364</v>
      </c>
      <c r="BM350" t="s">
        <v>15650</v>
      </c>
    </row>
    <row r="351" spans="1:67">
      <c r="A351" s="1">
        <f>HYPERLINK("https://lsnyc.legalserver.org/matter/dynamic-profile/view/1859460","18-1859460")</f>
        <v>0</v>
      </c>
      <c r="B351" t="s">
        <v>94</v>
      </c>
      <c r="C351" t="s">
        <v>246</v>
      </c>
      <c r="D351" t="s">
        <v>456</v>
      </c>
      <c r="F351" t="s">
        <v>1339</v>
      </c>
      <c r="G351" t="s">
        <v>1178</v>
      </c>
      <c r="H351" t="s">
        <v>4973</v>
      </c>
      <c r="I351">
        <v>108</v>
      </c>
      <c r="J351" t="s">
        <v>7170</v>
      </c>
      <c r="K351">
        <v>10453</v>
      </c>
      <c r="N351" t="s">
        <v>7237</v>
      </c>
      <c r="O351" t="s">
        <v>7548</v>
      </c>
      <c r="P351">
        <v>3</v>
      </c>
      <c r="Q351">
        <v>0</v>
      </c>
      <c r="R351">
        <v>125.37</v>
      </c>
      <c r="U351">
        <v>46400</v>
      </c>
      <c r="W351">
        <v>0.1</v>
      </c>
      <c r="X351" t="s">
        <v>717</v>
      </c>
      <c r="Y351" t="s">
        <v>10897</v>
      </c>
      <c r="AA351" t="s">
        <v>10974</v>
      </c>
      <c r="AB351" t="s">
        <v>757</v>
      </c>
      <c r="AD351" t="s">
        <v>11096</v>
      </c>
      <c r="AF351" t="s">
        <v>11122</v>
      </c>
      <c r="AH351" t="s">
        <v>10974</v>
      </c>
      <c r="AJ351" t="s">
        <v>11134</v>
      </c>
      <c r="AK351" t="s">
        <v>7225</v>
      </c>
      <c r="AM351">
        <v>1060</v>
      </c>
      <c r="AO351">
        <v>146</v>
      </c>
      <c r="AQ351" t="s">
        <v>11157</v>
      </c>
      <c r="AS351" t="s">
        <v>11173</v>
      </c>
      <c r="AU351">
        <v>11</v>
      </c>
      <c r="AW351" t="s">
        <v>11189</v>
      </c>
      <c r="AZ351" t="s">
        <v>11221</v>
      </c>
      <c r="BB351" t="s">
        <v>11224</v>
      </c>
      <c r="BC351">
        <v>687441</v>
      </c>
      <c r="BE351" t="s">
        <v>11926</v>
      </c>
      <c r="BF351" t="s">
        <v>14364</v>
      </c>
      <c r="BM351" t="s">
        <v>15650</v>
      </c>
    </row>
    <row r="352" spans="1:67">
      <c r="A352" s="1">
        <f>HYPERLINK("https://lsnyc.legalserver.org/matter/dynamic-profile/view/0817858","16-0817858")</f>
        <v>0</v>
      </c>
      <c r="B352" t="s">
        <v>94</v>
      </c>
      <c r="C352" t="s">
        <v>246</v>
      </c>
      <c r="D352" t="s">
        <v>457</v>
      </c>
      <c r="F352" t="s">
        <v>1340</v>
      </c>
      <c r="G352" t="s">
        <v>3119</v>
      </c>
      <c r="H352" t="s">
        <v>4975</v>
      </c>
      <c r="I352" t="s">
        <v>6543</v>
      </c>
      <c r="J352" t="s">
        <v>7170</v>
      </c>
      <c r="K352">
        <v>10452</v>
      </c>
      <c r="N352" t="s">
        <v>7237</v>
      </c>
      <c r="O352" t="s">
        <v>7549</v>
      </c>
      <c r="P352">
        <v>1</v>
      </c>
      <c r="Q352">
        <v>0</v>
      </c>
      <c r="R352">
        <v>120.37</v>
      </c>
      <c r="U352">
        <v>14300</v>
      </c>
      <c r="W352">
        <v>0.5</v>
      </c>
      <c r="X352" t="s">
        <v>457</v>
      </c>
      <c r="Y352" t="s">
        <v>10899</v>
      </c>
      <c r="AA352" t="s">
        <v>10974</v>
      </c>
      <c r="AB352" t="s">
        <v>838</v>
      </c>
      <c r="AC352" t="s">
        <v>11081</v>
      </c>
      <c r="AF352" t="s">
        <v>11120</v>
      </c>
      <c r="AH352" t="s">
        <v>10974</v>
      </c>
      <c r="AJ352" t="s">
        <v>11130</v>
      </c>
      <c r="AK352" t="s">
        <v>7225</v>
      </c>
      <c r="AM352">
        <v>879</v>
      </c>
      <c r="AO352">
        <v>130</v>
      </c>
      <c r="AQ352" t="s">
        <v>11160</v>
      </c>
      <c r="AR352" t="s">
        <v>11172</v>
      </c>
      <c r="AU352">
        <v>8</v>
      </c>
      <c r="AW352" t="s">
        <v>11189</v>
      </c>
      <c r="AZ352" t="s">
        <v>11221</v>
      </c>
      <c r="BE352" t="s">
        <v>11927</v>
      </c>
      <c r="BF352" t="s">
        <v>14364</v>
      </c>
      <c r="BM352" t="s">
        <v>15650</v>
      </c>
    </row>
    <row r="353" spans="1:67">
      <c r="A353" s="1">
        <f>HYPERLINK("https://lsnyc.legalserver.org/matter/dynamic-profile/view/1836321","17-1836321")</f>
        <v>0</v>
      </c>
      <c r="B353" t="s">
        <v>94</v>
      </c>
      <c r="C353" t="s">
        <v>246</v>
      </c>
      <c r="D353" t="s">
        <v>455</v>
      </c>
      <c r="F353" t="s">
        <v>1341</v>
      </c>
      <c r="G353" t="s">
        <v>2938</v>
      </c>
      <c r="H353" t="s">
        <v>4975</v>
      </c>
      <c r="J353" t="s">
        <v>7170</v>
      </c>
      <c r="K353">
        <v>10452</v>
      </c>
      <c r="N353" t="s">
        <v>7237</v>
      </c>
      <c r="O353" t="s">
        <v>7550</v>
      </c>
      <c r="P353">
        <v>2</v>
      </c>
      <c r="Q353">
        <v>2</v>
      </c>
      <c r="R353">
        <v>166.67</v>
      </c>
      <c r="U353">
        <v>41000</v>
      </c>
      <c r="W353">
        <v>0</v>
      </c>
      <c r="Y353" t="s">
        <v>10900</v>
      </c>
      <c r="AA353" t="s">
        <v>10974</v>
      </c>
      <c r="AB353" t="s">
        <v>694</v>
      </c>
      <c r="AC353" t="s">
        <v>11081</v>
      </c>
      <c r="AF353" t="s">
        <v>11120</v>
      </c>
      <c r="AH353" t="s">
        <v>10974</v>
      </c>
      <c r="AJ353" t="s">
        <v>11134</v>
      </c>
      <c r="AK353" t="s">
        <v>7225</v>
      </c>
      <c r="AM353">
        <v>968.8</v>
      </c>
      <c r="AN353" t="s">
        <v>11151</v>
      </c>
      <c r="AO353" t="s">
        <v>11153</v>
      </c>
      <c r="AQ353" t="s">
        <v>11157</v>
      </c>
      <c r="AS353" t="s">
        <v>11173</v>
      </c>
      <c r="AU353">
        <v>8</v>
      </c>
      <c r="AW353" t="s">
        <v>11189</v>
      </c>
      <c r="AZ353" t="s">
        <v>11221</v>
      </c>
      <c r="BE353" t="s">
        <v>11928</v>
      </c>
      <c r="BF353" t="s">
        <v>14364</v>
      </c>
      <c r="BM353" t="s">
        <v>15650</v>
      </c>
    </row>
    <row r="354" spans="1:67">
      <c r="A354" s="1">
        <f>HYPERLINK("https://lsnyc.legalserver.org/matter/dynamic-profile/view/1859384","18-1859384")</f>
        <v>0</v>
      </c>
      <c r="B354" t="s">
        <v>94</v>
      </c>
      <c r="C354" t="s">
        <v>246</v>
      </c>
      <c r="D354" t="s">
        <v>456</v>
      </c>
      <c r="F354" t="s">
        <v>1342</v>
      </c>
      <c r="G354" t="s">
        <v>3120</v>
      </c>
      <c r="H354" t="s">
        <v>4973</v>
      </c>
      <c r="I354">
        <v>616</v>
      </c>
      <c r="J354" t="s">
        <v>7170</v>
      </c>
      <c r="K354">
        <v>10453</v>
      </c>
      <c r="N354" t="s">
        <v>7237</v>
      </c>
      <c r="O354" t="s">
        <v>7551</v>
      </c>
      <c r="P354">
        <v>1</v>
      </c>
      <c r="Q354">
        <v>0</v>
      </c>
      <c r="R354">
        <v>69.65000000000001</v>
      </c>
      <c r="U354">
        <v>8400</v>
      </c>
      <c r="W354">
        <v>0.1</v>
      </c>
      <c r="X354" t="s">
        <v>717</v>
      </c>
      <c r="Y354" t="s">
        <v>10897</v>
      </c>
      <c r="AA354" t="s">
        <v>10974</v>
      </c>
      <c r="AB354" t="s">
        <v>381</v>
      </c>
      <c r="AD354" t="s">
        <v>11096</v>
      </c>
      <c r="AF354" t="s">
        <v>11122</v>
      </c>
      <c r="AH354" t="s">
        <v>10974</v>
      </c>
      <c r="AJ354" t="s">
        <v>11134</v>
      </c>
      <c r="AK354" t="s">
        <v>7225</v>
      </c>
      <c r="AM354">
        <v>671</v>
      </c>
      <c r="AO354">
        <v>146</v>
      </c>
      <c r="AQ354" t="s">
        <v>11157</v>
      </c>
      <c r="AS354" t="s">
        <v>11175</v>
      </c>
      <c r="AU354">
        <v>30</v>
      </c>
      <c r="AW354" t="s">
        <v>11187</v>
      </c>
      <c r="AZ354" t="s">
        <v>11221</v>
      </c>
      <c r="BE354" t="s">
        <v>11929</v>
      </c>
      <c r="BF354" t="s">
        <v>14364</v>
      </c>
      <c r="BM354" t="s">
        <v>15650</v>
      </c>
    </row>
    <row r="355" spans="1:67">
      <c r="A355" s="1">
        <f>HYPERLINK("https://lsnyc.legalserver.org/matter/dynamic-profile/view/1836325","17-1836325")</f>
        <v>0</v>
      </c>
      <c r="B355" t="s">
        <v>94</v>
      </c>
      <c r="C355" t="s">
        <v>246</v>
      </c>
      <c r="D355" t="s">
        <v>455</v>
      </c>
      <c r="F355" t="s">
        <v>1341</v>
      </c>
      <c r="G355" t="s">
        <v>2938</v>
      </c>
      <c r="H355" t="s">
        <v>4975</v>
      </c>
      <c r="J355" t="s">
        <v>7170</v>
      </c>
      <c r="K355">
        <v>10452</v>
      </c>
      <c r="N355" t="s">
        <v>7237</v>
      </c>
      <c r="O355" t="s">
        <v>7550</v>
      </c>
      <c r="P355">
        <v>2</v>
      </c>
      <c r="Q355">
        <v>2</v>
      </c>
      <c r="R355">
        <v>166.67</v>
      </c>
      <c r="U355">
        <v>41000</v>
      </c>
      <c r="W355">
        <v>0</v>
      </c>
      <c r="Y355" t="s">
        <v>10900</v>
      </c>
      <c r="AA355" t="s">
        <v>10974</v>
      </c>
      <c r="AB355" t="s">
        <v>694</v>
      </c>
      <c r="AD355" t="s">
        <v>11085</v>
      </c>
      <c r="AF355" t="s">
        <v>11118</v>
      </c>
      <c r="AH355" t="s">
        <v>10974</v>
      </c>
      <c r="AJ355" t="s">
        <v>11134</v>
      </c>
      <c r="AK355" t="s">
        <v>7225</v>
      </c>
      <c r="AM355">
        <v>968</v>
      </c>
      <c r="AN355" t="s">
        <v>11151</v>
      </c>
      <c r="AO355" t="s">
        <v>11153</v>
      </c>
      <c r="AQ355" t="s">
        <v>11157</v>
      </c>
      <c r="AS355" t="s">
        <v>11173</v>
      </c>
      <c r="AU355">
        <v>8</v>
      </c>
      <c r="AW355" t="s">
        <v>11189</v>
      </c>
      <c r="AZ355" t="s">
        <v>11221</v>
      </c>
      <c r="BE355" t="s">
        <v>11928</v>
      </c>
      <c r="BG355" t="s">
        <v>14477</v>
      </c>
      <c r="BM355" t="s">
        <v>15650</v>
      </c>
    </row>
    <row r="356" spans="1:67">
      <c r="A356" s="1">
        <f>HYPERLINK("https://lsnyc.legalserver.org/matter/dynamic-profile/view/1836315","17-1836315")</f>
        <v>0</v>
      </c>
      <c r="B356" t="s">
        <v>94</v>
      </c>
      <c r="C356" t="s">
        <v>246</v>
      </c>
      <c r="D356" t="s">
        <v>455</v>
      </c>
      <c r="F356" t="s">
        <v>1140</v>
      </c>
      <c r="G356" t="s">
        <v>2938</v>
      </c>
      <c r="H356" t="s">
        <v>4975</v>
      </c>
      <c r="I356" t="s">
        <v>6501</v>
      </c>
      <c r="J356" t="s">
        <v>7170</v>
      </c>
      <c r="K356">
        <v>10452</v>
      </c>
      <c r="N356" t="s">
        <v>7237</v>
      </c>
      <c r="O356" t="s">
        <v>7546</v>
      </c>
      <c r="P356">
        <v>2</v>
      </c>
      <c r="Q356">
        <v>2</v>
      </c>
      <c r="R356">
        <v>166.67</v>
      </c>
      <c r="U356">
        <v>82000</v>
      </c>
      <c r="W356">
        <v>0</v>
      </c>
      <c r="Y356" t="s">
        <v>10900</v>
      </c>
      <c r="AA356" t="s">
        <v>10974</v>
      </c>
      <c r="AB356" t="s">
        <v>694</v>
      </c>
      <c r="AD356" t="s">
        <v>11085</v>
      </c>
      <c r="AF356" t="s">
        <v>11118</v>
      </c>
      <c r="AH356" t="s">
        <v>10974</v>
      </c>
      <c r="AJ356" t="s">
        <v>11134</v>
      </c>
      <c r="AK356" t="s">
        <v>7225</v>
      </c>
      <c r="AM356">
        <v>968.8</v>
      </c>
      <c r="AN356" t="s">
        <v>11151</v>
      </c>
      <c r="AO356" t="s">
        <v>11153</v>
      </c>
      <c r="AQ356" t="s">
        <v>11157</v>
      </c>
      <c r="AR356" t="s">
        <v>11172</v>
      </c>
      <c r="AU356">
        <v>8</v>
      </c>
      <c r="AW356" t="s">
        <v>11189</v>
      </c>
      <c r="AZ356" t="s">
        <v>11221</v>
      </c>
      <c r="BB356" t="s">
        <v>11224</v>
      </c>
      <c r="BC356" t="s">
        <v>11263</v>
      </c>
      <c r="BE356" t="s">
        <v>11924</v>
      </c>
      <c r="BG356" t="s">
        <v>14477</v>
      </c>
      <c r="BM356" t="s">
        <v>15650</v>
      </c>
    </row>
    <row r="357" spans="1:67">
      <c r="A357" s="1">
        <f>HYPERLINK("https://lsnyc.legalserver.org/matter/dynamic-profile/view/1857861","18-1857861")</f>
        <v>0</v>
      </c>
      <c r="B357" t="s">
        <v>94</v>
      </c>
      <c r="C357" t="s">
        <v>246</v>
      </c>
      <c r="D357" t="s">
        <v>458</v>
      </c>
      <c r="F357" t="s">
        <v>1343</v>
      </c>
      <c r="G357" t="s">
        <v>3121</v>
      </c>
      <c r="H357" t="s">
        <v>4977</v>
      </c>
      <c r="I357" t="s">
        <v>6544</v>
      </c>
      <c r="J357" t="s">
        <v>7170</v>
      </c>
      <c r="K357">
        <v>10460</v>
      </c>
      <c r="N357" t="s">
        <v>7237</v>
      </c>
      <c r="O357" t="s">
        <v>7552</v>
      </c>
      <c r="P357">
        <v>2</v>
      </c>
      <c r="Q357">
        <v>0</v>
      </c>
      <c r="R357">
        <v>336.21</v>
      </c>
      <c r="S357" t="s">
        <v>10255</v>
      </c>
      <c r="U357">
        <v>54600</v>
      </c>
      <c r="V357" t="s">
        <v>10297</v>
      </c>
      <c r="W357">
        <v>84.25</v>
      </c>
      <c r="X357" t="s">
        <v>669</v>
      </c>
      <c r="Y357" t="s">
        <v>10864</v>
      </c>
      <c r="AA357" t="s">
        <v>10974</v>
      </c>
      <c r="AB357" t="s">
        <v>1019</v>
      </c>
      <c r="AD357" t="s">
        <v>11082</v>
      </c>
      <c r="AF357" t="s">
        <v>11118</v>
      </c>
      <c r="AG357" t="s">
        <v>11124</v>
      </c>
      <c r="AJ357" t="s">
        <v>11140</v>
      </c>
      <c r="AK357" t="s">
        <v>7225</v>
      </c>
      <c r="AM357">
        <v>1375</v>
      </c>
      <c r="AO357">
        <v>73</v>
      </c>
      <c r="AQ357" t="s">
        <v>11157</v>
      </c>
      <c r="AS357" t="s">
        <v>11173</v>
      </c>
      <c r="AU357">
        <v>2</v>
      </c>
      <c r="AW357" t="s">
        <v>11187</v>
      </c>
      <c r="AZ357" t="s">
        <v>11221</v>
      </c>
      <c r="BC357" t="s">
        <v>11264</v>
      </c>
      <c r="BE357" t="s">
        <v>11930</v>
      </c>
      <c r="BG357" t="s">
        <v>14478</v>
      </c>
      <c r="BM357" t="s">
        <v>15650</v>
      </c>
    </row>
    <row r="358" spans="1:67">
      <c r="A358" s="1">
        <f>HYPERLINK("https://lsnyc.legalserver.org/matter/dynamic-profile/view/0827585","17-0827585")</f>
        <v>0</v>
      </c>
      <c r="B358" t="s">
        <v>94</v>
      </c>
      <c r="C358" t="s">
        <v>246</v>
      </c>
      <c r="D358" t="s">
        <v>459</v>
      </c>
      <c r="F358" t="s">
        <v>1226</v>
      </c>
      <c r="G358" t="s">
        <v>2938</v>
      </c>
      <c r="H358" t="s">
        <v>4978</v>
      </c>
      <c r="I358">
        <v>12</v>
      </c>
      <c r="J358" t="s">
        <v>7170</v>
      </c>
      <c r="K358">
        <v>10453</v>
      </c>
      <c r="N358" t="s">
        <v>7237</v>
      </c>
      <c r="O358" t="s">
        <v>7553</v>
      </c>
      <c r="P358">
        <v>2</v>
      </c>
      <c r="Q358">
        <v>0</v>
      </c>
      <c r="R358">
        <v>75.09</v>
      </c>
      <c r="U358">
        <v>12194</v>
      </c>
      <c r="W358">
        <v>86.05</v>
      </c>
      <c r="X358" t="s">
        <v>798</v>
      </c>
      <c r="Y358" t="s">
        <v>10873</v>
      </c>
      <c r="AA358" t="s">
        <v>10974</v>
      </c>
      <c r="AB358" t="s">
        <v>924</v>
      </c>
      <c r="AD358" t="s">
        <v>11083</v>
      </c>
      <c r="AF358" t="s">
        <v>11118</v>
      </c>
      <c r="AG358" t="s">
        <v>11124</v>
      </c>
      <c r="AI358" t="s">
        <v>11126</v>
      </c>
      <c r="AK358" t="s">
        <v>7225</v>
      </c>
      <c r="AL358" t="s">
        <v>11150</v>
      </c>
      <c r="AM358">
        <v>0</v>
      </c>
      <c r="AO358">
        <v>26</v>
      </c>
      <c r="AQ358" t="s">
        <v>11164</v>
      </c>
      <c r="AR358" t="s">
        <v>11172</v>
      </c>
      <c r="AU358">
        <v>3</v>
      </c>
      <c r="AW358" t="s">
        <v>11187</v>
      </c>
      <c r="AZ358" t="s">
        <v>11221</v>
      </c>
      <c r="BC358" t="s">
        <v>11265</v>
      </c>
      <c r="BE358" t="s">
        <v>11931</v>
      </c>
      <c r="BG358" t="s">
        <v>14479</v>
      </c>
      <c r="BI358" t="s">
        <v>15611</v>
      </c>
      <c r="BK358" t="s">
        <v>15620</v>
      </c>
      <c r="BM358" t="s">
        <v>15650</v>
      </c>
      <c r="BN358" t="s">
        <v>15652</v>
      </c>
      <c r="BO358" t="s">
        <v>15666</v>
      </c>
    </row>
    <row r="359" spans="1:67">
      <c r="A359" s="1">
        <f>HYPERLINK("https://lsnyc.legalserver.org/matter/dynamic-profile/view/1859446","18-1859446")</f>
        <v>0</v>
      </c>
      <c r="B359" t="s">
        <v>94</v>
      </c>
      <c r="C359" t="s">
        <v>246</v>
      </c>
      <c r="D359" t="s">
        <v>456</v>
      </c>
      <c r="F359" t="s">
        <v>1344</v>
      </c>
      <c r="G359" t="s">
        <v>3122</v>
      </c>
      <c r="H359" t="s">
        <v>4973</v>
      </c>
      <c r="I359">
        <v>308</v>
      </c>
      <c r="J359" t="s">
        <v>7170</v>
      </c>
      <c r="K359">
        <v>10453</v>
      </c>
      <c r="N359" t="s">
        <v>7237</v>
      </c>
      <c r="O359" t="s">
        <v>7554</v>
      </c>
      <c r="P359">
        <v>2</v>
      </c>
      <c r="Q359">
        <v>2</v>
      </c>
      <c r="R359">
        <v>97.56</v>
      </c>
      <c r="U359">
        <v>39600</v>
      </c>
      <c r="W359">
        <v>1.1</v>
      </c>
      <c r="X359" t="s">
        <v>522</v>
      </c>
      <c r="Y359" t="s">
        <v>10897</v>
      </c>
      <c r="AA359" t="s">
        <v>10974</v>
      </c>
      <c r="AB359" t="s">
        <v>381</v>
      </c>
      <c r="AD359" t="s">
        <v>11096</v>
      </c>
      <c r="AF359" t="s">
        <v>11122</v>
      </c>
      <c r="AH359" t="s">
        <v>10974</v>
      </c>
      <c r="AJ359" t="s">
        <v>11134</v>
      </c>
      <c r="AK359" t="s">
        <v>7225</v>
      </c>
      <c r="AM359">
        <v>896</v>
      </c>
      <c r="AO359">
        <v>146</v>
      </c>
      <c r="AQ359" t="s">
        <v>11157</v>
      </c>
      <c r="AS359" t="s">
        <v>11173</v>
      </c>
      <c r="AU359">
        <v>12</v>
      </c>
      <c r="AW359" t="s">
        <v>11189</v>
      </c>
      <c r="AZ359" t="s">
        <v>11221</v>
      </c>
      <c r="BE359" t="s">
        <v>11932</v>
      </c>
      <c r="BF359" t="s">
        <v>14364</v>
      </c>
      <c r="BM359" t="s">
        <v>15650</v>
      </c>
    </row>
    <row r="360" spans="1:67">
      <c r="A360" s="1">
        <f>HYPERLINK("https://lsnyc.legalserver.org/matter/dynamic-profile/view/1859305","18-1859305")</f>
        <v>0</v>
      </c>
      <c r="B360" t="s">
        <v>94</v>
      </c>
      <c r="C360" t="s">
        <v>246</v>
      </c>
      <c r="D360" t="s">
        <v>456</v>
      </c>
      <c r="F360" t="s">
        <v>1345</v>
      </c>
      <c r="G360" t="s">
        <v>3123</v>
      </c>
      <c r="H360" t="s">
        <v>4973</v>
      </c>
      <c r="I360">
        <v>411</v>
      </c>
      <c r="J360" t="s">
        <v>7170</v>
      </c>
      <c r="K360">
        <v>10453</v>
      </c>
      <c r="N360" t="s">
        <v>7237</v>
      </c>
      <c r="O360" t="s">
        <v>7555</v>
      </c>
      <c r="P360">
        <v>1</v>
      </c>
      <c r="Q360">
        <v>1</v>
      </c>
      <c r="R360">
        <v>123.15</v>
      </c>
      <c r="U360">
        <v>20000</v>
      </c>
      <c r="W360">
        <v>1.1</v>
      </c>
      <c r="X360" t="s">
        <v>572</v>
      </c>
      <c r="Y360" t="s">
        <v>10897</v>
      </c>
      <c r="AA360" t="s">
        <v>10974</v>
      </c>
      <c r="AB360" t="s">
        <v>419</v>
      </c>
      <c r="AD360" t="s">
        <v>11096</v>
      </c>
      <c r="AF360" t="s">
        <v>11122</v>
      </c>
      <c r="AH360" t="s">
        <v>10974</v>
      </c>
      <c r="AJ360" t="s">
        <v>11134</v>
      </c>
      <c r="AK360" t="s">
        <v>7225</v>
      </c>
      <c r="AM360">
        <v>873.4299999999999</v>
      </c>
      <c r="AO360">
        <v>146</v>
      </c>
      <c r="AQ360" t="s">
        <v>11157</v>
      </c>
      <c r="AS360" t="s">
        <v>11173</v>
      </c>
      <c r="AU360">
        <v>6</v>
      </c>
      <c r="AW360" t="s">
        <v>11187</v>
      </c>
      <c r="AZ360" t="s">
        <v>11221</v>
      </c>
      <c r="BE360" t="s">
        <v>11933</v>
      </c>
      <c r="BF360" t="s">
        <v>14364</v>
      </c>
      <c r="BM360" t="s">
        <v>15650</v>
      </c>
    </row>
    <row r="361" spans="1:67">
      <c r="A361" s="1">
        <f>HYPERLINK("https://lsnyc.legalserver.org/matter/dynamic-profile/view/0823235","16-0823235")</f>
        <v>0</v>
      </c>
      <c r="B361" t="s">
        <v>95</v>
      </c>
      <c r="C361" t="s">
        <v>248</v>
      </c>
      <c r="D361" t="s">
        <v>460</v>
      </c>
      <c r="F361" t="s">
        <v>1106</v>
      </c>
      <c r="G361" t="s">
        <v>3124</v>
      </c>
      <c r="H361" t="s">
        <v>4979</v>
      </c>
      <c r="I361">
        <v>2</v>
      </c>
      <c r="J361" t="s">
        <v>7174</v>
      </c>
      <c r="K361">
        <v>11225</v>
      </c>
      <c r="N361" t="s">
        <v>7237</v>
      </c>
      <c r="O361" t="s">
        <v>7556</v>
      </c>
      <c r="P361">
        <v>1</v>
      </c>
      <c r="Q361">
        <v>1</v>
      </c>
      <c r="R361">
        <v>67.42</v>
      </c>
      <c r="S361" t="s">
        <v>10259</v>
      </c>
      <c r="U361">
        <v>10800</v>
      </c>
      <c r="V361" t="s">
        <v>10298</v>
      </c>
      <c r="W361">
        <v>0</v>
      </c>
      <c r="Y361" t="s">
        <v>10901</v>
      </c>
      <c r="AA361" t="s">
        <v>10974</v>
      </c>
      <c r="AB361" t="s">
        <v>494</v>
      </c>
      <c r="AD361" t="s">
        <v>11100</v>
      </c>
      <c r="AF361" t="s">
        <v>10384</v>
      </c>
      <c r="AH361" t="s">
        <v>10974</v>
      </c>
      <c r="AJ361" t="s">
        <v>11141</v>
      </c>
      <c r="AK361" t="s">
        <v>7225</v>
      </c>
      <c r="AM361">
        <v>900.65</v>
      </c>
      <c r="AO361">
        <v>3</v>
      </c>
      <c r="AQ361" t="s">
        <v>11157</v>
      </c>
      <c r="AR361" t="s">
        <v>11172</v>
      </c>
      <c r="AU361">
        <v>18</v>
      </c>
      <c r="AW361" t="s">
        <v>11187</v>
      </c>
      <c r="AZ361" t="s">
        <v>11221</v>
      </c>
      <c r="BE361" t="s">
        <v>11934</v>
      </c>
      <c r="BF361" t="s">
        <v>14364</v>
      </c>
      <c r="BM361" t="s">
        <v>15650</v>
      </c>
    </row>
    <row r="362" spans="1:67">
      <c r="A362" s="1">
        <f>HYPERLINK("https://lsnyc.legalserver.org/matter/dynamic-profile/view/0823855","17-0823855")</f>
        <v>0</v>
      </c>
      <c r="B362" t="s">
        <v>95</v>
      </c>
      <c r="C362" t="s">
        <v>248</v>
      </c>
      <c r="D362" t="s">
        <v>461</v>
      </c>
      <c r="F362" t="s">
        <v>1346</v>
      </c>
      <c r="G362" t="s">
        <v>3125</v>
      </c>
      <c r="H362" t="s">
        <v>4980</v>
      </c>
      <c r="I362" t="s">
        <v>6545</v>
      </c>
      <c r="J362" t="s">
        <v>7174</v>
      </c>
      <c r="K362">
        <v>11225</v>
      </c>
      <c r="N362" t="s">
        <v>7237</v>
      </c>
      <c r="O362" t="s">
        <v>7557</v>
      </c>
      <c r="P362">
        <v>2</v>
      </c>
      <c r="Q362">
        <v>0</v>
      </c>
      <c r="R362">
        <v>99.33</v>
      </c>
      <c r="U362">
        <v>15912</v>
      </c>
      <c r="W362">
        <v>0</v>
      </c>
      <c r="Y362" t="s">
        <v>10901</v>
      </c>
      <c r="Z362" t="s">
        <v>10972</v>
      </c>
      <c r="AA362" t="s">
        <v>10976</v>
      </c>
      <c r="AB362" t="s">
        <v>739</v>
      </c>
      <c r="AC362" t="s">
        <v>11081</v>
      </c>
      <c r="AF362" t="s">
        <v>11120</v>
      </c>
      <c r="AH362" t="s">
        <v>10975</v>
      </c>
      <c r="AJ362" t="s">
        <v>11141</v>
      </c>
      <c r="AK362" t="s">
        <v>7225</v>
      </c>
      <c r="AM362">
        <v>1129</v>
      </c>
      <c r="AO362">
        <v>8</v>
      </c>
      <c r="AQ362" t="s">
        <v>11157</v>
      </c>
      <c r="AR362" t="s">
        <v>11172</v>
      </c>
      <c r="AU362">
        <v>34</v>
      </c>
      <c r="AW362" t="s">
        <v>11187</v>
      </c>
      <c r="AZ362" t="s">
        <v>11221</v>
      </c>
      <c r="BD362" t="s">
        <v>11667</v>
      </c>
      <c r="BF362" t="s">
        <v>14364</v>
      </c>
      <c r="BM362" t="s">
        <v>15650</v>
      </c>
    </row>
    <row r="363" spans="1:67">
      <c r="A363" s="1">
        <f>HYPERLINK("https://lsnyc.legalserver.org/matter/dynamic-profile/view/0823610","17-0823610")</f>
        <v>0</v>
      </c>
      <c r="B363" t="s">
        <v>95</v>
      </c>
      <c r="C363" t="s">
        <v>248</v>
      </c>
      <c r="D363" t="s">
        <v>462</v>
      </c>
      <c r="F363" t="s">
        <v>1347</v>
      </c>
      <c r="G363" t="s">
        <v>2921</v>
      </c>
      <c r="H363" t="s">
        <v>4981</v>
      </c>
      <c r="I363" t="s">
        <v>6415</v>
      </c>
      <c r="J363" t="s">
        <v>7174</v>
      </c>
      <c r="K363">
        <v>11225</v>
      </c>
      <c r="N363" t="s">
        <v>7237</v>
      </c>
      <c r="O363" t="s">
        <v>7558</v>
      </c>
      <c r="P363">
        <v>1</v>
      </c>
      <c r="Q363">
        <v>0</v>
      </c>
      <c r="R363">
        <v>82.83</v>
      </c>
      <c r="U363">
        <v>9840</v>
      </c>
      <c r="W363">
        <v>0</v>
      </c>
      <c r="Y363" t="s">
        <v>10901</v>
      </c>
      <c r="Z363" t="s">
        <v>10972</v>
      </c>
      <c r="AA363" t="s">
        <v>10976</v>
      </c>
      <c r="AB363" t="s">
        <v>738</v>
      </c>
      <c r="AC363" t="s">
        <v>11081</v>
      </c>
      <c r="AF363" t="s">
        <v>10384</v>
      </c>
      <c r="AH363" t="s">
        <v>10974</v>
      </c>
      <c r="AJ363" t="s">
        <v>11141</v>
      </c>
      <c r="AK363" t="s">
        <v>7225</v>
      </c>
      <c r="AM363">
        <v>784.5599999999999</v>
      </c>
      <c r="AO363">
        <v>16</v>
      </c>
      <c r="AQ363" t="s">
        <v>11157</v>
      </c>
      <c r="AR363" t="s">
        <v>11172</v>
      </c>
      <c r="AU363">
        <v>15</v>
      </c>
      <c r="AV363" t="s">
        <v>11186</v>
      </c>
      <c r="AZ363" t="s">
        <v>11221</v>
      </c>
      <c r="BE363" t="s">
        <v>11935</v>
      </c>
      <c r="BF363" t="s">
        <v>14364</v>
      </c>
      <c r="BM363" t="s">
        <v>15650</v>
      </c>
    </row>
    <row r="364" spans="1:67">
      <c r="A364" s="1">
        <f>HYPERLINK("https://lsnyc.legalserver.org/matter/dynamic-profile/view/0823992","17-0823992")</f>
        <v>0</v>
      </c>
      <c r="B364" t="s">
        <v>95</v>
      </c>
      <c r="C364" t="s">
        <v>248</v>
      </c>
      <c r="D364" t="s">
        <v>277</v>
      </c>
      <c r="F364" t="s">
        <v>1348</v>
      </c>
      <c r="G364" t="s">
        <v>3126</v>
      </c>
      <c r="H364" t="s">
        <v>4981</v>
      </c>
      <c r="I364" t="s">
        <v>6417</v>
      </c>
      <c r="J364" t="s">
        <v>7174</v>
      </c>
      <c r="K364">
        <v>11225</v>
      </c>
      <c r="N364" t="s">
        <v>7237</v>
      </c>
      <c r="O364" t="s">
        <v>7559</v>
      </c>
      <c r="P364">
        <v>1</v>
      </c>
      <c r="Q364">
        <v>0</v>
      </c>
      <c r="R364">
        <v>87.54000000000001</v>
      </c>
      <c r="S364" t="s">
        <v>10259</v>
      </c>
      <c r="U364">
        <v>10400</v>
      </c>
      <c r="W364">
        <v>0</v>
      </c>
      <c r="Y364" t="s">
        <v>10901</v>
      </c>
      <c r="AA364" t="s">
        <v>10974</v>
      </c>
      <c r="AB364" t="s">
        <v>747</v>
      </c>
      <c r="AD364" t="s">
        <v>11100</v>
      </c>
      <c r="AF364" t="s">
        <v>10384</v>
      </c>
      <c r="AH364" t="s">
        <v>10974</v>
      </c>
      <c r="AJ364" t="s">
        <v>11140</v>
      </c>
      <c r="AK364" t="s">
        <v>7225</v>
      </c>
      <c r="AM364">
        <v>794.29</v>
      </c>
      <c r="AO364">
        <v>16</v>
      </c>
      <c r="AQ364" t="s">
        <v>11157</v>
      </c>
      <c r="AR364" t="s">
        <v>11172</v>
      </c>
      <c r="AU364">
        <v>17</v>
      </c>
      <c r="AW364" t="s">
        <v>11187</v>
      </c>
      <c r="AZ364" t="s">
        <v>11221</v>
      </c>
      <c r="BE364" t="s">
        <v>11936</v>
      </c>
      <c r="BF364" t="s">
        <v>14364</v>
      </c>
      <c r="BM364" t="s">
        <v>15650</v>
      </c>
    </row>
    <row r="365" spans="1:67">
      <c r="A365" s="1">
        <f>HYPERLINK("https://lsnyc.legalserver.org/matter/dynamic-profile/view/1903928","19-1903928")</f>
        <v>0</v>
      </c>
      <c r="B365" t="s">
        <v>95</v>
      </c>
      <c r="C365" t="s">
        <v>248</v>
      </c>
      <c r="D365" t="s">
        <v>260</v>
      </c>
      <c r="F365" t="s">
        <v>1349</v>
      </c>
      <c r="G365" t="s">
        <v>3127</v>
      </c>
      <c r="H365" t="s">
        <v>4982</v>
      </c>
      <c r="I365" t="s">
        <v>6405</v>
      </c>
      <c r="J365" t="s">
        <v>7174</v>
      </c>
      <c r="K365">
        <v>11239</v>
      </c>
      <c r="N365" t="s">
        <v>7237</v>
      </c>
      <c r="O365" t="s">
        <v>7560</v>
      </c>
      <c r="P365">
        <v>1</v>
      </c>
      <c r="Q365">
        <v>0</v>
      </c>
      <c r="R365">
        <v>74.08</v>
      </c>
      <c r="U365">
        <v>9252</v>
      </c>
      <c r="W365">
        <v>6.8</v>
      </c>
      <c r="X365" t="s">
        <v>634</v>
      </c>
      <c r="Y365" t="s">
        <v>10902</v>
      </c>
      <c r="AA365" t="s">
        <v>10974</v>
      </c>
      <c r="AD365" t="s">
        <v>11083</v>
      </c>
      <c r="AF365" t="s">
        <v>11121</v>
      </c>
      <c r="AG365" t="s">
        <v>11124</v>
      </c>
      <c r="AJ365" t="s">
        <v>11138</v>
      </c>
      <c r="AK365" t="s">
        <v>7225</v>
      </c>
      <c r="AM365">
        <v>100</v>
      </c>
      <c r="AO365">
        <v>20</v>
      </c>
      <c r="AP365" t="s">
        <v>11155</v>
      </c>
      <c r="AR365" t="s">
        <v>11172</v>
      </c>
      <c r="AU365">
        <v>3</v>
      </c>
      <c r="AW365" t="s">
        <v>11187</v>
      </c>
      <c r="AX365" t="s">
        <v>11212</v>
      </c>
      <c r="BA365" t="s">
        <v>11222</v>
      </c>
      <c r="BE365" t="s">
        <v>11937</v>
      </c>
      <c r="BG365" t="s">
        <v>14480</v>
      </c>
      <c r="BM365" t="s">
        <v>15650</v>
      </c>
    </row>
    <row r="366" spans="1:67">
      <c r="A366" s="1">
        <f>HYPERLINK("https://lsnyc.legalserver.org/matter/dynamic-profile/view/0823208","16-0823208")</f>
        <v>0</v>
      </c>
      <c r="B366" t="s">
        <v>95</v>
      </c>
      <c r="C366" t="s">
        <v>248</v>
      </c>
      <c r="D366" t="s">
        <v>460</v>
      </c>
      <c r="F366" t="s">
        <v>1138</v>
      </c>
      <c r="G366" t="s">
        <v>3128</v>
      </c>
      <c r="H366" t="s">
        <v>4981</v>
      </c>
      <c r="I366" t="s">
        <v>6546</v>
      </c>
      <c r="J366" t="s">
        <v>7174</v>
      </c>
      <c r="K366">
        <v>11225</v>
      </c>
      <c r="N366" t="s">
        <v>7237</v>
      </c>
      <c r="O366" t="s">
        <v>7561</v>
      </c>
      <c r="P366">
        <v>3</v>
      </c>
      <c r="Q366">
        <v>0</v>
      </c>
      <c r="R366">
        <v>15.95</v>
      </c>
      <c r="S366" t="s">
        <v>10259</v>
      </c>
      <c r="U366">
        <v>3216</v>
      </c>
      <c r="V366" t="s">
        <v>10299</v>
      </c>
      <c r="W366">
        <v>0</v>
      </c>
      <c r="Y366" t="s">
        <v>10901</v>
      </c>
      <c r="AA366" t="s">
        <v>10974</v>
      </c>
      <c r="AB366" t="s">
        <v>646</v>
      </c>
      <c r="AD366" t="s">
        <v>11100</v>
      </c>
      <c r="AF366" t="s">
        <v>11120</v>
      </c>
      <c r="AH366" t="s">
        <v>10974</v>
      </c>
      <c r="AJ366" t="s">
        <v>11130</v>
      </c>
      <c r="AK366" t="s">
        <v>7225</v>
      </c>
      <c r="AM366">
        <v>914.15</v>
      </c>
      <c r="AO366">
        <v>16</v>
      </c>
      <c r="AQ366" t="s">
        <v>11157</v>
      </c>
      <c r="AS366" t="s">
        <v>11173</v>
      </c>
      <c r="AU366">
        <v>17</v>
      </c>
      <c r="AW366" t="s">
        <v>11187</v>
      </c>
      <c r="AZ366" t="s">
        <v>11221</v>
      </c>
      <c r="BE366" t="s">
        <v>11938</v>
      </c>
      <c r="BF366" t="s">
        <v>14364</v>
      </c>
      <c r="BM366" t="s">
        <v>15650</v>
      </c>
    </row>
    <row r="367" spans="1:67">
      <c r="A367" s="1">
        <f>HYPERLINK("https://lsnyc.legalserver.org/matter/dynamic-profile/view/0823836","17-0823836")</f>
        <v>0</v>
      </c>
      <c r="B367" t="s">
        <v>95</v>
      </c>
      <c r="C367" t="s">
        <v>248</v>
      </c>
      <c r="D367" t="s">
        <v>461</v>
      </c>
      <c r="F367" t="s">
        <v>1350</v>
      </c>
      <c r="G367" t="s">
        <v>3129</v>
      </c>
      <c r="H367" t="s">
        <v>4983</v>
      </c>
      <c r="I367" t="s">
        <v>6547</v>
      </c>
      <c r="J367" t="s">
        <v>7174</v>
      </c>
      <c r="K367">
        <v>11225</v>
      </c>
      <c r="N367" t="s">
        <v>7237</v>
      </c>
      <c r="O367" t="s">
        <v>7562</v>
      </c>
      <c r="P367">
        <v>2</v>
      </c>
      <c r="Q367">
        <v>1</v>
      </c>
      <c r="R367">
        <v>154.76</v>
      </c>
      <c r="S367" t="s">
        <v>10259</v>
      </c>
      <c r="U367">
        <v>31200</v>
      </c>
      <c r="W367">
        <v>0</v>
      </c>
      <c r="Y367" t="s">
        <v>10901</v>
      </c>
      <c r="AA367" t="s">
        <v>10974</v>
      </c>
      <c r="AB367" t="s">
        <v>739</v>
      </c>
      <c r="AC367" t="s">
        <v>11081</v>
      </c>
      <c r="AF367" t="s">
        <v>10384</v>
      </c>
      <c r="AH367" t="s">
        <v>10974</v>
      </c>
      <c r="AJ367" t="s">
        <v>11141</v>
      </c>
      <c r="AK367" t="s">
        <v>7225</v>
      </c>
      <c r="AM367">
        <v>790</v>
      </c>
      <c r="AO367">
        <v>3</v>
      </c>
      <c r="AQ367" t="s">
        <v>11157</v>
      </c>
      <c r="AR367" t="s">
        <v>11172</v>
      </c>
      <c r="AU367">
        <v>16</v>
      </c>
      <c r="AW367" t="s">
        <v>11187</v>
      </c>
      <c r="AZ367" t="s">
        <v>11221</v>
      </c>
      <c r="BE367" t="s">
        <v>11939</v>
      </c>
      <c r="BF367" t="s">
        <v>14364</v>
      </c>
      <c r="BM367" t="s">
        <v>15650</v>
      </c>
    </row>
    <row r="368" spans="1:67">
      <c r="A368" s="1">
        <f>HYPERLINK("https://lsnyc.legalserver.org/matter/dynamic-profile/view/0823664","17-0823664")</f>
        <v>0</v>
      </c>
      <c r="B368" t="s">
        <v>95</v>
      </c>
      <c r="C368" t="s">
        <v>248</v>
      </c>
      <c r="D368" t="s">
        <v>462</v>
      </c>
      <c r="F368" t="s">
        <v>1138</v>
      </c>
      <c r="G368" t="s">
        <v>3130</v>
      </c>
      <c r="H368" t="s">
        <v>4980</v>
      </c>
      <c r="I368" t="s">
        <v>6548</v>
      </c>
      <c r="J368" t="s">
        <v>7174</v>
      </c>
      <c r="K368">
        <v>11225</v>
      </c>
      <c r="N368" t="s">
        <v>7237</v>
      </c>
      <c r="O368" t="s">
        <v>7563</v>
      </c>
      <c r="P368">
        <v>3</v>
      </c>
      <c r="Q368">
        <v>0</v>
      </c>
      <c r="R368">
        <v>238.1</v>
      </c>
      <c r="U368">
        <v>48000</v>
      </c>
      <c r="W368">
        <v>0</v>
      </c>
      <c r="Y368" t="s">
        <v>10901</v>
      </c>
      <c r="Z368" t="s">
        <v>10972</v>
      </c>
      <c r="AA368" t="s">
        <v>10976</v>
      </c>
      <c r="AB368" t="s">
        <v>646</v>
      </c>
      <c r="AD368" t="s">
        <v>11100</v>
      </c>
      <c r="AF368" t="s">
        <v>10384</v>
      </c>
      <c r="AH368" t="s">
        <v>10974</v>
      </c>
      <c r="AJ368" t="s">
        <v>11141</v>
      </c>
      <c r="AK368" t="s">
        <v>7225</v>
      </c>
      <c r="AM368">
        <v>2180</v>
      </c>
      <c r="AO368">
        <v>8</v>
      </c>
      <c r="AQ368" t="s">
        <v>11157</v>
      </c>
      <c r="AR368" t="s">
        <v>11172</v>
      </c>
      <c r="AU368">
        <v>25</v>
      </c>
      <c r="AW368" t="s">
        <v>11187</v>
      </c>
      <c r="AZ368" t="s">
        <v>11221</v>
      </c>
      <c r="BE368" t="s">
        <v>11940</v>
      </c>
      <c r="BF368" t="s">
        <v>14364</v>
      </c>
      <c r="BM368" t="s">
        <v>15650</v>
      </c>
    </row>
    <row r="369" spans="1:65">
      <c r="A369" s="1">
        <f>HYPERLINK("https://lsnyc.legalserver.org/matter/dynamic-profile/view/0824141","17-0824141")</f>
        <v>0</v>
      </c>
      <c r="B369" t="s">
        <v>95</v>
      </c>
      <c r="C369" t="s">
        <v>248</v>
      </c>
      <c r="D369" t="s">
        <v>463</v>
      </c>
      <c r="F369" t="s">
        <v>1149</v>
      </c>
      <c r="G369" t="s">
        <v>2877</v>
      </c>
      <c r="H369" t="s">
        <v>4983</v>
      </c>
      <c r="I369">
        <v>3</v>
      </c>
      <c r="J369" t="s">
        <v>7174</v>
      </c>
      <c r="K369">
        <v>11225</v>
      </c>
      <c r="N369" t="s">
        <v>7237</v>
      </c>
      <c r="O369" t="s">
        <v>7564</v>
      </c>
      <c r="P369">
        <v>1</v>
      </c>
      <c r="Q369">
        <v>0</v>
      </c>
      <c r="R369">
        <v>284.51</v>
      </c>
      <c r="S369" t="s">
        <v>10259</v>
      </c>
      <c r="U369">
        <v>33800</v>
      </c>
      <c r="W369">
        <v>0.25</v>
      </c>
      <c r="X369" t="s">
        <v>10811</v>
      </c>
      <c r="Y369" t="s">
        <v>10901</v>
      </c>
      <c r="AA369" t="s">
        <v>10974</v>
      </c>
      <c r="AB369" t="s">
        <v>741</v>
      </c>
      <c r="AD369" t="s">
        <v>11100</v>
      </c>
      <c r="AF369" t="s">
        <v>10384</v>
      </c>
      <c r="AH369" t="s">
        <v>10975</v>
      </c>
      <c r="AJ369" t="s">
        <v>11141</v>
      </c>
      <c r="AK369" t="s">
        <v>7225</v>
      </c>
      <c r="AM369">
        <v>1958.98</v>
      </c>
      <c r="AO369">
        <v>3</v>
      </c>
      <c r="AQ369" t="s">
        <v>11157</v>
      </c>
      <c r="AR369" t="s">
        <v>11172</v>
      </c>
      <c r="AU369">
        <v>18</v>
      </c>
      <c r="AW369" t="s">
        <v>11187</v>
      </c>
      <c r="AZ369" t="s">
        <v>11221</v>
      </c>
      <c r="BE369" t="s">
        <v>11941</v>
      </c>
      <c r="BF369" t="s">
        <v>14364</v>
      </c>
      <c r="BM369" t="s">
        <v>15650</v>
      </c>
    </row>
    <row r="370" spans="1:65">
      <c r="A370" s="1">
        <f>HYPERLINK("https://lsnyc.legalserver.org/matter/dynamic-profile/view/0823081","16-0823081")</f>
        <v>0</v>
      </c>
      <c r="B370" t="s">
        <v>95</v>
      </c>
      <c r="C370" t="s">
        <v>248</v>
      </c>
      <c r="D370" t="s">
        <v>464</v>
      </c>
      <c r="F370" t="s">
        <v>1166</v>
      </c>
      <c r="G370" t="s">
        <v>3131</v>
      </c>
      <c r="H370" t="s">
        <v>4983</v>
      </c>
      <c r="I370">
        <v>2</v>
      </c>
      <c r="J370" t="s">
        <v>7174</v>
      </c>
      <c r="K370">
        <v>11225</v>
      </c>
      <c r="N370" t="s">
        <v>7237</v>
      </c>
      <c r="O370" t="s">
        <v>7565</v>
      </c>
      <c r="P370">
        <v>2</v>
      </c>
      <c r="Q370">
        <v>0</v>
      </c>
      <c r="R370">
        <v>30.41</v>
      </c>
      <c r="S370" t="s">
        <v>10259</v>
      </c>
      <c r="U370">
        <v>4870.92</v>
      </c>
      <c r="W370">
        <v>1</v>
      </c>
      <c r="X370" t="s">
        <v>287</v>
      </c>
      <c r="Y370" t="s">
        <v>10901</v>
      </c>
      <c r="Z370" t="s">
        <v>10973</v>
      </c>
      <c r="AA370" t="s">
        <v>10975</v>
      </c>
      <c r="AB370" t="s">
        <v>740</v>
      </c>
      <c r="AD370" t="s">
        <v>11100</v>
      </c>
      <c r="AF370" t="s">
        <v>10384</v>
      </c>
      <c r="AH370" t="s">
        <v>10974</v>
      </c>
      <c r="AJ370" t="s">
        <v>11141</v>
      </c>
      <c r="AK370" t="s">
        <v>7225</v>
      </c>
      <c r="AM370">
        <v>936.53</v>
      </c>
      <c r="AO370">
        <v>3</v>
      </c>
      <c r="AQ370" t="s">
        <v>11157</v>
      </c>
      <c r="AR370" t="s">
        <v>11172</v>
      </c>
      <c r="AU370">
        <v>20</v>
      </c>
      <c r="AW370" t="s">
        <v>11189</v>
      </c>
      <c r="AZ370" t="s">
        <v>11221</v>
      </c>
      <c r="BE370" t="s">
        <v>11942</v>
      </c>
      <c r="BF370" t="s">
        <v>14364</v>
      </c>
      <c r="BM370" t="s">
        <v>15650</v>
      </c>
    </row>
    <row r="371" spans="1:65">
      <c r="A371" s="1">
        <f>HYPERLINK("https://lsnyc.legalserver.org/matter/dynamic-profile/view/0823095","16-0823095")</f>
        <v>0</v>
      </c>
      <c r="B371" t="s">
        <v>95</v>
      </c>
      <c r="C371" t="s">
        <v>248</v>
      </c>
      <c r="D371" t="s">
        <v>464</v>
      </c>
      <c r="F371" t="s">
        <v>1351</v>
      </c>
      <c r="G371" t="s">
        <v>2925</v>
      </c>
      <c r="H371" t="s">
        <v>4981</v>
      </c>
      <c r="I371" t="s">
        <v>6440</v>
      </c>
      <c r="J371" t="s">
        <v>7174</v>
      </c>
      <c r="K371">
        <v>11225</v>
      </c>
      <c r="N371" t="s">
        <v>7237</v>
      </c>
      <c r="O371" t="s">
        <v>7566</v>
      </c>
      <c r="P371">
        <v>1</v>
      </c>
      <c r="Q371">
        <v>0</v>
      </c>
      <c r="R371">
        <v>112.63</v>
      </c>
      <c r="S371" t="s">
        <v>10259</v>
      </c>
      <c r="U371">
        <v>13380</v>
      </c>
      <c r="V371" t="s">
        <v>10300</v>
      </c>
      <c r="W371">
        <v>0</v>
      </c>
      <c r="Y371" t="s">
        <v>10901</v>
      </c>
      <c r="AA371" t="s">
        <v>10974</v>
      </c>
      <c r="AB371" t="s">
        <v>740</v>
      </c>
      <c r="AD371" t="s">
        <v>11100</v>
      </c>
      <c r="AF371" t="s">
        <v>10384</v>
      </c>
      <c r="AH371" t="s">
        <v>10974</v>
      </c>
      <c r="AJ371" t="s">
        <v>11141</v>
      </c>
      <c r="AK371" t="s">
        <v>7225</v>
      </c>
      <c r="AM371">
        <v>668.6799999999999</v>
      </c>
      <c r="AO371">
        <v>16</v>
      </c>
      <c r="AQ371" t="s">
        <v>11157</v>
      </c>
      <c r="AR371" t="s">
        <v>11172</v>
      </c>
      <c r="AU371">
        <v>15</v>
      </c>
      <c r="AW371" t="s">
        <v>11187</v>
      </c>
      <c r="AZ371" t="s">
        <v>11221</v>
      </c>
      <c r="BE371" t="s">
        <v>11943</v>
      </c>
      <c r="BF371" t="s">
        <v>14364</v>
      </c>
      <c r="BM371" t="s">
        <v>15650</v>
      </c>
    </row>
    <row r="372" spans="1:65">
      <c r="A372" s="1">
        <f>HYPERLINK("https://lsnyc.legalserver.org/matter/dynamic-profile/view/1880333","18-1880333")</f>
        <v>0</v>
      </c>
      <c r="B372" t="s">
        <v>96</v>
      </c>
      <c r="C372" t="s">
        <v>246</v>
      </c>
      <c r="D372" t="s">
        <v>465</v>
      </c>
      <c r="F372" t="s">
        <v>1352</v>
      </c>
      <c r="G372" t="s">
        <v>3047</v>
      </c>
      <c r="H372" t="s">
        <v>4984</v>
      </c>
      <c r="I372" t="s">
        <v>6405</v>
      </c>
      <c r="J372" t="s">
        <v>7170</v>
      </c>
      <c r="K372">
        <v>10454</v>
      </c>
      <c r="N372" t="s">
        <v>7241</v>
      </c>
      <c r="O372" t="s">
        <v>7567</v>
      </c>
      <c r="P372">
        <v>1</v>
      </c>
      <c r="Q372">
        <v>6</v>
      </c>
      <c r="R372">
        <v>58.74</v>
      </c>
      <c r="U372">
        <v>22356</v>
      </c>
      <c r="W372">
        <v>0.25</v>
      </c>
      <c r="X372" t="s">
        <v>10805</v>
      </c>
      <c r="Y372" t="s">
        <v>216</v>
      </c>
      <c r="AA372" t="s">
        <v>10974</v>
      </c>
      <c r="AB372" t="s">
        <v>465</v>
      </c>
      <c r="AD372" t="s">
        <v>11095</v>
      </c>
      <c r="AF372" t="s">
        <v>11120</v>
      </c>
      <c r="AH372" t="s">
        <v>10975</v>
      </c>
      <c r="AJ372" t="s">
        <v>11129</v>
      </c>
      <c r="AK372" t="s">
        <v>7225</v>
      </c>
      <c r="AM372">
        <v>1900</v>
      </c>
      <c r="AO372">
        <v>173</v>
      </c>
      <c r="AQ372" t="s">
        <v>11157</v>
      </c>
      <c r="AS372" t="s">
        <v>11174</v>
      </c>
      <c r="AU372">
        <v>4</v>
      </c>
      <c r="AW372" t="s">
        <v>11187</v>
      </c>
      <c r="AY372" t="s">
        <v>11216</v>
      </c>
      <c r="AZ372" t="s">
        <v>11221</v>
      </c>
      <c r="BB372" t="s">
        <v>11224</v>
      </c>
      <c r="BC372">
        <v>35493636</v>
      </c>
      <c r="BE372" t="s">
        <v>11944</v>
      </c>
      <c r="BF372" t="s">
        <v>14364</v>
      </c>
      <c r="BM372" t="s">
        <v>15650</v>
      </c>
    </row>
    <row r="373" spans="1:65">
      <c r="A373" s="1">
        <f>HYPERLINK("https://lsnyc.legalserver.org/matter/dynamic-profile/view/1882560","18-1882560")</f>
        <v>0</v>
      </c>
      <c r="B373" t="s">
        <v>96</v>
      </c>
      <c r="C373" t="s">
        <v>246</v>
      </c>
      <c r="D373" t="s">
        <v>466</v>
      </c>
      <c r="F373" t="s">
        <v>1353</v>
      </c>
      <c r="G373" t="s">
        <v>3132</v>
      </c>
      <c r="H373" t="s">
        <v>4985</v>
      </c>
      <c r="I373" t="s">
        <v>6464</v>
      </c>
      <c r="J373" t="s">
        <v>7170</v>
      </c>
      <c r="K373">
        <v>10462</v>
      </c>
      <c r="N373" t="s">
        <v>7241</v>
      </c>
      <c r="O373" t="s">
        <v>7568</v>
      </c>
      <c r="P373">
        <v>2</v>
      </c>
      <c r="Q373">
        <v>4</v>
      </c>
      <c r="R373">
        <v>88.92</v>
      </c>
      <c r="U373">
        <v>60000</v>
      </c>
      <c r="W373">
        <v>4.35</v>
      </c>
      <c r="X373" t="s">
        <v>302</v>
      </c>
      <c r="Y373" t="s">
        <v>10867</v>
      </c>
      <c r="AA373" t="s">
        <v>10974</v>
      </c>
      <c r="AB373" t="s">
        <v>466</v>
      </c>
      <c r="AD373" t="s">
        <v>11094</v>
      </c>
      <c r="AF373" t="s">
        <v>11120</v>
      </c>
      <c r="AH373" t="s">
        <v>10975</v>
      </c>
      <c r="AJ373" t="s">
        <v>11104</v>
      </c>
      <c r="AK373" t="s">
        <v>7225</v>
      </c>
      <c r="AM373">
        <v>2181</v>
      </c>
      <c r="AO373">
        <v>2</v>
      </c>
      <c r="AQ373" t="s">
        <v>11156</v>
      </c>
      <c r="AS373" t="s">
        <v>11174</v>
      </c>
      <c r="AU373">
        <v>2</v>
      </c>
      <c r="AW373" t="s">
        <v>11187</v>
      </c>
      <c r="AZ373" t="s">
        <v>11221</v>
      </c>
      <c r="BE373" t="s">
        <v>11945</v>
      </c>
      <c r="BF373" t="s">
        <v>14364</v>
      </c>
      <c r="BM373" t="s">
        <v>15650</v>
      </c>
    </row>
    <row r="374" spans="1:65">
      <c r="A374" s="1">
        <f>HYPERLINK("https://lsnyc.legalserver.org/matter/dynamic-profile/view/1880430","18-1880430")</f>
        <v>0</v>
      </c>
      <c r="B374" t="s">
        <v>97</v>
      </c>
      <c r="C374" t="s">
        <v>248</v>
      </c>
      <c r="D374" t="s">
        <v>467</v>
      </c>
      <c r="F374" t="s">
        <v>1354</v>
      </c>
      <c r="G374" t="s">
        <v>3133</v>
      </c>
      <c r="H374" t="s">
        <v>4986</v>
      </c>
      <c r="I374">
        <v>10</v>
      </c>
      <c r="J374" t="s">
        <v>7174</v>
      </c>
      <c r="K374">
        <v>11215</v>
      </c>
      <c r="N374" t="s">
        <v>7237</v>
      </c>
      <c r="O374" t="s">
        <v>7569</v>
      </c>
      <c r="P374">
        <v>1</v>
      </c>
      <c r="Q374">
        <v>0</v>
      </c>
      <c r="R374">
        <v>115.32</v>
      </c>
      <c r="U374">
        <v>14000</v>
      </c>
      <c r="W374">
        <v>72.09999999999999</v>
      </c>
      <c r="X374" t="s">
        <v>528</v>
      </c>
      <c r="Y374" t="s">
        <v>10902</v>
      </c>
      <c r="AA374" t="s">
        <v>10974</v>
      </c>
      <c r="AB374" t="s">
        <v>531</v>
      </c>
      <c r="AD374" t="s">
        <v>11083</v>
      </c>
      <c r="AF374" t="s">
        <v>11118</v>
      </c>
      <c r="AG374" t="s">
        <v>11124</v>
      </c>
      <c r="AJ374" t="s">
        <v>11138</v>
      </c>
      <c r="AK374" t="s">
        <v>7225</v>
      </c>
      <c r="AM374">
        <v>552</v>
      </c>
      <c r="AO374">
        <v>16</v>
      </c>
      <c r="AP374" t="s">
        <v>11155</v>
      </c>
      <c r="AS374" t="s">
        <v>11173</v>
      </c>
      <c r="AU374">
        <v>30</v>
      </c>
      <c r="AW374" t="s">
        <v>11187</v>
      </c>
      <c r="BA374" t="s">
        <v>11222</v>
      </c>
      <c r="BD374" t="s">
        <v>11667</v>
      </c>
      <c r="BG374" t="s">
        <v>14481</v>
      </c>
      <c r="BM374" t="s">
        <v>15650</v>
      </c>
    </row>
    <row r="375" spans="1:65">
      <c r="A375" s="1">
        <f>HYPERLINK("https://lsnyc.legalserver.org/matter/dynamic-profile/view/0812102","16-0812102")</f>
        <v>0</v>
      </c>
      <c r="B375" t="s">
        <v>97</v>
      </c>
      <c r="C375" t="s">
        <v>248</v>
      </c>
      <c r="D375" t="s">
        <v>468</v>
      </c>
      <c r="F375" t="s">
        <v>1355</v>
      </c>
      <c r="G375" t="s">
        <v>2921</v>
      </c>
      <c r="H375" t="s">
        <v>4987</v>
      </c>
      <c r="I375">
        <v>513</v>
      </c>
      <c r="J375" t="s">
        <v>7174</v>
      </c>
      <c r="K375">
        <v>11212</v>
      </c>
      <c r="N375" t="s">
        <v>7237</v>
      </c>
      <c r="O375" t="s">
        <v>7570</v>
      </c>
      <c r="P375">
        <v>4</v>
      </c>
      <c r="Q375">
        <v>0</v>
      </c>
      <c r="R375">
        <v>105.43</v>
      </c>
      <c r="U375">
        <v>25620</v>
      </c>
      <c r="V375" t="s">
        <v>10301</v>
      </c>
      <c r="W375">
        <v>131.55</v>
      </c>
      <c r="X375" t="s">
        <v>638</v>
      </c>
      <c r="Y375" t="s">
        <v>10872</v>
      </c>
      <c r="AA375" t="s">
        <v>10974</v>
      </c>
      <c r="AB375" t="s">
        <v>10991</v>
      </c>
      <c r="AD375" t="s">
        <v>11082</v>
      </c>
      <c r="AF375" t="s">
        <v>11118</v>
      </c>
      <c r="AH375" t="s">
        <v>10975</v>
      </c>
      <c r="AJ375" t="s">
        <v>11143</v>
      </c>
      <c r="AK375" t="s">
        <v>7225</v>
      </c>
      <c r="AM375">
        <v>1470</v>
      </c>
      <c r="AO375">
        <v>110</v>
      </c>
      <c r="AQ375" t="s">
        <v>11161</v>
      </c>
      <c r="AS375" t="s">
        <v>11174</v>
      </c>
      <c r="AU375">
        <v>37</v>
      </c>
      <c r="AW375" t="s">
        <v>11187</v>
      </c>
      <c r="AZ375" t="s">
        <v>11221</v>
      </c>
      <c r="BC375" t="s">
        <v>11228</v>
      </c>
      <c r="BE375" t="s">
        <v>11946</v>
      </c>
      <c r="BG375" t="s">
        <v>14482</v>
      </c>
      <c r="BM375" t="s">
        <v>15650</v>
      </c>
    </row>
    <row r="376" spans="1:65">
      <c r="A376" s="1">
        <f>HYPERLINK("https://lsnyc.legalserver.org/matter/dynamic-profile/view/1875981","18-1875981")</f>
        <v>0</v>
      </c>
      <c r="B376" t="s">
        <v>98</v>
      </c>
      <c r="C376" t="s">
        <v>246</v>
      </c>
      <c r="D376" t="s">
        <v>469</v>
      </c>
      <c r="F376" t="s">
        <v>1125</v>
      </c>
      <c r="G376" t="s">
        <v>2884</v>
      </c>
      <c r="H376" t="s">
        <v>4988</v>
      </c>
      <c r="I376" t="s">
        <v>6485</v>
      </c>
      <c r="J376" t="s">
        <v>7170</v>
      </c>
      <c r="K376">
        <v>10456</v>
      </c>
      <c r="N376" t="s">
        <v>7237</v>
      </c>
      <c r="O376" t="s">
        <v>7571</v>
      </c>
      <c r="P376">
        <v>2</v>
      </c>
      <c r="Q376">
        <v>3</v>
      </c>
      <c r="R376">
        <v>142.76</v>
      </c>
      <c r="U376">
        <v>42000</v>
      </c>
      <c r="W376">
        <v>0</v>
      </c>
      <c r="Y376" t="s">
        <v>216</v>
      </c>
      <c r="AA376" t="s">
        <v>10974</v>
      </c>
      <c r="AB376" t="s">
        <v>730</v>
      </c>
      <c r="AD376" t="s">
        <v>11098</v>
      </c>
      <c r="AF376" t="s">
        <v>11122</v>
      </c>
      <c r="AH376" t="s">
        <v>10974</v>
      </c>
      <c r="AJ376" t="s">
        <v>11141</v>
      </c>
      <c r="AK376" t="s">
        <v>7225</v>
      </c>
      <c r="AM376">
        <v>1800</v>
      </c>
      <c r="AO376">
        <v>61</v>
      </c>
      <c r="AQ376" t="s">
        <v>11157</v>
      </c>
      <c r="AS376" t="s">
        <v>11173</v>
      </c>
      <c r="AU376">
        <v>1</v>
      </c>
      <c r="AW376" t="s">
        <v>11189</v>
      </c>
      <c r="AZ376" t="s">
        <v>11221</v>
      </c>
      <c r="BE376" t="s">
        <v>11947</v>
      </c>
      <c r="BG376" t="s">
        <v>14483</v>
      </c>
      <c r="BM376" t="s">
        <v>15650</v>
      </c>
    </row>
    <row r="377" spans="1:65">
      <c r="A377" s="1">
        <f>HYPERLINK("https://lsnyc.legalserver.org/matter/dynamic-profile/view/1905232","19-1905232")</f>
        <v>0</v>
      </c>
      <c r="B377" t="s">
        <v>98</v>
      </c>
      <c r="C377" t="s">
        <v>246</v>
      </c>
      <c r="D377" t="s">
        <v>470</v>
      </c>
      <c r="F377" t="s">
        <v>1356</v>
      </c>
      <c r="G377" t="s">
        <v>1187</v>
      </c>
      <c r="H377" t="s">
        <v>4989</v>
      </c>
      <c r="I377" t="s">
        <v>6549</v>
      </c>
      <c r="J377" t="s">
        <v>7170</v>
      </c>
      <c r="K377">
        <v>10453</v>
      </c>
      <c r="N377" t="s">
        <v>7237</v>
      </c>
      <c r="O377" t="s">
        <v>7572</v>
      </c>
      <c r="P377">
        <v>1</v>
      </c>
      <c r="Q377">
        <v>0</v>
      </c>
      <c r="R377">
        <v>163.33</v>
      </c>
      <c r="U377">
        <v>20400</v>
      </c>
      <c r="W377">
        <v>0</v>
      </c>
      <c r="Y377" t="s">
        <v>216</v>
      </c>
      <c r="AA377" t="s">
        <v>10974</v>
      </c>
      <c r="AB377" t="s">
        <v>287</v>
      </c>
      <c r="AD377" t="s">
        <v>11098</v>
      </c>
      <c r="AF377" t="s">
        <v>11122</v>
      </c>
      <c r="AH377" t="s">
        <v>10974</v>
      </c>
      <c r="AJ377" t="s">
        <v>11141</v>
      </c>
      <c r="AK377" t="s">
        <v>7225</v>
      </c>
      <c r="AM377">
        <v>1175</v>
      </c>
      <c r="AO377">
        <v>170</v>
      </c>
      <c r="AQ377" t="s">
        <v>11157</v>
      </c>
      <c r="AR377" t="s">
        <v>11172</v>
      </c>
      <c r="AU377">
        <v>30</v>
      </c>
      <c r="AW377" t="s">
        <v>11187</v>
      </c>
      <c r="BA377" t="s">
        <v>11222</v>
      </c>
      <c r="BE377" t="s">
        <v>11948</v>
      </c>
      <c r="BG377" t="s">
        <v>14484</v>
      </c>
      <c r="BM377" t="s">
        <v>15650</v>
      </c>
    </row>
    <row r="378" spans="1:65">
      <c r="A378" s="1">
        <f>HYPERLINK("https://lsnyc.legalserver.org/matter/dynamic-profile/view/0816812","16-0816812")</f>
        <v>0</v>
      </c>
      <c r="B378" t="s">
        <v>98</v>
      </c>
      <c r="C378" t="s">
        <v>246</v>
      </c>
      <c r="D378" t="s">
        <v>471</v>
      </c>
      <c r="F378" t="s">
        <v>1357</v>
      </c>
      <c r="G378" t="s">
        <v>3134</v>
      </c>
      <c r="H378" t="s">
        <v>4990</v>
      </c>
      <c r="J378" t="s">
        <v>7170</v>
      </c>
      <c r="K378">
        <v>10457</v>
      </c>
      <c r="N378" t="s">
        <v>7237</v>
      </c>
      <c r="O378" t="s">
        <v>7573</v>
      </c>
      <c r="P378">
        <v>1</v>
      </c>
      <c r="Q378">
        <v>0</v>
      </c>
      <c r="R378">
        <v>131.75</v>
      </c>
      <c r="S378" t="s">
        <v>10260</v>
      </c>
      <c r="U378">
        <v>15652</v>
      </c>
      <c r="W378">
        <v>0.5</v>
      </c>
      <c r="X378" t="s">
        <v>471</v>
      </c>
      <c r="Y378" t="s">
        <v>10899</v>
      </c>
      <c r="AA378" t="s">
        <v>10974</v>
      </c>
      <c r="AB378" t="s">
        <v>838</v>
      </c>
      <c r="AD378" t="s">
        <v>11096</v>
      </c>
      <c r="AF378" t="s">
        <v>11122</v>
      </c>
      <c r="AH378" t="s">
        <v>10974</v>
      </c>
      <c r="AJ378" t="s">
        <v>11141</v>
      </c>
      <c r="AK378" t="s">
        <v>7225</v>
      </c>
      <c r="AM378">
        <v>1224.96</v>
      </c>
      <c r="AO378">
        <v>100</v>
      </c>
      <c r="AQ378" t="s">
        <v>11157</v>
      </c>
      <c r="AS378" t="s">
        <v>11173</v>
      </c>
      <c r="AU378">
        <v>7</v>
      </c>
      <c r="AW378" t="s">
        <v>11189</v>
      </c>
      <c r="AZ378" t="s">
        <v>11221</v>
      </c>
      <c r="BE378" t="s">
        <v>11949</v>
      </c>
      <c r="BF378" t="s">
        <v>14364</v>
      </c>
      <c r="BG378" t="s">
        <v>14485</v>
      </c>
      <c r="BM378" t="s">
        <v>15650</v>
      </c>
    </row>
    <row r="379" spans="1:65">
      <c r="A379" s="1">
        <f>HYPERLINK("https://lsnyc.legalserver.org/matter/dynamic-profile/view/1894519","19-1894519")</f>
        <v>0</v>
      </c>
      <c r="B379" t="s">
        <v>98</v>
      </c>
      <c r="C379" t="s">
        <v>246</v>
      </c>
      <c r="D379" t="s">
        <v>472</v>
      </c>
      <c r="F379" t="s">
        <v>1358</v>
      </c>
      <c r="G379" t="s">
        <v>3135</v>
      </c>
      <c r="H379" t="s">
        <v>4989</v>
      </c>
      <c r="I379" t="s">
        <v>6550</v>
      </c>
      <c r="J379" t="s">
        <v>7170</v>
      </c>
      <c r="K379">
        <v>10453</v>
      </c>
      <c r="N379" t="s">
        <v>7237</v>
      </c>
      <c r="O379" t="s">
        <v>7574</v>
      </c>
      <c r="P379">
        <v>2</v>
      </c>
      <c r="Q379">
        <v>0</v>
      </c>
      <c r="R379">
        <v>514.49</v>
      </c>
      <c r="U379">
        <v>87000</v>
      </c>
      <c r="W379">
        <v>0</v>
      </c>
      <c r="Y379" t="s">
        <v>93</v>
      </c>
      <c r="AA379" t="s">
        <v>10974</v>
      </c>
      <c r="AB379" t="s">
        <v>896</v>
      </c>
      <c r="AD379" t="s">
        <v>11101</v>
      </c>
      <c r="AF379" t="s">
        <v>11118</v>
      </c>
      <c r="AH379" t="s">
        <v>10974</v>
      </c>
      <c r="AJ379" t="s">
        <v>11134</v>
      </c>
      <c r="AK379" t="s">
        <v>7225</v>
      </c>
      <c r="AM379">
        <v>1500</v>
      </c>
      <c r="AO379">
        <v>170</v>
      </c>
      <c r="AQ379" t="s">
        <v>11157</v>
      </c>
      <c r="AS379" t="s">
        <v>11173</v>
      </c>
      <c r="AU379">
        <v>2</v>
      </c>
      <c r="AV379" t="s">
        <v>11186</v>
      </c>
      <c r="AZ379" t="s">
        <v>11221</v>
      </c>
      <c r="BE379" t="s">
        <v>11950</v>
      </c>
      <c r="BG379" t="s">
        <v>14486</v>
      </c>
      <c r="BM379" t="s">
        <v>15650</v>
      </c>
    </row>
    <row r="380" spans="1:65">
      <c r="A380" s="1">
        <f>HYPERLINK("https://lsnyc.legalserver.org/matter/dynamic-profile/view/1880865","18-1880865")</f>
        <v>0</v>
      </c>
      <c r="B380" t="s">
        <v>98</v>
      </c>
      <c r="C380" t="s">
        <v>246</v>
      </c>
      <c r="D380" t="s">
        <v>473</v>
      </c>
      <c r="F380" t="s">
        <v>1359</v>
      </c>
      <c r="G380" t="s">
        <v>2889</v>
      </c>
      <c r="H380" t="s">
        <v>4991</v>
      </c>
      <c r="I380" t="s">
        <v>6551</v>
      </c>
      <c r="J380" t="s">
        <v>7170</v>
      </c>
      <c r="K380">
        <v>10463</v>
      </c>
      <c r="N380" t="s">
        <v>7237</v>
      </c>
      <c r="O380" t="s">
        <v>7575</v>
      </c>
      <c r="P380">
        <v>2</v>
      </c>
      <c r="Q380">
        <v>0</v>
      </c>
      <c r="R380">
        <v>45.86</v>
      </c>
      <c r="U380">
        <v>7548</v>
      </c>
      <c r="W380">
        <v>1</v>
      </c>
      <c r="X380" t="s">
        <v>473</v>
      </c>
      <c r="Y380" t="s">
        <v>236</v>
      </c>
      <c r="AA380" t="s">
        <v>10974</v>
      </c>
      <c r="AB380" t="s">
        <v>473</v>
      </c>
      <c r="AD380" t="s">
        <v>11098</v>
      </c>
      <c r="AF380" t="s">
        <v>10384</v>
      </c>
      <c r="AG380" t="s">
        <v>11124</v>
      </c>
      <c r="AI380" t="s">
        <v>11126</v>
      </c>
      <c r="AK380" t="s">
        <v>7225</v>
      </c>
      <c r="AL380" t="s">
        <v>11150</v>
      </c>
      <c r="AM380">
        <v>0</v>
      </c>
      <c r="AN380" t="s">
        <v>11151</v>
      </c>
      <c r="AO380" t="s">
        <v>11153</v>
      </c>
      <c r="AP380" t="s">
        <v>11155</v>
      </c>
      <c r="AR380" t="s">
        <v>11172</v>
      </c>
      <c r="AT380" t="s">
        <v>11184</v>
      </c>
      <c r="AU380">
        <v>0</v>
      </c>
      <c r="AW380" t="s">
        <v>11187</v>
      </c>
      <c r="AZ380" t="s">
        <v>11221</v>
      </c>
      <c r="BE380" t="s">
        <v>11951</v>
      </c>
      <c r="BF380" t="s">
        <v>14364</v>
      </c>
      <c r="BM380" t="s">
        <v>15650</v>
      </c>
    </row>
    <row r="381" spans="1:65">
      <c r="A381" s="1">
        <f>HYPERLINK("https://lsnyc.legalserver.org/matter/dynamic-profile/view/0822061","16-0822061")</f>
        <v>0</v>
      </c>
      <c r="B381" t="s">
        <v>98</v>
      </c>
      <c r="C381" t="s">
        <v>246</v>
      </c>
      <c r="D381" t="s">
        <v>474</v>
      </c>
      <c r="F381" t="s">
        <v>1360</v>
      </c>
      <c r="G381" t="s">
        <v>3136</v>
      </c>
      <c r="H381" t="s">
        <v>4972</v>
      </c>
      <c r="I381" t="s">
        <v>6413</v>
      </c>
      <c r="J381" t="s">
        <v>7170</v>
      </c>
      <c r="K381">
        <v>10452</v>
      </c>
      <c r="N381" t="s">
        <v>7237</v>
      </c>
      <c r="O381" t="s">
        <v>7576</v>
      </c>
      <c r="P381">
        <v>2</v>
      </c>
      <c r="Q381">
        <v>0</v>
      </c>
      <c r="R381">
        <v>56.1</v>
      </c>
      <c r="U381">
        <v>8988</v>
      </c>
      <c r="W381">
        <v>0</v>
      </c>
      <c r="Y381" t="s">
        <v>10899</v>
      </c>
      <c r="AA381" t="s">
        <v>10974</v>
      </c>
      <c r="AB381" t="s">
        <v>474</v>
      </c>
      <c r="AD381" t="s">
        <v>11096</v>
      </c>
      <c r="AF381" t="s">
        <v>11122</v>
      </c>
      <c r="AH381" t="s">
        <v>10974</v>
      </c>
      <c r="AJ381" t="s">
        <v>11141</v>
      </c>
      <c r="AK381" t="s">
        <v>7225</v>
      </c>
      <c r="AM381">
        <v>736</v>
      </c>
      <c r="AO381">
        <v>63</v>
      </c>
      <c r="AQ381" t="s">
        <v>11157</v>
      </c>
      <c r="AR381" t="s">
        <v>11172</v>
      </c>
      <c r="AT381" t="s">
        <v>11184</v>
      </c>
      <c r="AU381">
        <v>0</v>
      </c>
      <c r="AW381" t="s">
        <v>11187</v>
      </c>
      <c r="AZ381" t="s">
        <v>11221</v>
      </c>
      <c r="BE381" t="s">
        <v>11952</v>
      </c>
      <c r="BF381" t="s">
        <v>14364</v>
      </c>
      <c r="BM381" t="s">
        <v>15650</v>
      </c>
    </row>
    <row r="382" spans="1:65">
      <c r="A382" s="1">
        <f>HYPERLINK("https://lsnyc.legalserver.org/matter/dynamic-profile/view/1889826","19-1889826")</f>
        <v>0</v>
      </c>
      <c r="B382" t="s">
        <v>98</v>
      </c>
      <c r="C382" t="s">
        <v>246</v>
      </c>
      <c r="D382" t="s">
        <v>475</v>
      </c>
      <c r="F382" t="s">
        <v>1361</v>
      </c>
      <c r="G382" t="s">
        <v>2956</v>
      </c>
      <c r="H382" t="s">
        <v>4989</v>
      </c>
      <c r="I382" t="s">
        <v>6552</v>
      </c>
      <c r="J382" t="s">
        <v>7170</v>
      </c>
      <c r="K382">
        <v>10453</v>
      </c>
      <c r="N382" t="s">
        <v>7237</v>
      </c>
      <c r="O382" t="s">
        <v>7576</v>
      </c>
      <c r="P382">
        <v>2</v>
      </c>
      <c r="Q382">
        <v>0</v>
      </c>
      <c r="R382">
        <v>37.11</v>
      </c>
      <c r="U382">
        <v>6276</v>
      </c>
      <c r="W382">
        <v>0</v>
      </c>
      <c r="Y382" t="s">
        <v>10903</v>
      </c>
      <c r="AA382" t="s">
        <v>10974</v>
      </c>
      <c r="AB382" t="s">
        <v>896</v>
      </c>
      <c r="AD382" t="s">
        <v>11098</v>
      </c>
      <c r="AF382" t="s">
        <v>11122</v>
      </c>
      <c r="AH382" t="s">
        <v>10974</v>
      </c>
      <c r="AJ382" t="s">
        <v>11141</v>
      </c>
      <c r="AK382" t="s">
        <v>7225</v>
      </c>
      <c r="AM382">
        <v>1193.81</v>
      </c>
      <c r="AO382">
        <v>170</v>
      </c>
      <c r="AQ382" t="s">
        <v>11157</v>
      </c>
      <c r="AR382" t="s">
        <v>11172</v>
      </c>
      <c r="AU382">
        <v>12</v>
      </c>
      <c r="AW382" t="s">
        <v>11189</v>
      </c>
      <c r="BA382" t="s">
        <v>11222</v>
      </c>
      <c r="BE382" t="s">
        <v>11953</v>
      </c>
      <c r="BF382" t="s">
        <v>14364</v>
      </c>
      <c r="BM382" t="s">
        <v>15650</v>
      </c>
    </row>
    <row r="383" spans="1:65">
      <c r="A383" s="1">
        <f>HYPERLINK("https://lsnyc.legalserver.org/matter/dynamic-profile/view/1889811","19-1889811")</f>
        <v>0</v>
      </c>
      <c r="B383" t="s">
        <v>98</v>
      </c>
      <c r="C383" t="s">
        <v>246</v>
      </c>
      <c r="D383" t="s">
        <v>475</v>
      </c>
      <c r="F383" t="s">
        <v>1361</v>
      </c>
      <c r="G383" t="s">
        <v>2956</v>
      </c>
      <c r="H383" t="s">
        <v>4989</v>
      </c>
      <c r="I383" t="s">
        <v>6552</v>
      </c>
      <c r="J383" t="s">
        <v>7170</v>
      </c>
      <c r="K383">
        <v>10453</v>
      </c>
      <c r="N383" t="s">
        <v>7237</v>
      </c>
      <c r="O383" t="s">
        <v>7576</v>
      </c>
      <c r="P383">
        <v>2</v>
      </c>
      <c r="Q383">
        <v>0</v>
      </c>
      <c r="R383">
        <v>37.11</v>
      </c>
      <c r="U383">
        <v>6276</v>
      </c>
      <c r="W383">
        <v>0</v>
      </c>
      <c r="Y383" t="s">
        <v>10903</v>
      </c>
      <c r="AA383" t="s">
        <v>10974</v>
      </c>
      <c r="AB383" t="s">
        <v>370</v>
      </c>
      <c r="AD383" t="s">
        <v>11101</v>
      </c>
      <c r="AF383" t="s">
        <v>11118</v>
      </c>
      <c r="AH383" t="s">
        <v>10974</v>
      </c>
      <c r="AJ383" t="s">
        <v>11141</v>
      </c>
      <c r="AK383" t="s">
        <v>7225</v>
      </c>
      <c r="AM383">
        <v>1193.81</v>
      </c>
      <c r="AO383">
        <v>170</v>
      </c>
      <c r="AQ383" t="s">
        <v>11157</v>
      </c>
      <c r="AR383" t="s">
        <v>11172</v>
      </c>
      <c r="AU383">
        <v>12</v>
      </c>
      <c r="AW383" t="s">
        <v>11189</v>
      </c>
      <c r="AZ383" t="s">
        <v>11221</v>
      </c>
      <c r="BE383" t="s">
        <v>11953</v>
      </c>
      <c r="BG383" t="s">
        <v>14486</v>
      </c>
      <c r="BM383" t="s">
        <v>15650</v>
      </c>
    </row>
    <row r="384" spans="1:65">
      <c r="A384" s="1">
        <f>HYPERLINK("https://lsnyc.legalserver.org/matter/dynamic-profile/view/1839006","17-1839006")</f>
        <v>0</v>
      </c>
      <c r="B384" t="s">
        <v>98</v>
      </c>
      <c r="C384" t="s">
        <v>246</v>
      </c>
      <c r="D384" t="s">
        <v>476</v>
      </c>
      <c r="F384" t="s">
        <v>1277</v>
      </c>
      <c r="G384" t="s">
        <v>2254</v>
      </c>
      <c r="H384" t="s">
        <v>4992</v>
      </c>
      <c r="I384" t="s">
        <v>6553</v>
      </c>
      <c r="J384" t="s">
        <v>7170</v>
      </c>
      <c r="K384">
        <v>10473</v>
      </c>
      <c r="N384" t="s">
        <v>7237</v>
      </c>
      <c r="O384" t="s">
        <v>7577</v>
      </c>
      <c r="P384">
        <v>1</v>
      </c>
      <c r="Q384">
        <v>0</v>
      </c>
      <c r="R384">
        <v>163.78</v>
      </c>
      <c r="S384" t="s">
        <v>10258</v>
      </c>
      <c r="U384">
        <v>19752</v>
      </c>
      <c r="W384">
        <v>0.25</v>
      </c>
      <c r="X384" t="s">
        <v>636</v>
      </c>
      <c r="Y384" t="s">
        <v>10899</v>
      </c>
      <c r="AA384" t="s">
        <v>10974</v>
      </c>
      <c r="AB384" t="s">
        <v>10992</v>
      </c>
      <c r="AD384" t="s">
        <v>11096</v>
      </c>
      <c r="AF384" t="s">
        <v>11122</v>
      </c>
      <c r="AH384" t="s">
        <v>10974</v>
      </c>
      <c r="AJ384" t="s">
        <v>11139</v>
      </c>
      <c r="AK384" t="s">
        <v>7225</v>
      </c>
      <c r="AM384">
        <v>927</v>
      </c>
      <c r="AO384">
        <v>976</v>
      </c>
      <c r="AQ384" t="s">
        <v>11157</v>
      </c>
      <c r="AS384" t="s">
        <v>11173</v>
      </c>
      <c r="AU384">
        <v>37</v>
      </c>
      <c r="AW384" t="s">
        <v>11187</v>
      </c>
      <c r="AZ384" t="s">
        <v>11221</v>
      </c>
      <c r="BE384" t="s">
        <v>11954</v>
      </c>
      <c r="BG384" t="s">
        <v>14487</v>
      </c>
      <c r="BM384" t="s">
        <v>15650</v>
      </c>
    </row>
    <row r="385" spans="1:65">
      <c r="A385" s="1">
        <f>HYPERLINK("https://lsnyc.legalserver.org/matter/dynamic-profile/view/1838220","17-1838220")</f>
        <v>0</v>
      </c>
      <c r="B385" t="s">
        <v>98</v>
      </c>
      <c r="C385" t="s">
        <v>246</v>
      </c>
      <c r="D385" t="s">
        <v>477</v>
      </c>
      <c r="F385" t="s">
        <v>1362</v>
      </c>
      <c r="G385" t="s">
        <v>3047</v>
      </c>
      <c r="H385" t="s">
        <v>4993</v>
      </c>
      <c r="I385" t="s">
        <v>6419</v>
      </c>
      <c r="J385" t="s">
        <v>7170</v>
      </c>
      <c r="K385">
        <v>10473</v>
      </c>
      <c r="N385" t="s">
        <v>7237</v>
      </c>
      <c r="O385" t="s">
        <v>7578</v>
      </c>
      <c r="P385">
        <v>1</v>
      </c>
      <c r="Q385">
        <v>0</v>
      </c>
      <c r="R385">
        <v>331.67</v>
      </c>
      <c r="U385">
        <v>40000</v>
      </c>
      <c r="W385">
        <v>0</v>
      </c>
      <c r="Y385" t="s">
        <v>10899</v>
      </c>
      <c r="AA385" t="s">
        <v>10974</v>
      </c>
      <c r="AB385" t="s">
        <v>813</v>
      </c>
      <c r="AD385" t="s">
        <v>11096</v>
      </c>
      <c r="AF385" t="s">
        <v>11122</v>
      </c>
      <c r="AH385" t="s">
        <v>10974</v>
      </c>
      <c r="AI385" t="s">
        <v>11126</v>
      </c>
      <c r="AK385" t="s">
        <v>7225</v>
      </c>
      <c r="AM385">
        <v>918.8099999999999</v>
      </c>
      <c r="AO385">
        <v>225</v>
      </c>
      <c r="AQ385" t="s">
        <v>11157</v>
      </c>
      <c r="AS385" t="s">
        <v>11173</v>
      </c>
      <c r="AU385">
        <v>17</v>
      </c>
      <c r="AW385" t="s">
        <v>11187</v>
      </c>
      <c r="AZ385" t="s">
        <v>11221</v>
      </c>
      <c r="BE385" t="s">
        <v>11955</v>
      </c>
      <c r="BG385" t="s">
        <v>14488</v>
      </c>
      <c r="BM385" t="s">
        <v>15650</v>
      </c>
    </row>
    <row r="386" spans="1:65">
      <c r="A386" s="1">
        <f>HYPERLINK("https://lsnyc.legalserver.org/matter/dynamic-profile/view/1889854","19-1889854")</f>
        <v>0</v>
      </c>
      <c r="B386" t="s">
        <v>98</v>
      </c>
      <c r="C386" t="s">
        <v>246</v>
      </c>
      <c r="D386" t="s">
        <v>478</v>
      </c>
      <c r="E386" t="s">
        <v>333</v>
      </c>
      <c r="F386" t="s">
        <v>1194</v>
      </c>
      <c r="G386" t="s">
        <v>2981</v>
      </c>
      <c r="H386" t="s">
        <v>4846</v>
      </c>
      <c r="I386" t="s">
        <v>6473</v>
      </c>
      <c r="J386" t="s">
        <v>7170</v>
      </c>
      <c r="K386">
        <v>10452</v>
      </c>
      <c r="L386" t="s">
        <v>7216</v>
      </c>
      <c r="N386" t="s">
        <v>7237</v>
      </c>
      <c r="O386" t="s">
        <v>7369</v>
      </c>
      <c r="P386">
        <v>1</v>
      </c>
      <c r="Q386">
        <v>0</v>
      </c>
      <c r="R386">
        <v>34.11</v>
      </c>
      <c r="U386">
        <v>4260</v>
      </c>
      <c r="W386">
        <v>0.1</v>
      </c>
      <c r="X386" t="s">
        <v>479</v>
      </c>
      <c r="Y386" t="s">
        <v>10865</v>
      </c>
      <c r="AA386" t="s">
        <v>10974</v>
      </c>
      <c r="AB386" t="s">
        <v>479</v>
      </c>
      <c r="AD386" t="s">
        <v>11082</v>
      </c>
      <c r="AF386" t="s">
        <v>11119</v>
      </c>
      <c r="AH386" t="s">
        <v>10975</v>
      </c>
      <c r="AJ386" t="s">
        <v>11141</v>
      </c>
      <c r="AK386" t="s">
        <v>7225</v>
      </c>
      <c r="AM386">
        <v>715.1900000000001</v>
      </c>
      <c r="AO386">
        <v>147</v>
      </c>
      <c r="AQ386" t="s">
        <v>11161</v>
      </c>
      <c r="AS386" t="s">
        <v>11174</v>
      </c>
      <c r="AU386">
        <v>25</v>
      </c>
      <c r="AW386" t="s">
        <v>11187</v>
      </c>
      <c r="AZ386" t="s">
        <v>11221</v>
      </c>
      <c r="BE386" t="s">
        <v>11768</v>
      </c>
      <c r="BF386" t="s">
        <v>14364</v>
      </c>
      <c r="BM386" t="s">
        <v>15651</v>
      </c>
    </row>
    <row r="387" spans="1:65">
      <c r="A387" s="1">
        <f>HYPERLINK("https://lsnyc.legalserver.org/matter/dynamic-profile/view/1890801","19-1890801")</f>
        <v>0</v>
      </c>
      <c r="B387" t="s">
        <v>98</v>
      </c>
      <c r="C387" t="s">
        <v>246</v>
      </c>
      <c r="D387" t="s">
        <v>479</v>
      </c>
      <c r="F387" t="s">
        <v>1090</v>
      </c>
      <c r="G387" t="s">
        <v>3137</v>
      </c>
      <c r="H387" t="s">
        <v>4989</v>
      </c>
      <c r="I387" t="s">
        <v>6554</v>
      </c>
      <c r="J387" t="s">
        <v>7170</v>
      </c>
      <c r="K387">
        <v>10453</v>
      </c>
      <c r="N387" t="s">
        <v>7237</v>
      </c>
      <c r="O387" t="s">
        <v>7579</v>
      </c>
      <c r="P387">
        <v>4</v>
      </c>
      <c r="Q387">
        <v>1</v>
      </c>
      <c r="R387">
        <v>39.77</v>
      </c>
      <c r="U387">
        <v>12000</v>
      </c>
      <c r="W387">
        <v>0</v>
      </c>
      <c r="Y387" t="s">
        <v>10897</v>
      </c>
      <c r="AA387" t="s">
        <v>10974</v>
      </c>
      <c r="AB387" t="s">
        <v>370</v>
      </c>
      <c r="AD387" t="s">
        <v>11098</v>
      </c>
      <c r="AF387" t="s">
        <v>11122</v>
      </c>
      <c r="AH387" t="s">
        <v>10974</v>
      </c>
      <c r="AJ387" t="s">
        <v>11141</v>
      </c>
      <c r="AK387" t="s">
        <v>7225</v>
      </c>
      <c r="AM387">
        <v>1145</v>
      </c>
      <c r="AO387">
        <v>170</v>
      </c>
      <c r="AQ387" t="s">
        <v>11157</v>
      </c>
      <c r="AS387" t="s">
        <v>11173</v>
      </c>
      <c r="AU387">
        <v>7</v>
      </c>
      <c r="AW387" t="s">
        <v>11189</v>
      </c>
      <c r="AZ387" t="s">
        <v>11221</v>
      </c>
      <c r="BE387" t="s">
        <v>11956</v>
      </c>
      <c r="BF387" t="s">
        <v>14364</v>
      </c>
      <c r="BM387" t="s">
        <v>15650</v>
      </c>
    </row>
    <row r="388" spans="1:65">
      <c r="A388" s="1">
        <f>HYPERLINK("https://lsnyc.legalserver.org/matter/dynamic-profile/view/1890793","19-1890793")</f>
        <v>0</v>
      </c>
      <c r="B388" t="s">
        <v>98</v>
      </c>
      <c r="C388" t="s">
        <v>246</v>
      </c>
      <c r="D388" t="s">
        <v>367</v>
      </c>
      <c r="F388" t="s">
        <v>1090</v>
      </c>
      <c r="G388" t="s">
        <v>3137</v>
      </c>
      <c r="H388" t="s">
        <v>4989</v>
      </c>
      <c r="I388" t="s">
        <v>6554</v>
      </c>
      <c r="J388" t="s">
        <v>7170</v>
      </c>
      <c r="K388">
        <v>10453</v>
      </c>
      <c r="N388" t="s">
        <v>7237</v>
      </c>
      <c r="O388" t="s">
        <v>7579</v>
      </c>
      <c r="P388">
        <v>5</v>
      </c>
      <c r="Q388">
        <v>0</v>
      </c>
      <c r="R388">
        <v>39.77</v>
      </c>
      <c r="U388">
        <v>12000</v>
      </c>
      <c r="W388">
        <v>0</v>
      </c>
      <c r="Y388" t="s">
        <v>10897</v>
      </c>
      <c r="AA388" t="s">
        <v>10974</v>
      </c>
      <c r="AB388" t="s">
        <v>370</v>
      </c>
      <c r="AD388" t="s">
        <v>11101</v>
      </c>
      <c r="AF388" t="s">
        <v>11118</v>
      </c>
      <c r="AH388" t="s">
        <v>10974</v>
      </c>
      <c r="AJ388" t="s">
        <v>11141</v>
      </c>
      <c r="AK388" t="s">
        <v>7225</v>
      </c>
      <c r="AM388">
        <v>1145</v>
      </c>
      <c r="AO388">
        <v>170</v>
      </c>
      <c r="AQ388" t="s">
        <v>11157</v>
      </c>
      <c r="AS388" t="s">
        <v>11173</v>
      </c>
      <c r="AU388">
        <v>7</v>
      </c>
      <c r="AW388" t="s">
        <v>11189</v>
      </c>
      <c r="AZ388" t="s">
        <v>11221</v>
      </c>
      <c r="BE388" t="s">
        <v>11956</v>
      </c>
      <c r="BG388" t="s">
        <v>14486</v>
      </c>
      <c r="BM388" t="s">
        <v>15650</v>
      </c>
    </row>
    <row r="389" spans="1:65">
      <c r="A389" s="1">
        <f>HYPERLINK("https://lsnyc.legalserver.org/matter/dynamic-profile/view/1839011","17-1839011")</f>
        <v>0</v>
      </c>
      <c r="B389" t="s">
        <v>98</v>
      </c>
      <c r="C389" t="s">
        <v>246</v>
      </c>
      <c r="D389" t="s">
        <v>476</v>
      </c>
      <c r="F389" t="s">
        <v>1363</v>
      </c>
      <c r="G389" t="s">
        <v>3138</v>
      </c>
      <c r="H389" t="s">
        <v>4992</v>
      </c>
      <c r="I389" t="s">
        <v>6555</v>
      </c>
      <c r="J389" t="s">
        <v>7170</v>
      </c>
      <c r="K389">
        <v>10473</v>
      </c>
      <c r="N389" t="s">
        <v>7237</v>
      </c>
      <c r="O389" t="s">
        <v>7580</v>
      </c>
      <c r="P389">
        <v>1</v>
      </c>
      <c r="Q389">
        <v>0</v>
      </c>
      <c r="R389">
        <v>289.55</v>
      </c>
      <c r="S389" t="s">
        <v>10258</v>
      </c>
      <c r="U389">
        <v>34920</v>
      </c>
      <c r="W389">
        <v>0</v>
      </c>
      <c r="Y389" t="s">
        <v>10899</v>
      </c>
      <c r="AA389" t="s">
        <v>10974</v>
      </c>
      <c r="AB389" t="s">
        <v>10992</v>
      </c>
      <c r="AD389" t="s">
        <v>11096</v>
      </c>
      <c r="AF389" t="s">
        <v>11122</v>
      </c>
      <c r="AH389" t="s">
        <v>10974</v>
      </c>
      <c r="AJ389" t="s">
        <v>11139</v>
      </c>
      <c r="AK389" t="s">
        <v>7225</v>
      </c>
      <c r="AM389">
        <v>1082</v>
      </c>
      <c r="AO389">
        <v>976</v>
      </c>
      <c r="AQ389" t="s">
        <v>11157</v>
      </c>
      <c r="AS389" t="s">
        <v>11175</v>
      </c>
      <c r="AU389">
        <v>40</v>
      </c>
      <c r="AW389" t="s">
        <v>11187</v>
      </c>
      <c r="AZ389" t="s">
        <v>11221</v>
      </c>
      <c r="BD389" t="s">
        <v>11667</v>
      </c>
      <c r="BG389" t="s">
        <v>14487</v>
      </c>
      <c r="BM389" t="s">
        <v>15650</v>
      </c>
    </row>
    <row r="390" spans="1:65">
      <c r="A390" s="1">
        <f>HYPERLINK("https://lsnyc.legalserver.org/matter/dynamic-profile/view/1891401","19-1891401")</f>
        <v>0</v>
      </c>
      <c r="B390" t="s">
        <v>98</v>
      </c>
      <c r="C390" t="s">
        <v>246</v>
      </c>
      <c r="D390" t="s">
        <v>480</v>
      </c>
      <c r="F390" t="s">
        <v>1364</v>
      </c>
      <c r="G390" t="s">
        <v>3139</v>
      </c>
      <c r="H390" t="s">
        <v>4989</v>
      </c>
      <c r="I390" t="s">
        <v>6556</v>
      </c>
      <c r="J390" t="s">
        <v>7170</v>
      </c>
      <c r="K390">
        <v>10453</v>
      </c>
      <c r="N390" t="s">
        <v>7237</v>
      </c>
      <c r="O390" t="s">
        <v>7581</v>
      </c>
      <c r="P390">
        <v>1</v>
      </c>
      <c r="Q390">
        <v>3</v>
      </c>
      <c r="R390">
        <v>177.91</v>
      </c>
      <c r="U390">
        <v>45812</v>
      </c>
      <c r="W390">
        <v>0</v>
      </c>
      <c r="Y390" t="s">
        <v>216</v>
      </c>
      <c r="AA390" t="s">
        <v>10974</v>
      </c>
      <c r="AB390" t="s">
        <v>370</v>
      </c>
      <c r="AD390" t="s">
        <v>11098</v>
      </c>
      <c r="AF390" t="s">
        <v>11122</v>
      </c>
      <c r="AH390" t="s">
        <v>10974</v>
      </c>
      <c r="AJ390" t="s">
        <v>11141</v>
      </c>
      <c r="AK390" t="s">
        <v>7225</v>
      </c>
      <c r="AM390">
        <v>900</v>
      </c>
      <c r="AO390">
        <v>170</v>
      </c>
      <c r="AQ390" t="s">
        <v>11157</v>
      </c>
      <c r="AS390" t="s">
        <v>11174</v>
      </c>
      <c r="AU390">
        <v>10</v>
      </c>
      <c r="AW390" t="s">
        <v>11189</v>
      </c>
      <c r="AZ390" t="s">
        <v>11221</v>
      </c>
      <c r="BE390" t="s">
        <v>11957</v>
      </c>
      <c r="BF390" t="s">
        <v>14364</v>
      </c>
      <c r="BM390" t="s">
        <v>15650</v>
      </c>
    </row>
    <row r="391" spans="1:65">
      <c r="A391" s="1">
        <f>HYPERLINK("https://lsnyc.legalserver.org/matter/dynamic-profile/view/1880858","18-1880858")</f>
        <v>0</v>
      </c>
      <c r="B391" t="s">
        <v>98</v>
      </c>
      <c r="C391" t="s">
        <v>246</v>
      </c>
      <c r="D391" t="s">
        <v>473</v>
      </c>
      <c r="F391" t="s">
        <v>1365</v>
      </c>
      <c r="G391" t="s">
        <v>3006</v>
      </c>
      <c r="H391" t="s">
        <v>4994</v>
      </c>
      <c r="I391" t="s">
        <v>6415</v>
      </c>
      <c r="J391" t="s">
        <v>7170</v>
      </c>
      <c r="K391">
        <v>10468</v>
      </c>
      <c r="N391" t="s">
        <v>7237</v>
      </c>
      <c r="O391" t="s">
        <v>7582</v>
      </c>
      <c r="P391">
        <v>1</v>
      </c>
      <c r="Q391">
        <v>2</v>
      </c>
      <c r="R391">
        <v>45.51</v>
      </c>
      <c r="U391">
        <v>9456</v>
      </c>
      <c r="W391">
        <v>0.5</v>
      </c>
      <c r="X391" t="s">
        <v>473</v>
      </c>
      <c r="Y391" t="s">
        <v>236</v>
      </c>
      <c r="AA391" t="s">
        <v>10974</v>
      </c>
      <c r="AB391" t="s">
        <v>473</v>
      </c>
      <c r="AD391" t="s">
        <v>11082</v>
      </c>
      <c r="AF391" t="s">
        <v>11119</v>
      </c>
      <c r="AG391" t="s">
        <v>11124</v>
      </c>
      <c r="AI391" t="s">
        <v>11126</v>
      </c>
      <c r="AK391" t="s">
        <v>7225</v>
      </c>
      <c r="AL391" t="s">
        <v>11150</v>
      </c>
      <c r="AM391">
        <v>0</v>
      </c>
      <c r="AN391" t="s">
        <v>11151</v>
      </c>
      <c r="AO391" t="s">
        <v>11153</v>
      </c>
      <c r="AP391" t="s">
        <v>11155</v>
      </c>
      <c r="AR391" t="s">
        <v>11172</v>
      </c>
      <c r="AT391" t="s">
        <v>11184</v>
      </c>
      <c r="AU391">
        <v>0</v>
      </c>
      <c r="AW391" t="s">
        <v>11187</v>
      </c>
      <c r="AZ391" t="s">
        <v>11221</v>
      </c>
      <c r="BE391" t="s">
        <v>11958</v>
      </c>
      <c r="BF391" t="s">
        <v>14364</v>
      </c>
      <c r="BM391" t="s">
        <v>15650</v>
      </c>
    </row>
    <row r="392" spans="1:65">
      <c r="A392" s="1">
        <f>HYPERLINK("https://lsnyc.legalserver.org/matter/dynamic-profile/view/1896198","19-1896198")</f>
        <v>0</v>
      </c>
      <c r="B392" t="s">
        <v>98</v>
      </c>
      <c r="C392" t="s">
        <v>246</v>
      </c>
      <c r="D392" t="s">
        <v>445</v>
      </c>
      <c r="F392" t="s">
        <v>1210</v>
      </c>
      <c r="G392" t="s">
        <v>3140</v>
      </c>
      <c r="H392" t="s">
        <v>4989</v>
      </c>
      <c r="I392" t="s">
        <v>6557</v>
      </c>
      <c r="J392" t="s">
        <v>7170</v>
      </c>
      <c r="K392">
        <v>10453</v>
      </c>
      <c r="N392" t="s">
        <v>7237</v>
      </c>
      <c r="O392" t="s">
        <v>7583</v>
      </c>
      <c r="P392">
        <v>2</v>
      </c>
      <c r="Q392">
        <v>2</v>
      </c>
      <c r="R392">
        <v>33.55</v>
      </c>
      <c r="U392">
        <v>8640</v>
      </c>
      <c r="W392">
        <v>0</v>
      </c>
      <c r="Y392" t="s">
        <v>93</v>
      </c>
      <c r="AA392" t="s">
        <v>10974</v>
      </c>
      <c r="AB392" t="s">
        <v>370</v>
      </c>
      <c r="AD392" t="s">
        <v>11101</v>
      </c>
      <c r="AF392" t="s">
        <v>11118</v>
      </c>
      <c r="AH392" t="s">
        <v>10974</v>
      </c>
      <c r="AJ392" t="s">
        <v>11134</v>
      </c>
      <c r="AK392" t="s">
        <v>7225</v>
      </c>
      <c r="AM392">
        <v>856.0599999999999</v>
      </c>
      <c r="AO392">
        <v>170</v>
      </c>
      <c r="AQ392" t="s">
        <v>11157</v>
      </c>
      <c r="AS392" t="s">
        <v>11173</v>
      </c>
      <c r="AU392">
        <v>18</v>
      </c>
      <c r="AW392" t="s">
        <v>11189</v>
      </c>
      <c r="AZ392" t="s">
        <v>11221</v>
      </c>
      <c r="BE392" t="s">
        <v>11959</v>
      </c>
      <c r="BG392" t="s">
        <v>14486</v>
      </c>
      <c r="BM392" t="s">
        <v>15650</v>
      </c>
    </row>
    <row r="393" spans="1:65">
      <c r="A393" s="1">
        <f>HYPERLINK("https://lsnyc.legalserver.org/matter/dynamic-profile/view/1838994","17-1838994")</f>
        <v>0</v>
      </c>
      <c r="B393" t="s">
        <v>98</v>
      </c>
      <c r="C393" t="s">
        <v>246</v>
      </c>
      <c r="D393" t="s">
        <v>476</v>
      </c>
      <c r="F393" t="s">
        <v>1093</v>
      </c>
      <c r="G393" t="s">
        <v>3141</v>
      </c>
      <c r="H393" t="s">
        <v>4992</v>
      </c>
      <c r="I393" t="s">
        <v>6558</v>
      </c>
      <c r="J393" t="s">
        <v>7170</v>
      </c>
      <c r="K393">
        <v>10473</v>
      </c>
      <c r="N393" t="s">
        <v>7237</v>
      </c>
      <c r="O393" t="s">
        <v>7584</v>
      </c>
      <c r="P393">
        <v>1</v>
      </c>
      <c r="Q393">
        <v>0</v>
      </c>
      <c r="R393">
        <v>559.7</v>
      </c>
      <c r="S393" t="s">
        <v>10258</v>
      </c>
      <c r="U393">
        <v>67500</v>
      </c>
      <c r="W393">
        <v>0</v>
      </c>
      <c r="Y393" t="s">
        <v>10899</v>
      </c>
      <c r="AA393" t="s">
        <v>10974</v>
      </c>
      <c r="AB393" t="s">
        <v>10992</v>
      </c>
      <c r="AD393" t="s">
        <v>11096</v>
      </c>
      <c r="AF393" t="s">
        <v>11122</v>
      </c>
      <c r="AH393" t="s">
        <v>10974</v>
      </c>
      <c r="AJ393" t="s">
        <v>11139</v>
      </c>
      <c r="AK393" t="s">
        <v>7225</v>
      </c>
      <c r="AM393">
        <v>921.92</v>
      </c>
      <c r="AO393">
        <v>976</v>
      </c>
      <c r="AQ393" t="s">
        <v>11157</v>
      </c>
      <c r="AS393" t="s">
        <v>11173</v>
      </c>
      <c r="AU393">
        <v>18</v>
      </c>
      <c r="AW393" t="s">
        <v>11187</v>
      </c>
      <c r="AZ393" t="s">
        <v>11221</v>
      </c>
      <c r="BE393" t="s">
        <v>11960</v>
      </c>
      <c r="BG393" t="s">
        <v>14487</v>
      </c>
      <c r="BM393" t="s">
        <v>15650</v>
      </c>
    </row>
    <row r="394" spans="1:65">
      <c r="A394" s="1">
        <f>HYPERLINK("https://lsnyc.legalserver.org/matter/dynamic-profile/view/1891850","19-1891850")</f>
        <v>0</v>
      </c>
      <c r="B394" t="s">
        <v>98</v>
      </c>
      <c r="C394" t="s">
        <v>246</v>
      </c>
      <c r="D394" t="s">
        <v>425</v>
      </c>
      <c r="F394" t="s">
        <v>1090</v>
      </c>
      <c r="G394" t="s">
        <v>3142</v>
      </c>
      <c r="H394" t="s">
        <v>4995</v>
      </c>
      <c r="I394" t="s">
        <v>6559</v>
      </c>
      <c r="J394" t="s">
        <v>7170</v>
      </c>
      <c r="K394">
        <v>10453</v>
      </c>
      <c r="N394" t="s">
        <v>7237</v>
      </c>
      <c r="O394" t="s">
        <v>7576</v>
      </c>
      <c r="P394">
        <v>1</v>
      </c>
      <c r="Q394">
        <v>2</v>
      </c>
      <c r="R394">
        <v>140.65</v>
      </c>
      <c r="U394">
        <v>30000</v>
      </c>
      <c r="W394">
        <v>0</v>
      </c>
      <c r="Y394" t="s">
        <v>93</v>
      </c>
      <c r="AA394" t="s">
        <v>10974</v>
      </c>
      <c r="AB394" t="s">
        <v>370</v>
      </c>
      <c r="AD394" t="s">
        <v>11101</v>
      </c>
      <c r="AF394" t="s">
        <v>11118</v>
      </c>
      <c r="AH394" t="s">
        <v>10974</v>
      </c>
      <c r="AJ394" t="s">
        <v>11134</v>
      </c>
      <c r="AK394" t="s">
        <v>7225</v>
      </c>
      <c r="AM394">
        <v>1110.63</v>
      </c>
      <c r="AO394">
        <v>170</v>
      </c>
      <c r="AQ394" t="s">
        <v>11157</v>
      </c>
      <c r="AS394" t="s">
        <v>11173</v>
      </c>
      <c r="AU394">
        <v>9</v>
      </c>
      <c r="AW394" t="s">
        <v>11189</v>
      </c>
      <c r="AZ394" t="s">
        <v>11221</v>
      </c>
      <c r="BD394" t="s">
        <v>11667</v>
      </c>
      <c r="BG394" t="s">
        <v>14486</v>
      </c>
      <c r="BM394" t="s">
        <v>15650</v>
      </c>
    </row>
    <row r="395" spans="1:65">
      <c r="A395" s="1">
        <f>HYPERLINK("https://lsnyc.legalserver.org/matter/dynamic-profile/view/0822062","16-0822062")</f>
        <v>0</v>
      </c>
      <c r="B395" t="s">
        <v>98</v>
      </c>
      <c r="C395" t="s">
        <v>246</v>
      </c>
      <c r="D395" t="s">
        <v>481</v>
      </c>
      <c r="F395" t="s">
        <v>1360</v>
      </c>
      <c r="G395" t="s">
        <v>3136</v>
      </c>
      <c r="H395" t="s">
        <v>4972</v>
      </c>
      <c r="I395" t="s">
        <v>6413</v>
      </c>
      <c r="J395" t="s">
        <v>7170</v>
      </c>
      <c r="K395">
        <v>10452</v>
      </c>
      <c r="N395" t="s">
        <v>7237</v>
      </c>
      <c r="O395" t="s">
        <v>7576</v>
      </c>
      <c r="P395">
        <v>2</v>
      </c>
      <c r="Q395">
        <v>0</v>
      </c>
      <c r="R395">
        <v>56.1</v>
      </c>
      <c r="U395">
        <v>17976</v>
      </c>
      <c r="W395">
        <v>0</v>
      </c>
      <c r="Y395" t="s">
        <v>10899</v>
      </c>
      <c r="AA395" t="s">
        <v>10974</v>
      </c>
      <c r="AB395" t="s">
        <v>481</v>
      </c>
      <c r="AD395" t="s">
        <v>11096</v>
      </c>
      <c r="AF395" t="s">
        <v>11122</v>
      </c>
      <c r="AH395" t="s">
        <v>10974</v>
      </c>
      <c r="AJ395" t="s">
        <v>11141</v>
      </c>
      <c r="AK395" t="s">
        <v>7225</v>
      </c>
      <c r="AM395">
        <v>736</v>
      </c>
      <c r="AO395">
        <v>63</v>
      </c>
      <c r="AQ395" t="s">
        <v>11157</v>
      </c>
      <c r="AR395" t="s">
        <v>11172</v>
      </c>
      <c r="AT395" t="s">
        <v>11184</v>
      </c>
      <c r="AU395">
        <v>0</v>
      </c>
      <c r="AW395" t="s">
        <v>11187</v>
      </c>
      <c r="AZ395" t="s">
        <v>11221</v>
      </c>
      <c r="BE395" t="s">
        <v>11952</v>
      </c>
      <c r="BF395" t="s">
        <v>14364</v>
      </c>
      <c r="BM395" t="s">
        <v>15650</v>
      </c>
    </row>
    <row r="396" spans="1:65">
      <c r="A396" s="1">
        <f>HYPERLINK("https://lsnyc.legalserver.org/matter/dynamic-profile/view/1889923","19-1889923")</f>
        <v>0</v>
      </c>
      <c r="B396" t="s">
        <v>98</v>
      </c>
      <c r="C396" t="s">
        <v>246</v>
      </c>
      <c r="D396" t="s">
        <v>482</v>
      </c>
      <c r="F396" t="s">
        <v>1366</v>
      </c>
      <c r="G396" t="s">
        <v>3143</v>
      </c>
      <c r="H396" t="s">
        <v>4989</v>
      </c>
      <c r="I396" t="s">
        <v>6497</v>
      </c>
      <c r="J396" t="s">
        <v>7170</v>
      </c>
      <c r="K396">
        <v>10453</v>
      </c>
      <c r="N396" t="s">
        <v>7237</v>
      </c>
      <c r="O396" t="s">
        <v>7585</v>
      </c>
      <c r="P396">
        <v>2</v>
      </c>
      <c r="Q396">
        <v>2</v>
      </c>
      <c r="R396">
        <v>60.58</v>
      </c>
      <c r="U396">
        <v>15600</v>
      </c>
      <c r="W396">
        <v>0</v>
      </c>
      <c r="Y396" t="s">
        <v>10865</v>
      </c>
      <c r="AA396" t="s">
        <v>10974</v>
      </c>
      <c r="AB396" t="s">
        <v>370</v>
      </c>
      <c r="AD396" t="s">
        <v>11101</v>
      </c>
      <c r="AF396" t="s">
        <v>11118</v>
      </c>
      <c r="AH396" t="s">
        <v>10974</v>
      </c>
      <c r="AJ396" t="s">
        <v>11141</v>
      </c>
      <c r="AK396" t="s">
        <v>7225</v>
      </c>
      <c r="AM396">
        <v>1273</v>
      </c>
      <c r="AO396">
        <v>167</v>
      </c>
      <c r="AQ396" t="s">
        <v>11157</v>
      </c>
      <c r="AS396" t="s">
        <v>11173</v>
      </c>
      <c r="AU396">
        <v>11</v>
      </c>
      <c r="AW396" t="s">
        <v>11189</v>
      </c>
      <c r="AZ396" t="s">
        <v>11221</v>
      </c>
      <c r="BD396" t="s">
        <v>11667</v>
      </c>
      <c r="BG396" t="s">
        <v>14486</v>
      </c>
      <c r="BM396" t="s">
        <v>15650</v>
      </c>
    </row>
    <row r="397" spans="1:65">
      <c r="A397" s="1">
        <f>HYPERLINK("https://lsnyc.legalserver.org/matter/dynamic-profile/view/1892391","19-1892391")</f>
        <v>0</v>
      </c>
      <c r="B397" t="s">
        <v>98</v>
      </c>
      <c r="C397" t="s">
        <v>246</v>
      </c>
      <c r="D397" t="s">
        <v>483</v>
      </c>
      <c r="F397" t="s">
        <v>1143</v>
      </c>
      <c r="G397" t="s">
        <v>3144</v>
      </c>
      <c r="H397" t="s">
        <v>4989</v>
      </c>
      <c r="I397" t="s">
        <v>6560</v>
      </c>
      <c r="J397" t="s">
        <v>7170</v>
      </c>
      <c r="K397">
        <v>10453</v>
      </c>
      <c r="N397" t="s">
        <v>7237</v>
      </c>
      <c r="O397" t="s">
        <v>7586</v>
      </c>
      <c r="P397">
        <v>1</v>
      </c>
      <c r="Q397">
        <v>0</v>
      </c>
      <c r="R397">
        <v>144.12</v>
      </c>
      <c r="U397">
        <v>18000</v>
      </c>
      <c r="W397">
        <v>0</v>
      </c>
      <c r="Y397" t="s">
        <v>93</v>
      </c>
      <c r="AA397" t="s">
        <v>10974</v>
      </c>
      <c r="AB397" t="s">
        <v>370</v>
      </c>
      <c r="AD397" t="s">
        <v>11098</v>
      </c>
      <c r="AF397" t="s">
        <v>11122</v>
      </c>
      <c r="AH397" t="s">
        <v>10974</v>
      </c>
      <c r="AJ397" t="s">
        <v>11134</v>
      </c>
      <c r="AK397" t="s">
        <v>7225</v>
      </c>
      <c r="AM397">
        <v>1020.49</v>
      </c>
      <c r="AO397">
        <v>170</v>
      </c>
      <c r="AQ397" t="s">
        <v>11157</v>
      </c>
      <c r="AS397" t="s">
        <v>11173</v>
      </c>
      <c r="AU397">
        <v>10</v>
      </c>
      <c r="AW397" t="s">
        <v>11187</v>
      </c>
      <c r="AZ397" t="s">
        <v>11221</v>
      </c>
      <c r="BE397" t="s">
        <v>11961</v>
      </c>
      <c r="BF397" t="s">
        <v>14364</v>
      </c>
      <c r="BM397" t="s">
        <v>15650</v>
      </c>
    </row>
    <row r="398" spans="1:65">
      <c r="A398" s="1">
        <f>HYPERLINK("https://lsnyc.legalserver.org/matter/dynamic-profile/view/1889986","19-1889986")</f>
        <v>0</v>
      </c>
      <c r="B398" t="s">
        <v>98</v>
      </c>
      <c r="C398" t="s">
        <v>246</v>
      </c>
      <c r="D398" t="s">
        <v>482</v>
      </c>
      <c r="F398" t="s">
        <v>1367</v>
      </c>
      <c r="G398" t="s">
        <v>3145</v>
      </c>
      <c r="H398" t="s">
        <v>4989</v>
      </c>
      <c r="I398" t="s">
        <v>6561</v>
      </c>
      <c r="J398" t="s">
        <v>7170</v>
      </c>
      <c r="K398">
        <v>10453</v>
      </c>
      <c r="N398" t="s">
        <v>7237</v>
      </c>
      <c r="O398" t="s">
        <v>7587</v>
      </c>
      <c r="P398">
        <v>1</v>
      </c>
      <c r="Q398">
        <v>0</v>
      </c>
      <c r="R398">
        <v>307.45</v>
      </c>
      <c r="U398">
        <v>38400</v>
      </c>
      <c r="W398">
        <v>0</v>
      </c>
      <c r="Y398" t="s">
        <v>10865</v>
      </c>
      <c r="AA398" t="s">
        <v>10974</v>
      </c>
      <c r="AB398" t="s">
        <v>370</v>
      </c>
      <c r="AD398" t="s">
        <v>11101</v>
      </c>
      <c r="AF398" t="s">
        <v>11118</v>
      </c>
      <c r="AH398" t="s">
        <v>10974</v>
      </c>
      <c r="AJ398" t="s">
        <v>11141</v>
      </c>
      <c r="AK398" t="s">
        <v>7225</v>
      </c>
      <c r="AM398">
        <v>836</v>
      </c>
      <c r="AO398">
        <v>167</v>
      </c>
      <c r="AQ398" t="s">
        <v>11157</v>
      </c>
      <c r="AS398" t="s">
        <v>11175</v>
      </c>
      <c r="AU398">
        <v>34</v>
      </c>
      <c r="AW398" t="s">
        <v>11187</v>
      </c>
      <c r="AZ398" t="s">
        <v>11221</v>
      </c>
      <c r="BE398" t="s">
        <v>11962</v>
      </c>
      <c r="BG398" t="s">
        <v>14486</v>
      </c>
      <c r="BM398" t="s">
        <v>15650</v>
      </c>
    </row>
    <row r="399" spans="1:65">
      <c r="A399" s="1">
        <f>HYPERLINK("https://lsnyc.legalserver.org/matter/dynamic-profile/view/1888376","19-1888376")</f>
        <v>0</v>
      </c>
      <c r="B399" t="s">
        <v>98</v>
      </c>
      <c r="C399" t="s">
        <v>246</v>
      </c>
      <c r="D399" t="s">
        <v>484</v>
      </c>
      <c r="F399" t="s">
        <v>1368</v>
      </c>
      <c r="G399" t="s">
        <v>3079</v>
      </c>
      <c r="H399" t="s">
        <v>4989</v>
      </c>
      <c r="I399" t="s">
        <v>6562</v>
      </c>
      <c r="J399" t="s">
        <v>7170</v>
      </c>
      <c r="K399">
        <v>10453</v>
      </c>
      <c r="N399" t="s">
        <v>7237</v>
      </c>
      <c r="O399" t="s">
        <v>7588</v>
      </c>
      <c r="P399">
        <v>1</v>
      </c>
      <c r="Q399">
        <v>0</v>
      </c>
      <c r="R399">
        <v>113.18</v>
      </c>
      <c r="U399">
        <v>13740</v>
      </c>
      <c r="W399">
        <v>12.2</v>
      </c>
      <c r="X399" t="s">
        <v>335</v>
      </c>
      <c r="Y399" t="s">
        <v>82</v>
      </c>
      <c r="AA399" t="s">
        <v>10974</v>
      </c>
      <c r="AB399" t="s">
        <v>370</v>
      </c>
      <c r="AD399" t="s">
        <v>11098</v>
      </c>
      <c r="AF399" t="s">
        <v>11122</v>
      </c>
      <c r="AH399" t="s">
        <v>10974</v>
      </c>
      <c r="AJ399" t="s">
        <v>11129</v>
      </c>
      <c r="AK399" t="s">
        <v>7225</v>
      </c>
      <c r="AM399">
        <v>1152.67</v>
      </c>
      <c r="AO399">
        <v>170</v>
      </c>
      <c r="AQ399" t="s">
        <v>11157</v>
      </c>
      <c r="AS399" t="s">
        <v>11175</v>
      </c>
      <c r="AU399">
        <v>14</v>
      </c>
      <c r="AW399" t="s">
        <v>11187</v>
      </c>
      <c r="AZ399" t="s">
        <v>11221</v>
      </c>
      <c r="BE399" t="s">
        <v>11963</v>
      </c>
      <c r="BF399" t="s">
        <v>14364</v>
      </c>
      <c r="BM399" t="s">
        <v>15650</v>
      </c>
    </row>
    <row r="400" spans="1:65">
      <c r="A400" s="1">
        <f>HYPERLINK("https://lsnyc.legalserver.org/matter/dynamic-profile/view/1880612","18-1880612")</f>
        <v>0</v>
      </c>
      <c r="B400" t="s">
        <v>98</v>
      </c>
      <c r="C400" t="s">
        <v>246</v>
      </c>
      <c r="D400" t="s">
        <v>365</v>
      </c>
      <c r="F400" t="s">
        <v>1125</v>
      </c>
      <c r="G400" t="s">
        <v>2884</v>
      </c>
      <c r="H400" t="s">
        <v>4988</v>
      </c>
      <c r="I400" t="s">
        <v>6485</v>
      </c>
      <c r="J400" t="s">
        <v>7170</v>
      </c>
      <c r="K400">
        <v>10456</v>
      </c>
      <c r="N400" t="s">
        <v>7237</v>
      </c>
      <c r="O400" t="s">
        <v>7571</v>
      </c>
      <c r="P400">
        <v>2</v>
      </c>
      <c r="Q400">
        <v>3</v>
      </c>
      <c r="R400">
        <v>142.76</v>
      </c>
      <c r="U400">
        <v>42000</v>
      </c>
      <c r="W400">
        <v>0</v>
      </c>
      <c r="Y400" t="s">
        <v>10865</v>
      </c>
      <c r="AA400" t="s">
        <v>10974</v>
      </c>
      <c r="AB400" t="s">
        <v>389</v>
      </c>
      <c r="AD400" t="s">
        <v>11098</v>
      </c>
      <c r="AF400" t="s">
        <v>11122</v>
      </c>
      <c r="AH400" t="s">
        <v>10974</v>
      </c>
      <c r="AJ400" t="s">
        <v>11141</v>
      </c>
      <c r="AK400" t="s">
        <v>7225</v>
      </c>
      <c r="AM400">
        <v>1800</v>
      </c>
      <c r="AO400">
        <v>61</v>
      </c>
      <c r="AQ400" t="s">
        <v>11157</v>
      </c>
      <c r="AS400" t="s">
        <v>11173</v>
      </c>
      <c r="AU400">
        <v>2</v>
      </c>
      <c r="AW400" t="s">
        <v>11189</v>
      </c>
      <c r="AZ400" t="s">
        <v>11221</v>
      </c>
      <c r="BE400" t="s">
        <v>11947</v>
      </c>
      <c r="BG400" t="s">
        <v>14489</v>
      </c>
      <c r="BM400" t="s">
        <v>15650</v>
      </c>
    </row>
    <row r="401" spans="1:65">
      <c r="A401" s="1">
        <f>HYPERLINK("https://lsnyc.legalserver.org/matter/dynamic-profile/view/1852418","17-1852418")</f>
        <v>0</v>
      </c>
      <c r="B401" t="s">
        <v>98</v>
      </c>
      <c r="C401" t="s">
        <v>246</v>
      </c>
      <c r="D401" t="s">
        <v>485</v>
      </c>
      <c r="F401" t="s">
        <v>1369</v>
      </c>
      <c r="G401" t="s">
        <v>2892</v>
      </c>
      <c r="H401" t="s">
        <v>4988</v>
      </c>
      <c r="I401" t="s">
        <v>6499</v>
      </c>
      <c r="J401" t="s">
        <v>7170</v>
      </c>
      <c r="K401">
        <v>10456</v>
      </c>
      <c r="N401" t="s">
        <v>7237</v>
      </c>
      <c r="O401" t="s">
        <v>7474</v>
      </c>
      <c r="P401">
        <v>3</v>
      </c>
      <c r="Q401">
        <v>0</v>
      </c>
      <c r="R401">
        <v>142.61</v>
      </c>
      <c r="S401" t="s">
        <v>10261</v>
      </c>
      <c r="U401">
        <v>29120</v>
      </c>
      <c r="W401">
        <v>0.75</v>
      </c>
      <c r="X401" t="s">
        <v>374</v>
      </c>
      <c r="Y401" t="s">
        <v>10865</v>
      </c>
      <c r="AA401" t="s">
        <v>10974</v>
      </c>
      <c r="AB401" t="s">
        <v>485</v>
      </c>
      <c r="AD401" t="s">
        <v>11096</v>
      </c>
      <c r="AF401" t="s">
        <v>11122</v>
      </c>
      <c r="AH401" t="s">
        <v>10974</v>
      </c>
      <c r="AJ401" t="s">
        <v>11141</v>
      </c>
      <c r="AK401" t="s">
        <v>7225</v>
      </c>
      <c r="AM401">
        <v>1380</v>
      </c>
      <c r="AO401">
        <v>61</v>
      </c>
      <c r="AQ401" t="s">
        <v>11157</v>
      </c>
      <c r="AS401" t="s">
        <v>11174</v>
      </c>
      <c r="AU401">
        <v>17</v>
      </c>
      <c r="AW401" t="s">
        <v>11189</v>
      </c>
      <c r="AZ401" t="s">
        <v>11221</v>
      </c>
      <c r="BE401" t="s">
        <v>11964</v>
      </c>
      <c r="BG401" t="s">
        <v>14490</v>
      </c>
      <c r="BM401" t="s">
        <v>15650</v>
      </c>
    </row>
    <row r="402" spans="1:65">
      <c r="A402" s="1">
        <f>HYPERLINK("https://lsnyc.legalserver.org/matter/dynamic-profile/view/1838852","17-1838852")</f>
        <v>0</v>
      </c>
      <c r="B402" t="s">
        <v>98</v>
      </c>
      <c r="C402" t="s">
        <v>246</v>
      </c>
      <c r="D402" t="s">
        <v>486</v>
      </c>
      <c r="F402" t="s">
        <v>1370</v>
      </c>
      <c r="G402" t="s">
        <v>3146</v>
      </c>
      <c r="H402" t="s">
        <v>4996</v>
      </c>
      <c r="I402" t="s">
        <v>6563</v>
      </c>
      <c r="J402" t="s">
        <v>7170</v>
      </c>
      <c r="K402">
        <v>10473</v>
      </c>
      <c r="N402" t="s">
        <v>7237</v>
      </c>
      <c r="O402" t="s">
        <v>7589</v>
      </c>
      <c r="P402">
        <v>1</v>
      </c>
      <c r="Q402">
        <v>0</v>
      </c>
      <c r="R402">
        <v>125.47</v>
      </c>
      <c r="S402" t="s">
        <v>10258</v>
      </c>
      <c r="U402">
        <v>15132</v>
      </c>
      <c r="W402">
        <v>0</v>
      </c>
      <c r="Y402" t="s">
        <v>10899</v>
      </c>
      <c r="AA402" t="s">
        <v>10974</v>
      </c>
      <c r="AB402" t="s">
        <v>10992</v>
      </c>
      <c r="AD402" t="s">
        <v>11096</v>
      </c>
      <c r="AF402" t="s">
        <v>11122</v>
      </c>
      <c r="AH402" t="s">
        <v>10974</v>
      </c>
      <c r="AJ402" t="s">
        <v>11139</v>
      </c>
      <c r="AK402" t="s">
        <v>7225</v>
      </c>
      <c r="AM402">
        <v>709</v>
      </c>
      <c r="AO402">
        <v>976</v>
      </c>
      <c r="AQ402" t="s">
        <v>11157</v>
      </c>
      <c r="AS402" t="s">
        <v>11173</v>
      </c>
      <c r="AT402" t="s">
        <v>11184</v>
      </c>
      <c r="AU402">
        <v>0</v>
      </c>
      <c r="AW402" t="s">
        <v>11187</v>
      </c>
      <c r="AZ402" t="s">
        <v>11221</v>
      </c>
      <c r="BD402" t="s">
        <v>11667</v>
      </c>
      <c r="BG402" t="s">
        <v>14491</v>
      </c>
      <c r="BM402" t="s">
        <v>15650</v>
      </c>
    </row>
    <row r="403" spans="1:65">
      <c r="A403" s="1">
        <f>HYPERLINK("https://lsnyc.legalserver.org/matter/dynamic-profile/view/1886622","18-1886622")</f>
        <v>0</v>
      </c>
      <c r="B403" t="s">
        <v>98</v>
      </c>
      <c r="C403" t="s">
        <v>246</v>
      </c>
      <c r="D403" t="s">
        <v>300</v>
      </c>
      <c r="F403" t="s">
        <v>1371</v>
      </c>
      <c r="G403" t="s">
        <v>3147</v>
      </c>
      <c r="H403" t="s">
        <v>4989</v>
      </c>
      <c r="I403" t="s">
        <v>6564</v>
      </c>
      <c r="J403" t="s">
        <v>7170</v>
      </c>
      <c r="K403">
        <v>10453</v>
      </c>
      <c r="N403" t="s">
        <v>7244</v>
      </c>
      <c r="O403" t="s">
        <v>7590</v>
      </c>
      <c r="P403">
        <v>1</v>
      </c>
      <c r="Q403">
        <v>0</v>
      </c>
      <c r="R403">
        <v>177.53</v>
      </c>
      <c r="U403">
        <v>21552</v>
      </c>
      <c r="W403">
        <v>46</v>
      </c>
      <c r="X403" t="s">
        <v>863</v>
      </c>
      <c r="Y403" t="s">
        <v>98</v>
      </c>
      <c r="AA403" t="s">
        <v>10974</v>
      </c>
      <c r="AB403" t="s">
        <v>519</v>
      </c>
      <c r="AD403" t="s">
        <v>11090</v>
      </c>
      <c r="AF403" t="s">
        <v>10384</v>
      </c>
      <c r="AH403" t="s">
        <v>10974</v>
      </c>
      <c r="AJ403" t="s">
        <v>11129</v>
      </c>
      <c r="AK403" t="s">
        <v>7225</v>
      </c>
      <c r="AL403" t="s">
        <v>11150</v>
      </c>
      <c r="AM403">
        <v>0</v>
      </c>
      <c r="AO403">
        <v>170</v>
      </c>
      <c r="AQ403" t="s">
        <v>11157</v>
      </c>
      <c r="AR403" t="s">
        <v>11172</v>
      </c>
      <c r="AT403" t="s">
        <v>11184</v>
      </c>
      <c r="AU403">
        <v>0</v>
      </c>
      <c r="AW403" t="s">
        <v>11187</v>
      </c>
      <c r="BA403" t="s">
        <v>11222</v>
      </c>
      <c r="BE403" t="s">
        <v>11965</v>
      </c>
      <c r="BF403" t="s">
        <v>14364</v>
      </c>
      <c r="BM403" t="s">
        <v>15650</v>
      </c>
    </row>
    <row r="404" spans="1:65">
      <c r="A404" s="1">
        <f>HYPERLINK("https://lsnyc.legalserver.org/matter/dynamic-profile/view/1889991","19-1889991")</f>
        <v>0</v>
      </c>
      <c r="B404" t="s">
        <v>98</v>
      </c>
      <c r="C404" t="s">
        <v>246</v>
      </c>
      <c r="D404" t="s">
        <v>482</v>
      </c>
      <c r="F404" t="s">
        <v>1367</v>
      </c>
      <c r="G404" t="s">
        <v>3145</v>
      </c>
      <c r="H404" t="s">
        <v>4989</v>
      </c>
      <c r="I404" t="s">
        <v>6561</v>
      </c>
      <c r="J404" t="s">
        <v>7170</v>
      </c>
      <c r="K404">
        <v>10453</v>
      </c>
      <c r="N404" t="s">
        <v>7237</v>
      </c>
      <c r="O404" t="s">
        <v>7587</v>
      </c>
      <c r="P404">
        <v>1</v>
      </c>
      <c r="Q404">
        <v>0</v>
      </c>
      <c r="R404">
        <v>307.45</v>
      </c>
      <c r="U404">
        <v>38400</v>
      </c>
      <c r="W404">
        <v>0</v>
      </c>
      <c r="Y404" t="s">
        <v>10865</v>
      </c>
      <c r="AA404" t="s">
        <v>10974</v>
      </c>
      <c r="AB404" t="s">
        <v>370</v>
      </c>
      <c r="AD404" t="s">
        <v>11098</v>
      </c>
      <c r="AF404" t="s">
        <v>11122</v>
      </c>
      <c r="AH404" t="s">
        <v>10974</v>
      </c>
      <c r="AJ404" t="s">
        <v>11141</v>
      </c>
      <c r="AK404" t="s">
        <v>7225</v>
      </c>
      <c r="AM404">
        <v>836</v>
      </c>
      <c r="AO404">
        <v>167</v>
      </c>
      <c r="AQ404" t="s">
        <v>11157</v>
      </c>
      <c r="AS404" t="s">
        <v>11175</v>
      </c>
      <c r="AU404">
        <v>34</v>
      </c>
      <c r="AW404" t="s">
        <v>11187</v>
      </c>
      <c r="AZ404" t="s">
        <v>11221</v>
      </c>
      <c r="BE404" t="s">
        <v>11962</v>
      </c>
      <c r="BF404" t="s">
        <v>14364</v>
      </c>
      <c r="BM404" t="s">
        <v>15650</v>
      </c>
    </row>
    <row r="405" spans="1:65">
      <c r="A405" s="1">
        <f>HYPERLINK("https://lsnyc.legalserver.org/matter/dynamic-profile/view/1875776","18-1875776")</f>
        <v>0</v>
      </c>
      <c r="B405" t="s">
        <v>98</v>
      </c>
      <c r="C405" t="s">
        <v>246</v>
      </c>
      <c r="D405" t="s">
        <v>487</v>
      </c>
      <c r="F405" t="s">
        <v>1372</v>
      </c>
      <c r="G405" t="s">
        <v>3148</v>
      </c>
      <c r="H405" t="s">
        <v>4988</v>
      </c>
      <c r="I405" t="s">
        <v>6477</v>
      </c>
      <c r="J405" t="s">
        <v>7170</v>
      </c>
      <c r="K405">
        <v>10456</v>
      </c>
      <c r="N405" t="s">
        <v>7237</v>
      </c>
      <c r="O405" t="s">
        <v>7591</v>
      </c>
      <c r="P405">
        <v>2</v>
      </c>
      <c r="Q405">
        <v>0</v>
      </c>
      <c r="R405">
        <v>54.68</v>
      </c>
      <c r="U405">
        <v>9000</v>
      </c>
      <c r="W405">
        <v>0</v>
      </c>
      <c r="Y405" t="s">
        <v>216</v>
      </c>
      <c r="AA405" t="s">
        <v>10974</v>
      </c>
      <c r="AB405" t="s">
        <v>730</v>
      </c>
      <c r="AD405" t="s">
        <v>11098</v>
      </c>
      <c r="AF405" t="s">
        <v>11122</v>
      </c>
      <c r="AH405" t="s">
        <v>10974</v>
      </c>
      <c r="AJ405" t="s">
        <v>11141</v>
      </c>
      <c r="AK405" t="s">
        <v>7225</v>
      </c>
      <c r="AM405">
        <v>1446.39</v>
      </c>
      <c r="AO405">
        <v>61</v>
      </c>
      <c r="AQ405" t="s">
        <v>11157</v>
      </c>
      <c r="AS405" t="s">
        <v>11174</v>
      </c>
      <c r="AU405">
        <v>17</v>
      </c>
      <c r="AW405" t="s">
        <v>11189</v>
      </c>
      <c r="AZ405" t="s">
        <v>11221</v>
      </c>
      <c r="BE405" t="s">
        <v>11966</v>
      </c>
      <c r="BG405" t="s">
        <v>14483</v>
      </c>
      <c r="BM405" t="s">
        <v>15650</v>
      </c>
    </row>
    <row r="406" spans="1:65">
      <c r="A406" s="1">
        <f>HYPERLINK("https://lsnyc.legalserver.org/matter/dynamic-profile/view/1862837","18-1862837")</f>
        <v>0</v>
      </c>
      <c r="B406" t="s">
        <v>98</v>
      </c>
      <c r="C406" t="s">
        <v>246</v>
      </c>
      <c r="D406" t="s">
        <v>488</v>
      </c>
      <c r="F406" t="s">
        <v>1373</v>
      </c>
      <c r="G406" t="s">
        <v>3149</v>
      </c>
      <c r="H406" t="s">
        <v>4990</v>
      </c>
      <c r="I406" t="s">
        <v>6440</v>
      </c>
      <c r="J406" t="s">
        <v>7170</v>
      </c>
      <c r="K406">
        <v>10457</v>
      </c>
      <c r="N406" t="s">
        <v>7237</v>
      </c>
      <c r="O406" t="s">
        <v>7592</v>
      </c>
      <c r="P406">
        <v>1</v>
      </c>
      <c r="Q406">
        <v>0</v>
      </c>
      <c r="R406">
        <v>113.18</v>
      </c>
      <c r="U406">
        <v>13740</v>
      </c>
      <c r="W406">
        <v>0.4</v>
      </c>
      <c r="X406" t="s">
        <v>488</v>
      </c>
      <c r="Y406" t="s">
        <v>10865</v>
      </c>
      <c r="AA406" t="s">
        <v>10974</v>
      </c>
      <c r="AB406" t="s">
        <v>939</v>
      </c>
      <c r="AD406" t="s">
        <v>11096</v>
      </c>
      <c r="AF406" t="s">
        <v>11122</v>
      </c>
      <c r="AH406" t="s">
        <v>10974</v>
      </c>
      <c r="AJ406" t="s">
        <v>11129</v>
      </c>
      <c r="AK406" t="s">
        <v>7225</v>
      </c>
      <c r="AM406">
        <v>862.95</v>
      </c>
      <c r="AO406">
        <v>100</v>
      </c>
      <c r="AQ406" t="s">
        <v>11157</v>
      </c>
      <c r="AS406" t="s">
        <v>11175</v>
      </c>
      <c r="AU406">
        <v>32</v>
      </c>
      <c r="AW406" t="s">
        <v>11189</v>
      </c>
      <c r="AZ406" t="s">
        <v>11221</v>
      </c>
      <c r="BC406" t="s">
        <v>11266</v>
      </c>
      <c r="BD406" t="s">
        <v>11667</v>
      </c>
      <c r="BG406" t="s">
        <v>14492</v>
      </c>
      <c r="BM406" t="s">
        <v>15650</v>
      </c>
    </row>
    <row r="407" spans="1:65">
      <c r="A407" s="1">
        <f>HYPERLINK("https://lsnyc.legalserver.org/matter/dynamic-profile/view/1891971","19-1891971")</f>
        <v>0</v>
      </c>
      <c r="B407" t="s">
        <v>98</v>
      </c>
      <c r="C407" t="s">
        <v>246</v>
      </c>
      <c r="D407" t="s">
        <v>425</v>
      </c>
      <c r="F407" t="s">
        <v>1143</v>
      </c>
      <c r="G407" t="s">
        <v>3144</v>
      </c>
      <c r="H407" t="s">
        <v>4989</v>
      </c>
      <c r="I407" t="s">
        <v>6560</v>
      </c>
      <c r="J407" t="s">
        <v>7170</v>
      </c>
      <c r="K407">
        <v>10453</v>
      </c>
      <c r="N407" t="s">
        <v>7237</v>
      </c>
      <c r="O407" t="s">
        <v>7586</v>
      </c>
      <c r="P407">
        <v>1</v>
      </c>
      <c r="Q407">
        <v>0</v>
      </c>
      <c r="R407">
        <v>148.27</v>
      </c>
      <c r="U407">
        <v>18000</v>
      </c>
      <c r="W407">
        <v>0</v>
      </c>
      <c r="Y407" t="s">
        <v>93</v>
      </c>
      <c r="AA407" t="s">
        <v>10974</v>
      </c>
      <c r="AB407" t="s">
        <v>370</v>
      </c>
      <c r="AD407" t="s">
        <v>11101</v>
      </c>
      <c r="AF407" t="s">
        <v>11118</v>
      </c>
      <c r="AH407" t="s">
        <v>10974</v>
      </c>
      <c r="AJ407" t="s">
        <v>11141</v>
      </c>
      <c r="AK407" t="s">
        <v>7225</v>
      </c>
      <c r="AM407">
        <v>1020.49</v>
      </c>
      <c r="AO407">
        <v>170</v>
      </c>
      <c r="AQ407" t="s">
        <v>11157</v>
      </c>
      <c r="AS407" t="s">
        <v>11173</v>
      </c>
      <c r="AU407">
        <v>10</v>
      </c>
      <c r="AW407" t="s">
        <v>11187</v>
      </c>
      <c r="AZ407" t="s">
        <v>11221</v>
      </c>
      <c r="BE407" t="s">
        <v>11961</v>
      </c>
      <c r="BG407" t="s">
        <v>14486</v>
      </c>
      <c r="BM407" t="s">
        <v>15650</v>
      </c>
    </row>
    <row r="408" spans="1:65">
      <c r="A408" s="1">
        <f>HYPERLINK("https://lsnyc.legalserver.org/matter/dynamic-profile/view/1889883","19-1889883")</f>
        <v>0</v>
      </c>
      <c r="B408" t="s">
        <v>98</v>
      </c>
      <c r="C408" t="s">
        <v>246</v>
      </c>
      <c r="D408" t="s">
        <v>484</v>
      </c>
      <c r="F408" t="s">
        <v>1374</v>
      </c>
      <c r="G408" t="s">
        <v>3150</v>
      </c>
      <c r="H408" t="s">
        <v>4989</v>
      </c>
      <c r="I408" t="s">
        <v>6565</v>
      </c>
      <c r="J408" t="s">
        <v>7170</v>
      </c>
      <c r="K408">
        <v>10453</v>
      </c>
      <c r="N408" t="s">
        <v>7237</v>
      </c>
      <c r="O408" t="s">
        <v>7593</v>
      </c>
      <c r="P408">
        <v>1</v>
      </c>
      <c r="Q408">
        <v>0</v>
      </c>
      <c r="R408">
        <v>328.52</v>
      </c>
      <c r="U408">
        <v>41032</v>
      </c>
      <c r="W408">
        <v>0</v>
      </c>
      <c r="Y408" t="s">
        <v>10904</v>
      </c>
      <c r="AA408" t="s">
        <v>10974</v>
      </c>
      <c r="AB408" t="s">
        <v>370</v>
      </c>
      <c r="AD408" t="s">
        <v>11101</v>
      </c>
      <c r="AF408" t="s">
        <v>11118</v>
      </c>
      <c r="AH408" t="s">
        <v>10974</v>
      </c>
      <c r="AJ408" t="s">
        <v>11141</v>
      </c>
      <c r="AK408" t="s">
        <v>7225</v>
      </c>
      <c r="AM408">
        <v>949</v>
      </c>
      <c r="AN408" t="s">
        <v>11151</v>
      </c>
      <c r="AO408" t="s">
        <v>11153</v>
      </c>
      <c r="AQ408" t="s">
        <v>11157</v>
      </c>
      <c r="AS408" t="s">
        <v>11175</v>
      </c>
      <c r="AU408">
        <v>39</v>
      </c>
      <c r="AW408" t="s">
        <v>11187</v>
      </c>
      <c r="AZ408" t="s">
        <v>11221</v>
      </c>
      <c r="BE408" t="s">
        <v>11967</v>
      </c>
      <c r="BG408" t="s">
        <v>14486</v>
      </c>
      <c r="BM408" t="s">
        <v>15650</v>
      </c>
    </row>
    <row r="409" spans="1:65">
      <c r="A409" s="1">
        <f>HYPERLINK("https://lsnyc.legalserver.org/matter/dynamic-profile/view/1891359","19-1891359")</f>
        <v>0</v>
      </c>
      <c r="B409" t="s">
        <v>98</v>
      </c>
      <c r="C409" t="s">
        <v>246</v>
      </c>
      <c r="D409" t="s">
        <v>480</v>
      </c>
      <c r="F409" t="s">
        <v>1375</v>
      </c>
      <c r="G409" t="s">
        <v>3151</v>
      </c>
      <c r="H409" t="s">
        <v>4989</v>
      </c>
      <c r="I409" t="s">
        <v>6566</v>
      </c>
      <c r="J409" t="s">
        <v>7170</v>
      </c>
      <c r="K409">
        <v>10453</v>
      </c>
      <c r="N409" t="s">
        <v>7237</v>
      </c>
      <c r="O409" t="s">
        <v>7594</v>
      </c>
      <c r="P409">
        <v>2</v>
      </c>
      <c r="Q409">
        <v>0</v>
      </c>
      <c r="R409">
        <v>124.19</v>
      </c>
      <c r="U409">
        <v>21000</v>
      </c>
      <c r="W409">
        <v>0</v>
      </c>
      <c r="Y409" t="s">
        <v>216</v>
      </c>
      <c r="AA409" t="s">
        <v>10974</v>
      </c>
      <c r="AB409" t="s">
        <v>370</v>
      </c>
      <c r="AD409" t="s">
        <v>11098</v>
      </c>
      <c r="AF409" t="s">
        <v>11122</v>
      </c>
      <c r="AH409" t="s">
        <v>10974</v>
      </c>
      <c r="AJ409" t="s">
        <v>11141</v>
      </c>
      <c r="AK409" t="s">
        <v>7225</v>
      </c>
      <c r="AM409">
        <v>802.4400000000001</v>
      </c>
      <c r="AO409">
        <v>170</v>
      </c>
      <c r="AQ409" t="s">
        <v>11157</v>
      </c>
      <c r="AS409" t="s">
        <v>11173</v>
      </c>
      <c r="AU409">
        <v>30</v>
      </c>
      <c r="AW409" t="s">
        <v>11187</v>
      </c>
      <c r="AZ409" t="s">
        <v>11221</v>
      </c>
      <c r="BE409" t="s">
        <v>11968</v>
      </c>
      <c r="BF409" t="s">
        <v>14364</v>
      </c>
      <c r="BM409" t="s">
        <v>15650</v>
      </c>
    </row>
    <row r="410" spans="1:65">
      <c r="A410" s="1">
        <f>HYPERLINK("https://lsnyc.legalserver.org/matter/dynamic-profile/view/1887380","19-1887380")</f>
        <v>0</v>
      </c>
      <c r="B410" t="s">
        <v>98</v>
      </c>
      <c r="C410" t="s">
        <v>246</v>
      </c>
      <c r="D410" t="s">
        <v>354</v>
      </c>
      <c r="F410" t="s">
        <v>1376</v>
      </c>
      <c r="G410" t="s">
        <v>3152</v>
      </c>
      <c r="H410" t="s">
        <v>4997</v>
      </c>
      <c r="I410">
        <v>47</v>
      </c>
      <c r="J410" t="s">
        <v>7170</v>
      </c>
      <c r="K410">
        <v>10453</v>
      </c>
      <c r="N410" t="s">
        <v>7237</v>
      </c>
      <c r="O410" t="s">
        <v>7595</v>
      </c>
      <c r="P410">
        <v>2</v>
      </c>
      <c r="Q410">
        <v>1</v>
      </c>
      <c r="R410">
        <v>52.94</v>
      </c>
      <c r="U410">
        <v>11000.04</v>
      </c>
      <c r="W410">
        <v>0</v>
      </c>
      <c r="Y410" t="s">
        <v>10897</v>
      </c>
      <c r="AA410" t="s">
        <v>10974</v>
      </c>
      <c r="AB410" t="s">
        <v>370</v>
      </c>
      <c r="AD410" t="s">
        <v>11098</v>
      </c>
      <c r="AF410" t="s">
        <v>11122</v>
      </c>
      <c r="AH410" t="s">
        <v>10974</v>
      </c>
      <c r="AJ410" t="s">
        <v>11134</v>
      </c>
      <c r="AK410" t="s">
        <v>7225</v>
      </c>
      <c r="AM410">
        <v>1345</v>
      </c>
      <c r="AO410">
        <v>43</v>
      </c>
      <c r="AQ410" t="s">
        <v>11157</v>
      </c>
      <c r="AS410" t="s">
        <v>11174</v>
      </c>
      <c r="AU410">
        <v>18</v>
      </c>
      <c r="AW410" t="s">
        <v>11189</v>
      </c>
      <c r="AZ410" t="s">
        <v>11221</v>
      </c>
      <c r="BE410" t="s">
        <v>11969</v>
      </c>
      <c r="BG410" t="s">
        <v>14493</v>
      </c>
      <c r="BM410" t="s">
        <v>15650</v>
      </c>
    </row>
    <row r="411" spans="1:65">
      <c r="A411" s="1">
        <f>HYPERLINK("https://lsnyc.legalserver.org/matter/dynamic-profile/view/1905066","19-1905066")</f>
        <v>0</v>
      </c>
      <c r="B411" t="s">
        <v>98</v>
      </c>
      <c r="C411" t="s">
        <v>246</v>
      </c>
      <c r="D411" t="s">
        <v>332</v>
      </c>
      <c r="F411" t="s">
        <v>1210</v>
      </c>
      <c r="G411" t="s">
        <v>3140</v>
      </c>
      <c r="H411" t="s">
        <v>4989</v>
      </c>
      <c r="I411" t="s">
        <v>6557</v>
      </c>
      <c r="J411" t="s">
        <v>7170</v>
      </c>
      <c r="K411">
        <v>10453</v>
      </c>
      <c r="N411" t="s">
        <v>7237</v>
      </c>
      <c r="O411" t="s">
        <v>7583</v>
      </c>
      <c r="P411">
        <v>2</v>
      </c>
      <c r="Q411">
        <v>2</v>
      </c>
      <c r="R411">
        <v>33.55</v>
      </c>
      <c r="U411">
        <v>8640</v>
      </c>
      <c r="W411">
        <v>0</v>
      </c>
      <c r="Y411" t="s">
        <v>93</v>
      </c>
      <c r="AA411" t="s">
        <v>10974</v>
      </c>
      <c r="AB411" t="s">
        <v>287</v>
      </c>
      <c r="AD411" t="s">
        <v>11098</v>
      </c>
      <c r="AF411" t="s">
        <v>11122</v>
      </c>
      <c r="AH411" t="s">
        <v>10974</v>
      </c>
      <c r="AJ411" t="s">
        <v>11141</v>
      </c>
      <c r="AK411" t="s">
        <v>7225</v>
      </c>
      <c r="AM411">
        <v>856.0599999999999</v>
      </c>
      <c r="AO411">
        <v>170</v>
      </c>
      <c r="AQ411" t="s">
        <v>11157</v>
      </c>
      <c r="AR411" t="s">
        <v>11172</v>
      </c>
      <c r="AU411">
        <v>18</v>
      </c>
      <c r="AW411" t="s">
        <v>11189</v>
      </c>
      <c r="BA411" t="s">
        <v>11222</v>
      </c>
      <c r="BE411" t="s">
        <v>11959</v>
      </c>
      <c r="BG411" t="s">
        <v>14494</v>
      </c>
      <c r="BM411" t="s">
        <v>15650</v>
      </c>
    </row>
    <row r="412" spans="1:65">
      <c r="A412" s="1">
        <f>HYPERLINK("https://lsnyc.legalserver.org/matter/dynamic-profile/view/1844544","17-1844544")</f>
        <v>0</v>
      </c>
      <c r="B412" t="s">
        <v>98</v>
      </c>
      <c r="C412" t="s">
        <v>246</v>
      </c>
      <c r="D412" t="s">
        <v>489</v>
      </c>
      <c r="F412" t="s">
        <v>1377</v>
      </c>
      <c r="G412" t="s">
        <v>1624</v>
      </c>
      <c r="H412" t="s">
        <v>4998</v>
      </c>
      <c r="I412">
        <v>46</v>
      </c>
      <c r="J412" t="s">
        <v>7170</v>
      </c>
      <c r="K412">
        <v>10473</v>
      </c>
      <c r="N412" t="s">
        <v>7237</v>
      </c>
      <c r="O412" t="s">
        <v>7596</v>
      </c>
      <c r="P412">
        <v>1</v>
      </c>
      <c r="Q412">
        <v>0</v>
      </c>
      <c r="R412">
        <v>149.25</v>
      </c>
      <c r="S412" t="s">
        <v>10258</v>
      </c>
      <c r="U412">
        <v>18000</v>
      </c>
      <c r="W412">
        <v>0</v>
      </c>
      <c r="Y412" t="s">
        <v>10905</v>
      </c>
      <c r="AA412" t="s">
        <v>10974</v>
      </c>
      <c r="AB412" t="s">
        <v>10992</v>
      </c>
      <c r="AD412" t="s">
        <v>11096</v>
      </c>
      <c r="AF412" t="s">
        <v>11122</v>
      </c>
      <c r="AH412" t="s">
        <v>10974</v>
      </c>
      <c r="AJ412" t="s">
        <v>11139</v>
      </c>
      <c r="AK412" t="s">
        <v>7225</v>
      </c>
      <c r="AM412">
        <v>829.79</v>
      </c>
      <c r="AO412">
        <v>976</v>
      </c>
      <c r="AQ412" t="s">
        <v>11157</v>
      </c>
      <c r="AR412" t="s">
        <v>11172</v>
      </c>
      <c r="AU412">
        <v>13</v>
      </c>
      <c r="AW412" t="s">
        <v>11187</v>
      </c>
      <c r="AZ412" t="s">
        <v>11221</v>
      </c>
      <c r="BE412" t="s">
        <v>11970</v>
      </c>
      <c r="BG412" t="s">
        <v>14495</v>
      </c>
      <c r="BM412" t="s">
        <v>15650</v>
      </c>
    </row>
    <row r="413" spans="1:65">
      <c r="A413" s="1">
        <f>HYPERLINK("https://lsnyc.legalserver.org/matter/dynamic-profile/view/1887499","19-1887499")</f>
        <v>0</v>
      </c>
      <c r="B413" t="s">
        <v>98</v>
      </c>
      <c r="C413" t="s">
        <v>246</v>
      </c>
      <c r="D413" t="s">
        <v>290</v>
      </c>
      <c r="F413" t="s">
        <v>1378</v>
      </c>
      <c r="G413" t="s">
        <v>3153</v>
      </c>
      <c r="H413" t="s">
        <v>4997</v>
      </c>
      <c r="I413">
        <v>54</v>
      </c>
      <c r="J413" t="s">
        <v>7170</v>
      </c>
      <c r="K413">
        <v>10453</v>
      </c>
      <c r="N413" t="s">
        <v>7237</v>
      </c>
      <c r="O413" t="s">
        <v>7597</v>
      </c>
      <c r="P413">
        <v>2</v>
      </c>
      <c r="Q413">
        <v>0</v>
      </c>
      <c r="R413">
        <v>328.07</v>
      </c>
      <c r="U413">
        <v>54000</v>
      </c>
      <c r="W413">
        <v>0</v>
      </c>
      <c r="Y413" t="s">
        <v>10897</v>
      </c>
      <c r="AA413" t="s">
        <v>10974</v>
      </c>
      <c r="AB413" t="s">
        <v>370</v>
      </c>
      <c r="AD413" t="s">
        <v>11098</v>
      </c>
      <c r="AF413" t="s">
        <v>11122</v>
      </c>
      <c r="AH413" t="s">
        <v>10974</v>
      </c>
      <c r="AJ413" t="s">
        <v>11134</v>
      </c>
      <c r="AK413" t="s">
        <v>7225</v>
      </c>
      <c r="AM413">
        <v>1339</v>
      </c>
      <c r="AO413">
        <v>46</v>
      </c>
      <c r="AQ413" t="s">
        <v>11157</v>
      </c>
      <c r="AS413" t="s">
        <v>11173</v>
      </c>
      <c r="AU413">
        <v>5</v>
      </c>
      <c r="AW413" t="s">
        <v>11189</v>
      </c>
      <c r="AZ413" t="s">
        <v>11221</v>
      </c>
      <c r="BE413" t="s">
        <v>11971</v>
      </c>
      <c r="BG413" t="s">
        <v>14493</v>
      </c>
      <c r="BM413" t="s">
        <v>15650</v>
      </c>
    </row>
    <row r="414" spans="1:65">
      <c r="A414" s="1">
        <f>HYPERLINK("https://lsnyc.legalserver.org/matter/dynamic-profile/view/1889908","19-1889908")</f>
        <v>0</v>
      </c>
      <c r="B414" t="s">
        <v>98</v>
      </c>
      <c r="C414" t="s">
        <v>246</v>
      </c>
      <c r="D414" t="s">
        <v>482</v>
      </c>
      <c r="F414" t="s">
        <v>1379</v>
      </c>
      <c r="G414" t="s">
        <v>3154</v>
      </c>
      <c r="H414" t="s">
        <v>4989</v>
      </c>
      <c r="I414" t="s">
        <v>6433</v>
      </c>
      <c r="J414" t="s">
        <v>7170</v>
      </c>
      <c r="K414">
        <v>10453</v>
      </c>
      <c r="N414" t="s">
        <v>7237</v>
      </c>
      <c r="O414" t="s">
        <v>7598</v>
      </c>
      <c r="P414">
        <v>1</v>
      </c>
      <c r="Q414">
        <v>0</v>
      </c>
      <c r="R414">
        <v>544.4400000000001</v>
      </c>
      <c r="U414">
        <v>68000</v>
      </c>
      <c r="W414">
        <v>0</v>
      </c>
      <c r="Y414" t="s">
        <v>10865</v>
      </c>
      <c r="AA414" t="s">
        <v>10974</v>
      </c>
      <c r="AB414" t="s">
        <v>370</v>
      </c>
      <c r="AD414" t="s">
        <v>11098</v>
      </c>
      <c r="AF414" t="s">
        <v>11122</v>
      </c>
      <c r="AH414" t="s">
        <v>10974</v>
      </c>
      <c r="AJ414" t="s">
        <v>11141</v>
      </c>
      <c r="AK414" t="s">
        <v>7225</v>
      </c>
      <c r="AM414">
        <v>1120.87</v>
      </c>
      <c r="AO414">
        <v>167</v>
      </c>
      <c r="AQ414" t="s">
        <v>11157</v>
      </c>
      <c r="AS414" t="s">
        <v>11173</v>
      </c>
      <c r="AU414">
        <v>18</v>
      </c>
      <c r="AW414" t="s">
        <v>11187</v>
      </c>
      <c r="AZ414" t="s">
        <v>11221</v>
      </c>
      <c r="BE414" t="s">
        <v>11972</v>
      </c>
      <c r="BF414" t="s">
        <v>14364</v>
      </c>
      <c r="BM414" t="s">
        <v>15650</v>
      </c>
    </row>
    <row r="415" spans="1:65">
      <c r="A415" s="1">
        <f>HYPERLINK("https://lsnyc.legalserver.org/matter/dynamic-profile/view/1896215","19-1896215")</f>
        <v>0</v>
      </c>
      <c r="B415" t="s">
        <v>98</v>
      </c>
      <c r="C415" t="s">
        <v>246</v>
      </c>
      <c r="D415" t="s">
        <v>445</v>
      </c>
      <c r="F415" t="s">
        <v>1122</v>
      </c>
      <c r="G415" t="s">
        <v>3155</v>
      </c>
      <c r="H415" t="s">
        <v>4989</v>
      </c>
      <c r="I415" t="s">
        <v>6413</v>
      </c>
      <c r="J415" t="s">
        <v>7170</v>
      </c>
      <c r="K415">
        <v>10453</v>
      </c>
      <c r="N415" t="s">
        <v>7237</v>
      </c>
      <c r="O415" t="s">
        <v>7599</v>
      </c>
      <c r="P415">
        <v>1</v>
      </c>
      <c r="Q415">
        <v>1</v>
      </c>
      <c r="R415">
        <v>21.29</v>
      </c>
      <c r="U415">
        <v>3600</v>
      </c>
      <c r="W415">
        <v>0</v>
      </c>
      <c r="Y415" t="s">
        <v>93</v>
      </c>
      <c r="AA415" t="s">
        <v>10974</v>
      </c>
      <c r="AB415" t="s">
        <v>370</v>
      </c>
      <c r="AD415" t="s">
        <v>11098</v>
      </c>
      <c r="AF415" t="s">
        <v>11122</v>
      </c>
      <c r="AH415" t="s">
        <v>10974</v>
      </c>
      <c r="AJ415" t="s">
        <v>11134</v>
      </c>
      <c r="AK415" t="s">
        <v>7225</v>
      </c>
      <c r="AM415">
        <v>931</v>
      </c>
      <c r="AO415">
        <v>170</v>
      </c>
      <c r="AQ415" t="s">
        <v>11157</v>
      </c>
      <c r="AS415" t="s">
        <v>11173</v>
      </c>
      <c r="AU415">
        <v>12</v>
      </c>
      <c r="AW415" t="s">
        <v>11187</v>
      </c>
      <c r="AZ415" t="s">
        <v>11221</v>
      </c>
      <c r="BE415" t="s">
        <v>11973</v>
      </c>
      <c r="BF415" t="s">
        <v>14364</v>
      </c>
      <c r="BM415" t="s">
        <v>15650</v>
      </c>
    </row>
    <row r="416" spans="1:65">
      <c r="A416" s="1">
        <f>HYPERLINK("https://lsnyc.legalserver.org/matter/dynamic-profile/view/1896214","19-1896214")</f>
        <v>0</v>
      </c>
      <c r="B416" t="s">
        <v>98</v>
      </c>
      <c r="C416" t="s">
        <v>246</v>
      </c>
      <c r="D416" t="s">
        <v>445</v>
      </c>
      <c r="F416" t="s">
        <v>1122</v>
      </c>
      <c r="G416" t="s">
        <v>3155</v>
      </c>
      <c r="H416" t="s">
        <v>4989</v>
      </c>
      <c r="I416" t="s">
        <v>6413</v>
      </c>
      <c r="J416" t="s">
        <v>7170</v>
      </c>
      <c r="K416">
        <v>10453</v>
      </c>
      <c r="N416" t="s">
        <v>7237</v>
      </c>
      <c r="O416" t="s">
        <v>7599</v>
      </c>
      <c r="P416">
        <v>1</v>
      </c>
      <c r="Q416">
        <v>1</v>
      </c>
      <c r="R416">
        <v>21.29</v>
      </c>
      <c r="U416">
        <v>3600</v>
      </c>
      <c r="W416">
        <v>0</v>
      </c>
      <c r="Y416" t="s">
        <v>93</v>
      </c>
      <c r="AA416" t="s">
        <v>10974</v>
      </c>
      <c r="AB416" t="s">
        <v>370</v>
      </c>
      <c r="AD416" t="s">
        <v>11101</v>
      </c>
      <c r="AF416" t="s">
        <v>11118</v>
      </c>
      <c r="AH416" t="s">
        <v>10974</v>
      </c>
      <c r="AJ416" t="s">
        <v>11134</v>
      </c>
      <c r="AK416" t="s">
        <v>7225</v>
      </c>
      <c r="AM416">
        <v>931</v>
      </c>
      <c r="AO416">
        <v>170</v>
      </c>
      <c r="AQ416" t="s">
        <v>11157</v>
      </c>
      <c r="AS416" t="s">
        <v>11176</v>
      </c>
      <c r="AU416">
        <v>12</v>
      </c>
      <c r="AW416" t="s">
        <v>11187</v>
      </c>
      <c r="BA416" t="s">
        <v>11223</v>
      </c>
      <c r="BB416" t="s">
        <v>11224</v>
      </c>
      <c r="BC416" t="s">
        <v>11267</v>
      </c>
      <c r="BE416" t="s">
        <v>11973</v>
      </c>
      <c r="BF416" t="s">
        <v>14364</v>
      </c>
      <c r="BM416" t="s">
        <v>15650</v>
      </c>
    </row>
    <row r="417" spans="1:65">
      <c r="A417" s="1">
        <f>HYPERLINK("https://lsnyc.legalserver.org/matter/dynamic-profile/view/1838729","17-1838729")</f>
        <v>0</v>
      </c>
      <c r="B417" t="s">
        <v>98</v>
      </c>
      <c r="C417" t="s">
        <v>246</v>
      </c>
      <c r="D417" t="s">
        <v>490</v>
      </c>
      <c r="F417" t="s">
        <v>1380</v>
      </c>
      <c r="G417" t="s">
        <v>2125</v>
      </c>
      <c r="H417" t="s">
        <v>4998</v>
      </c>
      <c r="I417" t="s">
        <v>6567</v>
      </c>
      <c r="J417" t="s">
        <v>7170</v>
      </c>
      <c r="K417">
        <v>10473</v>
      </c>
      <c r="N417" t="s">
        <v>7237</v>
      </c>
      <c r="O417" t="s">
        <v>7600</v>
      </c>
      <c r="P417">
        <v>2</v>
      </c>
      <c r="Q417">
        <v>0</v>
      </c>
      <c r="R417">
        <v>163.01</v>
      </c>
      <c r="S417" t="s">
        <v>10258</v>
      </c>
      <c r="U417">
        <v>33672.36</v>
      </c>
      <c r="W417">
        <v>0</v>
      </c>
      <c r="Y417" t="s">
        <v>10899</v>
      </c>
      <c r="AA417" t="s">
        <v>10974</v>
      </c>
      <c r="AB417" t="s">
        <v>10992</v>
      </c>
      <c r="AD417" t="s">
        <v>11096</v>
      </c>
      <c r="AF417" t="s">
        <v>11122</v>
      </c>
      <c r="AH417" t="s">
        <v>10974</v>
      </c>
      <c r="AJ417" t="s">
        <v>11139</v>
      </c>
      <c r="AK417" t="s">
        <v>7225</v>
      </c>
      <c r="AM417">
        <v>744.03</v>
      </c>
      <c r="AO417">
        <v>976</v>
      </c>
      <c r="AQ417" t="s">
        <v>11157</v>
      </c>
      <c r="AS417" t="s">
        <v>11175</v>
      </c>
      <c r="AU417">
        <v>40</v>
      </c>
      <c r="AW417" t="s">
        <v>11187</v>
      </c>
      <c r="AZ417" t="s">
        <v>11221</v>
      </c>
      <c r="BE417" t="s">
        <v>11974</v>
      </c>
      <c r="BG417" t="s">
        <v>14495</v>
      </c>
      <c r="BM417" t="s">
        <v>15650</v>
      </c>
    </row>
    <row r="418" spans="1:65">
      <c r="A418" s="1">
        <f>HYPERLINK("https://lsnyc.legalserver.org/matter/dynamic-profile/view/1889905","19-1889905")</f>
        <v>0</v>
      </c>
      <c r="B418" t="s">
        <v>98</v>
      </c>
      <c r="C418" t="s">
        <v>246</v>
      </c>
      <c r="D418" t="s">
        <v>482</v>
      </c>
      <c r="F418" t="s">
        <v>1379</v>
      </c>
      <c r="G418" t="s">
        <v>3154</v>
      </c>
      <c r="H418" t="s">
        <v>4989</v>
      </c>
      <c r="I418" t="s">
        <v>6433</v>
      </c>
      <c r="J418" t="s">
        <v>7170</v>
      </c>
      <c r="K418">
        <v>10453</v>
      </c>
      <c r="N418" t="s">
        <v>7237</v>
      </c>
      <c r="O418" t="s">
        <v>7598</v>
      </c>
      <c r="P418">
        <v>1</v>
      </c>
      <c r="Q418">
        <v>0</v>
      </c>
      <c r="R418">
        <v>544.4400000000001</v>
      </c>
      <c r="U418">
        <v>68000</v>
      </c>
      <c r="W418">
        <v>0</v>
      </c>
      <c r="Y418" t="s">
        <v>10865</v>
      </c>
      <c r="AA418" t="s">
        <v>10974</v>
      </c>
      <c r="AB418" t="s">
        <v>370</v>
      </c>
      <c r="AD418" t="s">
        <v>11101</v>
      </c>
      <c r="AF418" t="s">
        <v>11118</v>
      </c>
      <c r="AH418" t="s">
        <v>10974</v>
      </c>
      <c r="AJ418" t="s">
        <v>11141</v>
      </c>
      <c r="AK418" t="s">
        <v>7225</v>
      </c>
      <c r="AM418">
        <v>1120.87</v>
      </c>
      <c r="AO418">
        <v>167</v>
      </c>
      <c r="AQ418" t="s">
        <v>11157</v>
      </c>
      <c r="AS418" t="s">
        <v>11173</v>
      </c>
      <c r="AU418">
        <v>18</v>
      </c>
      <c r="AW418" t="s">
        <v>11187</v>
      </c>
      <c r="AZ418" t="s">
        <v>11221</v>
      </c>
      <c r="BE418" t="s">
        <v>11972</v>
      </c>
      <c r="BG418" t="s">
        <v>14486</v>
      </c>
      <c r="BM418" t="s">
        <v>15650</v>
      </c>
    </row>
    <row r="419" spans="1:65">
      <c r="A419" s="1">
        <f>HYPERLINK("https://lsnyc.legalserver.org/matter/dynamic-profile/view/0822008","16-0822008")</f>
        <v>0</v>
      </c>
      <c r="B419" t="s">
        <v>98</v>
      </c>
      <c r="C419" t="s">
        <v>246</v>
      </c>
      <c r="D419" t="s">
        <v>474</v>
      </c>
      <c r="F419" t="s">
        <v>1381</v>
      </c>
      <c r="G419" t="s">
        <v>2877</v>
      </c>
      <c r="H419" t="s">
        <v>4972</v>
      </c>
      <c r="I419" t="s">
        <v>6451</v>
      </c>
      <c r="J419" t="s">
        <v>7170</v>
      </c>
      <c r="K419">
        <v>10452</v>
      </c>
      <c r="N419" t="s">
        <v>7237</v>
      </c>
      <c r="O419" t="s">
        <v>7601</v>
      </c>
      <c r="P419">
        <v>2</v>
      </c>
      <c r="Q419">
        <v>1</v>
      </c>
      <c r="R419">
        <v>157.6</v>
      </c>
      <c r="U419">
        <v>42172</v>
      </c>
      <c r="W419">
        <v>0.25</v>
      </c>
      <c r="X419" t="s">
        <v>343</v>
      </c>
      <c r="Y419" t="s">
        <v>10899</v>
      </c>
      <c r="AA419" t="s">
        <v>10974</v>
      </c>
      <c r="AB419" t="s">
        <v>474</v>
      </c>
      <c r="AD419" t="s">
        <v>11096</v>
      </c>
      <c r="AF419" t="s">
        <v>11122</v>
      </c>
      <c r="AH419" t="s">
        <v>10974</v>
      </c>
      <c r="AJ419" t="s">
        <v>11141</v>
      </c>
      <c r="AK419" t="s">
        <v>7225</v>
      </c>
      <c r="AM419">
        <v>778.01</v>
      </c>
      <c r="AO419">
        <v>63</v>
      </c>
      <c r="AQ419" t="s">
        <v>11157</v>
      </c>
      <c r="AS419" t="s">
        <v>11173</v>
      </c>
      <c r="AU419">
        <v>12</v>
      </c>
      <c r="AW419" t="s">
        <v>11189</v>
      </c>
      <c r="AZ419" t="s">
        <v>11221</v>
      </c>
      <c r="BE419" t="s">
        <v>11975</v>
      </c>
      <c r="BF419" t="s">
        <v>14364</v>
      </c>
      <c r="BM419" t="s">
        <v>15650</v>
      </c>
    </row>
    <row r="420" spans="1:65">
      <c r="A420" s="1">
        <f>HYPERLINK("https://lsnyc.legalserver.org/matter/dynamic-profile/view/1891355","19-1891355")</f>
        <v>0</v>
      </c>
      <c r="B420" t="s">
        <v>98</v>
      </c>
      <c r="C420" t="s">
        <v>246</v>
      </c>
      <c r="D420" t="s">
        <v>480</v>
      </c>
      <c r="F420" t="s">
        <v>1375</v>
      </c>
      <c r="G420" t="s">
        <v>3151</v>
      </c>
      <c r="H420" t="s">
        <v>4989</v>
      </c>
      <c r="I420" t="s">
        <v>6566</v>
      </c>
      <c r="J420" t="s">
        <v>7170</v>
      </c>
      <c r="K420">
        <v>10453</v>
      </c>
      <c r="N420" t="s">
        <v>7237</v>
      </c>
      <c r="O420" t="s">
        <v>7594</v>
      </c>
      <c r="P420">
        <v>2</v>
      </c>
      <c r="Q420">
        <v>0</v>
      </c>
      <c r="R420">
        <v>124.19</v>
      </c>
      <c r="U420">
        <v>21000</v>
      </c>
      <c r="W420">
        <v>0.5</v>
      </c>
      <c r="X420" t="s">
        <v>299</v>
      </c>
      <c r="Y420" t="s">
        <v>216</v>
      </c>
      <c r="AA420" t="s">
        <v>10974</v>
      </c>
      <c r="AB420" t="s">
        <v>370</v>
      </c>
      <c r="AD420" t="s">
        <v>11101</v>
      </c>
      <c r="AF420" t="s">
        <v>11118</v>
      </c>
      <c r="AH420" t="s">
        <v>10974</v>
      </c>
      <c r="AJ420" t="s">
        <v>11141</v>
      </c>
      <c r="AK420" t="s">
        <v>7225</v>
      </c>
      <c r="AM420">
        <v>802.4400000000001</v>
      </c>
      <c r="AO420">
        <v>170</v>
      </c>
      <c r="AQ420" t="s">
        <v>11157</v>
      </c>
      <c r="AS420" t="s">
        <v>11173</v>
      </c>
      <c r="AU420">
        <v>30</v>
      </c>
      <c r="AW420" t="s">
        <v>11187</v>
      </c>
      <c r="AZ420" t="s">
        <v>11221</v>
      </c>
      <c r="BE420" t="s">
        <v>11968</v>
      </c>
      <c r="BG420" t="s">
        <v>14486</v>
      </c>
      <c r="BM420" t="s">
        <v>15650</v>
      </c>
    </row>
    <row r="421" spans="1:65">
      <c r="A421" s="1">
        <f>HYPERLINK("https://lsnyc.legalserver.org/matter/dynamic-profile/view/1889904","19-1889904")</f>
        <v>0</v>
      </c>
      <c r="B421" t="s">
        <v>98</v>
      </c>
      <c r="C421" t="s">
        <v>246</v>
      </c>
      <c r="D421" t="s">
        <v>484</v>
      </c>
      <c r="F421" t="s">
        <v>1374</v>
      </c>
      <c r="G421" t="s">
        <v>3150</v>
      </c>
      <c r="H421" t="s">
        <v>4989</v>
      </c>
      <c r="I421" t="s">
        <v>6565</v>
      </c>
      <c r="J421" t="s">
        <v>7170</v>
      </c>
      <c r="K421">
        <v>10453</v>
      </c>
      <c r="N421" t="s">
        <v>7237</v>
      </c>
      <c r="O421" t="s">
        <v>7593</v>
      </c>
      <c r="P421">
        <v>1</v>
      </c>
      <c r="Q421">
        <v>0</v>
      </c>
      <c r="R421">
        <v>328.52</v>
      </c>
      <c r="U421">
        <v>41032</v>
      </c>
      <c r="V421" t="s">
        <v>10302</v>
      </c>
      <c r="W421">
        <v>0</v>
      </c>
      <c r="Y421" t="s">
        <v>10904</v>
      </c>
      <c r="AA421" t="s">
        <v>10974</v>
      </c>
      <c r="AB421" t="s">
        <v>370</v>
      </c>
      <c r="AD421" t="s">
        <v>11098</v>
      </c>
      <c r="AF421" t="s">
        <v>11120</v>
      </c>
      <c r="AH421" t="s">
        <v>10974</v>
      </c>
      <c r="AJ421" t="s">
        <v>11141</v>
      </c>
      <c r="AK421" t="s">
        <v>7225</v>
      </c>
      <c r="AM421">
        <v>949</v>
      </c>
      <c r="AN421" t="s">
        <v>11151</v>
      </c>
      <c r="AO421" t="s">
        <v>11153</v>
      </c>
      <c r="AQ421" t="s">
        <v>11157</v>
      </c>
      <c r="AS421" t="s">
        <v>11175</v>
      </c>
      <c r="AU421">
        <v>39</v>
      </c>
      <c r="AW421" t="s">
        <v>11187</v>
      </c>
      <c r="BA421" t="s">
        <v>11222</v>
      </c>
      <c r="BE421" t="s">
        <v>11967</v>
      </c>
      <c r="BF421" t="s">
        <v>14364</v>
      </c>
      <c r="BM421" t="s">
        <v>15650</v>
      </c>
    </row>
    <row r="422" spans="1:65">
      <c r="A422" s="1">
        <f>HYPERLINK("https://lsnyc.legalserver.org/matter/dynamic-profile/view/1887528","19-1887528")</f>
        <v>0</v>
      </c>
      <c r="B422" t="s">
        <v>98</v>
      </c>
      <c r="C422" t="s">
        <v>246</v>
      </c>
      <c r="D422" t="s">
        <v>290</v>
      </c>
      <c r="F422" t="s">
        <v>1382</v>
      </c>
      <c r="G422" t="s">
        <v>2308</v>
      </c>
      <c r="H422" t="s">
        <v>4997</v>
      </c>
      <c r="I422">
        <v>53</v>
      </c>
      <c r="J422" t="s">
        <v>7170</v>
      </c>
      <c r="K422">
        <v>10453</v>
      </c>
      <c r="N422" t="s">
        <v>7237</v>
      </c>
      <c r="O422" t="s">
        <v>7602</v>
      </c>
      <c r="P422">
        <v>1</v>
      </c>
      <c r="Q422">
        <v>0</v>
      </c>
      <c r="R422">
        <v>81.55</v>
      </c>
      <c r="U422">
        <v>9900</v>
      </c>
      <c r="W422">
        <v>0</v>
      </c>
      <c r="Y422" t="s">
        <v>10897</v>
      </c>
      <c r="AA422" t="s">
        <v>10974</v>
      </c>
      <c r="AB422" t="s">
        <v>370</v>
      </c>
      <c r="AD422" t="s">
        <v>11098</v>
      </c>
      <c r="AF422" t="s">
        <v>11122</v>
      </c>
      <c r="AH422" t="s">
        <v>10974</v>
      </c>
      <c r="AJ422" t="s">
        <v>11134</v>
      </c>
      <c r="AK422" t="s">
        <v>7225</v>
      </c>
      <c r="AM422">
        <v>761.16</v>
      </c>
      <c r="AO422">
        <v>46</v>
      </c>
      <c r="AQ422" t="s">
        <v>11160</v>
      </c>
      <c r="AS422" t="s">
        <v>11175</v>
      </c>
      <c r="AU422">
        <v>38</v>
      </c>
      <c r="AV422" t="s">
        <v>11186</v>
      </c>
      <c r="AZ422" t="s">
        <v>11221</v>
      </c>
      <c r="BE422" t="s">
        <v>11976</v>
      </c>
      <c r="BG422" t="s">
        <v>14493</v>
      </c>
      <c r="BM422" t="s">
        <v>15650</v>
      </c>
    </row>
    <row r="423" spans="1:65">
      <c r="A423" s="1">
        <f>HYPERLINK("https://lsnyc.legalserver.org/matter/dynamic-profile/view/1876456","18-1876456")</f>
        <v>0</v>
      </c>
      <c r="B423" t="s">
        <v>98</v>
      </c>
      <c r="C423" t="s">
        <v>246</v>
      </c>
      <c r="D423" t="s">
        <v>491</v>
      </c>
      <c r="F423" t="s">
        <v>1383</v>
      </c>
      <c r="G423" t="s">
        <v>2877</v>
      </c>
      <c r="H423" t="s">
        <v>4988</v>
      </c>
      <c r="I423" t="s">
        <v>6551</v>
      </c>
      <c r="J423" t="s">
        <v>7170</v>
      </c>
      <c r="K423">
        <v>10456</v>
      </c>
      <c r="N423" t="s">
        <v>7237</v>
      </c>
      <c r="O423" t="s">
        <v>7603</v>
      </c>
      <c r="P423">
        <v>1</v>
      </c>
      <c r="Q423">
        <v>1</v>
      </c>
      <c r="R423">
        <v>57.81</v>
      </c>
      <c r="U423">
        <v>9516</v>
      </c>
      <c r="W423">
        <v>0</v>
      </c>
      <c r="Y423" t="s">
        <v>216</v>
      </c>
      <c r="AA423" t="s">
        <v>10974</v>
      </c>
      <c r="AB423" t="s">
        <v>730</v>
      </c>
      <c r="AD423" t="s">
        <v>11098</v>
      </c>
      <c r="AF423" t="s">
        <v>11122</v>
      </c>
      <c r="AH423" t="s">
        <v>10974</v>
      </c>
      <c r="AJ423" t="s">
        <v>11141</v>
      </c>
      <c r="AK423" t="s">
        <v>7225</v>
      </c>
      <c r="AM423">
        <v>1290</v>
      </c>
      <c r="AO423">
        <v>61</v>
      </c>
      <c r="AQ423" t="s">
        <v>11157</v>
      </c>
      <c r="AS423" t="s">
        <v>11174</v>
      </c>
      <c r="AU423">
        <v>21</v>
      </c>
      <c r="AW423" t="s">
        <v>11189</v>
      </c>
      <c r="AZ423" t="s">
        <v>11221</v>
      </c>
      <c r="BE423" t="s">
        <v>11977</v>
      </c>
      <c r="BG423" t="s">
        <v>14483</v>
      </c>
      <c r="BM423" t="s">
        <v>15650</v>
      </c>
    </row>
    <row r="424" spans="1:65">
      <c r="A424" s="1">
        <f>HYPERLINK("https://lsnyc.legalserver.org/matter/dynamic-profile/view/1896204","19-1896204")</f>
        <v>0</v>
      </c>
      <c r="B424" t="s">
        <v>98</v>
      </c>
      <c r="C424" t="s">
        <v>246</v>
      </c>
      <c r="D424" t="s">
        <v>445</v>
      </c>
      <c r="F424" t="s">
        <v>1210</v>
      </c>
      <c r="G424" t="s">
        <v>3140</v>
      </c>
      <c r="H424" t="s">
        <v>4989</v>
      </c>
      <c r="I424" t="s">
        <v>6557</v>
      </c>
      <c r="J424" t="s">
        <v>7170</v>
      </c>
      <c r="K424">
        <v>10453</v>
      </c>
      <c r="N424" t="s">
        <v>7237</v>
      </c>
      <c r="O424" t="s">
        <v>7583</v>
      </c>
      <c r="P424">
        <v>2</v>
      </c>
      <c r="Q424">
        <v>2</v>
      </c>
      <c r="R424">
        <v>33.55</v>
      </c>
      <c r="U424">
        <v>8640</v>
      </c>
      <c r="W424">
        <v>0</v>
      </c>
      <c r="Y424" t="s">
        <v>93</v>
      </c>
      <c r="AA424" t="s">
        <v>10974</v>
      </c>
      <c r="AB424" t="s">
        <v>370</v>
      </c>
      <c r="AD424" t="s">
        <v>11098</v>
      </c>
      <c r="AF424" t="s">
        <v>11122</v>
      </c>
      <c r="AH424" t="s">
        <v>10974</v>
      </c>
      <c r="AJ424" t="s">
        <v>11141</v>
      </c>
      <c r="AK424" t="s">
        <v>7225</v>
      </c>
      <c r="AM424">
        <v>856.0599999999999</v>
      </c>
      <c r="AO424">
        <v>170</v>
      </c>
      <c r="AQ424" t="s">
        <v>11157</v>
      </c>
      <c r="AS424" t="s">
        <v>11173</v>
      </c>
      <c r="AU424">
        <v>18</v>
      </c>
      <c r="AW424" t="s">
        <v>11189</v>
      </c>
      <c r="AZ424" t="s">
        <v>11221</v>
      </c>
      <c r="BE424" t="s">
        <v>11959</v>
      </c>
      <c r="BF424" t="s">
        <v>14364</v>
      </c>
      <c r="BM424" t="s">
        <v>15650</v>
      </c>
    </row>
    <row r="425" spans="1:65">
      <c r="A425" s="1">
        <f>HYPERLINK("https://lsnyc.legalserver.org/matter/dynamic-profile/view/1889372","19-1889372")</f>
        <v>0</v>
      </c>
      <c r="B425" t="s">
        <v>98</v>
      </c>
      <c r="C425" t="s">
        <v>246</v>
      </c>
      <c r="D425" t="s">
        <v>318</v>
      </c>
      <c r="F425" t="s">
        <v>1252</v>
      </c>
      <c r="G425" t="s">
        <v>3042</v>
      </c>
      <c r="H425" t="s">
        <v>4988</v>
      </c>
      <c r="I425" t="s">
        <v>6449</v>
      </c>
      <c r="J425" t="s">
        <v>7170</v>
      </c>
      <c r="K425">
        <v>10456</v>
      </c>
      <c r="N425" t="s">
        <v>7237</v>
      </c>
      <c r="O425" t="s">
        <v>7604</v>
      </c>
      <c r="P425">
        <v>4</v>
      </c>
      <c r="Q425">
        <v>1</v>
      </c>
      <c r="R425">
        <v>121.15</v>
      </c>
      <c r="U425">
        <v>36552</v>
      </c>
      <c r="W425">
        <v>0</v>
      </c>
      <c r="Y425" t="s">
        <v>216</v>
      </c>
      <c r="AA425" t="s">
        <v>10974</v>
      </c>
      <c r="AB425" t="s">
        <v>389</v>
      </c>
      <c r="AD425" t="s">
        <v>11098</v>
      </c>
      <c r="AF425" t="s">
        <v>11122</v>
      </c>
      <c r="AH425" t="s">
        <v>10974</v>
      </c>
      <c r="AJ425" t="s">
        <v>11141</v>
      </c>
      <c r="AK425" t="s">
        <v>7225</v>
      </c>
      <c r="AM425">
        <v>1573</v>
      </c>
      <c r="AO425">
        <v>61</v>
      </c>
      <c r="AQ425" t="s">
        <v>11157</v>
      </c>
      <c r="AS425" t="s">
        <v>11173</v>
      </c>
      <c r="AU425">
        <v>6</v>
      </c>
      <c r="AW425" t="s">
        <v>11189</v>
      </c>
      <c r="AZ425" t="s">
        <v>11221</v>
      </c>
      <c r="BE425" t="s">
        <v>11978</v>
      </c>
      <c r="BG425" t="s">
        <v>14496</v>
      </c>
      <c r="BM425" t="s">
        <v>15650</v>
      </c>
    </row>
    <row r="426" spans="1:65">
      <c r="A426" s="1">
        <f>HYPERLINK("https://lsnyc.legalserver.org/matter/dynamic-profile/view/1891294","19-1891294")</f>
        <v>0</v>
      </c>
      <c r="B426" t="s">
        <v>98</v>
      </c>
      <c r="C426" t="s">
        <v>246</v>
      </c>
      <c r="D426" t="s">
        <v>480</v>
      </c>
      <c r="F426" t="s">
        <v>1384</v>
      </c>
      <c r="G426" t="s">
        <v>2943</v>
      </c>
      <c r="H426" t="s">
        <v>4989</v>
      </c>
      <c r="I426" t="s">
        <v>6568</v>
      </c>
      <c r="J426" t="s">
        <v>7170</v>
      </c>
      <c r="K426">
        <v>10453</v>
      </c>
      <c r="N426" t="s">
        <v>7237</v>
      </c>
      <c r="O426" t="s">
        <v>7605</v>
      </c>
      <c r="P426">
        <v>1</v>
      </c>
      <c r="Q426">
        <v>1</v>
      </c>
      <c r="R426">
        <v>153.76</v>
      </c>
      <c r="U426">
        <v>26000</v>
      </c>
      <c r="W426">
        <v>0</v>
      </c>
      <c r="Y426" t="s">
        <v>10903</v>
      </c>
      <c r="AA426" t="s">
        <v>10974</v>
      </c>
      <c r="AB426" t="s">
        <v>370</v>
      </c>
      <c r="AD426" t="s">
        <v>11101</v>
      </c>
      <c r="AF426" t="s">
        <v>11118</v>
      </c>
      <c r="AH426" t="s">
        <v>10974</v>
      </c>
      <c r="AJ426" t="s">
        <v>11141</v>
      </c>
      <c r="AK426" t="s">
        <v>7225</v>
      </c>
      <c r="AM426">
        <v>781.77</v>
      </c>
      <c r="AO426">
        <v>170</v>
      </c>
      <c r="AQ426" t="s">
        <v>11157</v>
      </c>
      <c r="AR426" t="s">
        <v>11172</v>
      </c>
      <c r="AU426">
        <v>12</v>
      </c>
      <c r="AW426" t="s">
        <v>11189</v>
      </c>
      <c r="AZ426" t="s">
        <v>11221</v>
      </c>
      <c r="BD426" t="s">
        <v>11667</v>
      </c>
      <c r="BG426" t="s">
        <v>14486</v>
      </c>
      <c r="BM426" t="s">
        <v>15650</v>
      </c>
    </row>
    <row r="427" spans="1:65">
      <c r="A427" s="1">
        <f>HYPERLINK("https://lsnyc.legalserver.org/matter/dynamic-profile/view/1905192","19-1905192")</f>
        <v>0</v>
      </c>
      <c r="B427" t="s">
        <v>98</v>
      </c>
      <c r="C427" t="s">
        <v>246</v>
      </c>
      <c r="D427" t="s">
        <v>470</v>
      </c>
      <c r="F427" t="s">
        <v>1385</v>
      </c>
      <c r="G427" t="s">
        <v>3156</v>
      </c>
      <c r="H427" t="s">
        <v>4989</v>
      </c>
      <c r="I427" t="s">
        <v>6436</v>
      </c>
      <c r="J427" t="s">
        <v>7170</v>
      </c>
      <c r="K427">
        <v>10453</v>
      </c>
      <c r="N427" t="s">
        <v>7237</v>
      </c>
      <c r="O427" t="s">
        <v>7606</v>
      </c>
      <c r="P427">
        <v>2</v>
      </c>
      <c r="Q427">
        <v>0</v>
      </c>
      <c r="R427">
        <v>295.68</v>
      </c>
      <c r="U427">
        <v>50000</v>
      </c>
      <c r="W427">
        <v>0</v>
      </c>
      <c r="Y427" t="s">
        <v>10865</v>
      </c>
      <c r="AA427" t="s">
        <v>10974</v>
      </c>
      <c r="AB427" t="s">
        <v>527</v>
      </c>
      <c r="AD427" t="s">
        <v>11098</v>
      </c>
      <c r="AF427" t="s">
        <v>11122</v>
      </c>
      <c r="AH427" t="s">
        <v>10974</v>
      </c>
      <c r="AJ427" t="s">
        <v>11141</v>
      </c>
      <c r="AK427" t="s">
        <v>7225</v>
      </c>
      <c r="AM427">
        <v>736</v>
      </c>
      <c r="AO427">
        <v>170</v>
      </c>
      <c r="AQ427" t="s">
        <v>11157</v>
      </c>
      <c r="AR427" t="s">
        <v>11172</v>
      </c>
      <c r="AU427">
        <v>37</v>
      </c>
      <c r="AW427" t="s">
        <v>11187</v>
      </c>
      <c r="BA427" t="s">
        <v>11222</v>
      </c>
      <c r="BE427" t="s">
        <v>11979</v>
      </c>
      <c r="BG427" t="s">
        <v>14484</v>
      </c>
      <c r="BM427" t="s">
        <v>15650</v>
      </c>
    </row>
    <row r="428" spans="1:65">
      <c r="A428" s="1">
        <f>HYPERLINK("https://lsnyc.legalserver.org/matter/dynamic-profile/view/1889911","19-1889911")</f>
        <v>0</v>
      </c>
      <c r="B428" t="s">
        <v>98</v>
      </c>
      <c r="C428" t="s">
        <v>246</v>
      </c>
      <c r="D428" t="s">
        <v>482</v>
      </c>
      <c r="F428" t="s">
        <v>1385</v>
      </c>
      <c r="G428" t="s">
        <v>3156</v>
      </c>
      <c r="H428" t="s">
        <v>4989</v>
      </c>
      <c r="I428" t="s">
        <v>6436</v>
      </c>
      <c r="J428" t="s">
        <v>7170</v>
      </c>
      <c r="K428">
        <v>10453</v>
      </c>
      <c r="N428" t="s">
        <v>7237</v>
      </c>
      <c r="O428" t="s">
        <v>7606</v>
      </c>
      <c r="P428">
        <v>2</v>
      </c>
      <c r="Q428">
        <v>0</v>
      </c>
      <c r="R428">
        <v>295.68</v>
      </c>
      <c r="U428">
        <v>50000</v>
      </c>
      <c r="W428">
        <v>0</v>
      </c>
      <c r="Y428" t="s">
        <v>10865</v>
      </c>
      <c r="AA428" t="s">
        <v>10974</v>
      </c>
      <c r="AB428" t="s">
        <v>370</v>
      </c>
      <c r="AD428" t="s">
        <v>11101</v>
      </c>
      <c r="AF428" t="s">
        <v>11118</v>
      </c>
      <c r="AH428" t="s">
        <v>10974</v>
      </c>
      <c r="AJ428" t="s">
        <v>11141</v>
      </c>
      <c r="AK428" t="s">
        <v>7225</v>
      </c>
      <c r="AM428">
        <v>736</v>
      </c>
      <c r="AO428">
        <v>167</v>
      </c>
      <c r="AQ428" t="s">
        <v>11157</v>
      </c>
      <c r="AS428" t="s">
        <v>11173</v>
      </c>
      <c r="AU428">
        <v>37</v>
      </c>
      <c r="AW428" t="s">
        <v>11187</v>
      </c>
      <c r="AZ428" t="s">
        <v>11221</v>
      </c>
      <c r="BE428" t="s">
        <v>11979</v>
      </c>
      <c r="BG428" t="s">
        <v>14486</v>
      </c>
      <c r="BM428" t="s">
        <v>15650</v>
      </c>
    </row>
    <row r="429" spans="1:65">
      <c r="A429" s="1">
        <f>HYPERLINK("https://lsnyc.legalserver.org/matter/dynamic-profile/view/0800228","16-0800228")</f>
        <v>0</v>
      </c>
      <c r="B429" t="s">
        <v>98</v>
      </c>
      <c r="C429" t="s">
        <v>246</v>
      </c>
      <c r="D429" t="s">
        <v>492</v>
      </c>
      <c r="F429" t="s">
        <v>1155</v>
      </c>
      <c r="G429" t="s">
        <v>3157</v>
      </c>
      <c r="H429" t="s">
        <v>4990</v>
      </c>
      <c r="I429" t="s">
        <v>6569</v>
      </c>
      <c r="J429" t="s">
        <v>7170</v>
      </c>
      <c r="K429">
        <v>10457</v>
      </c>
      <c r="N429" t="s">
        <v>7237</v>
      </c>
      <c r="O429" t="s">
        <v>7607</v>
      </c>
      <c r="P429">
        <v>3</v>
      </c>
      <c r="Q429">
        <v>1</v>
      </c>
      <c r="R429">
        <v>57.6</v>
      </c>
      <c r="S429" t="s">
        <v>10260</v>
      </c>
      <c r="U429">
        <v>19196</v>
      </c>
      <c r="W429">
        <v>0.5</v>
      </c>
      <c r="X429" t="s">
        <v>492</v>
      </c>
      <c r="Y429" t="s">
        <v>138</v>
      </c>
      <c r="AA429" t="s">
        <v>10974</v>
      </c>
      <c r="AB429" t="s">
        <v>502</v>
      </c>
      <c r="AD429" t="s">
        <v>11096</v>
      </c>
      <c r="AF429" t="s">
        <v>11122</v>
      </c>
      <c r="AH429" t="s">
        <v>10974</v>
      </c>
      <c r="AJ429" t="s">
        <v>11130</v>
      </c>
      <c r="AK429" t="s">
        <v>7225</v>
      </c>
      <c r="AM429">
        <v>1200</v>
      </c>
      <c r="AN429" t="s">
        <v>11151</v>
      </c>
      <c r="AO429" t="s">
        <v>11153</v>
      </c>
      <c r="AQ429" t="s">
        <v>11157</v>
      </c>
      <c r="AR429" t="s">
        <v>11172</v>
      </c>
      <c r="AU429">
        <v>7</v>
      </c>
      <c r="AW429" t="s">
        <v>11189</v>
      </c>
      <c r="AZ429" t="s">
        <v>11221</v>
      </c>
      <c r="BD429" t="s">
        <v>11667</v>
      </c>
      <c r="BF429" t="s">
        <v>14364</v>
      </c>
      <c r="BM429" t="s">
        <v>15650</v>
      </c>
    </row>
    <row r="430" spans="1:65">
      <c r="A430" s="1">
        <f>HYPERLINK("https://lsnyc.legalserver.org/matter/dynamic-profile/view/1866254","18-1866254")</f>
        <v>0</v>
      </c>
      <c r="B430" t="s">
        <v>98</v>
      </c>
      <c r="C430" t="s">
        <v>246</v>
      </c>
      <c r="D430" t="s">
        <v>493</v>
      </c>
      <c r="F430" t="s">
        <v>1386</v>
      </c>
      <c r="G430" t="s">
        <v>3158</v>
      </c>
      <c r="H430" t="s">
        <v>4999</v>
      </c>
      <c r="I430" t="s">
        <v>6563</v>
      </c>
      <c r="J430" t="s">
        <v>7170</v>
      </c>
      <c r="K430">
        <v>10452</v>
      </c>
      <c r="M430" t="s">
        <v>7225</v>
      </c>
      <c r="N430" t="s">
        <v>7237</v>
      </c>
      <c r="O430" t="s">
        <v>7608</v>
      </c>
      <c r="P430">
        <v>1</v>
      </c>
      <c r="Q430">
        <v>2</v>
      </c>
      <c r="R430">
        <v>40.42</v>
      </c>
      <c r="U430">
        <v>8400</v>
      </c>
      <c r="W430">
        <v>94.25</v>
      </c>
      <c r="X430" t="s">
        <v>347</v>
      </c>
      <c r="Y430" t="s">
        <v>10865</v>
      </c>
      <c r="AA430" t="s">
        <v>10974</v>
      </c>
      <c r="AB430" t="s">
        <v>802</v>
      </c>
      <c r="AD430" t="s">
        <v>11087</v>
      </c>
      <c r="AF430" t="s">
        <v>11122</v>
      </c>
      <c r="AH430" t="s">
        <v>10974</v>
      </c>
      <c r="AJ430" t="s">
        <v>11141</v>
      </c>
      <c r="AK430" t="s">
        <v>7225</v>
      </c>
      <c r="AM430">
        <v>1600</v>
      </c>
      <c r="AO430">
        <v>53</v>
      </c>
      <c r="AQ430" t="s">
        <v>11157</v>
      </c>
      <c r="AS430" t="s">
        <v>11176</v>
      </c>
      <c r="AU430">
        <v>3</v>
      </c>
      <c r="AW430" t="s">
        <v>11187</v>
      </c>
      <c r="AY430" t="s">
        <v>11213</v>
      </c>
      <c r="AZ430" t="s">
        <v>11221</v>
      </c>
      <c r="BC430" t="s">
        <v>11268</v>
      </c>
      <c r="BE430" t="s">
        <v>11980</v>
      </c>
      <c r="BG430" t="s">
        <v>14497</v>
      </c>
      <c r="BM430" t="s">
        <v>15650</v>
      </c>
    </row>
    <row r="431" spans="1:65">
      <c r="A431" s="1">
        <f>HYPERLINK("https://lsnyc.legalserver.org/matter/dynamic-profile/view/1875780","18-1875780")</f>
        <v>0</v>
      </c>
      <c r="B431" t="s">
        <v>98</v>
      </c>
      <c r="C431" t="s">
        <v>246</v>
      </c>
      <c r="D431" t="s">
        <v>487</v>
      </c>
      <c r="F431" t="s">
        <v>1369</v>
      </c>
      <c r="G431" t="s">
        <v>2892</v>
      </c>
      <c r="H431" t="s">
        <v>4988</v>
      </c>
      <c r="I431" t="s">
        <v>6499</v>
      </c>
      <c r="J431" t="s">
        <v>7170</v>
      </c>
      <c r="K431">
        <v>10456</v>
      </c>
      <c r="N431" t="s">
        <v>7237</v>
      </c>
      <c r="O431" t="s">
        <v>7474</v>
      </c>
      <c r="P431">
        <v>3</v>
      </c>
      <c r="Q431">
        <v>0</v>
      </c>
      <c r="R431">
        <v>50.05</v>
      </c>
      <c r="U431">
        <v>10400</v>
      </c>
      <c r="W431">
        <v>0</v>
      </c>
      <c r="Y431" t="s">
        <v>216</v>
      </c>
      <c r="AA431" t="s">
        <v>10974</v>
      </c>
      <c r="AB431" t="s">
        <v>730</v>
      </c>
      <c r="AD431" t="s">
        <v>11098</v>
      </c>
      <c r="AF431" t="s">
        <v>11122</v>
      </c>
      <c r="AH431" t="s">
        <v>10974</v>
      </c>
      <c r="AJ431" t="s">
        <v>11141</v>
      </c>
      <c r="AK431" t="s">
        <v>7225</v>
      </c>
      <c r="AM431">
        <v>1380</v>
      </c>
      <c r="AO431">
        <v>61</v>
      </c>
      <c r="AQ431" t="s">
        <v>11157</v>
      </c>
      <c r="AS431" t="s">
        <v>11174</v>
      </c>
      <c r="AU431">
        <v>17</v>
      </c>
      <c r="AW431" t="s">
        <v>11189</v>
      </c>
      <c r="AZ431" t="s">
        <v>11221</v>
      </c>
      <c r="BE431" t="s">
        <v>11964</v>
      </c>
      <c r="BG431" t="s">
        <v>14483</v>
      </c>
      <c r="BM431" t="s">
        <v>15650</v>
      </c>
    </row>
    <row r="432" spans="1:65">
      <c r="A432" s="1">
        <f>HYPERLINK("https://lsnyc.legalserver.org/matter/dynamic-profile/view/0800218","16-0800218")</f>
        <v>0</v>
      </c>
      <c r="B432" t="s">
        <v>98</v>
      </c>
      <c r="C432" t="s">
        <v>246</v>
      </c>
      <c r="D432" t="s">
        <v>492</v>
      </c>
      <c r="F432" t="s">
        <v>1155</v>
      </c>
      <c r="G432" t="s">
        <v>3157</v>
      </c>
      <c r="H432" t="s">
        <v>4990</v>
      </c>
      <c r="I432" t="s">
        <v>6569</v>
      </c>
      <c r="J432" t="s">
        <v>7170</v>
      </c>
      <c r="K432">
        <v>10457</v>
      </c>
      <c r="N432" t="s">
        <v>7237</v>
      </c>
      <c r="O432" t="s">
        <v>7607</v>
      </c>
      <c r="P432">
        <v>3</v>
      </c>
      <c r="Q432">
        <v>1</v>
      </c>
      <c r="R432">
        <v>57.6</v>
      </c>
      <c r="S432" t="s">
        <v>10260</v>
      </c>
      <c r="U432">
        <v>13996</v>
      </c>
      <c r="W432">
        <v>0</v>
      </c>
      <c r="Y432" t="s">
        <v>138</v>
      </c>
      <c r="AA432" t="s">
        <v>10974</v>
      </c>
      <c r="AB432" t="s">
        <v>502</v>
      </c>
      <c r="AD432" t="s">
        <v>11107</v>
      </c>
      <c r="AF432" t="s">
        <v>11118</v>
      </c>
      <c r="AH432" t="s">
        <v>10974</v>
      </c>
      <c r="AJ432" t="s">
        <v>11130</v>
      </c>
      <c r="AK432" t="s">
        <v>7225</v>
      </c>
      <c r="AM432">
        <v>1200</v>
      </c>
      <c r="AN432" t="s">
        <v>11151</v>
      </c>
      <c r="AO432" t="s">
        <v>11153</v>
      </c>
      <c r="AQ432" t="s">
        <v>11157</v>
      </c>
      <c r="AR432" t="s">
        <v>11172</v>
      </c>
      <c r="AU432">
        <v>7</v>
      </c>
      <c r="AW432" t="s">
        <v>11189</v>
      </c>
      <c r="AZ432" t="s">
        <v>11221</v>
      </c>
      <c r="BD432" t="s">
        <v>11667</v>
      </c>
      <c r="BF432" t="s">
        <v>14364</v>
      </c>
      <c r="BG432" t="s">
        <v>14485</v>
      </c>
      <c r="BM432" t="s">
        <v>15650</v>
      </c>
    </row>
    <row r="433" spans="1:65">
      <c r="A433" s="1">
        <f>HYPERLINK("https://lsnyc.legalserver.org/matter/dynamic-profile/view/1854099","17-1854099")</f>
        <v>0</v>
      </c>
      <c r="B433" t="s">
        <v>98</v>
      </c>
      <c r="C433" t="s">
        <v>246</v>
      </c>
      <c r="D433" t="s">
        <v>397</v>
      </c>
      <c r="F433" t="s">
        <v>1383</v>
      </c>
      <c r="G433" t="s">
        <v>2877</v>
      </c>
      <c r="H433" t="s">
        <v>4988</v>
      </c>
      <c r="I433" t="s">
        <v>6551</v>
      </c>
      <c r="J433" t="s">
        <v>7170</v>
      </c>
      <c r="K433">
        <v>10456</v>
      </c>
      <c r="N433" t="s">
        <v>7237</v>
      </c>
      <c r="O433" t="s">
        <v>7603</v>
      </c>
      <c r="P433">
        <v>1</v>
      </c>
      <c r="Q433">
        <v>1</v>
      </c>
      <c r="R433">
        <v>58.6</v>
      </c>
      <c r="S433" t="s">
        <v>10261</v>
      </c>
      <c r="U433">
        <v>9516</v>
      </c>
      <c r="W433">
        <v>0</v>
      </c>
      <c r="Y433" t="s">
        <v>10899</v>
      </c>
      <c r="AA433" t="s">
        <v>10974</v>
      </c>
      <c r="AB433" t="s">
        <v>10992</v>
      </c>
      <c r="AD433" t="s">
        <v>11096</v>
      </c>
      <c r="AF433" t="s">
        <v>11122</v>
      </c>
      <c r="AH433" t="s">
        <v>10974</v>
      </c>
      <c r="AJ433" t="s">
        <v>11141</v>
      </c>
      <c r="AK433" t="s">
        <v>7225</v>
      </c>
      <c r="AM433">
        <v>1290</v>
      </c>
      <c r="AO433">
        <v>61</v>
      </c>
      <c r="AQ433" t="s">
        <v>11157</v>
      </c>
      <c r="AS433" t="s">
        <v>11174</v>
      </c>
      <c r="AU433">
        <v>21</v>
      </c>
      <c r="AW433" t="s">
        <v>11189</v>
      </c>
      <c r="AZ433" t="s">
        <v>11221</v>
      </c>
      <c r="BE433" t="s">
        <v>11977</v>
      </c>
      <c r="BG433" t="s">
        <v>14490</v>
      </c>
      <c r="BM433" t="s">
        <v>15650</v>
      </c>
    </row>
    <row r="434" spans="1:65">
      <c r="A434" s="1">
        <f>HYPERLINK("https://lsnyc.legalserver.org/matter/dynamic-profile/view/0816867","16-0816867")</f>
        <v>0</v>
      </c>
      <c r="B434" t="s">
        <v>98</v>
      </c>
      <c r="C434" t="s">
        <v>246</v>
      </c>
      <c r="D434" t="s">
        <v>494</v>
      </c>
      <c r="F434" t="s">
        <v>1155</v>
      </c>
      <c r="G434" t="s">
        <v>3157</v>
      </c>
      <c r="H434" t="s">
        <v>4990</v>
      </c>
      <c r="I434" t="s">
        <v>6569</v>
      </c>
      <c r="J434" t="s">
        <v>7170</v>
      </c>
      <c r="K434">
        <v>10457</v>
      </c>
      <c r="N434" t="s">
        <v>7237</v>
      </c>
      <c r="O434" t="s">
        <v>7607</v>
      </c>
      <c r="P434">
        <v>3</v>
      </c>
      <c r="Q434">
        <v>1</v>
      </c>
      <c r="R434">
        <v>41.14</v>
      </c>
      <c r="S434" t="s">
        <v>10260</v>
      </c>
      <c r="U434">
        <v>15196</v>
      </c>
      <c r="W434">
        <v>0.5</v>
      </c>
      <c r="X434" t="s">
        <v>494</v>
      </c>
      <c r="Y434" t="s">
        <v>10899</v>
      </c>
      <c r="AA434" t="s">
        <v>10974</v>
      </c>
      <c r="AB434" t="s">
        <v>838</v>
      </c>
      <c r="AD434" t="s">
        <v>11096</v>
      </c>
      <c r="AF434" t="s">
        <v>11122</v>
      </c>
      <c r="AH434" t="s">
        <v>10974</v>
      </c>
      <c r="AJ434" t="s">
        <v>11130</v>
      </c>
      <c r="AK434" t="s">
        <v>7225</v>
      </c>
      <c r="AM434">
        <v>1200</v>
      </c>
      <c r="AO434">
        <v>100</v>
      </c>
      <c r="AQ434" t="s">
        <v>11157</v>
      </c>
      <c r="AR434" t="s">
        <v>11172</v>
      </c>
      <c r="AU434">
        <v>7</v>
      </c>
      <c r="AW434" t="s">
        <v>11189</v>
      </c>
      <c r="AZ434" t="s">
        <v>11221</v>
      </c>
      <c r="BD434" t="s">
        <v>11667</v>
      </c>
      <c r="BF434" t="s">
        <v>14364</v>
      </c>
      <c r="BG434" t="s">
        <v>14498</v>
      </c>
      <c r="BM434" t="s">
        <v>15650</v>
      </c>
    </row>
    <row r="435" spans="1:65">
      <c r="A435" s="1">
        <f>HYPERLINK("https://lsnyc.legalserver.org/matter/dynamic-profile/view/1899850","19-1899850")</f>
        <v>0</v>
      </c>
      <c r="B435" t="s">
        <v>98</v>
      </c>
      <c r="C435" t="s">
        <v>246</v>
      </c>
      <c r="D435" t="s">
        <v>382</v>
      </c>
      <c r="F435" t="s">
        <v>1387</v>
      </c>
      <c r="G435" t="s">
        <v>3159</v>
      </c>
      <c r="H435" t="s">
        <v>5000</v>
      </c>
      <c r="I435" t="s">
        <v>6570</v>
      </c>
      <c r="J435" t="s">
        <v>7170</v>
      </c>
      <c r="K435">
        <v>10455</v>
      </c>
      <c r="N435" t="s">
        <v>7237</v>
      </c>
      <c r="O435" t="s">
        <v>7609</v>
      </c>
      <c r="P435">
        <v>1</v>
      </c>
      <c r="Q435">
        <v>4</v>
      </c>
      <c r="R435">
        <v>120.65</v>
      </c>
      <c r="U435">
        <v>36400</v>
      </c>
      <c r="W435">
        <v>0.1</v>
      </c>
      <c r="X435" t="s">
        <v>923</v>
      </c>
      <c r="Y435" t="s">
        <v>93</v>
      </c>
      <c r="AA435" t="s">
        <v>10974</v>
      </c>
      <c r="AD435" t="s">
        <v>11101</v>
      </c>
      <c r="AF435" t="s">
        <v>11119</v>
      </c>
      <c r="AH435" t="s">
        <v>10974</v>
      </c>
      <c r="AJ435" t="s">
        <v>11141</v>
      </c>
      <c r="AK435" t="s">
        <v>7225</v>
      </c>
      <c r="AM435">
        <v>1779</v>
      </c>
      <c r="AO435">
        <v>99</v>
      </c>
      <c r="AQ435" t="s">
        <v>11157</v>
      </c>
      <c r="AS435" t="s">
        <v>11180</v>
      </c>
      <c r="AU435">
        <v>2</v>
      </c>
      <c r="AW435" t="s">
        <v>11187</v>
      </c>
      <c r="AX435" t="s">
        <v>11212</v>
      </c>
      <c r="BA435" t="s">
        <v>11222</v>
      </c>
      <c r="BE435" t="s">
        <v>11981</v>
      </c>
      <c r="BF435" t="s">
        <v>14364</v>
      </c>
      <c r="BM435" t="s">
        <v>15650</v>
      </c>
    </row>
    <row r="436" spans="1:65">
      <c r="A436" s="1">
        <f>HYPERLINK("https://lsnyc.legalserver.org/matter/dynamic-profile/view/1891412","19-1891412")</f>
        <v>0</v>
      </c>
      <c r="B436" t="s">
        <v>98</v>
      </c>
      <c r="C436" t="s">
        <v>246</v>
      </c>
      <c r="D436" t="s">
        <v>480</v>
      </c>
      <c r="F436" t="s">
        <v>1388</v>
      </c>
      <c r="G436" t="s">
        <v>3160</v>
      </c>
      <c r="H436" t="s">
        <v>4989</v>
      </c>
      <c r="I436" t="s">
        <v>6571</v>
      </c>
      <c r="J436" t="s">
        <v>7170</v>
      </c>
      <c r="K436">
        <v>10453</v>
      </c>
      <c r="N436" t="s">
        <v>7237</v>
      </c>
      <c r="O436" t="s">
        <v>7610</v>
      </c>
      <c r="P436">
        <v>1</v>
      </c>
      <c r="Q436">
        <v>1</v>
      </c>
      <c r="R436">
        <v>295.68</v>
      </c>
      <c r="U436">
        <v>50000</v>
      </c>
      <c r="W436">
        <v>0</v>
      </c>
      <c r="Y436" t="s">
        <v>216</v>
      </c>
      <c r="AA436" t="s">
        <v>10974</v>
      </c>
      <c r="AB436" t="s">
        <v>370</v>
      </c>
      <c r="AD436" t="s">
        <v>11101</v>
      </c>
      <c r="AF436" t="s">
        <v>11118</v>
      </c>
      <c r="AH436" t="s">
        <v>10974</v>
      </c>
      <c r="AJ436" t="s">
        <v>11141</v>
      </c>
      <c r="AK436" t="s">
        <v>7225</v>
      </c>
      <c r="AM436">
        <v>87327</v>
      </c>
      <c r="AO436">
        <v>170</v>
      </c>
      <c r="AQ436" t="s">
        <v>11157</v>
      </c>
      <c r="AS436" t="s">
        <v>11173</v>
      </c>
      <c r="AU436">
        <v>28</v>
      </c>
      <c r="AW436" t="s">
        <v>11187</v>
      </c>
      <c r="AZ436" t="s">
        <v>11221</v>
      </c>
      <c r="BE436" t="s">
        <v>11982</v>
      </c>
      <c r="BG436" t="s">
        <v>14486</v>
      </c>
      <c r="BM436" t="s">
        <v>15650</v>
      </c>
    </row>
    <row r="437" spans="1:65">
      <c r="A437" s="1">
        <f>HYPERLINK("https://lsnyc.legalserver.org/matter/dynamic-profile/view/1905134","19-1905134")</f>
        <v>0</v>
      </c>
      <c r="B437" t="s">
        <v>98</v>
      </c>
      <c r="C437" t="s">
        <v>246</v>
      </c>
      <c r="D437" t="s">
        <v>332</v>
      </c>
      <c r="F437" t="s">
        <v>1387</v>
      </c>
      <c r="G437" t="s">
        <v>3159</v>
      </c>
      <c r="H437" t="s">
        <v>5000</v>
      </c>
      <c r="I437" t="s">
        <v>6570</v>
      </c>
      <c r="J437" t="s">
        <v>7170</v>
      </c>
      <c r="K437">
        <v>10455</v>
      </c>
      <c r="N437" t="s">
        <v>7237</v>
      </c>
      <c r="O437" t="s">
        <v>7609</v>
      </c>
      <c r="P437">
        <v>1</v>
      </c>
      <c r="Q437">
        <v>4</v>
      </c>
      <c r="R437">
        <v>120.65</v>
      </c>
      <c r="U437">
        <v>36400</v>
      </c>
      <c r="W437">
        <v>0</v>
      </c>
      <c r="Y437" t="s">
        <v>93</v>
      </c>
      <c r="AA437" t="s">
        <v>10974</v>
      </c>
      <c r="AD437" t="s">
        <v>11098</v>
      </c>
      <c r="AF437" t="s">
        <v>11122</v>
      </c>
      <c r="AH437" t="s">
        <v>10974</v>
      </c>
      <c r="AJ437" t="s">
        <v>11129</v>
      </c>
      <c r="AK437" t="s">
        <v>7225</v>
      </c>
      <c r="AM437">
        <v>1779</v>
      </c>
      <c r="AO437">
        <v>99</v>
      </c>
      <c r="AQ437" t="s">
        <v>11157</v>
      </c>
      <c r="AS437" t="s">
        <v>11180</v>
      </c>
      <c r="AU437">
        <v>2</v>
      </c>
      <c r="AW437" t="s">
        <v>11187</v>
      </c>
      <c r="AX437" t="s">
        <v>11212</v>
      </c>
      <c r="BA437" t="s">
        <v>11222</v>
      </c>
      <c r="BE437" t="s">
        <v>11981</v>
      </c>
      <c r="BF437" t="s">
        <v>14364</v>
      </c>
      <c r="BM437" t="s">
        <v>15650</v>
      </c>
    </row>
    <row r="438" spans="1:65">
      <c r="A438" s="1">
        <f>HYPERLINK("https://lsnyc.legalserver.org/matter/dynamic-profile/view/1889998","19-1889998")</f>
        <v>0</v>
      </c>
      <c r="B438" t="s">
        <v>98</v>
      </c>
      <c r="C438" t="s">
        <v>246</v>
      </c>
      <c r="D438" t="s">
        <v>482</v>
      </c>
      <c r="F438" t="s">
        <v>1389</v>
      </c>
      <c r="G438" t="s">
        <v>3161</v>
      </c>
      <c r="H438" t="s">
        <v>4989</v>
      </c>
      <c r="I438" t="s">
        <v>6572</v>
      </c>
      <c r="J438" t="s">
        <v>7170</v>
      </c>
      <c r="K438">
        <v>10453</v>
      </c>
      <c r="N438" t="s">
        <v>7237</v>
      </c>
      <c r="O438" t="s">
        <v>7611</v>
      </c>
      <c r="P438">
        <v>1</v>
      </c>
      <c r="Q438">
        <v>3</v>
      </c>
      <c r="R438">
        <v>58.56</v>
      </c>
      <c r="U438">
        <v>15080</v>
      </c>
      <c r="W438">
        <v>0</v>
      </c>
      <c r="Y438" t="s">
        <v>10865</v>
      </c>
      <c r="AA438" t="s">
        <v>10974</v>
      </c>
      <c r="AB438" t="s">
        <v>370</v>
      </c>
      <c r="AD438" t="s">
        <v>11101</v>
      </c>
      <c r="AF438" t="s">
        <v>11118</v>
      </c>
      <c r="AH438" t="s">
        <v>10974</v>
      </c>
      <c r="AJ438" t="s">
        <v>11141</v>
      </c>
      <c r="AK438" t="s">
        <v>7225</v>
      </c>
      <c r="AM438">
        <v>1172</v>
      </c>
      <c r="AO438">
        <v>167</v>
      </c>
      <c r="AQ438" t="s">
        <v>11157</v>
      </c>
      <c r="AS438" t="s">
        <v>11180</v>
      </c>
      <c r="AU438">
        <v>15</v>
      </c>
      <c r="AW438" t="s">
        <v>11189</v>
      </c>
      <c r="AZ438" t="s">
        <v>11221</v>
      </c>
      <c r="BE438" t="s">
        <v>11983</v>
      </c>
      <c r="BG438" t="s">
        <v>14486</v>
      </c>
      <c r="BM438" t="s">
        <v>15650</v>
      </c>
    </row>
    <row r="439" spans="1:65">
      <c r="A439" s="1">
        <f>HYPERLINK("https://lsnyc.legalserver.org/matter/dynamic-profile/view/0822113","16-0822113")</f>
        <v>0</v>
      </c>
      <c r="B439" t="s">
        <v>98</v>
      </c>
      <c r="C439" t="s">
        <v>246</v>
      </c>
      <c r="D439" t="s">
        <v>278</v>
      </c>
      <c r="F439" t="s">
        <v>1390</v>
      </c>
      <c r="G439" t="s">
        <v>3007</v>
      </c>
      <c r="H439" t="s">
        <v>4972</v>
      </c>
      <c r="I439" t="s">
        <v>6424</v>
      </c>
      <c r="J439" t="s">
        <v>7170</v>
      </c>
      <c r="K439">
        <v>10452</v>
      </c>
      <c r="N439" t="s">
        <v>7237</v>
      </c>
      <c r="O439" t="s">
        <v>7612</v>
      </c>
      <c r="P439">
        <v>2</v>
      </c>
      <c r="Q439">
        <v>0</v>
      </c>
      <c r="R439">
        <v>50.26</v>
      </c>
      <c r="U439">
        <v>8052</v>
      </c>
      <c r="W439">
        <v>0</v>
      </c>
      <c r="Y439" t="s">
        <v>10899</v>
      </c>
      <c r="AA439" t="s">
        <v>10974</v>
      </c>
      <c r="AB439" t="s">
        <v>278</v>
      </c>
      <c r="AD439" t="s">
        <v>11096</v>
      </c>
      <c r="AF439" t="s">
        <v>11122</v>
      </c>
      <c r="AH439" t="s">
        <v>10974</v>
      </c>
      <c r="AJ439" t="s">
        <v>11141</v>
      </c>
      <c r="AK439" t="s">
        <v>7225</v>
      </c>
      <c r="AL439" t="s">
        <v>11150</v>
      </c>
      <c r="AM439">
        <v>0</v>
      </c>
      <c r="AO439">
        <v>63</v>
      </c>
      <c r="AQ439" t="s">
        <v>11157</v>
      </c>
      <c r="AS439" t="s">
        <v>11174</v>
      </c>
      <c r="AT439" t="s">
        <v>11184</v>
      </c>
      <c r="AU439">
        <v>0</v>
      </c>
      <c r="AW439" t="s">
        <v>11189</v>
      </c>
      <c r="AZ439" t="s">
        <v>11221</v>
      </c>
      <c r="BE439" t="s">
        <v>11984</v>
      </c>
      <c r="BF439" t="s">
        <v>14364</v>
      </c>
      <c r="BM439" t="s">
        <v>15650</v>
      </c>
    </row>
    <row r="440" spans="1:65">
      <c r="A440" s="1">
        <f>HYPERLINK("https://lsnyc.legalserver.org/matter/dynamic-profile/view/1891325","19-1891325")</f>
        <v>0</v>
      </c>
      <c r="B440" t="s">
        <v>98</v>
      </c>
      <c r="C440" t="s">
        <v>246</v>
      </c>
      <c r="D440" t="s">
        <v>480</v>
      </c>
      <c r="F440" t="s">
        <v>1384</v>
      </c>
      <c r="G440" t="s">
        <v>2943</v>
      </c>
      <c r="H440" t="s">
        <v>4989</v>
      </c>
      <c r="I440" t="s">
        <v>6568</v>
      </c>
      <c r="J440" t="s">
        <v>7170</v>
      </c>
      <c r="K440">
        <v>10453</v>
      </c>
      <c r="N440" t="s">
        <v>7237</v>
      </c>
      <c r="O440" t="s">
        <v>7605</v>
      </c>
      <c r="P440">
        <v>1</v>
      </c>
      <c r="Q440">
        <v>1</v>
      </c>
      <c r="R440">
        <v>153.76</v>
      </c>
      <c r="U440">
        <v>26000</v>
      </c>
      <c r="W440">
        <v>0</v>
      </c>
      <c r="Y440" t="s">
        <v>10903</v>
      </c>
      <c r="AA440" t="s">
        <v>10974</v>
      </c>
      <c r="AB440" t="s">
        <v>370</v>
      </c>
      <c r="AD440" t="s">
        <v>11098</v>
      </c>
      <c r="AF440" t="s">
        <v>11122</v>
      </c>
      <c r="AH440" t="s">
        <v>10974</v>
      </c>
      <c r="AJ440" t="s">
        <v>11141</v>
      </c>
      <c r="AK440" t="s">
        <v>7225</v>
      </c>
      <c r="AM440">
        <v>781.77</v>
      </c>
      <c r="AO440">
        <v>170</v>
      </c>
      <c r="AQ440" t="s">
        <v>11157</v>
      </c>
      <c r="AR440" t="s">
        <v>11172</v>
      </c>
      <c r="AU440">
        <v>12</v>
      </c>
      <c r="AW440" t="s">
        <v>11189</v>
      </c>
      <c r="AZ440" t="s">
        <v>11221</v>
      </c>
      <c r="BD440" t="s">
        <v>11667</v>
      </c>
      <c r="BF440" t="s">
        <v>14364</v>
      </c>
      <c r="BM440" t="s">
        <v>15650</v>
      </c>
    </row>
    <row r="441" spans="1:65">
      <c r="A441" s="1">
        <f>HYPERLINK("https://lsnyc.legalserver.org/matter/dynamic-profile/view/1891682","19-1891682")</f>
        <v>0</v>
      </c>
      <c r="B441" t="s">
        <v>98</v>
      </c>
      <c r="C441" t="s">
        <v>246</v>
      </c>
      <c r="D441" t="s">
        <v>495</v>
      </c>
      <c r="F441" t="s">
        <v>1356</v>
      </c>
      <c r="G441" t="s">
        <v>1187</v>
      </c>
      <c r="H441" t="s">
        <v>4989</v>
      </c>
      <c r="I441" t="s">
        <v>6549</v>
      </c>
      <c r="J441" t="s">
        <v>7170</v>
      </c>
      <c r="K441">
        <v>10453</v>
      </c>
      <c r="N441" t="s">
        <v>7237</v>
      </c>
      <c r="O441" t="s">
        <v>7572</v>
      </c>
      <c r="P441">
        <v>1</v>
      </c>
      <c r="Q441">
        <v>0</v>
      </c>
      <c r="R441">
        <v>168.04</v>
      </c>
      <c r="U441">
        <v>20400</v>
      </c>
      <c r="W441">
        <v>0</v>
      </c>
      <c r="Y441" t="s">
        <v>10903</v>
      </c>
      <c r="AA441" t="s">
        <v>10974</v>
      </c>
      <c r="AB441" t="s">
        <v>370</v>
      </c>
      <c r="AD441" t="s">
        <v>11101</v>
      </c>
      <c r="AF441" t="s">
        <v>11118</v>
      </c>
      <c r="AH441" t="s">
        <v>10974</v>
      </c>
      <c r="AJ441" t="s">
        <v>11141</v>
      </c>
      <c r="AK441" t="s">
        <v>7225</v>
      </c>
      <c r="AM441">
        <v>1175</v>
      </c>
      <c r="AO441">
        <v>170</v>
      </c>
      <c r="AQ441" t="s">
        <v>11157</v>
      </c>
      <c r="AR441" t="s">
        <v>11172</v>
      </c>
      <c r="AU441">
        <v>30</v>
      </c>
      <c r="AW441" t="s">
        <v>11187</v>
      </c>
      <c r="AZ441" t="s">
        <v>11221</v>
      </c>
      <c r="BE441" t="s">
        <v>11948</v>
      </c>
      <c r="BG441" t="s">
        <v>14486</v>
      </c>
      <c r="BM441" t="s">
        <v>15650</v>
      </c>
    </row>
    <row r="442" spans="1:65">
      <c r="A442" s="1">
        <f>HYPERLINK("https://lsnyc.legalserver.org/matter/dynamic-profile/view/0822074","16-0822074")</f>
        <v>0</v>
      </c>
      <c r="B442" t="s">
        <v>98</v>
      </c>
      <c r="C442" t="s">
        <v>246</v>
      </c>
      <c r="D442" t="s">
        <v>481</v>
      </c>
      <c r="F442" t="s">
        <v>1247</v>
      </c>
      <c r="G442" t="s">
        <v>3162</v>
      </c>
      <c r="H442" t="s">
        <v>4972</v>
      </c>
      <c r="I442" t="s">
        <v>6573</v>
      </c>
      <c r="J442" t="s">
        <v>7170</v>
      </c>
      <c r="K442">
        <v>10452</v>
      </c>
      <c r="N442" t="s">
        <v>7237</v>
      </c>
      <c r="O442" t="s">
        <v>7613</v>
      </c>
      <c r="P442">
        <v>2</v>
      </c>
      <c r="Q442">
        <v>0</v>
      </c>
      <c r="R442">
        <v>57.75</v>
      </c>
      <c r="U442">
        <v>9252</v>
      </c>
      <c r="W442">
        <v>0</v>
      </c>
      <c r="Y442" t="s">
        <v>10899</v>
      </c>
      <c r="AA442" t="s">
        <v>10974</v>
      </c>
      <c r="AB442" t="s">
        <v>746</v>
      </c>
      <c r="AD442" t="s">
        <v>11096</v>
      </c>
      <c r="AF442" t="s">
        <v>11122</v>
      </c>
      <c r="AH442" t="s">
        <v>10974</v>
      </c>
      <c r="AJ442" t="s">
        <v>11141</v>
      </c>
      <c r="AK442" t="s">
        <v>7225</v>
      </c>
      <c r="AL442" t="s">
        <v>11150</v>
      </c>
      <c r="AM442">
        <v>0</v>
      </c>
      <c r="AO442">
        <v>63</v>
      </c>
      <c r="AQ442" t="s">
        <v>11157</v>
      </c>
      <c r="AS442" t="s">
        <v>11174</v>
      </c>
      <c r="AT442" t="s">
        <v>11184</v>
      </c>
      <c r="AU442">
        <v>0</v>
      </c>
      <c r="AW442" t="s">
        <v>11189</v>
      </c>
      <c r="AZ442" t="s">
        <v>11221</v>
      </c>
      <c r="BE442" t="s">
        <v>11985</v>
      </c>
      <c r="BF442" t="s">
        <v>14364</v>
      </c>
      <c r="BM442" t="s">
        <v>15650</v>
      </c>
    </row>
    <row r="443" spans="1:65">
      <c r="A443" s="1">
        <f>HYPERLINK("https://lsnyc.legalserver.org/matter/dynamic-profile/view/1890002","19-1890002")</f>
        <v>0</v>
      </c>
      <c r="B443" t="s">
        <v>98</v>
      </c>
      <c r="C443" t="s">
        <v>246</v>
      </c>
      <c r="D443" t="s">
        <v>482</v>
      </c>
      <c r="F443" t="s">
        <v>1389</v>
      </c>
      <c r="G443" t="s">
        <v>3161</v>
      </c>
      <c r="H443" t="s">
        <v>4989</v>
      </c>
      <c r="I443" t="s">
        <v>6572</v>
      </c>
      <c r="J443" t="s">
        <v>7170</v>
      </c>
      <c r="K443">
        <v>10453</v>
      </c>
      <c r="N443" t="s">
        <v>7237</v>
      </c>
      <c r="O443" t="s">
        <v>7611</v>
      </c>
      <c r="P443">
        <v>1</v>
      </c>
      <c r="Q443">
        <v>3</v>
      </c>
      <c r="R443">
        <v>58.56</v>
      </c>
      <c r="U443">
        <v>15080</v>
      </c>
      <c r="W443">
        <v>0</v>
      </c>
      <c r="Y443" t="s">
        <v>10865</v>
      </c>
      <c r="AA443" t="s">
        <v>10974</v>
      </c>
      <c r="AB443" t="s">
        <v>370</v>
      </c>
      <c r="AD443" t="s">
        <v>11098</v>
      </c>
      <c r="AF443" t="s">
        <v>11122</v>
      </c>
      <c r="AH443" t="s">
        <v>10974</v>
      </c>
      <c r="AJ443" t="s">
        <v>11141</v>
      </c>
      <c r="AK443" t="s">
        <v>7225</v>
      </c>
      <c r="AM443">
        <v>1172</v>
      </c>
      <c r="AO443">
        <v>167</v>
      </c>
      <c r="AQ443" t="s">
        <v>11157</v>
      </c>
      <c r="AS443" t="s">
        <v>11176</v>
      </c>
      <c r="AU443">
        <v>16</v>
      </c>
      <c r="AW443" t="s">
        <v>11189</v>
      </c>
      <c r="AZ443" t="s">
        <v>11221</v>
      </c>
      <c r="BE443" t="s">
        <v>11983</v>
      </c>
      <c r="BF443" t="s">
        <v>14364</v>
      </c>
      <c r="BM443" t="s">
        <v>15650</v>
      </c>
    </row>
    <row r="444" spans="1:65">
      <c r="A444" s="1">
        <f>HYPERLINK("https://lsnyc.legalserver.org/matter/dynamic-profile/view/1841813","17-1841813")</f>
        <v>0</v>
      </c>
      <c r="B444" t="s">
        <v>98</v>
      </c>
      <c r="C444" t="s">
        <v>246</v>
      </c>
      <c r="D444" t="s">
        <v>496</v>
      </c>
      <c r="F444" t="s">
        <v>1391</v>
      </c>
      <c r="G444" t="s">
        <v>2938</v>
      </c>
      <c r="H444" t="s">
        <v>4972</v>
      </c>
      <c r="I444" t="s">
        <v>6502</v>
      </c>
      <c r="J444" t="s">
        <v>7170</v>
      </c>
      <c r="K444">
        <v>10452</v>
      </c>
      <c r="N444" t="s">
        <v>7237</v>
      </c>
      <c r="O444" t="s">
        <v>7614</v>
      </c>
      <c r="P444">
        <v>1</v>
      </c>
      <c r="Q444">
        <v>0</v>
      </c>
      <c r="R444">
        <v>30.35</v>
      </c>
      <c r="U444">
        <v>3660</v>
      </c>
      <c r="W444">
        <v>0.25</v>
      </c>
      <c r="X444" t="s">
        <v>387</v>
      </c>
      <c r="Y444" t="s">
        <v>10899</v>
      </c>
      <c r="AA444" t="s">
        <v>10974</v>
      </c>
      <c r="AB444" t="s">
        <v>10992</v>
      </c>
      <c r="AD444" t="s">
        <v>11096</v>
      </c>
      <c r="AF444" t="s">
        <v>11122</v>
      </c>
      <c r="AH444" t="s">
        <v>10974</v>
      </c>
      <c r="AI444" t="s">
        <v>11126</v>
      </c>
      <c r="AK444" t="s">
        <v>7225</v>
      </c>
      <c r="AM444">
        <v>1200</v>
      </c>
      <c r="AO444">
        <v>65</v>
      </c>
      <c r="AP444" t="s">
        <v>11155</v>
      </c>
      <c r="AS444" t="s">
        <v>11173</v>
      </c>
      <c r="AU444">
        <v>3</v>
      </c>
      <c r="AW444" t="s">
        <v>11187</v>
      </c>
      <c r="AZ444" t="s">
        <v>11221</v>
      </c>
      <c r="BE444" t="s">
        <v>11986</v>
      </c>
      <c r="BF444" t="s">
        <v>14364</v>
      </c>
      <c r="BM444" t="s">
        <v>15650</v>
      </c>
    </row>
    <row r="445" spans="1:65">
      <c r="A445" s="1">
        <f>HYPERLINK("https://lsnyc.legalserver.org/matter/dynamic-profile/view/1841811","17-1841811")</f>
        <v>0</v>
      </c>
      <c r="B445" t="s">
        <v>98</v>
      </c>
      <c r="C445" t="s">
        <v>246</v>
      </c>
      <c r="D445" t="s">
        <v>496</v>
      </c>
      <c r="F445" t="s">
        <v>1391</v>
      </c>
      <c r="G445" t="s">
        <v>2938</v>
      </c>
      <c r="H445" t="s">
        <v>4972</v>
      </c>
      <c r="I445" t="s">
        <v>6502</v>
      </c>
      <c r="J445" t="s">
        <v>7170</v>
      </c>
      <c r="K445">
        <v>10452</v>
      </c>
      <c r="N445" t="s">
        <v>7237</v>
      </c>
      <c r="O445" t="s">
        <v>7614</v>
      </c>
      <c r="P445">
        <v>1</v>
      </c>
      <c r="Q445">
        <v>0</v>
      </c>
      <c r="R445">
        <v>30.35</v>
      </c>
      <c r="U445">
        <v>3660</v>
      </c>
      <c r="W445">
        <v>0</v>
      </c>
      <c r="Y445" t="s">
        <v>10899</v>
      </c>
      <c r="AA445" t="s">
        <v>10974</v>
      </c>
      <c r="AB445" t="s">
        <v>10992</v>
      </c>
      <c r="AD445" t="s">
        <v>11096</v>
      </c>
      <c r="AF445" t="s">
        <v>11122</v>
      </c>
      <c r="AH445" t="s">
        <v>10974</v>
      </c>
      <c r="AI445" t="s">
        <v>11126</v>
      </c>
      <c r="AK445" t="s">
        <v>7225</v>
      </c>
      <c r="AM445">
        <v>1200</v>
      </c>
      <c r="AO445">
        <v>65</v>
      </c>
      <c r="AP445" t="s">
        <v>11155</v>
      </c>
      <c r="AS445" t="s">
        <v>11173</v>
      </c>
      <c r="AU445">
        <v>3</v>
      </c>
      <c r="AW445" t="s">
        <v>11187</v>
      </c>
      <c r="AZ445" t="s">
        <v>11221</v>
      </c>
      <c r="BE445" t="s">
        <v>11986</v>
      </c>
      <c r="BF445" t="s">
        <v>14364</v>
      </c>
      <c r="BM445" t="s">
        <v>15650</v>
      </c>
    </row>
    <row r="446" spans="1:65">
      <c r="A446" s="1">
        <f>HYPERLINK("https://lsnyc.legalserver.org/matter/dynamic-profile/view/1880593","18-1880593")</f>
        <v>0</v>
      </c>
      <c r="B446" t="s">
        <v>98</v>
      </c>
      <c r="C446" t="s">
        <v>246</v>
      </c>
      <c r="D446" t="s">
        <v>365</v>
      </c>
      <c r="F446" t="s">
        <v>1252</v>
      </c>
      <c r="G446" t="s">
        <v>3042</v>
      </c>
      <c r="H446" t="s">
        <v>4988</v>
      </c>
      <c r="I446" t="s">
        <v>6449</v>
      </c>
      <c r="J446" t="s">
        <v>7170</v>
      </c>
      <c r="K446">
        <v>10456</v>
      </c>
      <c r="N446" t="s">
        <v>7237</v>
      </c>
      <c r="O446" t="s">
        <v>7604</v>
      </c>
      <c r="P446">
        <v>4</v>
      </c>
      <c r="Q446">
        <v>1</v>
      </c>
      <c r="R446">
        <v>169.11</v>
      </c>
      <c r="U446">
        <v>49752</v>
      </c>
      <c r="W446">
        <v>0</v>
      </c>
      <c r="Y446" t="s">
        <v>10865</v>
      </c>
      <c r="AA446" t="s">
        <v>10974</v>
      </c>
      <c r="AB446" t="s">
        <v>389</v>
      </c>
      <c r="AD446" t="s">
        <v>11098</v>
      </c>
      <c r="AF446" t="s">
        <v>11122</v>
      </c>
      <c r="AH446" t="s">
        <v>10974</v>
      </c>
      <c r="AJ446" t="s">
        <v>11141</v>
      </c>
      <c r="AK446" t="s">
        <v>7225</v>
      </c>
      <c r="AM446">
        <v>1573</v>
      </c>
      <c r="AO446">
        <v>61</v>
      </c>
      <c r="AQ446" t="s">
        <v>11157</v>
      </c>
      <c r="AS446" t="s">
        <v>11173</v>
      </c>
      <c r="AU446">
        <v>6</v>
      </c>
      <c r="AW446" t="s">
        <v>11189</v>
      </c>
      <c r="AZ446" t="s">
        <v>11221</v>
      </c>
      <c r="BE446" t="s">
        <v>11978</v>
      </c>
      <c r="BG446" t="s">
        <v>14489</v>
      </c>
      <c r="BM446" t="s">
        <v>15650</v>
      </c>
    </row>
    <row r="447" spans="1:65">
      <c r="A447" s="1">
        <f>HYPERLINK("https://lsnyc.legalserver.org/matter/dynamic-profile/view/1841809","17-1841809")</f>
        <v>0</v>
      </c>
      <c r="B447" t="s">
        <v>98</v>
      </c>
      <c r="C447" t="s">
        <v>246</v>
      </c>
      <c r="D447" t="s">
        <v>496</v>
      </c>
      <c r="F447" t="s">
        <v>1391</v>
      </c>
      <c r="G447" t="s">
        <v>2938</v>
      </c>
      <c r="H447" t="s">
        <v>4972</v>
      </c>
      <c r="I447" t="s">
        <v>6502</v>
      </c>
      <c r="J447" t="s">
        <v>7170</v>
      </c>
      <c r="K447">
        <v>10452</v>
      </c>
      <c r="N447" t="s">
        <v>7237</v>
      </c>
      <c r="O447" t="s">
        <v>7614</v>
      </c>
      <c r="P447">
        <v>1</v>
      </c>
      <c r="Q447">
        <v>0</v>
      </c>
      <c r="R447">
        <v>30.35</v>
      </c>
      <c r="U447">
        <v>3660</v>
      </c>
      <c r="W447">
        <v>1.5</v>
      </c>
      <c r="X447" t="s">
        <v>885</v>
      </c>
      <c r="Y447" t="s">
        <v>10899</v>
      </c>
      <c r="AA447" t="s">
        <v>10974</v>
      </c>
      <c r="AB447" t="s">
        <v>700</v>
      </c>
      <c r="AD447" t="s">
        <v>11096</v>
      </c>
      <c r="AF447" t="s">
        <v>11122</v>
      </c>
      <c r="AH447" t="s">
        <v>10974</v>
      </c>
      <c r="AI447" t="s">
        <v>11126</v>
      </c>
      <c r="AK447" t="s">
        <v>7225</v>
      </c>
      <c r="AM447">
        <v>1200</v>
      </c>
      <c r="AO447">
        <v>65</v>
      </c>
      <c r="AP447" t="s">
        <v>11155</v>
      </c>
      <c r="AS447" t="s">
        <v>11173</v>
      </c>
      <c r="AU447">
        <v>3</v>
      </c>
      <c r="AW447" t="s">
        <v>11187</v>
      </c>
      <c r="AZ447" t="s">
        <v>11221</v>
      </c>
      <c r="BE447" t="s">
        <v>11986</v>
      </c>
      <c r="BF447" t="s">
        <v>14364</v>
      </c>
      <c r="BM447" t="s">
        <v>15650</v>
      </c>
    </row>
    <row r="448" spans="1:65">
      <c r="A448" s="1">
        <f>HYPERLINK("https://lsnyc.legalserver.org/matter/dynamic-profile/view/1891688","19-1891688")</f>
        <v>0</v>
      </c>
      <c r="B448" t="s">
        <v>98</v>
      </c>
      <c r="C448" t="s">
        <v>246</v>
      </c>
      <c r="D448" t="s">
        <v>495</v>
      </c>
      <c r="F448" t="s">
        <v>1356</v>
      </c>
      <c r="G448" t="s">
        <v>1187</v>
      </c>
      <c r="H448" t="s">
        <v>4989</v>
      </c>
      <c r="I448" t="s">
        <v>6549</v>
      </c>
      <c r="J448" t="s">
        <v>7170</v>
      </c>
      <c r="K448">
        <v>10453</v>
      </c>
      <c r="N448" t="s">
        <v>7237</v>
      </c>
      <c r="O448" t="s">
        <v>7572</v>
      </c>
      <c r="P448">
        <v>1</v>
      </c>
      <c r="Q448">
        <v>0</v>
      </c>
      <c r="R448">
        <v>168.86</v>
      </c>
      <c r="U448">
        <v>20500</v>
      </c>
      <c r="W448">
        <v>0</v>
      </c>
      <c r="Y448" t="s">
        <v>10903</v>
      </c>
      <c r="AA448" t="s">
        <v>10974</v>
      </c>
      <c r="AB448" t="s">
        <v>370</v>
      </c>
      <c r="AD448" t="s">
        <v>11098</v>
      </c>
      <c r="AF448" t="s">
        <v>11122</v>
      </c>
      <c r="AH448" t="s">
        <v>10974</v>
      </c>
      <c r="AJ448" t="s">
        <v>11141</v>
      </c>
      <c r="AK448" t="s">
        <v>7225</v>
      </c>
      <c r="AM448">
        <v>1175</v>
      </c>
      <c r="AO448">
        <v>170</v>
      </c>
      <c r="AQ448" t="s">
        <v>11157</v>
      </c>
      <c r="AR448" t="s">
        <v>11172</v>
      </c>
      <c r="AU448">
        <v>30</v>
      </c>
      <c r="AW448" t="s">
        <v>11187</v>
      </c>
      <c r="AZ448" t="s">
        <v>11221</v>
      </c>
      <c r="BE448" t="s">
        <v>11948</v>
      </c>
      <c r="BF448" t="s">
        <v>14364</v>
      </c>
      <c r="BM448" t="s">
        <v>15650</v>
      </c>
    </row>
    <row r="449" spans="1:65">
      <c r="A449" s="1">
        <f>HYPERLINK("https://lsnyc.legalserver.org/matter/dynamic-profile/view/0822078","16-0822078")</f>
        <v>0</v>
      </c>
      <c r="B449" t="s">
        <v>98</v>
      </c>
      <c r="C449" t="s">
        <v>246</v>
      </c>
      <c r="D449" t="s">
        <v>474</v>
      </c>
      <c r="F449" t="s">
        <v>1247</v>
      </c>
      <c r="G449" t="s">
        <v>3162</v>
      </c>
      <c r="H449" t="s">
        <v>4972</v>
      </c>
      <c r="I449" t="s">
        <v>6573</v>
      </c>
      <c r="J449" t="s">
        <v>7170</v>
      </c>
      <c r="K449">
        <v>10452</v>
      </c>
      <c r="N449" t="s">
        <v>7237</v>
      </c>
      <c r="O449" t="s">
        <v>7613</v>
      </c>
      <c r="P449">
        <v>2</v>
      </c>
      <c r="Q449">
        <v>0</v>
      </c>
      <c r="R449">
        <v>57.75</v>
      </c>
      <c r="U449">
        <v>9252</v>
      </c>
      <c r="W449">
        <v>0</v>
      </c>
      <c r="Y449" t="s">
        <v>10899</v>
      </c>
      <c r="AA449" t="s">
        <v>10974</v>
      </c>
      <c r="AB449" t="s">
        <v>474</v>
      </c>
      <c r="AD449" t="s">
        <v>11096</v>
      </c>
      <c r="AF449" t="s">
        <v>11122</v>
      </c>
      <c r="AH449" t="s">
        <v>10974</v>
      </c>
      <c r="AJ449" t="s">
        <v>11141</v>
      </c>
      <c r="AK449" t="s">
        <v>7225</v>
      </c>
      <c r="AL449" t="s">
        <v>11150</v>
      </c>
      <c r="AM449">
        <v>0</v>
      </c>
      <c r="AO449">
        <v>63</v>
      </c>
      <c r="AQ449" t="s">
        <v>11157</v>
      </c>
      <c r="AS449" t="s">
        <v>11174</v>
      </c>
      <c r="AT449" t="s">
        <v>11184</v>
      </c>
      <c r="AU449">
        <v>0</v>
      </c>
      <c r="AW449" t="s">
        <v>11189</v>
      </c>
      <c r="AZ449" t="s">
        <v>11221</v>
      </c>
      <c r="BE449" t="s">
        <v>11985</v>
      </c>
      <c r="BF449" t="s">
        <v>14364</v>
      </c>
      <c r="BM449" t="s">
        <v>15650</v>
      </c>
    </row>
    <row r="450" spans="1:65">
      <c r="A450" s="1">
        <f>HYPERLINK("https://lsnyc.legalserver.org/matter/dynamic-profile/view/1838865","17-1838865")</f>
        <v>0</v>
      </c>
      <c r="B450" t="s">
        <v>98</v>
      </c>
      <c r="C450" t="s">
        <v>246</v>
      </c>
      <c r="D450" t="s">
        <v>486</v>
      </c>
      <c r="F450" t="s">
        <v>1392</v>
      </c>
      <c r="G450" t="s">
        <v>3163</v>
      </c>
      <c r="H450" t="s">
        <v>4996</v>
      </c>
      <c r="I450" t="s">
        <v>6574</v>
      </c>
      <c r="J450" t="s">
        <v>7170</v>
      </c>
      <c r="K450">
        <v>10473</v>
      </c>
      <c r="N450" t="s">
        <v>7237</v>
      </c>
      <c r="O450" t="s">
        <v>7615</v>
      </c>
      <c r="P450">
        <v>1</v>
      </c>
      <c r="Q450">
        <v>0</v>
      </c>
      <c r="R450">
        <v>153.13</v>
      </c>
      <c r="S450" t="s">
        <v>10258</v>
      </c>
      <c r="U450">
        <v>18468</v>
      </c>
      <c r="W450">
        <v>0</v>
      </c>
      <c r="Y450" t="s">
        <v>10899</v>
      </c>
      <c r="AA450" t="s">
        <v>10974</v>
      </c>
      <c r="AB450" t="s">
        <v>10992</v>
      </c>
      <c r="AD450" t="s">
        <v>11096</v>
      </c>
      <c r="AF450" t="s">
        <v>11122</v>
      </c>
      <c r="AH450" t="s">
        <v>10974</v>
      </c>
      <c r="AJ450" t="s">
        <v>11139</v>
      </c>
      <c r="AK450" t="s">
        <v>7225</v>
      </c>
      <c r="AM450">
        <v>778</v>
      </c>
      <c r="AO450">
        <v>976</v>
      </c>
      <c r="AQ450" t="s">
        <v>11157</v>
      </c>
      <c r="AS450" t="s">
        <v>11175</v>
      </c>
      <c r="AU450">
        <v>32</v>
      </c>
      <c r="AW450" t="s">
        <v>11187</v>
      </c>
      <c r="AZ450" t="s">
        <v>11221</v>
      </c>
      <c r="BE450" t="s">
        <v>11987</v>
      </c>
      <c r="BG450" t="s">
        <v>14491</v>
      </c>
      <c r="BM450" t="s">
        <v>15650</v>
      </c>
    </row>
    <row r="451" spans="1:65">
      <c r="A451" s="1">
        <f>HYPERLINK("https://lsnyc.legalserver.org/matter/dynamic-profile/view/1894534","19-1894534")</f>
        <v>0</v>
      </c>
      <c r="B451" t="s">
        <v>98</v>
      </c>
      <c r="C451" t="s">
        <v>246</v>
      </c>
      <c r="D451" t="s">
        <v>472</v>
      </c>
      <c r="F451" t="s">
        <v>1393</v>
      </c>
      <c r="G451" t="s">
        <v>2913</v>
      </c>
      <c r="H451" t="s">
        <v>4989</v>
      </c>
      <c r="I451" t="s">
        <v>6575</v>
      </c>
      <c r="J451" t="s">
        <v>7170</v>
      </c>
      <c r="K451">
        <v>10453</v>
      </c>
      <c r="N451" t="s">
        <v>7237</v>
      </c>
      <c r="O451" t="s">
        <v>7616</v>
      </c>
      <c r="P451">
        <v>2</v>
      </c>
      <c r="Q451">
        <v>0</v>
      </c>
      <c r="R451">
        <v>153.76</v>
      </c>
      <c r="U451">
        <v>26000</v>
      </c>
      <c r="W451">
        <v>0</v>
      </c>
      <c r="Y451" t="s">
        <v>93</v>
      </c>
      <c r="AA451" t="s">
        <v>10974</v>
      </c>
      <c r="AB451" t="s">
        <v>370</v>
      </c>
      <c r="AD451" t="s">
        <v>11101</v>
      </c>
      <c r="AF451" t="s">
        <v>11118</v>
      </c>
      <c r="AH451" t="s">
        <v>10974</v>
      </c>
      <c r="AJ451" t="s">
        <v>11134</v>
      </c>
      <c r="AK451" t="s">
        <v>7225</v>
      </c>
      <c r="AM451">
        <v>1070</v>
      </c>
      <c r="AO451">
        <v>170</v>
      </c>
      <c r="AQ451" t="s">
        <v>11157</v>
      </c>
      <c r="AS451" t="s">
        <v>11173</v>
      </c>
      <c r="AU451">
        <v>20</v>
      </c>
      <c r="AW451" t="s">
        <v>11187</v>
      </c>
      <c r="AZ451" t="s">
        <v>11221</v>
      </c>
      <c r="BD451" t="s">
        <v>11667</v>
      </c>
      <c r="BG451" t="s">
        <v>14486</v>
      </c>
      <c r="BM451" t="s">
        <v>15650</v>
      </c>
    </row>
    <row r="452" spans="1:65">
      <c r="A452" s="1">
        <f>HYPERLINK("https://lsnyc.legalserver.org/matter/dynamic-profile/view/1892458","19-1892458")</f>
        <v>0</v>
      </c>
      <c r="B452" t="s">
        <v>98</v>
      </c>
      <c r="C452" t="s">
        <v>246</v>
      </c>
      <c r="D452" t="s">
        <v>483</v>
      </c>
      <c r="F452" t="s">
        <v>1394</v>
      </c>
      <c r="G452" t="s">
        <v>3164</v>
      </c>
      <c r="H452" t="s">
        <v>4989</v>
      </c>
      <c r="I452" t="s">
        <v>6576</v>
      </c>
      <c r="J452" t="s">
        <v>7170</v>
      </c>
      <c r="K452">
        <v>10453</v>
      </c>
      <c r="N452" t="s">
        <v>7237</v>
      </c>
      <c r="O452" t="s">
        <v>7617</v>
      </c>
      <c r="P452">
        <v>3</v>
      </c>
      <c r="Q452">
        <v>2</v>
      </c>
      <c r="R452">
        <v>152.96</v>
      </c>
      <c r="U452">
        <v>45000</v>
      </c>
      <c r="W452">
        <v>0.3</v>
      </c>
      <c r="X452" t="s">
        <v>470</v>
      </c>
      <c r="Y452" t="s">
        <v>93</v>
      </c>
      <c r="AA452" t="s">
        <v>10974</v>
      </c>
      <c r="AB452" t="s">
        <v>370</v>
      </c>
      <c r="AD452" t="s">
        <v>11098</v>
      </c>
      <c r="AF452" t="s">
        <v>11122</v>
      </c>
      <c r="AH452" t="s">
        <v>10974</v>
      </c>
      <c r="AJ452" t="s">
        <v>11134</v>
      </c>
      <c r="AK452" t="s">
        <v>7225</v>
      </c>
      <c r="AM452">
        <v>985</v>
      </c>
      <c r="AO452">
        <v>170</v>
      </c>
      <c r="AQ452" t="s">
        <v>11157</v>
      </c>
      <c r="AS452" t="s">
        <v>11173</v>
      </c>
      <c r="AU452">
        <v>17</v>
      </c>
      <c r="AW452" t="s">
        <v>11187</v>
      </c>
      <c r="AZ452" t="s">
        <v>11221</v>
      </c>
      <c r="BD452" t="s">
        <v>11667</v>
      </c>
      <c r="BF452" t="s">
        <v>14364</v>
      </c>
      <c r="BM452" t="s">
        <v>15650</v>
      </c>
    </row>
    <row r="453" spans="1:65">
      <c r="A453" s="1">
        <f>HYPERLINK("https://lsnyc.legalserver.org/matter/dynamic-profile/view/1889994","19-1889994")</f>
        <v>0</v>
      </c>
      <c r="B453" t="s">
        <v>98</v>
      </c>
      <c r="C453" t="s">
        <v>246</v>
      </c>
      <c r="D453" t="s">
        <v>480</v>
      </c>
      <c r="F453" t="s">
        <v>1395</v>
      </c>
      <c r="G453" t="s">
        <v>3165</v>
      </c>
      <c r="H453" t="s">
        <v>4989</v>
      </c>
      <c r="I453" t="s">
        <v>6577</v>
      </c>
      <c r="J453" t="s">
        <v>7170</v>
      </c>
      <c r="K453">
        <v>10453</v>
      </c>
      <c r="N453" t="s">
        <v>7237</v>
      </c>
      <c r="O453" t="s">
        <v>7618</v>
      </c>
      <c r="P453">
        <v>1</v>
      </c>
      <c r="Q453">
        <v>0</v>
      </c>
      <c r="R453">
        <v>480.38</v>
      </c>
      <c r="U453">
        <v>60000</v>
      </c>
      <c r="W453">
        <v>0</v>
      </c>
      <c r="Y453" t="s">
        <v>10903</v>
      </c>
      <c r="AA453" t="s">
        <v>10974</v>
      </c>
      <c r="AB453" t="s">
        <v>370</v>
      </c>
      <c r="AD453" t="s">
        <v>11101</v>
      </c>
      <c r="AF453" t="s">
        <v>11118</v>
      </c>
      <c r="AH453" t="s">
        <v>10974</v>
      </c>
      <c r="AJ453" t="s">
        <v>11141</v>
      </c>
      <c r="AK453" t="s">
        <v>7225</v>
      </c>
      <c r="AM453">
        <v>897</v>
      </c>
      <c r="AO453">
        <v>170</v>
      </c>
      <c r="AQ453" t="s">
        <v>11157</v>
      </c>
      <c r="AR453" t="s">
        <v>11172</v>
      </c>
      <c r="AU453">
        <v>23</v>
      </c>
      <c r="AW453" t="s">
        <v>11187</v>
      </c>
      <c r="AZ453" t="s">
        <v>11221</v>
      </c>
      <c r="BE453" t="s">
        <v>11988</v>
      </c>
      <c r="BG453" t="s">
        <v>14486</v>
      </c>
      <c r="BM453" t="s">
        <v>15650</v>
      </c>
    </row>
    <row r="454" spans="1:65">
      <c r="A454" s="1">
        <f>HYPERLINK("https://lsnyc.legalserver.org/matter/dynamic-profile/view/1880616","18-1880616")</f>
        <v>0</v>
      </c>
      <c r="B454" t="s">
        <v>98</v>
      </c>
      <c r="C454" t="s">
        <v>246</v>
      </c>
      <c r="D454" t="s">
        <v>365</v>
      </c>
      <c r="F454" t="s">
        <v>1369</v>
      </c>
      <c r="G454" t="s">
        <v>2892</v>
      </c>
      <c r="H454" t="s">
        <v>4988</v>
      </c>
      <c r="I454" t="s">
        <v>6499</v>
      </c>
      <c r="J454" t="s">
        <v>7170</v>
      </c>
      <c r="K454">
        <v>10456</v>
      </c>
      <c r="N454" t="s">
        <v>7237</v>
      </c>
      <c r="O454" t="s">
        <v>7474</v>
      </c>
      <c r="P454">
        <v>3</v>
      </c>
      <c r="Q454">
        <v>0</v>
      </c>
      <c r="R454">
        <v>140.13</v>
      </c>
      <c r="U454">
        <v>29120</v>
      </c>
      <c r="W454">
        <v>0</v>
      </c>
      <c r="Y454" t="s">
        <v>10865</v>
      </c>
      <c r="AA454" t="s">
        <v>10974</v>
      </c>
      <c r="AB454" t="s">
        <v>389</v>
      </c>
      <c r="AD454" t="s">
        <v>11098</v>
      </c>
      <c r="AF454" t="s">
        <v>11122</v>
      </c>
      <c r="AH454" t="s">
        <v>10974</v>
      </c>
      <c r="AJ454" t="s">
        <v>11141</v>
      </c>
      <c r="AK454" t="s">
        <v>7225</v>
      </c>
      <c r="AM454">
        <v>1380</v>
      </c>
      <c r="AO454">
        <v>61</v>
      </c>
      <c r="AQ454" t="s">
        <v>11157</v>
      </c>
      <c r="AS454" t="s">
        <v>11174</v>
      </c>
      <c r="AU454">
        <v>17</v>
      </c>
      <c r="AW454" t="s">
        <v>11189</v>
      </c>
      <c r="AZ454" t="s">
        <v>11221</v>
      </c>
      <c r="BE454" t="s">
        <v>11964</v>
      </c>
      <c r="BG454" t="s">
        <v>14489</v>
      </c>
      <c r="BM454" t="s">
        <v>15650</v>
      </c>
    </row>
    <row r="455" spans="1:65">
      <c r="A455" s="1">
        <f>HYPERLINK("https://lsnyc.legalserver.org/matter/dynamic-profile/view/1914529","19-1914529")</f>
        <v>0</v>
      </c>
      <c r="B455" t="s">
        <v>98</v>
      </c>
      <c r="C455" t="s">
        <v>246</v>
      </c>
      <c r="D455" t="s">
        <v>497</v>
      </c>
      <c r="E455" t="s">
        <v>312</v>
      </c>
      <c r="F455" t="s">
        <v>1396</v>
      </c>
      <c r="G455" t="s">
        <v>3166</v>
      </c>
      <c r="H455" t="s">
        <v>5001</v>
      </c>
      <c r="I455" t="s">
        <v>6513</v>
      </c>
      <c r="J455" t="s">
        <v>7170</v>
      </c>
      <c r="K455">
        <v>10453</v>
      </c>
      <c r="L455" t="s">
        <v>7216</v>
      </c>
      <c r="N455" t="s">
        <v>7237</v>
      </c>
      <c r="O455" t="s">
        <v>7619</v>
      </c>
      <c r="P455">
        <v>2</v>
      </c>
      <c r="Q455">
        <v>0</v>
      </c>
      <c r="R455">
        <v>60.39</v>
      </c>
      <c r="U455">
        <v>10212</v>
      </c>
      <c r="W455">
        <v>1.5</v>
      </c>
      <c r="X455" t="s">
        <v>264</v>
      </c>
      <c r="Y455" t="s">
        <v>98</v>
      </c>
      <c r="AA455" t="s">
        <v>10974</v>
      </c>
      <c r="AD455" t="s">
        <v>11083</v>
      </c>
      <c r="AF455" t="s">
        <v>11119</v>
      </c>
      <c r="AG455" t="s">
        <v>11124</v>
      </c>
      <c r="AJ455" t="s">
        <v>11141</v>
      </c>
      <c r="AK455" t="s">
        <v>7225</v>
      </c>
      <c r="AL455" t="s">
        <v>11150</v>
      </c>
      <c r="AM455">
        <v>0</v>
      </c>
      <c r="AO455">
        <v>50</v>
      </c>
      <c r="AQ455" t="s">
        <v>11157</v>
      </c>
      <c r="AR455" t="s">
        <v>11172</v>
      </c>
      <c r="AU455">
        <v>36</v>
      </c>
      <c r="AW455" t="s">
        <v>11189</v>
      </c>
      <c r="AY455" t="s">
        <v>11213</v>
      </c>
      <c r="BA455" t="s">
        <v>11222</v>
      </c>
      <c r="BE455" t="s">
        <v>11989</v>
      </c>
      <c r="BF455" t="s">
        <v>14364</v>
      </c>
      <c r="BM455" t="s">
        <v>15651</v>
      </c>
    </row>
    <row r="456" spans="1:65">
      <c r="A456" s="1">
        <f>HYPERLINK("https://lsnyc.legalserver.org/matter/dynamic-profile/view/0805209","16-0805209")</f>
        <v>0</v>
      </c>
      <c r="B456" t="s">
        <v>98</v>
      </c>
      <c r="C456" t="s">
        <v>246</v>
      </c>
      <c r="D456" t="s">
        <v>498</v>
      </c>
      <c r="F456" t="s">
        <v>1373</v>
      </c>
      <c r="G456" t="s">
        <v>3149</v>
      </c>
      <c r="H456" t="s">
        <v>4990</v>
      </c>
      <c r="I456" t="s">
        <v>6440</v>
      </c>
      <c r="J456" t="s">
        <v>7170</v>
      </c>
      <c r="K456">
        <v>10457</v>
      </c>
      <c r="N456" t="s">
        <v>7237</v>
      </c>
      <c r="O456" t="s">
        <v>7592</v>
      </c>
      <c r="P456">
        <v>1</v>
      </c>
      <c r="Q456">
        <v>0</v>
      </c>
      <c r="R456">
        <v>115.66</v>
      </c>
      <c r="S456" t="s">
        <v>10260</v>
      </c>
      <c r="U456">
        <v>13740</v>
      </c>
      <c r="W456">
        <v>0.1</v>
      </c>
      <c r="X456" t="s">
        <v>498</v>
      </c>
      <c r="Y456" t="s">
        <v>138</v>
      </c>
      <c r="AA456" t="s">
        <v>10974</v>
      </c>
      <c r="AB456" t="s">
        <v>502</v>
      </c>
      <c r="AD456" t="s">
        <v>11085</v>
      </c>
      <c r="AF456" t="s">
        <v>11118</v>
      </c>
      <c r="AH456" t="s">
        <v>10974</v>
      </c>
      <c r="AJ456" t="s">
        <v>11141</v>
      </c>
      <c r="AK456" t="s">
        <v>7225</v>
      </c>
      <c r="AM456">
        <v>862.95</v>
      </c>
      <c r="AN456" t="s">
        <v>11151</v>
      </c>
      <c r="AO456" t="s">
        <v>11153</v>
      </c>
      <c r="AQ456" t="s">
        <v>11160</v>
      </c>
      <c r="AS456" t="s">
        <v>11175</v>
      </c>
      <c r="AU456">
        <v>32</v>
      </c>
      <c r="AW456" t="s">
        <v>11189</v>
      </c>
      <c r="AZ456" t="s">
        <v>11221</v>
      </c>
      <c r="BB456" t="s">
        <v>11224</v>
      </c>
      <c r="BC456" t="s">
        <v>11269</v>
      </c>
      <c r="BD456" t="s">
        <v>11667</v>
      </c>
      <c r="BF456" t="s">
        <v>14364</v>
      </c>
      <c r="BG456" t="s">
        <v>14485</v>
      </c>
      <c r="BM456" t="s">
        <v>15650</v>
      </c>
    </row>
    <row r="457" spans="1:65">
      <c r="A457" s="1">
        <f>HYPERLINK("https://lsnyc.legalserver.org/matter/dynamic-profile/view/0809398","16-0809398")</f>
        <v>0</v>
      </c>
      <c r="B457" t="s">
        <v>98</v>
      </c>
      <c r="C457" t="s">
        <v>246</v>
      </c>
      <c r="D457" t="s">
        <v>499</v>
      </c>
      <c r="F457" t="s">
        <v>1373</v>
      </c>
      <c r="G457" t="s">
        <v>3149</v>
      </c>
      <c r="H457" t="s">
        <v>4990</v>
      </c>
      <c r="I457" t="s">
        <v>6440</v>
      </c>
      <c r="J457" t="s">
        <v>7170</v>
      </c>
      <c r="K457">
        <v>10457</v>
      </c>
      <c r="N457" t="s">
        <v>7237</v>
      </c>
      <c r="O457" t="s">
        <v>7592</v>
      </c>
      <c r="P457">
        <v>1</v>
      </c>
      <c r="Q457">
        <v>0</v>
      </c>
      <c r="R457">
        <v>115.66</v>
      </c>
      <c r="S457" t="s">
        <v>10260</v>
      </c>
      <c r="U457">
        <v>13740</v>
      </c>
      <c r="W457">
        <v>0</v>
      </c>
      <c r="Y457" t="s">
        <v>10906</v>
      </c>
      <c r="AA457" t="s">
        <v>10974</v>
      </c>
      <c r="AB457" t="s">
        <v>10993</v>
      </c>
      <c r="AD457" t="s">
        <v>11096</v>
      </c>
      <c r="AF457" t="s">
        <v>11122</v>
      </c>
      <c r="AH457" t="s">
        <v>10974</v>
      </c>
      <c r="AJ457" t="s">
        <v>11141</v>
      </c>
      <c r="AK457" t="s">
        <v>7225</v>
      </c>
      <c r="AM457">
        <v>862.95</v>
      </c>
      <c r="AO457">
        <v>100</v>
      </c>
      <c r="AQ457" t="s">
        <v>11157</v>
      </c>
      <c r="AS457" t="s">
        <v>11175</v>
      </c>
      <c r="AU457">
        <v>32</v>
      </c>
      <c r="AW457" t="s">
        <v>11189</v>
      </c>
      <c r="AZ457" t="s">
        <v>11221</v>
      </c>
      <c r="BD457" t="s">
        <v>11667</v>
      </c>
      <c r="BF457" t="s">
        <v>14364</v>
      </c>
      <c r="BG457" t="s">
        <v>14485</v>
      </c>
      <c r="BM457" t="s">
        <v>15650</v>
      </c>
    </row>
    <row r="458" spans="1:65">
      <c r="A458" s="1">
        <f>HYPERLINK("https://lsnyc.legalserver.org/matter/dynamic-profile/view/1844244","17-1844244")</f>
        <v>0</v>
      </c>
      <c r="B458" t="s">
        <v>98</v>
      </c>
      <c r="C458" t="s">
        <v>246</v>
      </c>
      <c r="D458" t="s">
        <v>500</v>
      </c>
      <c r="F458" t="s">
        <v>1397</v>
      </c>
      <c r="G458" t="s">
        <v>3167</v>
      </c>
      <c r="H458" t="s">
        <v>4996</v>
      </c>
      <c r="I458" t="s">
        <v>6569</v>
      </c>
      <c r="J458" t="s">
        <v>7170</v>
      </c>
      <c r="K458">
        <v>10473</v>
      </c>
      <c r="N458" t="s">
        <v>7237</v>
      </c>
      <c r="O458" t="s">
        <v>7620</v>
      </c>
      <c r="P458">
        <v>2</v>
      </c>
      <c r="Q458">
        <v>0</v>
      </c>
      <c r="R458">
        <v>304.19</v>
      </c>
      <c r="S458" t="s">
        <v>10258</v>
      </c>
      <c r="U458">
        <v>49400</v>
      </c>
      <c r="W458">
        <v>0</v>
      </c>
      <c r="Y458" t="s">
        <v>10905</v>
      </c>
      <c r="AA458" t="s">
        <v>10974</v>
      </c>
      <c r="AB458" t="s">
        <v>1050</v>
      </c>
      <c r="AD458" t="s">
        <v>11096</v>
      </c>
      <c r="AF458" t="s">
        <v>11122</v>
      </c>
      <c r="AH458" t="s">
        <v>10974</v>
      </c>
      <c r="AI458" t="s">
        <v>11126</v>
      </c>
      <c r="AK458" t="s">
        <v>7225</v>
      </c>
      <c r="AM458">
        <v>902</v>
      </c>
      <c r="AO458">
        <v>976</v>
      </c>
      <c r="AQ458" t="s">
        <v>11157</v>
      </c>
      <c r="AR458" t="s">
        <v>11172</v>
      </c>
      <c r="AU458">
        <v>16</v>
      </c>
      <c r="AW458" t="s">
        <v>11187</v>
      </c>
      <c r="AZ458" t="s">
        <v>11221</v>
      </c>
      <c r="BE458" t="s">
        <v>11990</v>
      </c>
      <c r="BF458" t="s">
        <v>14364</v>
      </c>
      <c r="BM458" t="s">
        <v>15650</v>
      </c>
    </row>
    <row r="459" spans="1:65">
      <c r="A459" s="1">
        <f>HYPERLINK("https://lsnyc.legalserver.org/matter/dynamic-profile/view/1880595","18-1880595")</f>
        <v>0</v>
      </c>
      <c r="B459" t="s">
        <v>98</v>
      </c>
      <c r="C459" t="s">
        <v>246</v>
      </c>
      <c r="D459" t="s">
        <v>365</v>
      </c>
      <c r="F459" t="s">
        <v>1383</v>
      </c>
      <c r="G459" t="s">
        <v>2877</v>
      </c>
      <c r="H459" t="s">
        <v>4988</v>
      </c>
      <c r="I459" t="s">
        <v>6551</v>
      </c>
      <c r="J459" t="s">
        <v>7170</v>
      </c>
      <c r="K459">
        <v>10456</v>
      </c>
      <c r="N459" t="s">
        <v>7237</v>
      </c>
      <c r="O459" t="s">
        <v>7603</v>
      </c>
      <c r="P459">
        <v>1</v>
      </c>
      <c r="Q459">
        <v>1</v>
      </c>
      <c r="R459">
        <v>57.81</v>
      </c>
      <c r="U459">
        <v>9516</v>
      </c>
      <c r="W459">
        <v>0</v>
      </c>
      <c r="Y459" t="s">
        <v>10865</v>
      </c>
      <c r="AA459" t="s">
        <v>10974</v>
      </c>
      <c r="AB459" t="s">
        <v>389</v>
      </c>
      <c r="AD459" t="s">
        <v>11098</v>
      </c>
      <c r="AF459" t="s">
        <v>11122</v>
      </c>
      <c r="AH459" t="s">
        <v>10974</v>
      </c>
      <c r="AJ459" t="s">
        <v>11141</v>
      </c>
      <c r="AK459" t="s">
        <v>7225</v>
      </c>
      <c r="AM459">
        <v>1290</v>
      </c>
      <c r="AO459">
        <v>61</v>
      </c>
      <c r="AQ459" t="s">
        <v>11157</v>
      </c>
      <c r="AS459" t="s">
        <v>11174</v>
      </c>
      <c r="AU459">
        <v>21</v>
      </c>
      <c r="AW459" t="s">
        <v>11189</v>
      </c>
      <c r="AZ459" t="s">
        <v>11221</v>
      </c>
      <c r="BE459" t="s">
        <v>11977</v>
      </c>
      <c r="BG459" t="s">
        <v>14489</v>
      </c>
      <c r="BM459" t="s">
        <v>15650</v>
      </c>
    </row>
    <row r="460" spans="1:65">
      <c r="A460" s="1">
        <f>HYPERLINK("https://lsnyc.legalserver.org/matter/dynamic-profile/view/1862833","18-1862833")</f>
        <v>0</v>
      </c>
      <c r="B460" t="s">
        <v>98</v>
      </c>
      <c r="C460" t="s">
        <v>246</v>
      </c>
      <c r="D460" t="s">
        <v>488</v>
      </c>
      <c r="F460" t="s">
        <v>1155</v>
      </c>
      <c r="G460" t="s">
        <v>3157</v>
      </c>
      <c r="H460" t="s">
        <v>4990</v>
      </c>
      <c r="I460" t="s">
        <v>6569</v>
      </c>
      <c r="J460" t="s">
        <v>7170</v>
      </c>
      <c r="K460">
        <v>10457</v>
      </c>
      <c r="N460" t="s">
        <v>7237</v>
      </c>
      <c r="O460" t="s">
        <v>7607</v>
      </c>
      <c r="P460">
        <v>3</v>
      </c>
      <c r="Q460">
        <v>1</v>
      </c>
      <c r="R460">
        <v>39.82</v>
      </c>
      <c r="U460">
        <v>15196</v>
      </c>
      <c r="W460">
        <v>0.4</v>
      </c>
      <c r="X460" t="s">
        <v>488</v>
      </c>
      <c r="Y460" t="s">
        <v>10865</v>
      </c>
      <c r="AA460" t="s">
        <v>10974</v>
      </c>
      <c r="AB460" t="s">
        <v>849</v>
      </c>
      <c r="AD460" t="s">
        <v>11096</v>
      </c>
      <c r="AF460" t="s">
        <v>11122</v>
      </c>
      <c r="AH460" t="s">
        <v>10974</v>
      </c>
      <c r="AJ460" t="s">
        <v>11129</v>
      </c>
      <c r="AK460" t="s">
        <v>7225</v>
      </c>
      <c r="AM460">
        <v>1200</v>
      </c>
      <c r="AO460">
        <v>100</v>
      </c>
      <c r="AQ460" t="s">
        <v>11157</v>
      </c>
      <c r="AR460" t="s">
        <v>11172</v>
      </c>
      <c r="AU460">
        <v>7</v>
      </c>
      <c r="AW460" t="s">
        <v>11189</v>
      </c>
      <c r="AZ460" t="s">
        <v>11221</v>
      </c>
      <c r="BC460" t="s">
        <v>11270</v>
      </c>
      <c r="BD460" t="s">
        <v>11667</v>
      </c>
      <c r="BG460" t="s">
        <v>14492</v>
      </c>
      <c r="BM460" t="s">
        <v>15650</v>
      </c>
    </row>
    <row r="461" spans="1:65">
      <c r="A461" s="1">
        <f>HYPERLINK("https://lsnyc.legalserver.org/matter/dynamic-profile/view/0819705","16-0819705")</f>
        <v>0</v>
      </c>
      <c r="B461" t="s">
        <v>98</v>
      </c>
      <c r="C461" t="s">
        <v>246</v>
      </c>
      <c r="D461" t="s">
        <v>501</v>
      </c>
      <c r="F461" t="s">
        <v>1122</v>
      </c>
      <c r="G461" t="s">
        <v>3168</v>
      </c>
      <c r="H461" t="s">
        <v>4990</v>
      </c>
      <c r="I461" t="s">
        <v>6416</v>
      </c>
      <c r="J461" t="s">
        <v>7170</v>
      </c>
      <c r="K461">
        <v>10457</v>
      </c>
      <c r="N461" t="s">
        <v>7237</v>
      </c>
      <c r="O461" t="s">
        <v>7621</v>
      </c>
      <c r="P461">
        <v>2</v>
      </c>
      <c r="Q461">
        <v>0</v>
      </c>
      <c r="R461">
        <v>56.8</v>
      </c>
      <c r="U461">
        <v>9100</v>
      </c>
      <c r="W461">
        <v>0</v>
      </c>
      <c r="Y461" t="s">
        <v>10897</v>
      </c>
      <c r="AA461" t="s">
        <v>10974</v>
      </c>
      <c r="AB461" t="s">
        <v>939</v>
      </c>
      <c r="AD461" t="s">
        <v>11085</v>
      </c>
      <c r="AF461" t="s">
        <v>11118</v>
      </c>
      <c r="AH461" t="s">
        <v>10974</v>
      </c>
      <c r="AJ461" t="s">
        <v>11144</v>
      </c>
      <c r="AK461" t="s">
        <v>7225</v>
      </c>
      <c r="AM461">
        <v>803</v>
      </c>
      <c r="AN461" t="s">
        <v>11151</v>
      </c>
      <c r="AO461" t="s">
        <v>11153</v>
      </c>
      <c r="AQ461" t="s">
        <v>11164</v>
      </c>
      <c r="AS461" t="s">
        <v>11173</v>
      </c>
      <c r="AT461" t="s">
        <v>11184</v>
      </c>
      <c r="AU461">
        <v>0</v>
      </c>
      <c r="AW461" t="s">
        <v>11189</v>
      </c>
      <c r="AZ461" t="s">
        <v>11221</v>
      </c>
      <c r="BE461" t="s">
        <v>11991</v>
      </c>
      <c r="BF461" t="s">
        <v>14364</v>
      </c>
      <c r="BG461" t="s">
        <v>14485</v>
      </c>
      <c r="BM461" t="s">
        <v>15650</v>
      </c>
    </row>
    <row r="462" spans="1:65">
      <c r="A462" s="1">
        <f>HYPERLINK("https://lsnyc.legalserver.org/matter/dynamic-profile/view/0816829","16-0816829")</f>
        <v>0</v>
      </c>
      <c r="B462" t="s">
        <v>98</v>
      </c>
      <c r="C462" t="s">
        <v>246</v>
      </c>
      <c r="D462" t="s">
        <v>471</v>
      </c>
      <c r="F462" t="s">
        <v>1373</v>
      </c>
      <c r="G462" t="s">
        <v>3149</v>
      </c>
      <c r="H462" t="s">
        <v>4990</v>
      </c>
      <c r="I462" t="s">
        <v>6440</v>
      </c>
      <c r="J462" t="s">
        <v>7170</v>
      </c>
      <c r="K462">
        <v>10457</v>
      </c>
      <c r="N462" t="s">
        <v>7237</v>
      </c>
      <c r="O462" t="s">
        <v>7592</v>
      </c>
      <c r="P462">
        <v>1</v>
      </c>
      <c r="Q462">
        <v>0</v>
      </c>
      <c r="R462">
        <v>115.66</v>
      </c>
      <c r="S462" t="s">
        <v>10260</v>
      </c>
      <c r="U462">
        <v>13740</v>
      </c>
      <c r="W462">
        <v>0.5</v>
      </c>
      <c r="X462" t="s">
        <v>471</v>
      </c>
      <c r="Y462" t="s">
        <v>10899</v>
      </c>
      <c r="AA462" t="s">
        <v>10974</v>
      </c>
      <c r="AB462" t="s">
        <v>10256</v>
      </c>
      <c r="AD462" t="s">
        <v>11096</v>
      </c>
      <c r="AF462" t="s">
        <v>11122</v>
      </c>
      <c r="AH462" t="s">
        <v>10974</v>
      </c>
      <c r="AJ462" t="s">
        <v>11141</v>
      </c>
      <c r="AK462" t="s">
        <v>7225</v>
      </c>
      <c r="AM462">
        <v>862.95</v>
      </c>
      <c r="AO462">
        <v>100</v>
      </c>
      <c r="AQ462" t="s">
        <v>11157</v>
      </c>
      <c r="AS462" t="s">
        <v>11175</v>
      </c>
      <c r="AU462">
        <v>32</v>
      </c>
      <c r="AW462" t="s">
        <v>11189</v>
      </c>
      <c r="AZ462" t="s">
        <v>11221</v>
      </c>
      <c r="BD462" t="s">
        <v>11667</v>
      </c>
      <c r="BF462" t="s">
        <v>14364</v>
      </c>
      <c r="BG462" t="s">
        <v>14485</v>
      </c>
      <c r="BM462" t="s">
        <v>15650</v>
      </c>
    </row>
    <row r="463" spans="1:65">
      <c r="A463" s="1">
        <f>HYPERLINK("https://lsnyc.legalserver.org/matter/dynamic-profile/view/0796572","16-0796572")</f>
        <v>0</v>
      </c>
      <c r="B463" t="s">
        <v>98</v>
      </c>
      <c r="C463" t="s">
        <v>246</v>
      </c>
      <c r="D463" t="s">
        <v>502</v>
      </c>
      <c r="F463" t="s">
        <v>1357</v>
      </c>
      <c r="G463" t="s">
        <v>3134</v>
      </c>
      <c r="H463" t="s">
        <v>4990</v>
      </c>
      <c r="J463" t="s">
        <v>7170</v>
      </c>
      <c r="K463">
        <v>10457</v>
      </c>
      <c r="N463" t="s">
        <v>7237</v>
      </c>
      <c r="O463" t="s">
        <v>7573</v>
      </c>
      <c r="P463">
        <v>1</v>
      </c>
      <c r="Q463">
        <v>0</v>
      </c>
      <c r="R463">
        <v>132.98</v>
      </c>
      <c r="S463" t="s">
        <v>10260</v>
      </c>
      <c r="U463">
        <v>15652</v>
      </c>
      <c r="W463">
        <v>0</v>
      </c>
      <c r="Y463" t="s">
        <v>138</v>
      </c>
      <c r="AA463" t="s">
        <v>10974</v>
      </c>
      <c r="AB463" t="s">
        <v>502</v>
      </c>
      <c r="AD463" t="s">
        <v>11085</v>
      </c>
      <c r="AF463" t="s">
        <v>11118</v>
      </c>
      <c r="AH463" t="s">
        <v>10974</v>
      </c>
      <c r="AJ463" t="s">
        <v>11141</v>
      </c>
      <c r="AK463" t="s">
        <v>7225</v>
      </c>
      <c r="AM463">
        <v>1224.96</v>
      </c>
      <c r="AN463" t="s">
        <v>11151</v>
      </c>
      <c r="AO463" t="s">
        <v>11153</v>
      </c>
      <c r="AQ463" t="s">
        <v>11157</v>
      </c>
      <c r="AS463" t="s">
        <v>11173</v>
      </c>
      <c r="AU463">
        <v>7</v>
      </c>
      <c r="AW463" t="s">
        <v>11189</v>
      </c>
      <c r="AZ463" t="s">
        <v>11221</v>
      </c>
      <c r="BE463" t="s">
        <v>11949</v>
      </c>
      <c r="BG463" t="s">
        <v>14499</v>
      </c>
      <c r="BM463" t="s">
        <v>15650</v>
      </c>
    </row>
    <row r="464" spans="1:65">
      <c r="A464" s="1">
        <f>HYPERLINK("https://lsnyc.legalserver.org/matter/dynamic-profile/view/1913567","19-1913567")</f>
        <v>0</v>
      </c>
      <c r="B464" t="s">
        <v>98</v>
      </c>
      <c r="C464" t="s">
        <v>246</v>
      </c>
      <c r="D464" t="s">
        <v>293</v>
      </c>
      <c r="E464" t="s">
        <v>539</v>
      </c>
      <c r="F464" t="s">
        <v>1307</v>
      </c>
      <c r="G464" t="s">
        <v>3152</v>
      </c>
      <c r="H464" t="s">
        <v>5002</v>
      </c>
      <c r="I464">
        <v>212</v>
      </c>
      <c r="J464" t="s">
        <v>7170</v>
      </c>
      <c r="K464">
        <v>10452</v>
      </c>
      <c r="L464" t="s">
        <v>7216</v>
      </c>
      <c r="N464" t="s">
        <v>7237</v>
      </c>
      <c r="O464" t="s">
        <v>7622</v>
      </c>
      <c r="P464">
        <v>1</v>
      </c>
      <c r="Q464">
        <v>0</v>
      </c>
      <c r="R464">
        <v>173.29</v>
      </c>
      <c r="U464">
        <v>21644</v>
      </c>
      <c r="W464">
        <v>1.04</v>
      </c>
      <c r="X464" t="s">
        <v>301</v>
      </c>
      <c r="Y464" t="s">
        <v>10907</v>
      </c>
      <c r="Z464" t="s">
        <v>10972</v>
      </c>
      <c r="AA464" t="s">
        <v>10976</v>
      </c>
      <c r="AC464" t="s">
        <v>11081</v>
      </c>
      <c r="AE464" t="s">
        <v>11117</v>
      </c>
      <c r="AG464" t="s">
        <v>11124</v>
      </c>
      <c r="AI464" t="s">
        <v>11126</v>
      </c>
      <c r="AK464" t="s">
        <v>7225</v>
      </c>
      <c r="AL464" t="s">
        <v>11150</v>
      </c>
      <c r="AM464">
        <v>0</v>
      </c>
      <c r="AN464" t="s">
        <v>11151</v>
      </c>
      <c r="AO464" t="s">
        <v>11153</v>
      </c>
      <c r="AP464" t="s">
        <v>11155</v>
      </c>
      <c r="AR464" t="s">
        <v>11172</v>
      </c>
      <c r="AT464" t="s">
        <v>11184</v>
      </c>
      <c r="AU464">
        <v>0</v>
      </c>
      <c r="AW464" t="s">
        <v>11189</v>
      </c>
      <c r="AX464" t="s">
        <v>11212</v>
      </c>
      <c r="AZ464" t="s">
        <v>11221</v>
      </c>
      <c r="BE464" t="s">
        <v>11992</v>
      </c>
      <c r="BF464" t="s">
        <v>14364</v>
      </c>
      <c r="BM464" t="s">
        <v>15651</v>
      </c>
    </row>
    <row r="465" spans="1:65">
      <c r="A465" s="1">
        <f>HYPERLINK("https://lsnyc.legalserver.org/matter/dynamic-profile/view/1896237","19-1896237")</f>
        <v>0</v>
      </c>
      <c r="B465" t="s">
        <v>98</v>
      </c>
      <c r="C465" t="s">
        <v>246</v>
      </c>
      <c r="D465" t="s">
        <v>445</v>
      </c>
      <c r="F465" t="s">
        <v>1398</v>
      </c>
      <c r="G465" t="s">
        <v>3169</v>
      </c>
      <c r="H465" t="s">
        <v>4989</v>
      </c>
      <c r="I465" t="s">
        <v>6542</v>
      </c>
      <c r="J465" t="s">
        <v>7170</v>
      </c>
      <c r="K465">
        <v>10453</v>
      </c>
      <c r="N465" t="s">
        <v>7237</v>
      </c>
      <c r="O465" t="s">
        <v>7623</v>
      </c>
      <c r="P465">
        <v>1</v>
      </c>
      <c r="Q465">
        <v>0</v>
      </c>
      <c r="R465">
        <v>520.42</v>
      </c>
      <c r="U465">
        <v>65000</v>
      </c>
      <c r="W465">
        <v>0</v>
      </c>
      <c r="Y465" t="s">
        <v>93</v>
      </c>
      <c r="AA465" t="s">
        <v>10974</v>
      </c>
      <c r="AB465" t="s">
        <v>370</v>
      </c>
      <c r="AD465" t="s">
        <v>11101</v>
      </c>
      <c r="AF465" t="s">
        <v>11118</v>
      </c>
      <c r="AH465" t="s">
        <v>10974</v>
      </c>
      <c r="AJ465" t="s">
        <v>11134</v>
      </c>
      <c r="AK465" t="s">
        <v>7225</v>
      </c>
      <c r="AM465">
        <v>450</v>
      </c>
      <c r="AO465">
        <v>170</v>
      </c>
      <c r="AQ465" t="s">
        <v>11157</v>
      </c>
      <c r="AS465" t="s">
        <v>11173</v>
      </c>
      <c r="AU465">
        <v>1</v>
      </c>
      <c r="AW465" t="s">
        <v>11187</v>
      </c>
      <c r="AZ465" t="s">
        <v>11221</v>
      </c>
      <c r="BE465" t="s">
        <v>11993</v>
      </c>
      <c r="BG465" t="s">
        <v>14486</v>
      </c>
      <c r="BM465" t="s">
        <v>15650</v>
      </c>
    </row>
    <row r="466" spans="1:65">
      <c r="A466" s="1">
        <f>HYPERLINK("https://lsnyc.legalserver.org/matter/dynamic-profile/view/1892316","19-1892316")</f>
        <v>0</v>
      </c>
      <c r="B466" t="s">
        <v>98</v>
      </c>
      <c r="C466" t="s">
        <v>246</v>
      </c>
      <c r="D466" t="s">
        <v>503</v>
      </c>
      <c r="F466" t="s">
        <v>1090</v>
      </c>
      <c r="G466" t="s">
        <v>3142</v>
      </c>
      <c r="H466" t="s">
        <v>4995</v>
      </c>
      <c r="I466" t="s">
        <v>6559</v>
      </c>
      <c r="J466" t="s">
        <v>7170</v>
      </c>
      <c r="K466">
        <v>10453</v>
      </c>
      <c r="N466" t="s">
        <v>7237</v>
      </c>
      <c r="O466" t="s">
        <v>7576</v>
      </c>
      <c r="P466">
        <v>1</v>
      </c>
      <c r="Q466">
        <v>2</v>
      </c>
      <c r="R466">
        <v>140.65</v>
      </c>
      <c r="U466">
        <v>30000</v>
      </c>
      <c r="W466">
        <v>0</v>
      </c>
      <c r="Y466" t="s">
        <v>93</v>
      </c>
      <c r="AA466" t="s">
        <v>10974</v>
      </c>
      <c r="AB466" t="s">
        <v>370</v>
      </c>
      <c r="AD466" t="s">
        <v>11098</v>
      </c>
      <c r="AF466" t="s">
        <v>11122</v>
      </c>
      <c r="AH466" t="s">
        <v>10974</v>
      </c>
      <c r="AJ466" t="s">
        <v>11134</v>
      </c>
      <c r="AK466" t="s">
        <v>7225</v>
      </c>
      <c r="AM466">
        <v>1110.63</v>
      </c>
      <c r="AO466">
        <v>170</v>
      </c>
      <c r="AQ466" t="s">
        <v>11157</v>
      </c>
      <c r="AS466" t="s">
        <v>11173</v>
      </c>
      <c r="AU466">
        <v>9</v>
      </c>
      <c r="AW466" t="s">
        <v>11189</v>
      </c>
      <c r="AZ466" t="s">
        <v>11221</v>
      </c>
      <c r="BD466" t="s">
        <v>11667</v>
      </c>
      <c r="BF466" t="s">
        <v>14364</v>
      </c>
      <c r="BM466" t="s">
        <v>15650</v>
      </c>
    </row>
    <row r="467" spans="1:65">
      <c r="A467" s="1">
        <f>HYPERLINK("https://lsnyc.legalserver.org/matter/dynamic-profile/view/1838143","17-1838143")</f>
        <v>0</v>
      </c>
      <c r="B467" t="s">
        <v>98</v>
      </c>
      <c r="C467" t="s">
        <v>246</v>
      </c>
      <c r="D467" t="s">
        <v>504</v>
      </c>
      <c r="F467" t="s">
        <v>1228</v>
      </c>
      <c r="G467" t="s">
        <v>3170</v>
      </c>
      <c r="H467" t="s">
        <v>5003</v>
      </c>
      <c r="I467" t="s">
        <v>6578</v>
      </c>
      <c r="J467" t="s">
        <v>7170</v>
      </c>
      <c r="K467">
        <v>10473</v>
      </c>
      <c r="N467" t="s">
        <v>7237</v>
      </c>
      <c r="O467" t="s">
        <v>7624</v>
      </c>
      <c r="P467">
        <v>3</v>
      </c>
      <c r="Q467">
        <v>0</v>
      </c>
      <c r="R467">
        <v>345.54</v>
      </c>
      <c r="S467" t="s">
        <v>10258</v>
      </c>
      <c r="U467">
        <v>70560</v>
      </c>
      <c r="W467">
        <v>0</v>
      </c>
      <c r="Y467" t="s">
        <v>10899</v>
      </c>
      <c r="AA467" t="s">
        <v>10974</v>
      </c>
      <c r="AB467" t="s">
        <v>10992</v>
      </c>
      <c r="AD467" t="s">
        <v>11096</v>
      </c>
      <c r="AF467" t="s">
        <v>11122</v>
      </c>
      <c r="AH467" t="s">
        <v>10974</v>
      </c>
      <c r="AJ467" t="s">
        <v>11139</v>
      </c>
      <c r="AK467" t="s">
        <v>7225</v>
      </c>
      <c r="AM467">
        <v>1137</v>
      </c>
      <c r="AO467">
        <v>976</v>
      </c>
      <c r="AQ467" t="s">
        <v>11157</v>
      </c>
      <c r="AS467" t="s">
        <v>11173</v>
      </c>
      <c r="AU467">
        <v>43</v>
      </c>
      <c r="AW467" t="s">
        <v>11187</v>
      </c>
      <c r="AZ467" t="s">
        <v>11221</v>
      </c>
      <c r="BE467" t="s">
        <v>11994</v>
      </c>
      <c r="BG467" t="s">
        <v>14488</v>
      </c>
      <c r="BM467" t="s">
        <v>15650</v>
      </c>
    </row>
    <row r="468" spans="1:65">
      <c r="A468" s="1">
        <f>HYPERLINK("https://lsnyc.legalserver.org/matter/dynamic-profile/view/1890026","19-1890026")</f>
        <v>0</v>
      </c>
      <c r="B468" t="s">
        <v>98</v>
      </c>
      <c r="C468" t="s">
        <v>246</v>
      </c>
      <c r="D468" t="s">
        <v>480</v>
      </c>
      <c r="F468" t="s">
        <v>1399</v>
      </c>
      <c r="G468" t="s">
        <v>3171</v>
      </c>
      <c r="H468" t="s">
        <v>4989</v>
      </c>
      <c r="I468" t="s">
        <v>6579</v>
      </c>
      <c r="J468" t="s">
        <v>7170</v>
      </c>
      <c r="K468">
        <v>10453</v>
      </c>
      <c r="N468" t="s">
        <v>7237</v>
      </c>
      <c r="O468" t="s">
        <v>7625</v>
      </c>
      <c r="P468">
        <v>2</v>
      </c>
      <c r="Q468">
        <v>0</v>
      </c>
      <c r="R468">
        <v>118.27</v>
      </c>
      <c r="U468">
        <v>20000</v>
      </c>
      <c r="W468">
        <v>0</v>
      </c>
      <c r="Y468" t="s">
        <v>10903</v>
      </c>
      <c r="AA468" t="s">
        <v>10974</v>
      </c>
      <c r="AB468" t="s">
        <v>370</v>
      </c>
      <c r="AD468" t="s">
        <v>11101</v>
      </c>
      <c r="AF468" t="s">
        <v>11118</v>
      </c>
      <c r="AH468" t="s">
        <v>10974</v>
      </c>
      <c r="AJ468" t="s">
        <v>11141</v>
      </c>
      <c r="AK468" t="s">
        <v>7225</v>
      </c>
      <c r="AM468">
        <v>1400</v>
      </c>
      <c r="AO468">
        <v>170</v>
      </c>
      <c r="AQ468" t="s">
        <v>11157</v>
      </c>
      <c r="AS468" t="s">
        <v>11173</v>
      </c>
      <c r="AU468">
        <v>8</v>
      </c>
      <c r="AW468" t="s">
        <v>11189</v>
      </c>
      <c r="AZ468" t="s">
        <v>11221</v>
      </c>
      <c r="BE468" t="s">
        <v>11995</v>
      </c>
      <c r="BG468" t="s">
        <v>14486</v>
      </c>
      <c r="BM468" t="s">
        <v>15650</v>
      </c>
    </row>
    <row r="469" spans="1:65">
      <c r="A469" s="1">
        <f>HYPERLINK("https://lsnyc.legalserver.org/matter/dynamic-profile/view/1890005","19-1890005")</f>
        <v>0</v>
      </c>
      <c r="B469" t="s">
        <v>98</v>
      </c>
      <c r="C469" t="s">
        <v>246</v>
      </c>
      <c r="D469" t="s">
        <v>480</v>
      </c>
      <c r="F469" t="s">
        <v>1395</v>
      </c>
      <c r="G469" t="s">
        <v>3165</v>
      </c>
      <c r="H469" t="s">
        <v>4989</v>
      </c>
      <c r="I469" t="s">
        <v>6577</v>
      </c>
      <c r="J469" t="s">
        <v>7170</v>
      </c>
      <c r="K469">
        <v>10453</v>
      </c>
      <c r="N469" t="s">
        <v>7237</v>
      </c>
      <c r="O469" t="s">
        <v>7618</v>
      </c>
      <c r="P469">
        <v>1</v>
      </c>
      <c r="Q469">
        <v>0</v>
      </c>
      <c r="R469">
        <v>480.38</v>
      </c>
      <c r="U469">
        <v>60000</v>
      </c>
      <c r="W469">
        <v>0</v>
      </c>
      <c r="Y469" t="s">
        <v>10903</v>
      </c>
      <c r="AA469" t="s">
        <v>10974</v>
      </c>
      <c r="AB469" t="s">
        <v>370</v>
      </c>
      <c r="AD469" t="s">
        <v>11098</v>
      </c>
      <c r="AF469" t="s">
        <v>11122</v>
      </c>
      <c r="AH469" t="s">
        <v>10974</v>
      </c>
      <c r="AJ469" t="s">
        <v>11141</v>
      </c>
      <c r="AK469" t="s">
        <v>7225</v>
      </c>
      <c r="AM469">
        <v>897</v>
      </c>
      <c r="AO469">
        <v>170</v>
      </c>
      <c r="AQ469" t="s">
        <v>11157</v>
      </c>
      <c r="AR469" t="s">
        <v>11172</v>
      </c>
      <c r="AU469">
        <v>23</v>
      </c>
      <c r="AW469" t="s">
        <v>11187</v>
      </c>
      <c r="AZ469" t="s">
        <v>11221</v>
      </c>
      <c r="BE469" t="s">
        <v>11988</v>
      </c>
      <c r="BF469" t="s">
        <v>14364</v>
      </c>
      <c r="BM469" t="s">
        <v>15650</v>
      </c>
    </row>
    <row r="470" spans="1:65">
      <c r="A470" s="1">
        <f>HYPERLINK("https://lsnyc.legalserver.org/matter/dynamic-profile/view/1891007","19-1891007")</f>
        <v>0</v>
      </c>
      <c r="B470" t="s">
        <v>98</v>
      </c>
      <c r="C470" t="s">
        <v>246</v>
      </c>
      <c r="D470" t="s">
        <v>479</v>
      </c>
      <c r="F470" t="s">
        <v>1400</v>
      </c>
      <c r="G470" t="s">
        <v>2877</v>
      </c>
      <c r="H470" t="s">
        <v>4989</v>
      </c>
      <c r="I470" t="s">
        <v>6580</v>
      </c>
      <c r="J470" t="s">
        <v>7170</v>
      </c>
      <c r="K470">
        <v>10453</v>
      </c>
      <c r="N470" t="s">
        <v>7237</v>
      </c>
      <c r="O470" t="s">
        <v>7626</v>
      </c>
      <c r="P470">
        <v>3</v>
      </c>
      <c r="Q470">
        <v>3</v>
      </c>
      <c r="R470">
        <v>31.92</v>
      </c>
      <c r="U470">
        <v>11040</v>
      </c>
      <c r="W470">
        <v>0</v>
      </c>
      <c r="Y470" t="s">
        <v>10865</v>
      </c>
      <c r="AA470" t="s">
        <v>10974</v>
      </c>
      <c r="AB470" t="s">
        <v>339</v>
      </c>
      <c r="AD470" t="s">
        <v>11101</v>
      </c>
      <c r="AF470" t="s">
        <v>11118</v>
      </c>
      <c r="AH470" t="s">
        <v>10974</v>
      </c>
      <c r="AJ470" t="s">
        <v>11141</v>
      </c>
      <c r="AK470" t="s">
        <v>7225</v>
      </c>
      <c r="AM470">
        <v>979</v>
      </c>
      <c r="AO470">
        <v>167</v>
      </c>
      <c r="AQ470" t="s">
        <v>11157</v>
      </c>
      <c r="AS470" t="s">
        <v>11173</v>
      </c>
      <c r="AU470">
        <v>12</v>
      </c>
      <c r="AW470" t="s">
        <v>11189</v>
      </c>
      <c r="AZ470" t="s">
        <v>11221</v>
      </c>
      <c r="BB470" t="s">
        <v>11224</v>
      </c>
      <c r="BC470" t="s">
        <v>11271</v>
      </c>
      <c r="BE470" t="s">
        <v>11996</v>
      </c>
      <c r="BG470" t="s">
        <v>14486</v>
      </c>
      <c r="BM470" t="s">
        <v>15650</v>
      </c>
    </row>
    <row r="471" spans="1:65">
      <c r="A471" s="1">
        <f>HYPERLINK("https://lsnyc.legalserver.org/matter/dynamic-profile/view/1905057","19-1905057")</f>
        <v>0</v>
      </c>
      <c r="B471" t="s">
        <v>98</v>
      </c>
      <c r="C471" t="s">
        <v>246</v>
      </c>
      <c r="D471" t="s">
        <v>332</v>
      </c>
      <c r="F471" t="s">
        <v>1400</v>
      </c>
      <c r="G471" t="s">
        <v>2877</v>
      </c>
      <c r="H471" t="s">
        <v>4989</v>
      </c>
      <c r="I471" t="s">
        <v>6580</v>
      </c>
      <c r="J471" t="s">
        <v>7170</v>
      </c>
      <c r="K471">
        <v>10453</v>
      </c>
      <c r="N471" t="s">
        <v>7237</v>
      </c>
      <c r="O471" t="s">
        <v>7626</v>
      </c>
      <c r="P471">
        <v>4</v>
      </c>
      <c r="Q471">
        <v>2</v>
      </c>
      <c r="R471">
        <v>31.92</v>
      </c>
      <c r="U471">
        <v>11040</v>
      </c>
      <c r="W471">
        <v>0</v>
      </c>
      <c r="Y471" t="s">
        <v>93</v>
      </c>
      <c r="AA471" t="s">
        <v>10974</v>
      </c>
      <c r="AB471" t="s">
        <v>287</v>
      </c>
      <c r="AD471" t="s">
        <v>11098</v>
      </c>
      <c r="AF471" t="s">
        <v>11122</v>
      </c>
      <c r="AH471" t="s">
        <v>10974</v>
      </c>
      <c r="AJ471" t="s">
        <v>11141</v>
      </c>
      <c r="AK471" t="s">
        <v>7225</v>
      </c>
      <c r="AM471">
        <v>979</v>
      </c>
      <c r="AO471">
        <v>167</v>
      </c>
      <c r="AQ471" t="s">
        <v>11157</v>
      </c>
      <c r="AS471" t="s">
        <v>11173</v>
      </c>
      <c r="AU471">
        <v>12</v>
      </c>
      <c r="AW471" t="s">
        <v>11189</v>
      </c>
      <c r="BA471" t="s">
        <v>11222</v>
      </c>
      <c r="BB471" t="s">
        <v>11224</v>
      </c>
      <c r="BC471" t="s">
        <v>11271</v>
      </c>
      <c r="BE471" t="s">
        <v>11996</v>
      </c>
      <c r="BG471" t="s">
        <v>14494</v>
      </c>
      <c r="BM471" t="s">
        <v>15650</v>
      </c>
    </row>
    <row r="472" spans="1:65">
      <c r="A472" s="1">
        <f>HYPERLINK("https://lsnyc.legalserver.org/matter/dynamic-profile/view/1889916","19-1889916")</f>
        <v>0</v>
      </c>
      <c r="B472" t="s">
        <v>98</v>
      </c>
      <c r="C472" t="s">
        <v>246</v>
      </c>
      <c r="D472" t="s">
        <v>482</v>
      </c>
      <c r="F472" t="s">
        <v>1385</v>
      </c>
      <c r="G472" t="s">
        <v>3156</v>
      </c>
      <c r="H472" t="s">
        <v>4989</v>
      </c>
      <c r="I472" t="s">
        <v>6436</v>
      </c>
      <c r="J472" t="s">
        <v>7170</v>
      </c>
      <c r="K472">
        <v>10453</v>
      </c>
      <c r="N472" t="s">
        <v>7237</v>
      </c>
      <c r="O472" t="s">
        <v>7606</v>
      </c>
      <c r="P472">
        <v>2</v>
      </c>
      <c r="Q472">
        <v>0</v>
      </c>
      <c r="R472">
        <v>295.68</v>
      </c>
      <c r="U472">
        <v>50000</v>
      </c>
      <c r="W472">
        <v>0</v>
      </c>
      <c r="Y472" t="s">
        <v>10865</v>
      </c>
      <c r="AA472" t="s">
        <v>10974</v>
      </c>
      <c r="AB472" t="s">
        <v>370</v>
      </c>
      <c r="AD472" t="s">
        <v>11098</v>
      </c>
      <c r="AF472" t="s">
        <v>11122</v>
      </c>
      <c r="AH472" t="s">
        <v>10974</v>
      </c>
      <c r="AJ472" t="s">
        <v>11141</v>
      </c>
      <c r="AK472" t="s">
        <v>7225</v>
      </c>
      <c r="AM472">
        <v>736</v>
      </c>
      <c r="AO472">
        <v>167</v>
      </c>
      <c r="AQ472" t="s">
        <v>11157</v>
      </c>
      <c r="AS472" t="s">
        <v>11173</v>
      </c>
      <c r="AU472">
        <v>37</v>
      </c>
      <c r="AW472" t="s">
        <v>11187</v>
      </c>
      <c r="AZ472" t="s">
        <v>11221</v>
      </c>
      <c r="BE472" t="s">
        <v>11979</v>
      </c>
      <c r="BF472" t="s">
        <v>14364</v>
      </c>
      <c r="BM472" t="s">
        <v>15650</v>
      </c>
    </row>
    <row r="473" spans="1:65">
      <c r="A473" s="1">
        <f>HYPERLINK("https://lsnyc.legalserver.org/matter/dynamic-profile/view/1905049","19-1905049")</f>
        <v>0</v>
      </c>
      <c r="B473" t="s">
        <v>98</v>
      </c>
      <c r="C473" t="s">
        <v>246</v>
      </c>
      <c r="D473" t="s">
        <v>332</v>
      </c>
      <c r="F473" t="s">
        <v>1400</v>
      </c>
      <c r="G473" t="s">
        <v>2877</v>
      </c>
      <c r="H473" t="s">
        <v>4989</v>
      </c>
      <c r="I473" t="s">
        <v>6580</v>
      </c>
      <c r="J473" t="s">
        <v>7170</v>
      </c>
      <c r="K473">
        <v>10453</v>
      </c>
      <c r="N473" t="s">
        <v>7237</v>
      </c>
      <c r="O473" t="s">
        <v>7626</v>
      </c>
      <c r="P473">
        <v>4</v>
      </c>
      <c r="Q473">
        <v>2</v>
      </c>
      <c r="R473">
        <v>31.92</v>
      </c>
      <c r="U473">
        <v>11040</v>
      </c>
      <c r="W473">
        <v>0</v>
      </c>
      <c r="Y473" t="s">
        <v>93</v>
      </c>
      <c r="AA473" t="s">
        <v>10974</v>
      </c>
      <c r="AB473" t="s">
        <v>527</v>
      </c>
      <c r="AD473" t="s">
        <v>11098</v>
      </c>
      <c r="AF473" t="s">
        <v>11122</v>
      </c>
      <c r="AH473" t="s">
        <v>10974</v>
      </c>
      <c r="AJ473" t="s">
        <v>11141</v>
      </c>
      <c r="AK473" t="s">
        <v>7225</v>
      </c>
      <c r="AM473">
        <v>979</v>
      </c>
      <c r="AO473">
        <v>167</v>
      </c>
      <c r="AQ473" t="s">
        <v>11157</v>
      </c>
      <c r="AS473" t="s">
        <v>11173</v>
      </c>
      <c r="AU473">
        <v>12</v>
      </c>
      <c r="AW473" t="s">
        <v>11189</v>
      </c>
      <c r="BA473" t="s">
        <v>11222</v>
      </c>
      <c r="BB473" t="s">
        <v>11224</v>
      </c>
      <c r="BC473" t="s">
        <v>11271</v>
      </c>
      <c r="BE473" t="s">
        <v>11996</v>
      </c>
      <c r="BG473" t="s">
        <v>14484</v>
      </c>
      <c r="BM473" t="s">
        <v>15650</v>
      </c>
    </row>
    <row r="474" spans="1:65">
      <c r="A474" s="1">
        <f>HYPERLINK("https://lsnyc.legalserver.org/matter/dynamic-profile/view/1891413","19-1891413")</f>
        <v>0</v>
      </c>
      <c r="B474" t="s">
        <v>98</v>
      </c>
      <c r="C474" t="s">
        <v>246</v>
      </c>
      <c r="D474" t="s">
        <v>480</v>
      </c>
      <c r="F474" t="s">
        <v>1388</v>
      </c>
      <c r="G474" t="s">
        <v>3160</v>
      </c>
      <c r="H474" t="s">
        <v>4989</v>
      </c>
      <c r="I474" t="s">
        <v>6571</v>
      </c>
      <c r="J474" t="s">
        <v>7170</v>
      </c>
      <c r="K474">
        <v>10453</v>
      </c>
      <c r="N474" t="s">
        <v>7237</v>
      </c>
      <c r="O474" t="s">
        <v>7610</v>
      </c>
      <c r="P474">
        <v>1</v>
      </c>
      <c r="Q474">
        <v>1</v>
      </c>
      <c r="R474">
        <v>295.68</v>
      </c>
      <c r="U474">
        <v>50000</v>
      </c>
      <c r="W474">
        <v>0</v>
      </c>
      <c r="Y474" t="s">
        <v>216</v>
      </c>
      <c r="AA474" t="s">
        <v>10974</v>
      </c>
      <c r="AB474" t="s">
        <v>370</v>
      </c>
      <c r="AD474" t="s">
        <v>11098</v>
      </c>
      <c r="AF474" t="s">
        <v>11122</v>
      </c>
      <c r="AH474" t="s">
        <v>10974</v>
      </c>
      <c r="AJ474" t="s">
        <v>11141</v>
      </c>
      <c r="AK474" t="s">
        <v>7225</v>
      </c>
      <c r="AM474">
        <v>873.27</v>
      </c>
      <c r="AO474">
        <v>170</v>
      </c>
      <c r="AQ474" t="s">
        <v>11157</v>
      </c>
      <c r="AS474" t="s">
        <v>11173</v>
      </c>
      <c r="AU474">
        <v>28</v>
      </c>
      <c r="AW474" t="s">
        <v>11187</v>
      </c>
      <c r="AZ474" t="s">
        <v>11221</v>
      </c>
      <c r="BE474" t="s">
        <v>11982</v>
      </c>
      <c r="BF474" t="s">
        <v>14364</v>
      </c>
      <c r="BM474" t="s">
        <v>15650</v>
      </c>
    </row>
    <row r="475" spans="1:65">
      <c r="A475" s="1">
        <f>HYPERLINK("https://lsnyc.legalserver.org/matter/dynamic-profile/view/1890008","19-1890008")</f>
        <v>0</v>
      </c>
      <c r="B475" t="s">
        <v>98</v>
      </c>
      <c r="C475" t="s">
        <v>246</v>
      </c>
      <c r="D475" t="s">
        <v>482</v>
      </c>
      <c r="F475" t="s">
        <v>1136</v>
      </c>
      <c r="G475" t="s">
        <v>3172</v>
      </c>
      <c r="H475" t="s">
        <v>4989</v>
      </c>
      <c r="I475" t="s">
        <v>6581</v>
      </c>
      <c r="J475" t="s">
        <v>7170</v>
      </c>
      <c r="K475">
        <v>10453</v>
      </c>
      <c r="N475" t="s">
        <v>7237</v>
      </c>
      <c r="O475" t="s">
        <v>7627</v>
      </c>
      <c r="P475">
        <v>1</v>
      </c>
      <c r="Q475">
        <v>2</v>
      </c>
      <c r="R475">
        <v>41.63</v>
      </c>
      <c r="U475">
        <v>8880</v>
      </c>
      <c r="W475">
        <v>0</v>
      </c>
      <c r="Y475" t="s">
        <v>10865</v>
      </c>
      <c r="AA475" t="s">
        <v>10974</v>
      </c>
      <c r="AB475" t="s">
        <v>519</v>
      </c>
      <c r="AD475" t="s">
        <v>11086</v>
      </c>
      <c r="AF475" t="s">
        <v>11119</v>
      </c>
      <c r="AH475" t="s">
        <v>10974</v>
      </c>
      <c r="AJ475" t="s">
        <v>11141</v>
      </c>
      <c r="AK475" t="s">
        <v>7225</v>
      </c>
      <c r="AM475">
        <v>1091</v>
      </c>
      <c r="AO475">
        <v>167</v>
      </c>
      <c r="AQ475" t="s">
        <v>11157</v>
      </c>
      <c r="AS475" t="s">
        <v>11176</v>
      </c>
      <c r="AU475">
        <v>12</v>
      </c>
      <c r="AW475" t="s">
        <v>11189</v>
      </c>
      <c r="BA475" t="s">
        <v>11222</v>
      </c>
      <c r="BE475" t="s">
        <v>11997</v>
      </c>
      <c r="BF475" t="s">
        <v>14364</v>
      </c>
      <c r="BM475" t="s">
        <v>15650</v>
      </c>
    </row>
    <row r="476" spans="1:65">
      <c r="A476" s="1">
        <f>HYPERLINK("https://lsnyc.legalserver.org/matter/dynamic-profile/view/1894123","19-1894123")</f>
        <v>0</v>
      </c>
      <c r="B476" t="s">
        <v>98</v>
      </c>
      <c r="C476" t="s">
        <v>246</v>
      </c>
      <c r="D476" t="s">
        <v>505</v>
      </c>
      <c r="F476" t="s">
        <v>1224</v>
      </c>
      <c r="G476" t="s">
        <v>3173</v>
      </c>
      <c r="H476" t="s">
        <v>4989</v>
      </c>
      <c r="I476" t="s">
        <v>6479</v>
      </c>
      <c r="J476" t="s">
        <v>7170</v>
      </c>
      <c r="K476">
        <v>10453</v>
      </c>
      <c r="N476" t="s">
        <v>7237</v>
      </c>
      <c r="O476" t="s">
        <v>7628</v>
      </c>
      <c r="P476">
        <v>2</v>
      </c>
      <c r="Q476">
        <v>4</v>
      </c>
      <c r="R476">
        <v>58.98</v>
      </c>
      <c r="U476">
        <v>20400</v>
      </c>
      <c r="W476">
        <v>0</v>
      </c>
      <c r="Y476" t="s">
        <v>10865</v>
      </c>
      <c r="AA476" t="s">
        <v>10974</v>
      </c>
      <c r="AB476" t="s">
        <v>370</v>
      </c>
      <c r="AD476" t="s">
        <v>11101</v>
      </c>
      <c r="AF476" t="s">
        <v>11118</v>
      </c>
      <c r="AH476" t="s">
        <v>10974</v>
      </c>
      <c r="AJ476" t="s">
        <v>11141</v>
      </c>
      <c r="AK476" t="s">
        <v>7225</v>
      </c>
      <c r="AM476">
        <v>506</v>
      </c>
      <c r="AO476">
        <v>167</v>
      </c>
      <c r="AQ476" t="s">
        <v>11157</v>
      </c>
      <c r="AS476" t="s">
        <v>11174</v>
      </c>
      <c r="AU476">
        <v>10</v>
      </c>
      <c r="AW476" t="s">
        <v>11189</v>
      </c>
      <c r="AZ476" t="s">
        <v>11221</v>
      </c>
      <c r="BE476" t="s">
        <v>11998</v>
      </c>
      <c r="BG476" t="s">
        <v>14486</v>
      </c>
      <c r="BM476" t="s">
        <v>15650</v>
      </c>
    </row>
    <row r="477" spans="1:65">
      <c r="A477" s="1">
        <f>HYPERLINK("https://lsnyc.legalserver.org/matter/dynamic-profile/view/1894126","19-1894126")</f>
        <v>0</v>
      </c>
      <c r="B477" t="s">
        <v>98</v>
      </c>
      <c r="C477" t="s">
        <v>246</v>
      </c>
      <c r="D477" t="s">
        <v>505</v>
      </c>
      <c r="F477" t="s">
        <v>1224</v>
      </c>
      <c r="G477" t="s">
        <v>3173</v>
      </c>
      <c r="H477" t="s">
        <v>4989</v>
      </c>
      <c r="I477" t="s">
        <v>6479</v>
      </c>
      <c r="J477" t="s">
        <v>7170</v>
      </c>
      <c r="K477">
        <v>10453</v>
      </c>
      <c r="N477" t="s">
        <v>7237</v>
      </c>
      <c r="O477" t="s">
        <v>7628</v>
      </c>
      <c r="P477">
        <v>2</v>
      </c>
      <c r="Q477">
        <v>4</v>
      </c>
      <c r="R477">
        <v>58.98</v>
      </c>
      <c r="U477">
        <v>20400</v>
      </c>
      <c r="W477">
        <v>0</v>
      </c>
      <c r="Y477" t="s">
        <v>10865</v>
      </c>
      <c r="AA477" t="s">
        <v>10974</v>
      </c>
      <c r="AB477" t="s">
        <v>896</v>
      </c>
      <c r="AD477" t="s">
        <v>11098</v>
      </c>
      <c r="AF477" t="s">
        <v>11122</v>
      </c>
      <c r="AH477" t="s">
        <v>10974</v>
      </c>
      <c r="AJ477" t="s">
        <v>11141</v>
      </c>
      <c r="AK477" t="s">
        <v>7225</v>
      </c>
      <c r="AM477">
        <v>506</v>
      </c>
      <c r="AO477">
        <v>167</v>
      </c>
      <c r="AQ477" t="s">
        <v>11157</v>
      </c>
      <c r="AS477" t="s">
        <v>11174</v>
      </c>
      <c r="AU477">
        <v>10</v>
      </c>
      <c r="AW477" t="s">
        <v>11189</v>
      </c>
      <c r="BA477" t="s">
        <v>11222</v>
      </c>
      <c r="BE477" t="s">
        <v>11998</v>
      </c>
      <c r="BF477" t="s">
        <v>14364</v>
      </c>
      <c r="BM477" t="s">
        <v>15650</v>
      </c>
    </row>
    <row r="478" spans="1:65">
      <c r="A478" s="1">
        <f>HYPERLINK("https://lsnyc.legalserver.org/matter/dynamic-profile/view/1890012","19-1890012")</f>
        <v>0</v>
      </c>
      <c r="B478" t="s">
        <v>98</v>
      </c>
      <c r="C478" t="s">
        <v>246</v>
      </c>
      <c r="D478" t="s">
        <v>482</v>
      </c>
      <c r="F478" t="s">
        <v>1136</v>
      </c>
      <c r="G478" t="s">
        <v>3172</v>
      </c>
      <c r="H478" t="s">
        <v>4989</v>
      </c>
      <c r="I478" t="s">
        <v>6581</v>
      </c>
      <c r="J478" t="s">
        <v>7170</v>
      </c>
      <c r="K478">
        <v>10453</v>
      </c>
      <c r="N478" t="s">
        <v>7237</v>
      </c>
      <c r="O478" t="s">
        <v>7627</v>
      </c>
      <c r="P478">
        <v>1</v>
      </c>
      <c r="Q478">
        <v>2</v>
      </c>
      <c r="R478">
        <v>41.63</v>
      </c>
      <c r="U478">
        <v>8880</v>
      </c>
      <c r="W478">
        <v>0</v>
      </c>
      <c r="Y478" t="s">
        <v>10865</v>
      </c>
      <c r="AA478" t="s">
        <v>10974</v>
      </c>
      <c r="AB478" t="s">
        <v>370</v>
      </c>
      <c r="AD478" t="s">
        <v>11098</v>
      </c>
      <c r="AF478" t="s">
        <v>11122</v>
      </c>
      <c r="AH478" t="s">
        <v>10974</v>
      </c>
      <c r="AJ478" t="s">
        <v>11141</v>
      </c>
      <c r="AK478" t="s">
        <v>7225</v>
      </c>
      <c r="AM478">
        <v>1091</v>
      </c>
      <c r="AO478">
        <v>167</v>
      </c>
      <c r="AQ478" t="s">
        <v>11157</v>
      </c>
      <c r="AS478" t="s">
        <v>11176</v>
      </c>
      <c r="AU478">
        <v>12</v>
      </c>
      <c r="AW478" t="s">
        <v>11189</v>
      </c>
      <c r="AZ478" t="s">
        <v>11221</v>
      </c>
      <c r="BE478" t="s">
        <v>11997</v>
      </c>
      <c r="BF478" t="s">
        <v>14364</v>
      </c>
      <c r="BM478" t="s">
        <v>15650</v>
      </c>
    </row>
    <row r="479" spans="1:65">
      <c r="A479" s="1">
        <f>HYPERLINK("https://lsnyc.legalserver.org/matter/dynamic-profile/view/1891015","19-1891015")</f>
        <v>0</v>
      </c>
      <c r="B479" t="s">
        <v>98</v>
      </c>
      <c r="C479" t="s">
        <v>246</v>
      </c>
      <c r="D479" t="s">
        <v>479</v>
      </c>
      <c r="F479" t="s">
        <v>1400</v>
      </c>
      <c r="G479" t="s">
        <v>2877</v>
      </c>
      <c r="H479" t="s">
        <v>4989</v>
      </c>
      <c r="I479" t="s">
        <v>6580</v>
      </c>
      <c r="J479" t="s">
        <v>7170</v>
      </c>
      <c r="K479">
        <v>10453</v>
      </c>
      <c r="N479" t="s">
        <v>7237</v>
      </c>
      <c r="O479" t="s">
        <v>7626</v>
      </c>
      <c r="P479">
        <v>3</v>
      </c>
      <c r="Q479">
        <v>3</v>
      </c>
      <c r="R479">
        <v>31.92</v>
      </c>
      <c r="U479">
        <v>11040</v>
      </c>
      <c r="W479">
        <v>0</v>
      </c>
      <c r="Y479" t="s">
        <v>10865</v>
      </c>
      <c r="AA479" t="s">
        <v>10974</v>
      </c>
      <c r="AB479" t="s">
        <v>370</v>
      </c>
      <c r="AD479" t="s">
        <v>11098</v>
      </c>
      <c r="AF479" t="s">
        <v>11122</v>
      </c>
      <c r="AH479" t="s">
        <v>10974</v>
      </c>
      <c r="AJ479" t="s">
        <v>11141</v>
      </c>
      <c r="AK479" t="s">
        <v>7225</v>
      </c>
      <c r="AM479">
        <v>979</v>
      </c>
      <c r="AO479">
        <v>167</v>
      </c>
      <c r="AQ479" t="s">
        <v>11157</v>
      </c>
      <c r="AS479" t="s">
        <v>11173</v>
      </c>
      <c r="AU479">
        <v>12</v>
      </c>
      <c r="AW479" t="s">
        <v>11189</v>
      </c>
      <c r="AZ479" t="s">
        <v>11221</v>
      </c>
      <c r="BB479" t="s">
        <v>11224</v>
      </c>
      <c r="BC479" t="s">
        <v>11271</v>
      </c>
      <c r="BE479" t="s">
        <v>11996</v>
      </c>
      <c r="BF479" t="s">
        <v>14364</v>
      </c>
      <c r="BM479" t="s">
        <v>15650</v>
      </c>
    </row>
    <row r="480" spans="1:65">
      <c r="A480" s="1">
        <f>HYPERLINK("https://lsnyc.legalserver.org/matter/dynamic-profile/view/1852367","17-1852367")</f>
        <v>0</v>
      </c>
      <c r="B480" t="s">
        <v>98</v>
      </c>
      <c r="C480" t="s">
        <v>246</v>
      </c>
      <c r="D480" t="s">
        <v>485</v>
      </c>
      <c r="F480" t="s">
        <v>1252</v>
      </c>
      <c r="G480" t="s">
        <v>3042</v>
      </c>
      <c r="H480" t="s">
        <v>4988</v>
      </c>
      <c r="I480" t="s">
        <v>6449</v>
      </c>
      <c r="J480" t="s">
        <v>7170</v>
      </c>
      <c r="K480">
        <v>10456</v>
      </c>
      <c r="N480" t="s">
        <v>7237</v>
      </c>
      <c r="O480" t="s">
        <v>7604</v>
      </c>
      <c r="P480">
        <v>4</v>
      </c>
      <c r="Q480">
        <v>1</v>
      </c>
      <c r="R480">
        <v>172.87</v>
      </c>
      <c r="S480" t="s">
        <v>10261</v>
      </c>
      <c r="U480">
        <v>49752</v>
      </c>
      <c r="W480">
        <v>0.75</v>
      </c>
      <c r="X480" t="s">
        <v>374</v>
      </c>
      <c r="Y480" t="s">
        <v>10865</v>
      </c>
      <c r="AA480" t="s">
        <v>10974</v>
      </c>
      <c r="AB480" t="s">
        <v>485</v>
      </c>
      <c r="AD480" t="s">
        <v>11096</v>
      </c>
      <c r="AF480" t="s">
        <v>11122</v>
      </c>
      <c r="AH480" t="s">
        <v>10974</v>
      </c>
      <c r="AJ480" t="s">
        <v>11141</v>
      </c>
      <c r="AK480" t="s">
        <v>7225</v>
      </c>
      <c r="AM480">
        <v>1573</v>
      </c>
      <c r="AO480">
        <v>61</v>
      </c>
      <c r="AQ480" t="s">
        <v>11157</v>
      </c>
      <c r="AS480" t="s">
        <v>11173</v>
      </c>
      <c r="AU480">
        <v>5</v>
      </c>
      <c r="AW480" t="s">
        <v>11189</v>
      </c>
      <c r="AZ480" t="s">
        <v>11221</v>
      </c>
      <c r="BE480" t="s">
        <v>11978</v>
      </c>
      <c r="BG480" t="s">
        <v>14490</v>
      </c>
      <c r="BM480" t="s">
        <v>15650</v>
      </c>
    </row>
    <row r="481" spans="1:65">
      <c r="A481" s="1">
        <f>HYPERLINK("https://lsnyc.legalserver.org/matter/dynamic-profile/view/1838174","17-1838174")</f>
        <v>0</v>
      </c>
      <c r="B481" t="s">
        <v>98</v>
      </c>
      <c r="C481" t="s">
        <v>246</v>
      </c>
      <c r="D481" t="s">
        <v>504</v>
      </c>
      <c r="F481" t="s">
        <v>1379</v>
      </c>
      <c r="G481" t="s">
        <v>3174</v>
      </c>
      <c r="H481" t="s">
        <v>5003</v>
      </c>
      <c r="I481" t="s">
        <v>6582</v>
      </c>
      <c r="J481" t="s">
        <v>7170</v>
      </c>
      <c r="K481">
        <v>10473</v>
      </c>
      <c r="N481" t="s">
        <v>7237</v>
      </c>
      <c r="O481" t="s">
        <v>7629</v>
      </c>
      <c r="P481">
        <v>1</v>
      </c>
      <c r="Q481">
        <v>0</v>
      </c>
      <c r="R481">
        <v>538.97</v>
      </c>
      <c r="S481" t="s">
        <v>10258</v>
      </c>
      <c r="U481">
        <v>65000</v>
      </c>
      <c r="W481">
        <v>0</v>
      </c>
      <c r="Y481" t="s">
        <v>10899</v>
      </c>
      <c r="AA481" t="s">
        <v>10974</v>
      </c>
      <c r="AB481" t="s">
        <v>10992</v>
      </c>
      <c r="AD481" t="s">
        <v>11096</v>
      </c>
      <c r="AF481" t="s">
        <v>11122</v>
      </c>
      <c r="AH481" t="s">
        <v>10974</v>
      </c>
      <c r="AJ481" t="s">
        <v>11139</v>
      </c>
      <c r="AK481" t="s">
        <v>7225</v>
      </c>
      <c r="AM481">
        <v>1107.16</v>
      </c>
      <c r="AO481">
        <v>976</v>
      </c>
      <c r="AQ481" t="s">
        <v>11157</v>
      </c>
      <c r="AS481" t="s">
        <v>11173</v>
      </c>
      <c r="AU481">
        <v>16</v>
      </c>
      <c r="AW481" t="s">
        <v>11187</v>
      </c>
      <c r="AZ481" t="s">
        <v>11221</v>
      </c>
      <c r="BE481" t="s">
        <v>11999</v>
      </c>
      <c r="BG481" t="s">
        <v>14488</v>
      </c>
      <c r="BM481" t="s">
        <v>15650</v>
      </c>
    </row>
    <row r="482" spans="1:65">
      <c r="A482" s="1">
        <f>HYPERLINK("https://lsnyc.legalserver.org/matter/dynamic-profile/view/0816919","16-0816919")</f>
        <v>0</v>
      </c>
      <c r="B482" t="s">
        <v>98</v>
      </c>
      <c r="C482" t="s">
        <v>246</v>
      </c>
      <c r="D482" t="s">
        <v>494</v>
      </c>
      <c r="F482" t="s">
        <v>1401</v>
      </c>
      <c r="G482" t="s">
        <v>1475</v>
      </c>
      <c r="H482" t="s">
        <v>4990</v>
      </c>
      <c r="I482" t="s">
        <v>6583</v>
      </c>
      <c r="J482" t="s">
        <v>7170</v>
      </c>
      <c r="K482">
        <v>10457</v>
      </c>
      <c r="N482" t="s">
        <v>7237</v>
      </c>
      <c r="O482" t="s">
        <v>7630</v>
      </c>
      <c r="P482">
        <v>1</v>
      </c>
      <c r="Q482">
        <v>0</v>
      </c>
      <c r="R482">
        <v>631.3099999999999</v>
      </c>
      <c r="S482" t="s">
        <v>10260</v>
      </c>
      <c r="U482">
        <v>75000</v>
      </c>
      <c r="W482">
        <v>0.5</v>
      </c>
      <c r="X482" t="s">
        <v>494</v>
      </c>
      <c r="Y482" t="s">
        <v>10899</v>
      </c>
      <c r="AA482" t="s">
        <v>10974</v>
      </c>
      <c r="AB482" t="s">
        <v>838</v>
      </c>
      <c r="AD482" t="s">
        <v>11096</v>
      </c>
      <c r="AF482" t="s">
        <v>11122</v>
      </c>
      <c r="AH482" t="s">
        <v>10974</v>
      </c>
      <c r="AJ482" t="s">
        <v>11130</v>
      </c>
      <c r="AK482" t="s">
        <v>7225</v>
      </c>
      <c r="AM482">
        <v>1290</v>
      </c>
      <c r="AO482">
        <v>100</v>
      </c>
      <c r="AQ482" t="s">
        <v>11157</v>
      </c>
      <c r="AS482" t="s">
        <v>11173</v>
      </c>
      <c r="AU482">
        <v>20</v>
      </c>
      <c r="AW482" t="s">
        <v>11187</v>
      </c>
      <c r="AZ482" t="s">
        <v>11221</v>
      </c>
      <c r="BE482" t="s">
        <v>12000</v>
      </c>
      <c r="BF482" t="s">
        <v>14364</v>
      </c>
      <c r="BG482" t="s">
        <v>14498</v>
      </c>
      <c r="BM482" t="s">
        <v>15650</v>
      </c>
    </row>
    <row r="483" spans="1:65">
      <c r="A483" s="1">
        <f>HYPERLINK("https://lsnyc.legalserver.org/matter/dynamic-profile/view/1838835","17-1838835")</f>
        <v>0</v>
      </c>
      <c r="B483" t="s">
        <v>98</v>
      </c>
      <c r="C483" t="s">
        <v>246</v>
      </c>
      <c r="D483" t="s">
        <v>486</v>
      </c>
      <c r="F483" t="s">
        <v>1402</v>
      </c>
      <c r="G483" t="s">
        <v>3126</v>
      </c>
      <c r="H483" t="s">
        <v>4996</v>
      </c>
      <c r="I483" t="s">
        <v>6584</v>
      </c>
      <c r="J483" t="s">
        <v>7170</v>
      </c>
      <c r="K483">
        <v>10473</v>
      </c>
      <c r="N483" t="s">
        <v>7237</v>
      </c>
      <c r="O483" t="s">
        <v>7631</v>
      </c>
      <c r="P483">
        <v>1</v>
      </c>
      <c r="Q483">
        <v>0</v>
      </c>
      <c r="R483">
        <v>572.14</v>
      </c>
      <c r="S483" t="s">
        <v>10258</v>
      </c>
      <c r="U483">
        <v>69000</v>
      </c>
      <c r="W483">
        <v>0</v>
      </c>
      <c r="Y483" t="s">
        <v>10899</v>
      </c>
      <c r="AA483" t="s">
        <v>10974</v>
      </c>
      <c r="AB483" t="s">
        <v>10992</v>
      </c>
      <c r="AD483" t="s">
        <v>11096</v>
      </c>
      <c r="AF483" t="s">
        <v>11122</v>
      </c>
      <c r="AH483" t="s">
        <v>10974</v>
      </c>
      <c r="AJ483" t="s">
        <v>11139</v>
      </c>
      <c r="AK483" t="s">
        <v>7225</v>
      </c>
      <c r="AM483">
        <v>930.9</v>
      </c>
      <c r="AO483">
        <v>976</v>
      </c>
      <c r="AQ483" t="s">
        <v>11157</v>
      </c>
      <c r="AS483" t="s">
        <v>11173</v>
      </c>
      <c r="AU483">
        <v>32</v>
      </c>
      <c r="AW483" t="s">
        <v>11187</v>
      </c>
      <c r="AZ483" t="s">
        <v>11221</v>
      </c>
      <c r="BE483" t="s">
        <v>12001</v>
      </c>
      <c r="BG483" t="s">
        <v>14491</v>
      </c>
      <c r="BM483" t="s">
        <v>15650</v>
      </c>
    </row>
    <row r="484" spans="1:65">
      <c r="A484" s="1">
        <f>HYPERLINK("https://lsnyc.legalserver.org/matter/dynamic-profile/view/1880627","18-1880627")</f>
        <v>0</v>
      </c>
      <c r="B484" t="s">
        <v>98</v>
      </c>
      <c r="C484" t="s">
        <v>246</v>
      </c>
      <c r="D484" t="s">
        <v>365</v>
      </c>
      <c r="F484" t="s">
        <v>1403</v>
      </c>
      <c r="G484" t="s">
        <v>3175</v>
      </c>
      <c r="H484" t="s">
        <v>4988</v>
      </c>
      <c r="I484" t="s">
        <v>6585</v>
      </c>
      <c r="J484" t="s">
        <v>7170</v>
      </c>
      <c r="K484">
        <v>10456</v>
      </c>
      <c r="N484" t="s">
        <v>7237</v>
      </c>
      <c r="O484" t="s">
        <v>7632</v>
      </c>
      <c r="P484">
        <v>1</v>
      </c>
      <c r="Q484">
        <v>1</v>
      </c>
      <c r="R484">
        <v>212.64</v>
      </c>
      <c r="U484">
        <v>35000</v>
      </c>
      <c r="W484">
        <v>0</v>
      </c>
      <c r="Y484" t="s">
        <v>10865</v>
      </c>
      <c r="AA484" t="s">
        <v>10974</v>
      </c>
      <c r="AB484" t="s">
        <v>519</v>
      </c>
      <c r="AD484" t="s">
        <v>11098</v>
      </c>
      <c r="AF484" t="s">
        <v>11122</v>
      </c>
      <c r="AH484" t="s">
        <v>10974</v>
      </c>
      <c r="AJ484" t="s">
        <v>11141</v>
      </c>
      <c r="AK484" t="s">
        <v>7225</v>
      </c>
      <c r="AM484">
        <v>1245</v>
      </c>
      <c r="AO484">
        <v>61</v>
      </c>
      <c r="AQ484" t="s">
        <v>11157</v>
      </c>
      <c r="AS484" t="s">
        <v>11180</v>
      </c>
      <c r="AU484">
        <v>21</v>
      </c>
      <c r="AW484" t="s">
        <v>11187</v>
      </c>
      <c r="AZ484" t="s">
        <v>11221</v>
      </c>
      <c r="BE484" t="s">
        <v>12002</v>
      </c>
      <c r="BG484" t="s">
        <v>14489</v>
      </c>
      <c r="BM484" t="s">
        <v>15650</v>
      </c>
    </row>
    <row r="485" spans="1:65">
      <c r="A485" s="1">
        <f>HYPERLINK("https://lsnyc.legalserver.org/matter/dynamic-profile/view/1880927","18-1880927")</f>
        <v>0</v>
      </c>
      <c r="B485" t="s">
        <v>98</v>
      </c>
      <c r="C485" t="s">
        <v>246</v>
      </c>
      <c r="D485" t="s">
        <v>506</v>
      </c>
      <c r="E485" t="s">
        <v>333</v>
      </c>
      <c r="F485" t="s">
        <v>1280</v>
      </c>
      <c r="G485" t="s">
        <v>3176</v>
      </c>
      <c r="H485" t="s">
        <v>5004</v>
      </c>
      <c r="I485" t="s">
        <v>6412</v>
      </c>
      <c r="J485" t="s">
        <v>7170</v>
      </c>
      <c r="K485">
        <v>10453</v>
      </c>
      <c r="L485" t="s">
        <v>7216</v>
      </c>
      <c r="N485" t="s">
        <v>7237</v>
      </c>
      <c r="O485" t="s">
        <v>7633</v>
      </c>
      <c r="P485">
        <v>3</v>
      </c>
      <c r="Q485">
        <v>0</v>
      </c>
      <c r="R485">
        <v>95.28</v>
      </c>
      <c r="U485">
        <v>19800</v>
      </c>
      <c r="W485">
        <v>0.1</v>
      </c>
      <c r="X485" t="s">
        <v>678</v>
      </c>
      <c r="Y485" t="s">
        <v>236</v>
      </c>
      <c r="AA485" t="s">
        <v>10974</v>
      </c>
      <c r="AB485" t="s">
        <v>678</v>
      </c>
      <c r="AD485" t="s">
        <v>11090</v>
      </c>
      <c r="AF485" t="s">
        <v>11119</v>
      </c>
      <c r="AG485" t="s">
        <v>11124</v>
      </c>
      <c r="AJ485" t="s">
        <v>11141</v>
      </c>
      <c r="AK485" t="s">
        <v>7225</v>
      </c>
      <c r="AM485">
        <v>1335.48</v>
      </c>
      <c r="AN485" t="s">
        <v>11151</v>
      </c>
      <c r="AO485" t="s">
        <v>11153</v>
      </c>
      <c r="AQ485" t="s">
        <v>11157</v>
      </c>
      <c r="AR485" t="s">
        <v>11172</v>
      </c>
      <c r="AT485" t="s">
        <v>11184</v>
      </c>
      <c r="AU485">
        <v>0</v>
      </c>
      <c r="AW485" t="s">
        <v>11189</v>
      </c>
      <c r="AZ485" t="s">
        <v>11221</v>
      </c>
      <c r="BE485" t="s">
        <v>12003</v>
      </c>
      <c r="BF485" t="s">
        <v>14364</v>
      </c>
      <c r="BM485" t="s">
        <v>15651</v>
      </c>
    </row>
    <row r="486" spans="1:65">
      <c r="A486" s="1">
        <f>HYPERLINK("https://lsnyc.legalserver.org/matter/dynamic-profile/view/1880614","18-1880614")</f>
        <v>0</v>
      </c>
      <c r="B486" t="s">
        <v>98</v>
      </c>
      <c r="C486" t="s">
        <v>246</v>
      </c>
      <c r="D486" t="s">
        <v>365</v>
      </c>
      <c r="F486" t="s">
        <v>1372</v>
      </c>
      <c r="G486" t="s">
        <v>3148</v>
      </c>
      <c r="H486" t="s">
        <v>4988</v>
      </c>
      <c r="I486" t="s">
        <v>6477</v>
      </c>
      <c r="J486" t="s">
        <v>7170</v>
      </c>
      <c r="K486">
        <v>10456</v>
      </c>
      <c r="N486" t="s">
        <v>7237</v>
      </c>
      <c r="O486" t="s">
        <v>7591</v>
      </c>
      <c r="P486">
        <v>2</v>
      </c>
      <c r="Q486">
        <v>0</v>
      </c>
      <c r="R486">
        <v>94.84999999999999</v>
      </c>
      <c r="U486">
        <v>15612</v>
      </c>
      <c r="W486">
        <v>0</v>
      </c>
      <c r="Y486" t="s">
        <v>10865</v>
      </c>
      <c r="AA486" t="s">
        <v>10974</v>
      </c>
      <c r="AB486" t="s">
        <v>370</v>
      </c>
      <c r="AD486" t="s">
        <v>11098</v>
      </c>
      <c r="AF486" t="s">
        <v>11122</v>
      </c>
      <c r="AH486" t="s">
        <v>10974</v>
      </c>
      <c r="AJ486" t="s">
        <v>11141</v>
      </c>
      <c r="AK486" t="s">
        <v>7225</v>
      </c>
      <c r="AM486">
        <v>1466.39</v>
      </c>
      <c r="AO486">
        <v>61</v>
      </c>
      <c r="AQ486" t="s">
        <v>11157</v>
      </c>
      <c r="AS486" t="s">
        <v>11174</v>
      </c>
      <c r="AU486">
        <v>18</v>
      </c>
      <c r="AW486" t="s">
        <v>11189</v>
      </c>
      <c r="AZ486" t="s">
        <v>11221</v>
      </c>
      <c r="BE486" t="s">
        <v>11966</v>
      </c>
      <c r="BG486" t="s">
        <v>14489</v>
      </c>
      <c r="BM486" t="s">
        <v>15650</v>
      </c>
    </row>
    <row r="487" spans="1:65">
      <c r="A487" s="1">
        <f>HYPERLINK("https://lsnyc.legalserver.org/matter/dynamic-profile/view/1862841","18-1862841")</f>
        <v>0</v>
      </c>
      <c r="B487" t="s">
        <v>98</v>
      </c>
      <c r="C487" t="s">
        <v>246</v>
      </c>
      <c r="D487" t="s">
        <v>488</v>
      </c>
      <c r="F487" t="s">
        <v>1122</v>
      </c>
      <c r="G487" t="s">
        <v>2912</v>
      </c>
      <c r="H487" t="s">
        <v>4990</v>
      </c>
      <c r="I487" t="s">
        <v>6507</v>
      </c>
      <c r="J487" t="s">
        <v>7170</v>
      </c>
      <c r="K487">
        <v>10457</v>
      </c>
      <c r="N487" t="s">
        <v>7237</v>
      </c>
      <c r="O487" t="s">
        <v>7576</v>
      </c>
      <c r="P487">
        <v>1</v>
      </c>
      <c r="Q487">
        <v>0</v>
      </c>
      <c r="R487">
        <v>0</v>
      </c>
      <c r="U487">
        <v>0</v>
      </c>
      <c r="V487" t="s">
        <v>10303</v>
      </c>
      <c r="W487">
        <v>0.4</v>
      </c>
      <c r="X487" t="s">
        <v>488</v>
      </c>
      <c r="Y487" t="s">
        <v>10865</v>
      </c>
      <c r="AA487" t="s">
        <v>10974</v>
      </c>
      <c r="AB487" t="s">
        <v>10994</v>
      </c>
      <c r="AD487" t="s">
        <v>11096</v>
      </c>
      <c r="AF487" t="s">
        <v>11122</v>
      </c>
      <c r="AH487" t="s">
        <v>10974</v>
      </c>
      <c r="AJ487" t="s">
        <v>11129</v>
      </c>
      <c r="AK487" t="s">
        <v>7225</v>
      </c>
      <c r="AL487" t="s">
        <v>11150</v>
      </c>
      <c r="AM487">
        <v>0</v>
      </c>
      <c r="AO487">
        <v>100</v>
      </c>
      <c r="AQ487" t="s">
        <v>11157</v>
      </c>
      <c r="AR487" t="s">
        <v>11172</v>
      </c>
      <c r="AT487" t="s">
        <v>11184</v>
      </c>
      <c r="AU487">
        <v>0</v>
      </c>
      <c r="AW487" t="s">
        <v>11189</v>
      </c>
      <c r="AZ487" t="s">
        <v>11221</v>
      </c>
      <c r="BE487" t="s">
        <v>11236</v>
      </c>
      <c r="BG487" t="s">
        <v>14492</v>
      </c>
      <c r="BM487" t="s">
        <v>15650</v>
      </c>
    </row>
    <row r="488" spans="1:65">
      <c r="A488" s="1">
        <f>HYPERLINK("https://lsnyc.legalserver.org/matter/dynamic-profile/view/1862820","18-1862820")</f>
        <v>0</v>
      </c>
      <c r="B488" t="s">
        <v>98</v>
      </c>
      <c r="C488" t="s">
        <v>246</v>
      </c>
      <c r="D488" t="s">
        <v>488</v>
      </c>
      <c r="F488" t="s">
        <v>1404</v>
      </c>
      <c r="G488" t="s">
        <v>2507</v>
      </c>
      <c r="H488" t="s">
        <v>4990</v>
      </c>
      <c r="I488" t="s">
        <v>6492</v>
      </c>
      <c r="J488" t="s">
        <v>7170</v>
      </c>
      <c r="K488">
        <v>10457</v>
      </c>
      <c r="N488" t="s">
        <v>7237</v>
      </c>
      <c r="O488" t="s">
        <v>7281</v>
      </c>
      <c r="P488">
        <v>2</v>
      </c>
      <c r="Q488">
        <v>0</v>
      </c>
      <c r="R488">
        <v>0</v>
      </c>
      <c r="U488">
        <v>0</v>
      </c>
      <c r="W488">
        <v>0.4</v>
      </c>
      <c r="X488" t="s">
        <v>488</v>
      </c>
      <c r="Y488" t="s">
        <v>10865</v>
      </c>
      <c r="AA488" t="s">
        <v>10974</v>
      </c>
      <c r="AD488" t="s">
        <v>11096</v>
      </c>
      <c r="AF488" t="s">
        <v>11122</v>
      </c>
      <c r="AH488" t="s">
        <v>10974</v>
      </c>
      <c r="AJ488" t="s">
        <v>11129</v>
      </c>
      <c r="AK488" t="s">
        <v>7225</v>
      </c>
      <c r="AL488" t="s">
        <v>11150</v>
      </c>
      <c r="AM488">
        <v>0</v>
      </c>
      <c r="AO488">
        <v>100</v>
      </c>
      <c r="AQ488" t="s">
        <v>11157</v>
      </c>
      <c r="AR488" t="s">
        <v>11172</v>
      </c>
      <c r="AT488" t="s">
        <v>11184</v>
      </c>
      <c r="AU488">
        <v>0</v>
      </c>
      <c r="AW488" t="s">
        <v>11187</v>
      </c>
      <c r="AX488" t="s">
        <v>11212</v>
      </c>
      <c r="AZ488" t="s">
        <v>11221</v>
      </c>
      <c r="BD488" t="s">
        <v>11667</v>
      </c>
      <c r="BG488" t="s">
        <v>14492</v>
      </c>
      <c r="BM488" t="s">
        <v>15650</v>
      </c>
    </row>
    <row r="489" spans="1:65">
      <c r="A489" s="1">
        <f>HYPERLINK("https://lsnyc.legalserver.org/matter/dynamic-profile/view/0824075","17-0824075")</f>
        <v>0</v>
      </c>
      <c r="B489" t="s">
        <v>98</v>
      </c>
      <c r="C489" t="s">
        <v>246</v>
      </c>
      <c r="D489" t="s">
        <v>277</v>
      </c>
      <c r="F489" t="s">
        <v>1122</v>
      </c>
      <c r="G489" t="s">
        <v>2912</v>
      </c>
      <c r="H489" t="s">
        <v>4990</v>
      </c>
      <c r="I489" t="s">
        <v>6507</v>
      </c>
      <c r="J489" t="s">
        <v>7170</v>
      </c>
      <c r="K489">
        <v>10457</v>
      </c>
      <c r="N489" t="s">
        <v>7237</v>
      </c>
      <c r="O489" t="s">
        <v>7576</v>
      </c>
      <c r="P489">
        <v>1</v>
      </c>
      <c r="Q489">
        <v>0</v>
      </c>
      <c r="R489">
        <v>0</v>
      </c>
      <c r="U489">
        <v>0</v>
      </c>
      <c r="V489" t="s">
        <v>10304</v>
      </c>
      <c r="W489">
        <v>0</v>
      </c>
      <c r="Y489" t="s">
        <v>10864</v>
      </c>
      <c r="AA489" t="s">
        <v>10974</v>
      </c>
      <c r="AB489" t="s">
        <v>789</v>
      </c>
      <c r="AD489" t="s">
        <v>11096</v>
      </c>
      <c r="AF489" t="s">
        <v>11122</v>
      </c>
      <c r="AH489" t="s">
        <v>10974</v>
      </c>
      <c r="AJ489" t="s">
        <v>11144</v>
      </c>
      <c r="AK489" t="s">
        <v>7225</v>
      </c>
      <c r="AL489" t="s">
        <v>11150</v>
      </c>
      <c r="AM489">
        <v>0</v>
      </c>
      <c r="AO489">
        <v>100</v>
      </c>
      <c r="AQ489" t="s">
        <v>11157</v>
      </c>
      <c r="AR489" t="s">
        <v>11172</v>
      </c>
      <c r="AT489" t="s">
        <v>11184</v>
      </c>
      <c r="AU489">
        <v>0</v>
      </c>
      <c r="AW489" t="s">
        <v>11189</v>
      </c>
      <c r="AZ489" t="s">
        <v>11221</v>
      </c>
      <c r="BE489" t="s">
        <v>11236</v>
      </c>
      <c r="BG489" t="s">
        <v>14500</v>
      </c>
      <c r="BM489" t="s">
        <v>15650</v>
      </c>
    </row>
    <row r="490" spans="1:65">
      <c r="A490" s="1">
        <f>HYPERLINK("https://lsnyc.legalserver.org/matter/dynamic-profile/view/0816930","16-0816930")</f>
        <v>0</v>
      </c>
      <c r="B490" t="s">
        <v>98</v>
      </c>
      <c r="C490" t="s">
        <v>246</v>
      </c>
      <c r="D490" t="s">
        <v>494</v>
      </c>
      <c r="F490" t="s">
        <v>1122</v>
      </c>
      <c r="G490" t="s">
        <v>2912</v>
      </c>
      <c r="H490" t="s">
        <v>4990</v>
      </c>
      <c r="I490" t="s">
        <v>6507</v>
      </c>
      <c r="J490" t="s">
        <v>7170</v>
      </c>
      <c r="K490">
        <v>10457</v>
      </c>
      <c r="N490" t="s">
        <v>7237</v>
      </c>
      <c r="O490" t="s">
        <v>7576</v>
      </c>
      <c r="P490">
        <v>1</v>
      </c>
      <c r="Q490">
        <v>0</v>
      </c>
      <c r="R490">
        <v>0</v>
      </c>
      <c r="U490">
        <v>0</v>
      </c>
      <c r="W490">
        <v>0.5</v>
      </c>
      <c r="X490" t="s">
        <v>494</v>
      </c>
      <c r="Y490" t="s">
        <v>10899</v>
      </c>
      <c r="AA490" t="s">
        <v>10974</v>
      </c>
      <c r="AB490" t="s">
        <v>686</v>
      </c>
      <c r="AD490" t="s">
        <v>11096</v>
      </c>
      <c r="AF490" t="s">
        <v>11122</v>
      </c>
      <c r="AH490" t="s">
        <v>10974</v>
      </c>
      <c r="AJ490" t="s">
        <v>11144</v>
      </c>
      <c r="AK490" t="s">
        <v>7225</v>
      </c>
      <c r="AL490" t="s">
        <v>11150</v>
      </c>
      <c r="AM490">
        <v>0</v>
      </c>
      <c r="AN490" t="s">
        <v>11151</v>
      </c>
      <c r="AO490" t="s">
        <v>11153</v>
      </c>
      <c r="AQ490" t="s">
        <v>11157</v>
      </c>
      <c r="AR490" t="s">
        <v>11172</v>
      </c>
      <c r="AT490" t="s">
        <v>11184</v>
      </c>
      <c r="AU490">
        <v>0</v>
      </c>
      <c r="AW490" t="s">
        <v>11189</v>
      </c>
      <c r="AZ490" t="s">
        <v>11221</v>
      </c>
      <c r="BD490" t="s">
        <v>11667</v>
      </c>
      <c r="BF490" t="s">
        <v>14364</v>
      </c>
      <c r="BM490" t="s">
        <v>15650</v>
      </c>
    </row>
    <row r="491" spans="1:65">
      <c r="A491" s="1">
        <f>HYPERLINK("https://lsnyc.legalserver.org/matter/dynamic-profile/view/0816897","16-0816897")</f>
        <v>0</v>
      </c>
      <c r="B491" t="s">
        <v>98</v>
      </c>
      <c r="C491" t="s">
        <v>246</v>
      </c>
      <c r="D491" t="s">
        <v>494</v>
      </c>
      <c r="F491" t="s">
        <v>1405</v>
      </c>
      <c r="G491" t="s">
        <v>3177</v>
      </c>
      <c r="H491" t="s">
        <v>4990</v>
      </c>
      <c r="I491" t="s">
        <v>6416</v>
      </c>
      <c r="J491" t="s">
        <v>7170</v>
      </c>
      <c r="K491">
        <v>10457</v>
      </c>
      <c r="N491" t="s">
        <v>7237</v>
      </c>
      <c r="O491" t="s">
        <v>7621</v>
      </c>
      <c r="P491">
        <v>2</v>
      </c>
      <c r="Q491">
        <v>0</v>
      </c>
      <c r="R491">
        <v>0</v>
      </c>
      <c r="S491" t="s">
        <v>10260</v>
      </c>
      <c r="U491">
        <v>0</v>
      </c>
      <c r="W491">
        <v>0.5</v>
      </c>
      <c r="X491" t="s">
        <v>494</v>
      </c>
      <c r="Y491" t="s">
        <v>10899</v>
      </c>
      <c r="AA491" t="s">
        <v>10974</v>
      </c>
      <c r="AB491" t="s">
        <v>838</v>
      </c>
      <c r="AD491" t="s">
        <v>11096</v>
      </c>
      <c r="AF491" t="s">
        <v>11122</v>
      </c>
      <c r="AH491" t="s">
        <v>10974</v>
      </c>
      <c r="AJ491" t="s">
        <v>11141</v>
      </c>
      <c r="AK491" t="s">
        <v>7225</v>
      </c>
      <c r="AM491">
        <v>803</v>
      </c>
      <c r="AO491">
        <v>100</v>
      </c>
      <c r="AQ491" t="s">
        <v>11157</v>
      </c>
      <c r="AS491" t="s">
        <v>11173</v>
      </c>
      <c r="AU491">
        <v>21</v>
      </c>
      <c r="AW491" t="s">
        <v>11189</v>
      </c>
      <c r="AZ491" t="s">
        <v>11221</v>
      </c>
      <c r="BD491" t="s">
        <v>11667</v>
      </c>
      <c r="BF491" t="s">
        <v>14364</v>
      </c>
      <c r="BG491" t="s">
        <v>14485</v>
      </c>
      <c r="BM491" t="s">
        <v>15650</v>
      </c>
    </row>
    <row r="492" spans="1:65">
      <c r="A492" s="1">
        <f>HYPERLINK("https://lsnyc.legalserver.org/matter/dynamic-profile/view/0816819","16-0816819")</f>
        <v>0</v>
      </c>
      <c r="B492" t="s">
        <v>98</v>
      </c>
      <c r="C492" t="s">
        <v>246</v>
      </c>
      <c r="D492" t="s">
        <v>471</v>
      </c>
      <c r="F492" t="s">
        <v>1404</v>
      </c>
      <c r="G492" t="s">
        <v>2507</v>
      </c>
      <c r="H492" t="s">
        <v>4990</v>
      </c>
      <c r="I492" t="s">
        <v>6492</v>
      </c>
      <c r="J492" t="s">
        <v>7170</v>
      </c>
      <c r="K492">
        <v>10457</v>
      </c>
      <c r="N492" t="s">
        <v>7237</v>
      </c>
      <c r="O492" t="s">
        <v>7281</v>
      </c>
      <c r="P492">
        <v>2</v>
      </c>
      <c r="Q492">
        <v>0</v>
      </c>
      <c r="R492">
        <v>0</v>
      </c>
      <c r="S492" t="s">
        <v>10260</v>
      </c>
      <c r="U492">
        <v>0</v>
      </c>
      <c r="W492">
        <v>1.25</v>
      </c>
      <c r="X492" t="s">
        <v>521</v>
      </c>
      <c r="Y492" t="s">
        <v>10899</v>
      </c>
      <c r="AA492" t="s">
        <v>10974</v>
      </c>
      <c r="AB492" t="s">
        <v>838</v>
      </c>
      <c r="AD492" t="s">
        <v>11096</v>
      </c>
      <c r="AF492" t="s">
        <v>11122</v>
      </c>
      <c r="AH492" t="s">
        <v>10974</v>
      </c>
      <c r="AJ492" t="s">
        <v>11130</v>
      </c>
      <c r="AK492" t="s">
        <v>7225</v>
      </c>
      <c r="AL492" t="s">
        <v>11150</v>
      </c>
      <c r="AM492">
        <v>0</v>
      </c>
      <c r="AO492">
        <v>100</v>
      </c>
      <c r="AQ492" t="s">
        <v>11157</v>
      </c>
      <c r="AR492" t="s">
        <v>11172</v>
      </c>
      <c r="AT492" t="s">
        <v>11184</v>
      </c>
      <c r="AU492">
        <v>0</v>
      </c>
      <c r="AW492" t="s">
        <v>11187</v>
      </c>
      <c r="AZ492" t="s">
        <v>11221</v>
      </c>
      <c r="BD492" t="s">
        <v>11667</v>
      </c>
      <c r="BF492" t="s">
        <v>14364</v>
      </c>
      <c r="BG492" t="s">
        <v>14485</v>
      </c>
      <c r="BM492" t="s">
        <v>15650</v>
      </c>
    </row>
    <row r="493" spans="1:65">
      <c r="A493" s="1">
        <f>HYPERLINK("https://lsnyc.legalserver.org/matter/dynamic-profile/view/0800080","16-0800080")</f>
        <v>0</v>
      </c>
      <c r="B493" t="s">
        <v>98</v>
      </c>
      <c r="C493" t="s">
        <v>246</v>
      </c>
      <c r="D493" t="s">
        <v>507</v>
      </c>
      <c r="F493" t="s">
        <v>1404</v>
      </c>
      <c r="G493" t="s">
        <v>2507</v>
      </c>
      <c r="H493" t="s">
        <v>4990</v>
      </c>
      <c r="I493" t="s">
        <v>6492</v>
      </c>
      <c r="J493" t="s">
        <v>7170</v>
      </c>
      <c r="K493">
        <v>10457</v>
      </c>
      <c r="N493" t="s">
        <v>7237</v>
      </c>
      <c r="O493" t="s">
        <v>7281</v>
      </c>
      <c r="P493">
        <v>2</v>
      </c>
      <c r="Q493">
        <v>0</v>
      </c>
      <c r="R493">
        <v>0</v>
      </c>
      <c r="S493" t="s">
        <v>10260</v>
      </c>
      <c r="U493">
        <v>0</v>
      </c>
      <c r="W493">
        <v>0.1</v>
      </c>
      <c r="X493" t="s">
        <v>507</v>
      </c>
      <c r="Y493" t="s">
        <v>138</v>
      </c>
      <c r="AA493" t="s">
        <v>10974</v>
      </c>
      <c r="AB493" t="s">
        <v>502</v>
      </c>
      <c r="AD493" t="s">
        <v>11096</v>
      </c>
      <c r="AF493" t="s">
        <v>11122</v>
      </c>
      <c r="AH493" t="s">
        <v>10974</v>
      </c>
      <c r="AJ493" t="s">
        <v>11130</v>
      </c>
      <c r="AK493" t="s">
        <v>7225</v>
      </c>
      <c r="AL493" t="s">
        <v>11150</v>
      </c>
      <c r="AM493">
        <v>0</v>
      </c>
      <c r="AN493" t="s">
        <v>11151</v>
      </c>
      <c r="AO493" t="s">
        <v>11153</v>
      </c>
      <c r="AQ493" t="s">
        <v>11157</v>
      </c>
      <c r="AR493" t="s">
        <v>11172</v>
      </c>
      <c r="AT493" t="s">
        <v>11184</v>
      </c>
      <c r="AU493">
        <v>0</v>
      </c>
      <c r="AW493" t="s">
        <v>11187</v>
      </c>
      <c r="AZ493" t="s">
        <v>11221</v>
      </c>
      <c r="BD493" t="s">
        <v>11667</v>
      </c>
      <c r="BF493" t="s">
        <v>14364</v>
      </c>
      <c r="BM493" t="s">
        <v>15650</v>
      </c>
    </row>
    <row r="494" spans="1:65">
      <c r="A494" s="1">
        <f>HYPERLINK("https://lsnyc.legalserver.org/matter/dynamic-profile/view/1875479","18-1875479")</f>
        <v>0</v>
      </c>
      <c r="B494" t="s">
        <v>98</v>
      </c>
      <c r="C494" t="s">
        <v>246</v>
      </c>
      <c r="D494" t="s">
        <v>508</v>
      </c>
      <c r="F494" t="s">
        <v>1111</v>
      </c>
      <c r="G494" t="s">
        <v>3178</v>
      </c>
      <c r="H494" t="s">
        <v>4999</v>
      </c>
      <c r="I494" t="s">
        <v>6413</v>
      </c>
      <c r="J494" t="s">
        <v>7170</v>
      </c>
      <c r="K494">
        <v>10452</v>
      </c>
      <c r="N494" t="s">
        <v>7237</v>
      </c>
      <c r="O494" t="s">
        <v>7634</v>
      </c>
      <c r="P494">
        <v>1</v>
      </c>
      <c r="Q494">
        <v>0</v>
      </c>
      <c r="R494">
        <v>214.17</v>
      </c>
      <c r="U494">
        <v>26000</v>
      </c>
      <c r="V494" t="s">
        <v>10305</v>
      </c>
      <c r="W494">
        <v>8.5</v>
      </c>
      <c r="X494" t="s">
        <v>347</v>
      </c>
      <c r="Y494" t="s">
        <v>98</v>
      </c>
      <c r="AA494" t="s">
        <v>10974</v>
      </c>
      <c r="AB494" t="s">
        <v>597</v>
      </c>
      <c r="AD494" t="s">
        <v>11098</v>
      </c>
      <c r="AF494" t="s">
        <v>11122</v>
      </c>
      <c r="AH494" t="s">
        <v>10974</v>
      </c>
      <c r="AJ494" t="s">
        <v>11141</v>
      </c>
      <c r="AK494" t="s">
        <v>7225</v>
      </c>
      <c r="AM494">
        <v>1300</v>
      </c>
      <c r="AO494">
        <v>53</v>
      </c>
      <c r="AQ494" t="s">
        <v>11157</v>
      </c>
      <c r="AS494" t="s">
        <v>11174</v>
      </c>
      <c r="AU494">
        <v>2</v>
      </c>
      <c r="AW494" t="s">
        <v>11187</v>
      </c>
      <c r="AZ494" t="s">
        <v>11221</v>
      </c>
      <c r="BE494" t="s">
        <v>12004</v>
      </c>
      <c r="BF494" t="s">
        <v>14364</v>
      </c>
      <c r="BM494" t="s">
        <v>15650</v>
      </c>
    </row>
    <row r="495" spans="1:65">
      <c r="A495" s="1">
        <f>HYPERLINK("https://lsnyc.legalserver.org/matter/dynamic-profile/view/1876352","18-1876352")</f>
        <v>0</v>
      </c>
      <c r="B495" t="s">
        <v>98</v>
      </c>
      <c r="C495" t="s">
        <v>246</v>
      </c>
      <c r="D495" t="s">
        <v>291</v>
      </c>
      <c r="F495" t="s">
        <v>1403</v>
      </c>
      <c r="G495" t="s">
        <v>3175</v>
      </c>
      <c r="H495" t="s">
        <v>4988</v>
      </c>
      <c r="I495" t="s">
        <v>6585</v>
      </c>
      <c r="J495" t="s">
        <v>7170</v>
      </c>
      <c r="K495">
        <v>10456</v>
      </c>
      <c r="N495" t="s">
        <v>7237</v>
      </c>
      <c r="O495" t="s">
        <v>7632</v>
      </c>
      <c r="P495">
        <v>1</v>
      </c>
      <c r="Q495">
        <v>1</v>
      </c>
      <c r="R495">
        <v>212.64</v>
      </c>
      <c r="U495">
        <v>35000</v>
      </c>
      <c r="W495">
        <v>0</v>
      </c>
      <c r="Y495" t="s">
        <v>216</v>
      </c>
      <c r="AA495" t="s">
        <v>10974</v>
      </c>
      <c r="AB495" t="s">
        <v>730</v>
      </c>
      <c r="AD495" t="s">
        <v>11098</v>
      </c>
      <c r="AF495" t="s">
        <v>11122</v>
      </c>
      <c r="AH495" t="s">
        <v>10974</v>
      </c>
      <c r="AJ495" t="s">
        <v>11141</v>
      </c>
      <c r="AK495" t="s">
        <v>7225</v>
      </c>
      <c r="AM495">
        <v>1245</v>
      </c>
      <c r="AO495">
        <v>61</v>
      </c>
      <c r="AQ495" t="s">
        <v>11157</v>
      </c>
      <c r="AS495" t="s">
        <v>11180</v>
      </c>
      <c r="AU495">
        <v>21</v>
      </c>
      <c r="AW495" t="s">
        <v>11187</v>
      </c>
      <c r="AZ495" t="s">
        <v>11221</v>
      </c>
      <c r="BE495" t="s">
        <v>12002</v>
      </c>
      <c r="BG495" t="s">
        <v>14483</v>
      </c>
      <c r="BM495" t="s">
        <v>15650</v>
      </c>
    </row>
    <row r="496" spans="1:65">
      <c r="A496" s="1">
        <f>HYPERLINK("https://lsnyc.legalserver.org/matter/dynamic-profile/view/0811047","16-0811047")</f>
        <v>0</v>
      </c>
      <c r="B496" t="s">
        <v>98</v>
      </c>
      <c r="C496" t="s">
        <v>246</v>
      </c>
      <c r="D496" t="s">
        <v>509</v>
      </c>
      <c r="F496" t="s">
        <v>1122</v>
      </c>
      <c r="G496" t="s">
        <v>2912</v>
      </c>
      <c r="H496" t="s">
        <v>4990</v>
      </c>
      <c r="I496" t="s">
        <v>6507</v>
      </c>
      <c r="J496" t="s">
        <v>7170</v>
      </c>
      <c r="K496">
        <v>10457</v>
      </c>
      <c r="N496" t="s">
        <v>7237</v>
      </c>
      <c r="O496" t="s">
        <v>7576</v>
      </c>
      <c r="P496">
        <v>1</v>
      </c>
      <c r="Q496">
        <v>0</v>
      </c>
      <c r="R496">
        <v>0</v>
      </c>
      <c r="U496">
        <v>0</v>
      </c>
      <c r="W496">
        <v>0</v>
      </c>
      <c r="Y496" t="s">
        <v>10864</v>
      </c>
      <c r="AA496" t="s">
        <v>10974</v>
      </c>
      <c r="AB496" t="s">
        <v>939</v>
      </c>
      <c r="AD496" t="s">
        <v>11085</v>
      </c>
      <c r="AF496" t="s">
        <v>11118</v>
      </c>
      <c r="AH496" t="s">
        <v>10974</v>
      </c>
      <c r="AJ496" t="s">
        <v>11144</v>
      </c>
      <c r="AK496" t="s">
        <v>7225</v>
      </c>
      <c r="AL496" t="s">
        <v>11150</v>
      </c>
      <c r="AM496">
        <v>0</v>
      </c>
      <c r="AO496">
        <v>100</v>
      </c>
      <c r="AQ496" t="s">
        <v>11157</v>
      </c>
      <c r="AR496" t="s">
        <v>11172</v>
      </c>
      <c r="AT496" t="s">
        <v>11184</v>
      </c>
      <c r="AU496">
        <v>0</v>
      </c>
      <c r="AW496" t="s">
        <v>11189</v>
      </c>
      <c r="AZ496" t="s">
        <v>11221</v>
      </c>
      <c r="BD496" t="s">
        <v>11667</v>
      </c>
      <c r="BF496" t="s">
        <v>14364</v>
      </c>
      <c r="BG496" t="s">
        <v>14485</v>
      </c>
      <c r="BM496" t="s">
        <v>15650</v>
      </c>
    </row>
    <row r="497" spans="1:65">
      <c r="A497" s="1">
        <f>HYPERLINK("https://lsnyc.legalserver.org/matter/dynamic-profile/view/0799844","16-0799844")</f>
        <v>0</v>
      </c>
      <c r="B497" t="s">
        <v>98</v>
      </c>
      <c r="C497" t="s">
        <v>246</v>
      </c>
      <c r="D497" t="s">
        <v>507</v>
      </c>
      <c r="F497" t="s">
        <v>1404</v>
      </c>
      <c r="G497" t="s">
        <v>2507</v>
      </c>
      <c r="H497" t="s">
        <v>4990</v>
      </c>
      <c r="I497" t="s">
        <v>6492</v>
      </c>
      <c r="J497" t="s">
        <v>7170</v>
      </c>
      <c r="K497">
        <v>10457</v>
      </c>
      <c r="N497" t="s">
        <v>7237</v>
      </c>
      <c r="O497" t="s">
        <v>7281</v>
      </c>
      <c r="P497">
        <v>2</v>
      </c>
      <c r="Q497">
        <v>0</v>
      </c>
      <c r="R497">
        <v>0</v>
      </c>
      <c r="S497" t="s">
        <v>10260</v>
      </c>
      <c r="U497">
        <v>0</v>
      </c>
      <c r="W497">
        <v>0.5</v>
      </c>
      <c r="X497" t="s">
        <v>851</v>
      </c>
      <c r="Y497" t="s">
        <v>138</v>
      </c>
      <c r="AA497" t="s">
        <v>10974</v>
      </c>
      <c r="AB497" t="s">
        <v>10995</v>
      </c>
      <c r="AD497" t="s">
        <v>11085</v>
      </c>
      <c r="AF497" t="s">
        <v>11118</v>
      </c>
      <c r="AH497" t="s">
        <v>10974</v>
      </c>
      <c r="AJ497" t="s">
        <v>11130</v>
      </c>
      <c r="AK497" t="s">
        <v>7225</v>
      </c>
      <c r="AL497" t="s">
        <v>11150</v>
      </c>
      <c r="AM497">
        <v>0</v>
      </c>
      <c r="AN497" t="s">
        <v>11151</v>
      </c>
      <c r="AO497" t="s">
        <v>11153</v>
      </c>
      <c r="AQ497" t="s">
        <v>11157</v>
      </c>
      <c r="AR497" t="s">
        <v>11172</v>
      </c>
      <c r="AT497" t="s">
        <v>11184</v>
      </c>
      <c r="AU497">
        <v>0</v>
      </c>
      <c r="AW497" t="s">
        <v>11187</v>
      </c>
      <c r="AZ497" t="s">
        <v>11221</v>
      </c>
      <c r="BD497" t="s">
        <v>11667</v>
      </c>
      <c r="BF497" t="s">
        <v>14364</v>
      </c>
      <c r="BG497" t="s">
        <v>14498</v>
      </c>
      <c r="BM497" t="s">
        <v>15650</v>
      </c>
    </row>
    <row r="498" spans="1:65">
      <c r="A498" s="1">
        <f>HYPERLINK("https://lsnyc.legalserver.org/matter/dynamic-profile/view/1880592","18-1880592")</f>
        <v>0</v>
      </c>
      <c r="B498" t="s">
        <v>98</v>
      </c>
      <c r="C498" t="s">
        <v>246</v>
      </c>
      <c r="D498" t="s">
        <v>365</v>
      </c>
      <c r="F498" t="s">
        <v>1406</v>
      </c>
      <c r="G498" t="s">
        <v>3179</v>
      </c>
      <c r="H498" t="s">
        <v>4988</v>
      </c>
      <c r="I498" t="s">
        <v>6422</v>
      </c>
      <c r="J498" t="s">
        <v>7170</v>
      </c>
      <c r="K498">
        <v>10456</v>
      </c>
      <c r="N498" t="s">
        <v>7237</v>
      </c>
      <c r="O498" t="s">
        <v>7635</v>
      </c>
      <c r="P498">
        <v>2</v>
      </c>
      <c r="Q498">
        <v>0</v>
      </c>
      <c r="R498">
        <v>387.61</v>
      </c>
      <c r="U498">
        <v>63800</v>
      </c>
      <c r="W498">
        <v>0.5</v>
      </c>
      <c r="X498" t="s">
        <v>578</v>
      </c>
      <c r="Y498" t="s">
        <v>10865</v>
      </c>
      <c r="AA498" t="s">
        <v>10974</v>
      </c>
      <c r="AB498" t="s">
        <v>597</v>
      </c>
      <c r="AD498" t="s">
        <v>11098</v>
      </c>
      <c r="AF498" t="s">
        <v>11122</v>
      </c>
      <c r="AH498" t="s">
        <v>10974</v>
      </c>
      <c r="AI498" t="s">
        <v>11126</v>
      </c>
      <c r="AK498" t="s">
        <v>7225</v>
      </c>
      <c r="AM498">
        <v>1200</v>
      </c>
      <c r="AO498">
        <v>61</v>
      </c>
      <c r="AQ498" t="s">
        <v>11157</v>
      </c>
      <c r="AS498" t="s">
        <v>11173</v>
      </c>
      <c r="AU498">
        <v>25</v>
      </c>
      <c r="AW498" t="s">
        <v>11187</v>
      </c>
      <c r="AZ498" t="s">
        <v>11221</v>
      </c>
      <c r="BE498" t="s">
        <v>12005</v>
      </c>
      <c r="BG498" t="s">
        <v>14489</v>
      </c>
      <c r="BM498" t="s">
        <v>15650</v>
      </c>
    </row>
    <row r="499" spans="1:65">
      <c r="A499" s="1">
        <f>HYPERLINK("https://lsnyc.legalserver.org/matter/dynamic-profile/view/1856743","18-1856743")</f>
        <v>0</v>
      </c>
      <c r="B499" t="s">
        <v>98</v>
      </c>
      <c r="C499" t="s">
        <v>246</v>
      </c>
      <c r="D499" t="s">
        <v>383</v>
      </c>
      <c r="F499" t="s">
        <v>1403</v>
      </c>
      <c r="G499" t="s">
        <v>3175</v>
      </c>
      <c r="H499" t="s">
        <v>4988</v>
      </c>
      <c r="I499" t="s">
        <v>6585</v>
      </c>
      <c r="J499" t="s">
        <v>7170</v>
      </c>
      <c r="K499">
        <v>10456</v>
      </c>
      <c r="N499" t="s">
        <v>7237</v>
      </c>
      <c r="O499" t="s">
        <v>7632</v>
      </c>
      <c r="P499">
        <v>1</v>
      </c>
      <c r="Q499">
        <v>1</v>
      </c>
      <c r="R499">
        <v>215.52</v>
      </c>
      <c r="S499" t="s">
        <v>10261</v>
      </c>
      <c r="U499">
        <v>35000</v>
      </c>
      <c r="W499">
        <v>0.5</v>
      </c>
      <c r="X499" t="s">
        <v>383</v>
      </c>
      <c r="Y499" t="s">
        <v>10865</v>
      </c>
      <c r="AA499" t="s">
        <v>10974</v>
      </c>
      <c r="AB499" t="s">
        <v>458</v>
      </c>
      <c r="AD499" t="s">
        <v>11096</v>
      </c>
      <c r="AF499" t="s">
        <v>11122</v>
      </c>
      <c r="AH499" t="s">
        <v>10974</v>
      </c>
      <c r="AJ499" t="s">
        <v>11141</v>
      </c>
      <c r="AK499" t="s">
        <v>7225</v>
      </c>
      <c r="AM499">
        <v>1245</v>
      </c>
      <c r="AO499">
        <v>61</v>
      </c>
      <c r="AQ499" t="s">
        <v>11157</v>
      </c>
      <c r="AS499" t="s">
        <v>11180</v>
      </c>
      <c r="AU499">
        <v>21</v>
      </c>
      <c r="AW499" t="s">
        <v>11187</v>
      </c>
      <c r="AZ499" t="s">
        <v>11221</v>
      </c>
      <c r="BE499" t="s">
        <v>12002</v>
      </c>
      <c r="BG499" t="s">
        <v>14490</v>
      </c>
      <c r="BM499" t="s">
        <v>15650</v>
      </c>
    </row>
    <row r="500" spans="1:65">
      <c r="A500" s="1">
        <f>HYPERLINK("https://lsnyc.legalserver.org/matter/dynamic-profile/view/1892594","19-1892594")</f>
        <v>0</v>
      </c>
      <c r="B500" t="s">
        <v>98</v>
      </c>
      <c r="C500" t="s">
        <v>246</v>
      </c>
      <c r="D500" t="s">
        <v>403</v>
      </c>
      <c r="F500" t="s">
        <v>1407</v>
      </c>
      <c r="G500" t="s">
        <v>3148</v>
      </c>
      <c r="H500" t="s">
        <v>4989</v>
      </c>
      <c r="I500" t="s">
        <v>6586</v>
      </c>
      <c r="J500" t="s">
        <v>7170</v>
      </c>
      <c r="K500">
        <v>10453</v>
      </c>
      <c r="N500" t="s">
        <v>7237</v>
      </c>
      <c r="O500" t="s">
        <v>7636</v>
      </c>
      <c r="P500">
        <v>3</v>
      </c>
      <c r="Q500">
        <v>0</v>
      </c>
      <c r="R500">
        <v>93.76000000000001</v>
      </c>
      <c r="U500">
        <v>20000</v>
      </c>
      <c r="W500">
        <v>0</v>
      </c>
      <c r="Y500" t="s">
        <v>10897</v>
      </c>
      <c r="AA500" t="s">
        <v>10974</v>
      </c>
      <c r="AB500" t="s">
        <v>370</v>
      </c>
      <c r="AD500" t="s">
        <v>11101</v>
      </c>
      <c r="AF500" t="s">
        <v>11118</v>
      </c>
      <c r="AH500" t="s">
        <v>10974</v>
      </c>
      <c r="AJ500" t="s">
        <v>11141</v>
      </c>
      <c r="AK500" t="s">
        <v>7225</v>
      </c>
      <c r="AM500">
        <v>1237.88</v>
      </c>
      <c r="AO500">
        <v>170</v>
      </c>
      <c r="AQ500" t="s">
        <v>11157</v>
      </c>
      <c r="AS500" t="s">
        <v>11173</v>
      </c>
      <c r="AU500">
        <v>9</v>
      </c>
      <c r="AW500" t="s">
        <v>11189</v>
      </c>
      <c r="AZ500" t="s">
        <v>11221</v>
      </c>
      <c r="BD500" t="s">
        <v>11667</v>
      </c>
      <c r="BG500" t="s">
        <v>14486</v>
      </c>
      <c r="BM500" t="s">
        <v>15650</v>
      </c>
    </row>
    <row r="501" spans="1:65">
      <c r="A501" s="1">
        <f>HYPERLINK("https://lsnyc.legalserver.org/matter/dynamic-profile/view/1892604","19-1892604")</f>
        <v>0</v>
      </c>
      <c r="B501" t="s">
        <v>98</v>
      </c>
      <c r="C501" t="s">
        <v>246</v>
      </c>
      <c r="D501" t="s">
        <v>403</v>
      </c>
      <c r="F501" t="s">
        <v>1407</v>
      </c>
      <c r="G501" t="s">
        <v>3148</v>
      </c>
      <c r="H501" t="s">
        <v>4989</v>
      </c>
      <c r="I501" t="s">
        <v>6586</v>
      </c>
      <c r="J501" t="s">
        <v>7170</v>
      </c>
      <c r="K501">
        <v>10453</v>
      </c>
      <c r="N501" t="s">
        <v>7237</v>
      </c>
      <c r="O501" t="s">
        <v>7636</v>
      </c>
      <c r="P501">
        <v>3</v>
      </c>
      <c r="Q501">
        <v>0</v>
      </c>
      <c r="R501">
        <v>93.76000000000001</v>
      </c>
      <c r="U501">
        <v>20000</v>
      </c>
      <c r="W501">
        <v>0</v>
      </c>
      <c r="Y501" t="s">
        <v>10897</v>
      </c>
      <c r="AA501" t="s">
        <v>10974</v>
      </c>
      <c r="AB501" t="s">
        <v>370</v>
      </c>
      <c r="AD501" t="s">
        <v>11098</v>
      </c>
      <c r="AF501" t="s">
        <v>11122</v>
      </c>
      <c r="AH501" t="s">
        <v>10974</v>
      </c>
      <c r="AJ501" t="s">
        <v>11141</v>
      </c>
      <c r="AK501" t="s">
        <v>7225</v>
      </c>
      <c r="AM501">
        <v>1237.88</v>
      </c>
      <c r="AO501">
        <v>170</v>
      </c>
      <c r="AQ501" t="s">
        <v>11157</v>
      </c>
      <c r="AS501" t="s">
        <v>11173</v>
      </c>
      <c r="AU501">
        <v>9</v>
      </c>
      <c r="AW501" t="s">
        <v>11189</v>
      </c>
      <c r="AZ501" t="s">
        <v>11221</v>
      </c>
      <c r="BD501" t="s">
        <v>11667</v>
      </c>
      <c r="BF501" t="s">
        <v>14364</v>
      </c>
      <c r="BM501" t="s">
        <v>15650</v>
      </c>
    </row>
    <row r="502" spans="1:65">
      <c r="A502" s="1">
        <f>HYPERLINK("https://lsnyc.legalserver.org/matter/dynamic-profile/view/1838959","17-1838959")</f>
        <v>0</v>
      </c>
      <c r="B502" t="s">
        <v>98</v>
      </c>
      <c r="C502" t="s">
        <v>246</v>
      </c>
      <c r="D502" t="s">
        <v>486</v>
      </c>
      <c r="F502" t="s">
        <v>1139</v>
      </c>
      <c r="G502" t="s">
        <v>3180</v>
      </c>
      <c r="H502" t="s">
        <v>4992</v>
      </c>
      <c r="I502" t="s">
        <v>6587</v>
      </c>
      <c r="J502" t="s">
        <v>7170</v>
      </c>
      <c r="K502">
        <v>10473</v>
      </c>
      <c r="N502" t="s">
        <v>7237</v>
      </c>
      <c r="O502" t="s">
        <v>7637</v>
      </c>
      <c r="P502">
        <v>2</v>
      </c>
      <c r="Q502">
        <v>1</v>
      </c>
      <c r="R502">
        <v>220.37</v>
      </c>
      <c r="S502" t="s">
        <v>10258</v>
      </c>
      <c r="U502">
        <v>45000</v>
      </c>
      <c r="W502">
        <v>0</v>
      </c>
      <c r="Y502" t="s">
        <v>10899</v>
      </c>
      <c r="AA502" t="s">
        <v>10974</v>
      </c>
      <c r="AB502" t="s">
        <v>10992</v>
      </c>
      <c r="AD502" t="s">
        <v>11096</v>
      </c>
      <c r="AF502" t="s">
        <v>11122</v>
      </c>
      <c r="AH502" t="s">
        <v>10974</v>
      </c>
      <c r="AJ502" t="s">
        <v>11139</v>
      </c>
      <c r="AK502" t="s">
        <v>7225</v>
      </c>
      <c r="AM502">
        <v>870</v>
      </c>
      <c r="AO502">
        <v>976</v>
      </c>
      <c r="AQ502" t="s">
        <v>11157</v>
      </c>
      <c r="AS502" t="s">
        <v>11173</v>
      </c>
      <c r="AU502">
        <v>25</v>
      </c>
      <c r="AW502" t="s">
        <v>11187</v>
      </c>
      <c r="AZ502" t="s">
        <v>11221</v>
      </c>
      <c r="BE502" t="s">
        <v>12006</v>
      </c>
      <c r="BG502" t="s">
        <v>14487</v>
      </c>
      <c r="BM502" t="s">
        <v>15650</v>
      </c>
    </row>
    <row r="503" spans="1:65">
      <c r="A503" s="1">
        <f>HYPERLINK("https://lsnyc.legalserver.org/matter/dynamic-profile/view/0816866","16-0816866")</f>
        <v>0</v>
      </c>
      <c r="B503" t="s">
        <v>98</v>
      </c>
      <c r="C503" t="s">
        <v>246</v>
      </c>
      <c r="D503" t="s">
        <v>494</v>
      </c>
      <c r="F503" t="s">
        <v>1408</v>
      </c>
      <c r="G503" t="s">
        <v>3181</v>
      </c>
      <c r="H503" t="s">
        <v>4990</v>
      </c>
      <c r="I503" t="s">
        <v>6420</v>
      </c>
      <c r="J503" t="s">
        <v>7170</v>
      </c>
      <c r="K503">
        <v>10457</v>
      </c>
      <c r="N503" t="s">
        <v>7237</v>
      </c>
      <c r="O503" t="s">
        <v>7638</v>
      </c>
      <c r="P503">
        <v>1</v>
      </c>
      <c r="Q503">
        <v>0</v>
      </c>
      <c r="R503">
        <v>92.93000000000001</v>
      </c>
      <c r="S503" t="s">
        <v>10260</v>
      </c>
      <c r="U503">
        <v>11040</v>
      </c>
      <c r="W503">
        <v>0.5</v>
      </c>
      <c r="X503" t="s">
        <v>494</v>
      </c>
      <c r="Y503" t="s">
        <v>10899</v>
      </c>
      <c r="AA503" t="s">
        <v>10974</v>
      </c>
      <c r="AB503" t="s">
        <v>838</v>
      </c>
      <c r="AD503" t="s">
        <v>11096</v>
      </c>
      <c r="AF503" t="s">
        <v>11122</v>
      </c>
      <c r="AH503" t="s">
        <v>10974</v>
      </c>
      <c r="AJ503" t="s">
        <v>11141</v>
      </c>
      <c r="AK503" t="s">
        <v>7225</v>
      </c>
      <c r="AM503">
        <v>950</v>
      </c>
      <c r="AO503">
        <v>100</v>
      </c>
      <c r="AQ503" t="s">
        <v>11157</v>
      </c>
      <c r="AS503" t="s">
        <v>11104</v>
      </c>
      <c r="AU503">
        <v>4</v>
      </c>
      <c r="AW503" t="s">
        <v>11187</v>
      </c>
      <c r="AZ503" t="s">
        <v>11221</v>
      </c>
      <c r="BE503" t="s">
        <v>12007</v>
      </c>
      <c r="BF503" t="s">
        <v>14364</v>
      </c>
      <c r="BG503" t="s">
        <v>14498</v>
      </c>
      <c r="BM503" t="s">
        <v>15650</v>
      </c>
    </row>
    <row r="504" spans="1:65">
      <c r="A504" s="1">
        <f>HYPERLINK("https://lsnyc.legalserver.org/matter/dynamic-profile/view/0809050","16-0809050")</f>
        <v>0</v>
      </c>
      <c r="B504" t="s">
        <v>98</v>
      </c>
      <c r="C504" t="s">
        <v>246</v>
      </c>
      <c r="D504" t="s">
        <v>510</v>
      </c>
      <c r="F504" t="s">
        <v>1408</v>
      </c>
      <c r="G504" t="s">
        <v>3181</v>
      </c>
      <c r="H504" t="s">
        <v>4990</v>
      </c>
      <c r="I504" t="s">
        <v>6420</v>
      </c>
      <c r="J504" t="s">
        <v>7170</v>
      </c>
      <c r="K504">
        <v>10457</v>
      </c>
      <c r="N504" t="s">
        <v>7237</v>
      </c>
      <c r="O504" t="s">
        <v>7638</v>
      </c>
      <c r="P504">
        <v>1</v>
      </c>
      <c r="Q504">
        <v>0</v>
      </c>
      <c r="R504">
        <v>92.93000000000001</v>
      </c>
      <c r="S504" t="s">
        <v>10260</v>
      </c>
      <c r="U504">
        <v>11040</v>
      </c>
      <c r="W504">
        <v>0</v>
      </c>
      <c r="Y504" t="s">
        <v>138</v>
      </c>
      <c r="AA504" t="s">
        <v>10974</v>
      </c>
      <c r="AB504" t="s">
        <v>510</v>
      </c>
      <c r="AD504" t="s">
        <v>11085</v>
      </c>
      <c r="AF504" t="s">
        <v>11118</v>
      </c>
      <c r="AH504" t="s">
        <v>10974</v>
      </c>
      <c r="AJ504" t="s">
        <v>11141</v>
      </c>
      <c r="AK504" t="s">
        <v>7225</v>
      </c>
      <c r="AM504">
        <v>950</v>
      </c>
      <c r="AN504" t="s">
        <v>11151</v>
      </c>
      <c r="AO504" t="s">
        <v>11153</v>
      </c>
      <c r="AQ504" t="s">
        <v>11157</v>
      </c>
      <c r="AR504" t="s">
        <v>11172</v>
      </c>
      <c r="AU504">
        <v>4</v>
      </c>
      <c r="AW504" t="s">
        <v>11187</v>
      </c>
      <c r="AZ504" t="s">
        <v>11221</v>
      </c>
      <c r="BE504" t="s">
        <v>12007</v>
      </c>
      <c r="BG504" t="s">
        <v>14501</v>
      </c>
      <c r="BM504" t="s">
        <v>15650</v>
      </c>
    </row>
    <row r="505" spans="1:65">
      <c r="A505" s="1">
        <f>HYPERLINK("https://lsnyc.legalserver.org/matter/dynamic-profile/view/1862829","18-1862829")</f>
        <v>0</v>
      </c>
      <c r="B505" t="s">
        <v>98</v>
      </c>
      <c r="C505" t="s">
        <v>246</v>
      </c>
      <c r="D505" t="s">
        <v>488</v>
      </c>
      <c r="F505" t="s">
        <v>1409</v>
      </c>
      <c r="G505" t="s">
        <v>3182</v>
      </c>
      <c r="H505" t="s">
        <v>4990</v>
      </c>
      <c r="I505" t="s">
        <v>6448</v>
      </c>
      <c r="J505" t="s">
        <v>7170</v>
      </c>
      <c r="K505">
        <v>10457</v>
      </c>
      <c r="N505" t="s">
        <v>7237</v>
      </c>
      <c r="O505" t="s">
        <v>7639</v>
      </c>
      <c r="P505">
        <v>1</v>
      </c>
      <c r="Q505">
        <v>0</v>
      </c>
      <c r="R505">
        <v>220.81</v>
      </c>
      <c r="U505">
        <v>26806</v>
      </c>
      <c r="W505">
        <v>0.4</v>
      </c>
      <c r="X505" t="s">
        <v>488</v>
      </c>
      <c r="Y505" t="s">
        <v>10865</v>
      </c>
      <c r="AA505" t="s">
        <v>10974</v>
      </c>
      <c r="AD505" t="s">
        <v>11096</v>
      </c>
      <c r="AF505" t="s">
        <v>11122</v>
      </c>
      <c r="AH505" t="s">
        <v>10974</v>
      </c>
      <c r="AJ505" t="s">
        <v>11141</v>
      </c>
      <c r="AK505" t="s">
        <v>7225</v>
      </c>
      <c r="AM505">
        <v>1051</v>
      </c>
      <c r="AO505">
        <v>100</v>
      </c>
      <c r="AQ505" t="s">
        <v>11157</v>
      </c>
      <c r="AR505" t="s">
        <v>11172</v>
      </c>
      <c r="AU505">
        <v>36</v>
      </c>
      <c r="AW505" t="s">
        <v>11187</v>
      </c>
      <c r="AX505" t="s">
        <v>11212</v>
      </c>
      <c r="AZ505" t="s">
        <v>11221</v>
      </c>
      <c r="BE505" t="s">
        <v>12008</v>
      </c>
      <c r="BG505" t="s">
        <v>14492</v>
      </c>
      <c r="BM505" t="s">
        <v>15650</v>
      </c>
    </row>
    <row r="506" spans="1:65">
      <c r="A506" s="1">
        <f>HYPERLINK("https://lsnyc.legalserver.org/matter/dynamic-profile/view/1892621","19-1892621")</f>
        <v>0</v>
      </c>
      <c r="B506" t="s">
        <v>98</v>
      </c>
      <c r="C506" t="s">
        <v>246</v>
      </c>
      <c r="D506" t="s">
        <v>403</v>
      </c>
      <c r="F506" t="s">
        <v>1410</v>
      </c>
      <c r="G506" t="s">
        <v>3183</v>
      </c>
      <c r="H506" t="s">
        <v>4989</v>
      </c>
      <c r="I506" t="s">
        <v>6503</v>
      </c>
      <c r="J506" t="s">
        <v>7170</v>
      </c>
      <c r="K506">
        <v>10453</v>
      </c>
      <c r="N506" t="s">
        <v>7237</v>
      </c>
      <c r="O506" t="s">
        <v>7640</v>
      </c>
      <c r="P506">
        <v>2</v>
      </c>
      <c r="Q506">
        <v>0</v>
      </c>
      <c r="R506">
        <v>223.54</v>
      </c>
      <c r="U506">
        <v>37800</v>
      </c>
      <c r="W506">
        <v>0</v>
      </c>
      <c r="Y506" t="s">
        <v>10897</v>
      </c>
      <c r="AA506" t="s">
        <v>10974</v>
      </c>
      <c r="AB506" t="s">
        <v>896</v>
      </c>
      <c r="AD506" t="s">
        <v>11098</v>
      </c>
      <c r="AF506" t="s">
        <v>11122</v>
      </c>
      <c r="AH506" t="s">
        <v>10974</v>
      </c>
      <c r="AJ506" t="s">
        <v>11141</v>
      </c>
      <c r="AK506" t="s">
        <v>7225</v>
      </c>
      <c r="AM506">
        <v>1317</v>
      </c>
      <c r="AO506">
        <v>170</v>
      </c>
      <c r="AQ506" t="s">
        <v>11157</v>
      </c>
      <c r="AS506" t="s">
        <v>11173</v>
      </c>
      <c r="AU506">
        <v>3</v>
      </c>
      <c r="AW506" t="s">
        <v>11189</v>
      </c>
      <c r="BA506" t="s">
        <v>11222</v>
      </c>
      <c r="BD506" t="s">
        <v>11667</v>
      </c>
      <c r="BF506" t="s">
        <v>14364</v>
      </c>
      <c r="BM506" t="s">
        <v>15650</v>
      </c>
    </row>
    <row r="507" spans="1:65">
      <c r="A507" s="1">
        <f>HYPERLINK("https://lsnyc.legalserver.org/matter/dynamic-profile/view/1905221","19-1905221")</f>
        <v>0</v>
      </c>
      <c r="B507" t="s">
        <v>98</v>
      </c>
      <c r="C507" t="s">
        <v>246</v>
      </c>
      <c r="D507" t="s">
        <v>470</v>
      </c>
      <c r="F507" t="s">
        <v>1410</v>
      </c>
      <c r="G507" t="s">
        <v>3183</v>
      </c>
      <c r="H507" t="s">
        <v>4989</v>
      </c>
      <c r="I507" t="s">
        <v>6503</v>
      </c>
      <c r="J507" t="s">
        <v>7170</v>
      </c>
      <c r="K507">
        <v>10453</v>
      </c>
      <c r="N507" t="s">
        <v>7237</v>
      </c>
      <c r="O507" t="s">
        <v>7640</v>
      </c>
      <c r="P507">
        <v>2</v>
      </c>
      <c r="Q507">
        <v>0</v>
      </c>
      <c r="R507">
        <v>223.54</v>
      </c>
      <c r="U507">
        <v>37800</v>
      </c>
      <c r="W507">
        <v>0</v>
      </c>
      <c r="Y507" t="s">
        <v>216</v>
      </c>
      <c r="AA507" t="s">
        <v>10974</v>
      </c>
      <c r="AB507" t="s">
        <v>287</v>
      </c>
      <c r="AD507" t="s">
        <v>11098</v>
      </c>
      <c r="AF507" t="s">
        <v>11122</v>
      </c>
      <c r="AH507" t="s">
        <v>10974</v>
      </c>
      <c r="AJ507" t="s">
        <v>11141</v>
      </c>
      <c r="AK507" t="s">
        <v>7225</v>
      </c>
      <c r="AM507">
        <v>1317</v>
      </c>
      <c r="AO507">
        <v>170</v>
      </c>
      <c r="AP507" t="s">
        <v>11155</v>
      </c>
      <c r="AS507" t="s">
        <v>11173</v>
      </c>
      <c r="AU507">
        <v>3</v>
      </c>
      <c r="AW507" t="s">
        <v>11189</v>
      </c>
      <c r="BA507" t="s">
        <v>11222</v>
      </c>
      <c r="BD507" t="s">
        <v>11667</v>
      </c>
      <c r="BG507" t="s">
        <v>14484</v>
      </c>
      <c r="BM507" t="s">
        <v>15650</v>
      </c>
    </row>
    <row r="508" spans="1:65">
      <c r="A508" s="1">
        <f>HYPERLINK("https://lsnyc.legalserver.org/matter/dynamic-profile/view/0809055","16-0809055")</f>
        <v>0</v>
      </c>
      <c r="B508" t="s">
        <v>98</v>
      </c>
      <c r="C508" t="s">
        <v>246</v>
      </c>
      <c r="D508" t="s">
        <v>510</v>
      </c>
      <c r="F508" t="s">
        <v>1405</v>
      </c>
      <c r="G508" t="s">
        <v>3177</v>
      </c>
      <c r="H508" t="s">
        <v>4990</v>
      </c>
      <c r="I508" t="s">
        <v>6416</v>
      </c>
      <c r="J508" t="s">
        <v>7170</v>
      </c>
      <c r="K508">
        <v>10457</v>
      </c>
      <c r="N508" t="s">
        <v>7237</v>
      </c>
      <c r="O508" t="s">
        <v>7621</v>
      </c>
      <c r="P508">
        <v>2</v>
      </c>
      <c r="Q508">
        <v>0</v>
      </c>
      <c r="R508">
        <v>0</v>
      </c>
      <c r="U508">
        <v>0</v>
      </c>
      <c r="W508">
        <v>0</v>
      </c>
      <c r="Y508" t="s">
        <v>138</v>
      </c>
      <c r="AA508" t="s">
        <v>10974</v>
      </c>
      <c r="AB508" t="s">
        <v>10996</v>
      </c>
      <c r="AD508" t="s">
        <v>11085</v>
      </c>
      <c r="AF508" t="s">
        <v>11118</v>
      </c>
      <c r="AH508" t="s">
        <v>10974</v>
      </c>
      <c r="AJ508" t="s">
        <v>11141</v>
      </c>
      <c r="AK508" t="s">
        <v>7225</v>
      </c>
      <c r="AM508">
        <v>803</v>
      </c>
      <c r="AN508" t="s">
        <v>11151</v>
      </c>
      <c r="AO508" t="s">
        <v>11153</v>
      </c>
      <c r="AQ508" t="s">
        <v>11157</v>
      </c>
      <c r="AS508" t="s">
        <v>11173</v>
      </c>
      <c r="AU508">
        <v>21</v>
      </c>
      <c r="AW508" t="s">
        <v>11189</v>
      </c>
      <c r="AZ508" t="s">
        <v>11221</v>
      </c>
      <c r="BD508" t="s">
        <v>11667</v>
      </c>
      <c r="BF508" t="s">
        <v>14364</v>
      </c>
      <c r="BG508" t="s">
        <v>14485</v>
      </c>
      <c r="BM508" t="s">
        <v>15650</v>
      </c>
    </row>
    <row r="509" spans="1:65">
      <c r="A509" s="1">
        <f>HYPERLINK("https://lsnyc.legalserver.org/matter/dynamic-profile/view/1854133","17-1854133")</f>
        <v>0</v>
      </c>
      <c r="B509" t="s">
        <v>98</v>
      </c>
      <c r="C509" t="s">
        <v>246</v>
      </c>
      <c r="D509" t="s">
        <v>397</v>
      </c>
      <c r="F509" t="s">
        <v>1406</v>
      </c>
      <c r="G509" t="s">
        <v>3179</v>
      </c>
      <c r="H509" t="s">
        <v>4988</v>
      </c>
      <c r="I509" t="s">
        <v>6422</v>
      </c>
      <c r="J509" t="s">
        <v>7170</v>
      </c>
      <c r="K509">
        <v>10456</v>
      </c>
      <c r="N509" t="s">
        <v>7237</v>
      </c>
      <c r="O509" t="s">
        <v>7635</v>
      </c>
      <c r="P509">
        <v>2</v>
      </c>
      <c r="Q509">
        <v>0</v>
      </c>
      <c r="R509">
        <v>392.86</v>
      </c>
      <c r="S509" t="s">
        <v>10261</v>
      </c>
      <c r="U509">
        <v>63800</v>
      </c>
      <c r="W509">
        <v>3</v>
      </c>
      <c r="X509" t="s">
        <v>292</v>
      </c>
      <c r="Y509" t="s">
        <v>10899</v>
      </c>
      <c r="AA509" t="s">
        <v>10974</v>
      </c>
      <c r="AB509" t="s">
        <v>10992</v>
      </c>
      <c r="AD509" t="s">
        <v>11096</v>
      </c>
      <c r="AF509" t="s">
        <v>11122</v>
      </c>
      <c r="AH509" t="s">
        <v>10974</v>
      </c>
      <c r="AJ509" t="s">
        <v>11141</v>
      </c>
      <c r="AK509" t="s">
        <v>7225</v>
      </c>
      <c r="AM509">
        <v>1200</v>
      </c>
      <c r="AO509">
        <v>61</v>
      </c>
      <c r="AQ509" t="s">
        <v>11157</v>
      </c>
      <c r="AS509" t="s">
        <v>11173</v>
      </c>
      <c r="AU509">
        <v>25</v>
      </c>
      <c r="AW509" t="s">
        <v>11187</v>
      </c>
      <c r="AZ509" t="s">
        <v>11221</v>
      </c>
      <c r="BE509" t="s">
        <v>12005</v>
      </c>
      <c r="BG509" t="s">
        <v>14490</v>
      </c>
      <c r="BM509" t="s">
        <v>15650</v>
      </c>
    </row>
    <row r="510" spans="1:65">
      <c r="A510" s="1">
        <f>HYPERLINK("https://lsnyc.legalserver.org/matter/dynamic-profile/view/1838190","17-1838190")</f>
        <v>0</v>
      </c>
      <c r="B510" t="s">
        <v>98</v>
      </c>
      <c r="C510" t="s">
        <v>246</v>
      </c>
      <c r="D510" t="s">
        <v>477</v>
      </c>
      <c r="F510" t="s">
        <v>1411</v>
      </c>
      <c r="G510" t="s">
        <v>3184</v>
      </c>
      <c r="H510" t="s">
        <v>5003</v>
      </c>
      <c r="I510" t="s">
        <v>6588</v>
      </c>
      <c r="J510" t="s">
        <v>7170</v>
      </c>
      <c r="K510">
        <v>10473</v>
      </c>
      <c r="N510" t="s">
        <v>7237</v>
      </c>
      <c r="O510" t="s">
        <v>7641</v>
      </c>
      <c r="P510">
        <v>2</v>
      </c>
      <c r="Q510">
        <v>1</v>
      </c>
      <c r="R510">
        <v>440.74</v>
      </c>
      <c r="S510" t="s">
        <v>10258</v>
      </c>
      <c r="U510">
        <v>90000</v>
      </c>
      <c r="W510">
        <v>0</v>
      </c>
      <c r="Y510" t="s">
        <v>10899</v>
      </c>
      <c r="AA510" t="s">
        <v>10974</v>
      </c>
      <c r="AB510" t="s">
        <v>10992</v>
      </c>
      <c r="AD510" t="s">
        <v>11096</v>
      </c>
      <c r="AF510" t="s">
        <v>11122</v>
      </c>
      <c r="AH510" t="s">
        <v>10974</v>
      </c>
      <c r="AJ510" t="s">
        <v>11139</v>
      </c>
      <c r="AK510" t="s">
        <v>7225</v>
      </c>
      <c r="AM510">
        <v>1230</v>
      </c>
      <c r="AO510">
        <v>976</v>
      </c>
      <c r="AQ510" t="s">
        <v>11157</v>
      </c>
      <c r="AS510" t="s">
        <v>11173</v>
      </c>
      <c r="AU510">
        <v>12</v>
      </c>
      <c r="AW510" t="s">
        <v>11187</v>
      </c>
      <c r="AZ510" t="s">
        <v>11221</v>
      </c>
      <c r="BE510" t="s">
        <v>12009</v>
      </c>
      <c r="BG510" t="s">
        <v>14488</v>
      </c>
      <c r="BM510" t="s">
        <v>15650</v>
      </c>
    </row>
    <row r="511" spans="1:65">
      <c r="A511" s="1">
        <f>HYPERLINK("https://lsnyc.legalserver.org/matter/dynamic-profile/view/1905147","19-1905147")</f>
        <v>0</v>
      </c>
      <c r="B511" t="s">
        <v>98</v>
      </c>
      <c r="C511" t="s">
        <v>246</v>
      </c>
      <c r="D511" t="s">
        <v>332</v>
      </c>
      <c r="F511" t="s">
        <v>1190</v>
      </c>
      <c r="G511" t="s">
        <v>3185</v>
      </c>
      <c r="H511" t="s">
        <v>5000</v>
      </c>
      <c r="I511" t="s">
        <v>6589</v>
      </c>
      <c r="J511" t="s">
        <v>7170</v>
      </c>
      <c r="K511">
        <v>10455</v>
      </c>
      <c r="N511" t="s">
        <v>7237</v>
      </c>
      <c r="O511" t="s">
        <v>7642</v>
      </c>
      <c r="P511">
        <v>2</v>
      </c>
      <c r="Q511">
        <v>0</v>
      </c>
      <c r="R511">
        <v>0</v>
      </c>
      <c r="U511">
        <v>0</v>
      </c>
      <c r="W511">
        <v>0</v>
      </c>
      <c r="Y511" t="s">
        <v>93</v>
      </c>
      <c r="AA511" t="s">
        <v>10974</v>
      </c>
      <c r="AD511" t="s">
        <v>11098</v>
      </c>
      <c r="AF511" t="s">
        <v>11122</v>
      </c>
      <c r="AH511" t="s">
        <v>10974</v>
      </c>
      <c r="AJ511" t="s">
        <v>11129</v>
      </c>
      <c r="AK511" t="s">
        <v>7225</v>
      </c>
      <c r="AM511">
        <v>1421</v>
      </c>
      <c r="AO511">
        <v>49</v>
      </c>
      <c r="AQ511" t="s">
        <v>11157</v>
      </c>
      <c r="AS511" t="s">
        <v>11173</v>
      </c>
      <c r="AU511">
        <v>5</v>
      </c>
      <c r="AW511" t="s">
        <v>11189</v>
      </c>
      <c r="AX511" t="s">
        <v>11212</v>
      </c>
      <c r="BA511" t="s">
        <v>11222</v>
      </c>
      <c r="BE511" t="s">
        <v>12010</v>
      </c>
      <c r="BF511" t="s">
        <v>14364</v>
      </c>
      <c r="BM511" t="s">
        <v>15650</v>
      </c>
    </row>
    <row r="512" spans="1:65">
      <c r="A512" s="1">
        <f>HYPERLINK("https://lsnyc.legalserver.org/matter/dynamic-profile/view/1891305","19-1891305")</f>
        <v>0</v>
      </c>
      <c r="B512" t="s">
        <v>98</v>
      </c>
      <c r="C512" t="s">
        <v>246</v>
      </c>
      <c r="D512" t="s">
        <v>480</v>
      </c>
      <c r="F512" t="s">
        <v>1412</v>
      </c>
      <c r="G512" t="s">
        <v>3186</v>
      </c>
      <c r="H512" t="s">
        <v>4989</v>
      </c>
      <c r="I512" t="s">
        <v>6412</v>
      </c>
      <c r="J512" t="s">
        <v>7170</v>
      </c>
      <c r="K512">
        <v>10453</v>
      </c>
      <c r="N512" t="s">
        <v>7237</v>
      </c>
      <c r="O512" t="s">
        <v>7643</v>
      </c>
      <c r="P512">
        <v>1</v>
      </c>
      <c r="Q512">
        <v>0</v>
      </c>
      <c r="R512">
        <v>71.09999999999999</v>
      </c>
      <c r="U512">
        <v>8880</v>
      </c>
      <c r="W512">
        <v>0</v>
      </c>
      <c r="Y512" t="s">
        <v>216</v>
      </c>
      <c r="AA512" t="s">
        <v>10974</v>
      </c>
      <c r="AB512" t="s">
        <v>370</v>
      </c>
      <c r="AD512" t="s">
        <v>11098</v>
      </c>
      <c r="AF512" t="s">
        <v>11122</v>
      </c>
      <c r="AH512" t="s">
        <v>10974</v>
      </c>
      <c r="AJ512" t="s">
        <v>11141</v>
      </c>
      <c r="AK512" t="s">
        <v>7225</v>
      </c>
      <c r="AM512">
        <v>868</v>
      </c>
      <c r="AO512">
        <v>170</v>
      </c>
      <c r="AQ512" t="s">
        <v>11157</v>
      </c>
      <c r="AS512" t="s">
        <v>11181</v>
      </c>
      <c r="AU512">
        <v>8</v>
      </c>
      <c r="AW512" t="s">
        <v>11189</v>
      </c>
      <c r="AZ512" t="s">
        <v>11221</v>
      </c>
      <c r="BE512" t="s">
        <v>12011</v>
      </c>
      <c r="BF512" t="s">
        <v>14364</v>
      </c>
      <c r="BM512" t="s">
        <v>15650</v>
      </c>
    </row>
    <row r="513" spans="1:65">
      <c r="A513" s="1">
        <f>HYPERLINK("https://lsnyc.legalserver.org/matter/dynamic-profile/view/1891302","19-1891302")</f>
        <v>0</v>
      </c>
      <c r="B513" t="s">
        <v>98</v>
      </c>
      <c r="C513" t="s">
        <v>246</v>
      </c>
      <c r="D513" t="s">
        <v>480</v>
      </c>
      <c r="F513" t="s">
        <v>1412</v>
      </c>
      <c r="G513" t="s">
        <v>3186</v>
      </c>
      <c r="H513" t="s">
        <v>4989</v>
      </c>
      <c r="I513" t="s">
        <v>6412</v>
      </c>
      <c r="J513" t="s">
        <v>7170</v>
      </c>
      <c r="K513">
        <v>10453</v>
      </c>
      <c r="N513" t="s">
        <v>7237</v>
      </c>
      <c r="O513" t="s">
        <v>7643</v>
      </c>
      <c r="P513">
        <v>1</v>
      </c>
      <c r="Q513">
        <v>0</v>
      </c>
      <c r="R513">
        <v>71.09999999999999</v>
      </c>
      <c r="U513">
        <v>8880</v>
      </c>
      <c r="W513">
        <v>0</v>
      </c>
      <c r="Y513" t="s">
        <v>216</v>
      </c>
      <c r="AA513" t="s">
        <v>10974</v>
      </c>
      <c r="AB513" t="s">
        <v>370</v>
      </c>
      <c r="AD513" t="s">
        <v>11101</v>
      </c>
      <c r="AF513" t="s">
        <v>11118</v>
      </c>
      <c r="AH513" t="s">
        <v>10974</v>
      </c>
      <c r="AJ513" t="s">
        <v>11141</v>
      </c>
      <c r="AK513" t="s">
        <v>7225</v>
      </c>
      <c r="AM513">
        <v>868</v>
      </c>
      <c r="AO513">
        <v>170</v>
      </c>
      <c r="AQ513" t="s">
        <v>11157</v>
      </c>
      <c r="AS513" t="s">
        <v>11181</v>
      </c>
      <c r="AU513">
        <v>8</v>
      </c>
      <c r="AW513" t="s">
        <v>11189</v>
      </c>
      <c r="AZ513" t="s">
        <v>11221</v>
      </c>
      <c r="BE513" t="s">
        <v>12011</v>
      </c>
      <c r="BG513" t="s">
        <v>14486</v>
      </c>
      <c r="BM513" t="s">
        <v>15650</v>
      </c>
    </row>
    <row r="514" spans="1:65">
      <c r="A514" s="1">
        <f>HYPERLINK("https://lsnyc.legalserver.org/matter/dynamic-profile/view/1890790","19-1890790")</f>
        <v>0</v>
      </c>
      <c r="B514" t="s">
        <v>98</v>
      </c>
      <c r="C514" t="s">
        <v>246</v>
      </c>
      <c r="D514" t="s">
        <v>367</v>
      </c>
      <c r="F514" t="s">
        <v>1413</v>
      </c>
      <c r="G514" t="s">
        <v>3187</v>
      </c>
      <c r="H514" t="s">
        <v>4989</v>
      </c>
      <c r="I514" t="s">
        <v>6444</v>
      </c>
      <c r="J514" t="s">
        <v>7170</v>
      </c>
      <c r="K514">
        <v>10453</v>
      </c>
      <c r="N514" t="s">
        <v>7237</v>
      </c>
      <c r="O514" t="s">
        <v>7644</v>
      </c>
      <c r="P514">
        <v>1</v>
      </c>
      <c r="Q514">
        <v>0</v>
      </c>
      <c r="R514">
        <v>201.76</v>
      </c>
      <c r="U514">
        <v>25200</v>
      </c>
      <c r="W514">
        <v>0</v>
      </c>
      <c r="Y514" t="s">
        <v>10897</v>
      </c>
      <c r="AA514" t="s">
        <v>10974</v>
      </c>
      <c r="AB514" t="s">
        <v>370</v>
      </c>
      <c r="AD514" t="s">
        <v>11098</v>
      </c>
      <c r="AF514" t="s">
        <v>11122</v>
      </c>
      <c r="AH514" t="s">
        <v>10974</v>
      </c>
      <c r="AJ514" t="s">
        <v>11141</v>
      </c>
      <c r="AK514" t="s">
        <v>7225</v>
      </c>
      <c r="AM514">
        <v>864</v>
      </c>
      <c r="AO514">
        <v>170</v>
      </c>
      <c r="AQ514" t="s">
        <v>11157</v>
      </c>
      <c r="AS514" t="s">
        <v>11175</v>
      </c>
      <c r="AU514">
        <v>22</v>
      </c>
      <c r="AW514" t="s">
        <v>11187</v>
      </c>
      <c r="AZ514" t="s">
        <v>11221</v>
      </c>
      <c r="BE514" t="s">
        <v>12012</v>
      </c>
      <c r="BF514" t="s">
        <v>14364</v>
      </c>
      <c r="BM514" t="s">
        <v>15650</v>
      </c>
    </row>
    <row r="515" spans="1:65">
      <c r="A515" s="1">
        <f>HYPERLINK("https://lsnyc.legalserver.org/matter/dynamic-profile/view/1890778","19-1890778")</f>
        <v>0</v>
      </c>
      <c r="B515" t="s">
        <v>98</v>
      </c>
      <c r="C515" t="s">
        <v>246</v>
      </c>
      <c r="D515" t="s">
        <v>367</v>
      </c>
      <c r="F515" t="s">
        <v>1413</v>
      </c>
      <c r="G515" t="s">
        <v>3187</v>
      </c>
      <c r="H515" t="s">
        <v>4989</v>
      </c>
      <c r="I515" t="s">
        <v>6444</v>
      </c>
      <c r="J515" t="s">
        <v>7170</v>
      </c>
      <c r="K515">
        <v>10453</v>
      </c>
      <c r="N515" t="s">
        <v>7237</v>
      </c>
      <c r="O515" t="s">
        <v>7644</v>
      </c>
      <c r="P515">
        <v>1</v>
      </c>
      <c r="Q515">
        <v>0</v>
      </c>
      <c r="R515">
        <v>201.76</v>
      </c>
      <c r="U515">
        <v>25200</v>
      </c>
      <c r="W515">
        <v>0</v>
      </c>
      <c r="Y515" t="s">
        <v>10897</v>
      </c>
      <c r="AA515" t="s">
        <v>10974</v>
      </c>
      <c r="AB515" t="s">
        <v>370</v>
      </c>
      <c r="AD515" t="s">
        <v>11101</v>
      </c>
      <c r="AF515" t="s">
        <v>11118</v>
      </c>
      <c r="AH515" t="s">
        <v>10974</v>
      </c>
      <c r="AJ515" t="s">
        <v>11141</v>
      </c>
      <c r="AK515" t="s">
        <v>7225</v>
      </c>
      <c r="AM515">
        <v>864</v>
      </c>
      <c r="AO515">
        <v>170</v>
      </c>
      <c r="AQ515" t="s">
        <v>11157</v>
      </c>
      <c r="AS515" t="s">
        <v>11175</v>
      </c>
      <c r="AU515">
        <v>22</v>
      </c>
      <c r="AW515" t="s">
        <v>11187</v>
      </c>
      <c r="AZ515" t="s">
        <v>11221</v>
      </c>
      <c r="BE515" t="s">
        <v>12012</v>
      </c>
      <c r="BG515" t="s">
        <v>14486</v>
      </c>
      <c r="BM515" t="s">
        <v>15650</v>
      </c>
    </row>
    <row r="516" spans="1:65">
      <c r="A516" s="1">
        <f>HYPERLINK("https://lsnyc.legalserver.org/matter/dynamic-profile/view/1875757","18-1875757")</f>
        <v>0</v>
      </c>
      <c r="B516" t="s">
        <v>98</v>
      </c>
      <c r="C516" t="s">
        <v>246</v>
      </c>
      <c r="D516" t="s">
        <v>487</v>
      </c>
      <c r="F516" t="s">
        <v>1414</v>
      </c>
      <c r="G516" t="s">
        <v>3188</v>
      </c>
      <c r="H516" t="s">
        <v>4988</v>
      </c>
      <c r="I516" t="s">
        <v>6495</v>
      </c>
      <c r="J516" t="s">
        <v>7170</v>
      </c>
      <c r="K516">
        <v>10456</v>
      </c>
      <c r="N516" t="s">
        <v>7237</v>
      </c>
      <c r="O516" t="s">
        <v>7645</v>
      </c>
      <c r="P516">
        <v>2</v>
      </c>
      <c r="Q516">
        <v>0</v>
      </c>
      <c r="R516">
        <v>382.75</v>
      </c>
      <c r="U516">
        <v>63000</v>
      </c>
      <c r="W516">
        <v>0</v>
      </c>
      <c r="Y516" t="s">
        <v>216</v>
      </c>
      <c r="AA516" t="s">
        <v>10974</v>
      </c>
      <c r="AB516" t="s">
        <v>730</v>
      </c>
      <c r="AD516" t="s">
        <v>11098</v>
      </c>
      <c r="AF516" t="s">
        <v>11122</v>
      </c>
      <c r="AH516" t="s">
        <v>10974</v>
      </c>
      <c r="AJ516" t="s">
        <v>11141</v>
      </c>
      <c r="AK516" t="s">
        <v>7225</v>
      </c>
      <c r="AM516">
        <v>1098</v>
      </c>
      <c r="AO516">
        <v>61</v>
      </c>
      <c r="AQ516" t="s">
        <v>11157</v>
      </c>
      <c r="AS516" t="s">
        <v>11173</v>
      </c>
      <c r="AU516">
        <v>1</v>
      </c>
      <c r="AW516" t="s">
        <v>11189</v>
      </c>
      <c r="AZ516" t="s">
        <v>11221</v>
      </c>
      <c r="BE516" t="s">
        <v>12013</v>
      </c>
      <c r="BG516" t="s">
        <v>14496</v>
      </c>
      <c r="BM516" t="s">
        <v>15650</v>
      </c>
    </row>
    <row r="517" spans="1:65">
      <c r="A517" s="1">
        <f>HYPERLINK("https://lsnyc.legalserver.org/matter/dynamic-profile/view/1838769","17-1838769")</f>
        <v>0</v>
      </c>
      <c r="B517" t="s">
        <v>98</v>
      </c>
      <c r="C517" t="s">
        <v>246</v>
      </c>
      <c r="D517" t="s">
        <v>490</v>
      </c>
      <c r="F517" t="s">
        <v>1415</v>
      </c>
      <c r="G517" t="s">
        <v>3189</v>
      </c>
      <c r="H517" t="s">
        <v>4998</v>
      </c>
      <c r="I517" t="s">
        <v>6420</v>
      </c>
      <c r="J517" t="s">
        <v>7170</v>
      </c>
      <c r="K517">
        <v>10473</v>
      </c>
      <c r="N517" t="s">
        <v>7237</v>
      </c>
      <c r="O517" t="s">
        <v>7646</v>
      </c>
      <c r="P517">
        <v>1</v>
      </c>
      <c r="Q517">
        <v>0</v>
      </c>
      <c r="R517">
        <v>202.21</v>
      </c>
      <c r="S517" t="s">
        <v>10258</v>
      </c>
      <c r="U517">
        <v>24386.8</v>
      </c>
      <c r="W517">
        <v>0</v>
      </c>
      <c r="Y517" t="s">
        <v>10899</v>
      </c>
      <c r="AA517" t="s">
        <v>10974</v>
      </c>
      <c r="AB517" t="s">
        <v>10992</v>
      </c>
      <c r="AD517" t="s">
        <v>11096</v>
      </c>
      <c r="AF517" t="s">
        <v>11122</v>
      </c>
      <c r="AH517" t="s">
        <v>10974</v>
      </c>
      <c r="AJ517" t="s">
        <v>11139</v>
      </c>
      <c r="AK517" t="s">
        <v>7225</v>
      </c>
      <c r="AM517">
        <v>700.9</v>
      </c>
      <c r="AO517">
        <v>976</v>
      </c>
      <c r="AQ517" t="s">
        <v>11157</v>
      </c>
      <c r="AS517" t="s">
        <v>11104</v>
      </c>
      <c r="AU517">
        <v>36</v>
      </c>
      <c r="AW517" t="s">
        <v>11187</v>
      </c>
      <c r="AZ517" t="s">
        <v>11221</v>
      </c>
      <c r="BE517" t="s">
        <v>12014</v>
      </c>
      <c r="BG517" t="s">
        <v>14495</v>
      </c>
      <c r="BM517" t="s">
        <v>15650</v>
      </c>
    </row>
    <row r="518" spans="1:65">
      <c r="A518" s="1">
        <f>HYPERLINK("https://lsnyc.legalserver.org/matter/dynamic-profile/view/1890043","19-1890043")</f>
        <v>0</v>
      </c>
      <c r="B518" t="s">
        <v>98</v>
      </c>
      <c r="C518" t="s">
        <v>246</v>
      </c>
      <c r="D518" t="s">
        <v>480</v>
      </c>
      <c r="F518" t="s">
        <v>1155</v>
      </c>
      <c r="G518" t="s">
        <v>3190</v>
      </c>
      <c r="H518" t="s">
        <v>4989</v>
      </c>
      <c r="I518" t="s">
        <v>6590</v>
      </c>
      <c r="J518" t="s">
        <v>7170</v>
      </c>
      <c r="K518">
        <v>10453</v>
      </c>
      <c r="N518" t="s">
        <v>7237</v>
      </c>
      <c r="O518" t="s">
        <v>7647</v>
      </c>
      <c r="P518">
        <v>2</v>
      </c>
      <c r="Q518">
        <v>2</v>
      </c>
      <c r="R518">
        <v>97.09</v>
      </c>
      <c r="U518">
        <v>25000</v>
      </c>
      <c r="W518">
        <v>0</v>
      </c>
      <c r="Y518" t="s">
        <v>10903</v>
      </c>
      <c r="AA518" t="s">
        <v>10974</v>
      </c>
      <c r="AB518" t="s">
        <v>370</v>
      </c>
      <c r="AD518" t="s">
        <v>11101</v>
      </c>
      <c r="AF518" t="s">
        <v>11118</v>
      </c>
      <c r="AH518" t="s">
        <v>10974</v>
      </c>
      <c r="AJ518" t="s">
        <v>11141</v>
      </c>
      <c r="AK518" t="s">
        <v>7225</v>
      </c>
      <c r="AM518">
        <v>1319</v>
      </c>
      <c r="AO518">
        <v>170</v>
      </c>
      <c r="AQ518" t="s">
        <v>11157</v>
      </c>
      <c r="AR518" t="s">
        <v>11172</v>
      </c>
      <c r="AU518">
        <v>12</v>
      </c>
      <c r="AW518" t="s">
        <v>11189</v>
      </c>
      <c r="AZ518" t="s">
        <v>11221</v>
      </c>
      <c r="BD518" t="s">
        <v>11667</v>
      </c>
      <c r="BG518" t="s">
        <v>14486</v>
      </c>
      <c r="BM518" t="s">
        <v>15650</v>
      </c>
    </row>
    <row r="519" spans="1:65">
      <c r="A519" s="1">
        <f>HYPERLINK("https://lsnyc.legalserver.org/matter/dynamic-profile/view/1905663","19-1905663")</f>
        <v>0</v>
      </c>
      <c r="B519" t="s">
        <v>98</v>
      </c>
      <c r="C519" t="s">
        <v>246</v>
      </c>
      <c r="D519" t="s">
        <v>511</v>
      </c>
      <c r="F519" t="s">
        <v>1155</v>
      </c>
      <c r="G519" t="s">
        <v>3190</v>
      </c>
      <c r="H519" t="s">
        <v>4989</v>
      </c>
      <c r="I519" t="s">
        <v>6590</v>
      </c>
      <c r="J519" t="s">
        <v>7170</v>
      </c>
      <c r="K519">
        <v>10453</v>
      </c>
      <c r="N519" t="s">
        <v>7237</v>
      </c>
      <c r="O519" t="s">
        <v>7647</v>
      </c>
      <c r="P519">
        <v>2</v>
      </c>
      <c r="Q519">
        <v>2</v>
      </c>
      <c r="R519">
        <v>97.09</v>
      </c>
      <c r="U519">
        <v>25000</v>
      </c>
      <c r="W519">
        <v>0</v>
      </c>
      <c r="Y519" t="s">
        <v>216</v>
      </c>
      <c r="AA519" t="s">
        <v>10974</v>
      </c>
      <c r="AB519" t="s">
        <v>1028</v>
      </c>
      <c r="AD519" t="s">
        <v>11098</v>
      </c>
      <c r="AF519" t="s">
        <v>11122</v>
      </c>
      <c r="AH519" t="s">
        <v>10974</v>
      </c>
      <c r="AJ519" t="s">
        <v>11141</v>
      </c>
      <c r="AK519" t="s">
        <v>7225</v>
      </c>
      <c r="AM519">
        <v>1319</v>
      </c>
      <c r="AO519">
        <v>170</v>
      </c>
      <c r="AP519" t="s">
        <v>11155</v>
      </c>
      <c r="AS519" t="s">
        <v>11173</v>
      </c>
      <c r="AU519">
        <v>12</v>
      </c>
      <c r="AW519" t="s">
        <v>11189</v>
      </c>
      <c r="BA519" t="s">
        <v>11222</v>
      </c>
      <c r="BD519" t="s">
        <v>11667</v>
      </c>
      <c r="BG519" t="s">
        <v>14484</v>
      </c>
      <c r="BM519" t="s">
        <v>15650</v>
      </c>
    </row>
    <row r="520" spans="1:65">
      <c r="A520" s="1">
        <f>HYPERLINK("https://lsnyc.legalserver.org/matter/dynamic-profile/view/1890052","19-1890052")</f>
        <v>0</v>
      </c>
      <c r="B520" t="s">
        <v>98</v>
      </c>
      <c r="C520" t="s">
        <v>246</v>
      </c>
      <c r="D520" t="s">
        <v>480</v>
      </c>
      <c r="F520" t="s">
        <v>1155</v>
      </c>
      <c r="G520" t="s">
        <v>3190</v>
      </c>
      <c r="H520" t="s">
        <v>4989</v>
      </c>
      <c r="I520" t="s">
        <v>6590</v>
      </c>
      <c r="J520" t="s">
        <v>7170</v>
      </c>
      <c r="K520">
        <v>10453</v>
      </c>
      <c r="N520" t="s">
        <v>7237</v>
      </c>
      <c r="O520" t="s">
        <v>7647</v>
      </c>
      <c r="P520">
        <v>2</v>
      </c>
      <c r="Q520">
        <v>2</v>
      </c>
      <c r="R520">
        <v>97.09</v>
      </c>
      <c r="U520">
        <v>25000</v>
      </c>
      <c r="W520">
        <v>0</v>
      </c>
      <c r="Y520" t="s">
        <v>10903</v>
      </c>
      <c r="AA520" t="s">
        <v>10974</v>
      </c>
      <c r="AB520" t="s">
        <v>370</v>
      </c>
      <c r="AD520" t="s">
        <v>11098</v>
      </c>
      <c r="AF520" t="s">
        <v>11122</v>
      </c>
      <c r="AH520" t="s">
        <v>10974</v>
      </c>
      <c r="AJ520" t="s">
        <v>11141</v>
      </c>
      <c r="AK520" t="s">
        <v>7225</v>
      </c>
      <c r="AM520">
        <v>1319</v>
      </c>
      <c r="AO520">
        <v>170</v>
      </c>
      <c r="AQ520" t="s">
        <v>11157</v>
      </c>
      <c r="AR520" t="s">
        <v>11172</v>
      </c>
      <c r="AU520">
        <v>12</v>
      </c>
      <c r="AW520" t="s">
        <v>11189</v>
      </c>
      <c r="AZ520" t="s">
        <v>11221</v>
      </c>
      <c r="BD520" t="s">
        <v>11667</v>
      </c>
      <c r="BF520" t="s">
        <v>14364</v>
      </c>
      <c r="BM520" t="s">
        <v>15650</v>
      </c>
    </row>
    <row r="521" spans="1:65">
      <c r="A521" s="1">
        <f>HYPERLINK("https://lsnyc.legalserver.org/matter/dynamic-profile/view/1854138","17-1854138")</f>
        <v>0</v>
      </c>
      <c r="B521" t="s">
        <v>98</v>
      </c>
      <c r="C521" t="s">
        <v>246</v>
      </c>
      <c r="D521" t="s">
        <v>397</v>
      </c>
      <c r="F521" t="s">
        <v>1372</v>
      </c>
      <c r="G521" t="s">
        <v>3148</v>
      </c>
      <c r="H521" t="s">
        <v>4988</v>
      </c>
      <c r="I521" t="s">
        <v>6477</v>
      </c>
      <c r="J521" t="s">
        <v>7170</v>
      </c>
      <c r="K521">
        <v>10456</v>
      </c>
      <c r="N521" t="s">
        <v>7237</v>
      </c>
      <c r="O521" t="s">
        <v>7591</v>
      </c>
      <c r="P521">
        <v>2</v>
      </c>
      <c r="Q521">
        <v>0</v>
      </c>
      <c r="R521">
        <v>96.13</v>
      </c>
      <c r="S521" t="s">
        <v>10261</v>
      </c>
      <c r="U521">
        <v>15612</v>
      </c>
      <c r="W521">
        <v>0.5</v>
      </c>
      <c r="X521" t="s">
        <v>991</v>
      </c>
      <c r="Y521" t="s">
        <v>10899</v>
      </c>
      <c r="AA521" t="s">
        <v>10974</v>
      </c>
      <c r="AB521" t="s">
        <v>10992</v>
      </c>
      <c r="AD521" t="s">
        <v>11096</v>
      </c>
      <c r="AF521" t="s">
        <v>11122</v>
      </c>
      <c r="AH521" t="s">
        <v>10974</v>
      </c>
      <c r="AJ521" t="s">
        <v>11141</v>
      </c>
      <c r="AK521" t="s">
        <v>7225</v>
      </c>
      <c r="AM521">
        <v>1466.39</v>
      </c>
      <c r="AO521">
        <v>61</v>
      </c>
      <c r="AQ521" t="s">
        <v>11157</v>
      </c>
      <c r="AS521" t="s">
        <v>11174</v>
      </c>
      <c r="AU521">
        <v>17</v>
      </c>
      <c r="AW521" t="s">
        <v>11189</v>
      </c>
      <c r="AZ521" t="s">
        <v>11221</v>
      </c>
      <c r="BE521" t="s">
        <v>11966</v>
      </c>
      <c r="BG521" t="s">
        <v>14490</v>
      </c>
      <c r="BM521" t="s">
        <v>15650</v>
      </c>
    </row>
    <row r="522" spans="1:65">
      <c r="A522" s="1">
        <f>HYPERLINK("https://lsnyc.legalserver.org/matter/dynamic-profile/view/1838041","17-1838041")</f>
        <v>0</v>
      </c>
      <c r="B522" t="s">
        <v>98</v>
      </c>
      <c r="C522" t="s">
        <v>246</v>
      </c>
      <c r="D522" t="s">
        <v>504</v>
      </c>
      <c r="F522" t="s">
        <v>1416</v>
      </c>
      <c r="G522" t="s">
        <v>3191</v>
      </c>
      <c r="H522" t="s">
        <v>5003</v>
      </c>
      <c r="I522" t="s">
        <v>6495</v>
      </c>
      <c r="J522" t="s">
        <v>7170</v>
      </c>
      <c r="K522">
        <v>10473</v>
      </c>
      <c r="N522" t="s">
        <v>7237</v>
      </c>
      <c r="O522" t="s">
        <v>7648</v>
      </c>
      <c r="P522">
        <v>1</v>
      </c>
      <c r="Q522">
        <v>1</v>
      </c>
      <c r="R522">
        <v>208.13</v>
      </c>
      <c r="S522" t="s">
        <v>10258</v>
      </c>
      <c r="U522">
        <v>33800</v>
      </c>
      <c r="W522">
        <v>0</v>
      </c>
      <c r="Y522" t="s">
        <v>10899</v>
      </c>
      <c r="AA522" t="s">
        <v>10974</v>
      </c>
      <c r="AB522" t="s">
        <v>10992</v>
      </c>
      <c r="AD522" t="s">
        <v>11096</v>
      </c>
      <c r="AF522" t="s">
        <v>11122</v>
      </c>
      <c r="AH522" t="s">
        <v>10974</v>
      </c>
      <c r="AJ522" t="s">
        <v>11139</v>
      </c>
      <c r="AK522" t="s">
        <v>7225</v>
      </c>
      <c r="AM522">
        <v>1340.5</v>
      </c>
      <c r="AO522">
        <v>976</v>
      </c>
      <c r="AQ522" t="s">
        <v>11157</v>
      </c>
      <c r="AS522" t="s">
        <v>11173</v>
      </c>
      <c r="AU522">
        <v>4</v>
      </c>
      <c r="AW522" t="s">
        <v>11187</v>
      </c>
      <c r="AZ522" t="s">
        <v>11221</v>
      </c>
      <c r="BD522" t="s">
        <v>11667</v>
      </c>
      <c r="BG522" t="s">
        <v>14488</v>
      </c>
      <c r="BM522" t="s">
        <v>15650</v>
      </c>
    </row>
    <row r="523" spans="1:65">
      <c r="A523" s="1">
        <f>HYPERLINK("https://lsnyc.legalserver.org/matter/dynamic-profile/view/1904342","19-1904342")</f>
        <v>0</v>
      </c>
      <c r="B523" t="s">
        <v>98</v>
      </c>
      <c r="C523" t="s">
        <v>246</v>
      </c>
      <c r="D523" t="s">
        <v>512</v>
      </c>
      <c r="F523" t="s">
        <v>1190</v>
      </c>
      <c r="G523" t="s">
        <v>3185</v>
      </c>
      <c r="H523" t="s">
        <v>5000</v>
      </c>
      <c r="I523" t="s">
        <v>6589</v>
      </c>
      <c r="J523" t="s">
        <v>7170</v>
      </c>
      <c r="K523">
        <v>10455</v>
      </c>
      <c r="N523" t="s">
        <v>7237</v>
      </c>
      <c r="O523" t="s">
        <v>7642</v>
      </c>
      <c r="P523">
        <v>2</v>
      </c>
      <c r="Q523">
        <v>0</v>
      </c>
      <c r="R523">
        <v>0</v>
      </c>
      <c r="U523">
        <v>0</v>
      </c>
      <c r="W523">
        <v>1.6</v>
      </c>
      <c r="X523" t="s">
        <v>436</v>
      </c>
      <c r="Y523" t="s">
        <v>200</v>
      </c>
      <c r="AA523" t="s">
        <v>10974</v>
      </c>
      <c r="AD523" t="s">
        <v>11098</v>
      </c>
      <c r="AF523" t="s">
        <v>11122</v>
      </c>
      <c r="AG523" t="s">
        <v>11124</v>
      </c>
      <c r="AJ523" t="s">
        <v>11140</v>
      </c>
      <c r="AK523" t="s">
        <v>7225</v>
      </c>
      <c r="AM523">
        <v>1500</v>
      </c>
      <c r="AO523">
        <v>49</v>
      </c>
      <c r="AQ523" t="s">
        <v>11157</v>
      </c>
      <c r="AS523" t="s">
        <v>11173</v>
      </c>
      <c r="AU523">
        <v>4</v>
      </c>
      <c r="AW523" t="s">
        <v>11189</v>
      </c>
      <c r="AX523" t="s">
        <v>11212</v>
      </c>
      <c r="BA523" t="s">
        <v>11222</v>
      </c>
      <c r="BE523" t="s">
        <v>12010</v>
      </c>
      <c r="BF523" t="s">
        <v>14364</v>
      </c>
      <c r="BM523" t="s">
        <v>15650</v>
      </c>
    </row>
    <row r="524" spans="1:65">
      <c r="A524" s="1">
        <f>HYPERLINK("https://lsnyc.legalserver.org/matter/dynamic-profile/view/0822086","16-0822086")</f>
        <v>0</v>
      </c>
      <c r="B524" t="s">
        <v>98</v>
      </c>
      <c r="C524" t="s">
        <v>246</v>
      </c>
      <c r="D524" t="s">
        <v>481</v>
      </c>
      <c r="F524" t="s">
        <v>1417</v>
      </c>
      <c r="G524" t="s">
        <v>3192</v>
      </c>
      <c r="H524" t="s">
        <v>4972</v>
      </c>
      <c r="I524" t="s">
        <v>6591</v>
      </c>
      <c r="J524" t="s">
        <v>7170</v>
      </c>
      <c r="K524">
        <v>10452</v>
      </c>
      <c r="N524" t="s">
        <v>7237</v>
      </c>
      <c r="O524" t="s">
        <v>7649</v>
      </c>
      <c r="P524">
        <v>2</v>
      </c>
      <c r="Q524">
        <v>0</v>
      </c>
      <c r="R524">
        <v>0</v>
      </c>
      <c r="U524">
        <v>0</v>
      </c>
      <c r="W524">
        <v>0</v>
      </c>
      <c r="Y524" t="s">
        <v>10899</v>
      </c>
      <c r="AA524" t="s">
        <v>10974</v>
      </c>
      <c r="AB524" t="s">
        <v>774</v>
      </c>
      <c r="AD524" t="s">
        <v>11096</v>
      </c>
      <c r="AF524" t="s">
        <v>11122</v>
      </c>
      <c r="AH524" t="s">
        <v>10974</v>
      </c>
      <c r="AJ524" t="s">
        <v>11141</v>
      </c>
      <c r="AK524" t="s">
        <v>7225</v>
      </c>
      <c r="AM524">
        <v>789</v>
      </c>
      <c r="AO524">
        <v>63</v>
      </c>
      <c r="AQ524" t="s">
        <v>11157</v>
      </c>
      <c r="AS524" t="s">
        <v>11175</v>
      </c>
      <c r="AU524">
        <v>42</v>
      </c>
      <c r="AW524" t="s">
        <v>11189</v>
      </c>
      <c r="AZ524" t="s">
        <v>11221</v>
      </c>
      <c r="BE524" t="s">
        <v>12015</v>
      </c>
      <c r="BF524" t="s">
        <v>14364</v>
      </c>
      <c r="BM524" t="s">
        <v>15650</v>
      </c>
    </row>
    <row r="525" spans="1:65">
      <c r="A525" s="1">
        <f>HYPERLINK("https://lsnyc.legalserver.org/matter/dynamic-profile/view/1838158","17-1838158")</f>
        <v>0</v>
      </c>
      <c r="B525" t="s">
        <v>98</v>
      </c>
      <c r="C525" t="s">
        <v>246</v>
      </c>
      <c r="D525" t="s">
        <v>504</v>
      </c>
      <c r="F525" t="s">
        <v>1418</v>
      </c>
      <c r="G525" t="s">
        <v>3193</v>
      </c>
      <c r="H525" t="s">
        <v>5003</v>
      </c>
      <c r="I525" t="s">
        <v>6592</v>
      </c>
      <c r="J525" t="s">
        <v>7170</v>
      </c>
      <c r="K525">
        <v>10473</v>
      </c>
      <c r="N525" t="s">
        <v>7237</v>
      </c>
      <c r="O525" t="s">
        <v>7650</v>
      </c>
      <c r="P525">
        <v>2</v>
      </c>
      <c r="Q525">
        <v>0</v>
      </c>
      <c r="R525">
        <v>209.36</v>
      </c>
      <c r="S525" t="s">
        <v>10258</v>
      </c>
      <c r="U525">
        <v>46000</v>
      </c>
      <c r="W525">
        <v>0</v>
      </c>
      <c r="Y525" t="s">
        <v>10899</v>
      </c>
      <c r="AA525" t="s">
        <v>10974</v>
      </c>
      <c r="AB525" t="s">
        <v>10992</v>
      </c>
      <c r="AD525" t="s">
        <v>11096</v>
      </c>
      <c r="AF525" t="s">
        <v>11122</v>
      </c>
      <c r="AH525" t="s">
        <v>10974</v>
      </c>
      <c r="AJ525" t="s">
        <v>11139</v>
      </c>
      <c r="AK525" t="s">
        <v>7225</v>
      </c>
      <c r="AM525">
        <v>905</v>
      </c>
      <c r="AO525">
        <v>976</v>
      </c>
      <c r="AQ525" t="s">
        <v>11160</v>
      </c>
      <c r="AS525" t="s">
        <v>11173</v>
      </c>
      <c r="AU525">
        <v>44</v>
      </c>
      <c r="AW525" t="s">
        <v>11187</v>
      </c>
      <c r="AZ525" t="s">
        <v>11221</v>
      </c>
      <c r="BE525" t="s">
        <v>12016</v>
      </c>
      <c r="BG525" t="s">
        <v>14488</v>
      </c>
      <c r="BM525" t="s">
        <v>15650</v>
      </c>
    </row>
    <row r="526" spans="1:65">
      <c r="A526" s="1">
        <f>HYPERLINK("https://lsnyc.legalserver.org/matter/dynamic-profile/view/0821609","16-0821609")</f>
        <v>0</v>
      </c>
      <c r="B526" t="s">
        <v>98</v>
      </c>
      <c r="C526" t="s">
        <v>246</v>
      </c>
      <c r="D526" t="s">
        <v>513</v>
      </c>
      <c r="F526" t="s">
        <v>1419</v>
      </c>
      <c r="G526" t="s">
        <v>2006</v>
      </c>
      <c r="H526" t="s">
        <v>4972</v>
      </c>
      <c r="I526" t="s">
        <v>6486</v>
      </c>
      <c r="J526" t="s">
        <v>7170</v>
      </c>
      <c r="K526">
        <v>10452</v>
      </c>
      <c r="N526" t="s">
        <v>7237</v>
      </c>
      <c r="O526" t="s">
        <v>7651</v>
      </c>
      <c r="P526">
        <v>2</v>
      </c>
      <c r="Q526">
        <v>0</v>
      </c>
      <c r="R526">
        <v>210.99</v>
      </c>
      <c r="U526">
        <v>33800</v>
      </c>
      <c r="W526">
        <v>0</v>
      </c>
      <c r="Y526" t="s">
        <v>10899</v>
      </c>
      <c r="AA526" t="s">
        <v>10974</v>
      </c>
      <c r="AB526" t="s">
        <v>513</v>
      </c>
      <c r="AD526" t="s">
        <v>11096</v>
      </c>
      <c r="AF526" t="s">
        <v>11122</v>
      </c>
      <c r="AH526" t="s">
        <v>10974</v>
      </c>
      <c r="AJ526" t="s">
        <v>11141</v>
      </c>
      <c r="AK526" t="s">
        <v>7225</v>
      </c>
      <c r="AM526">
        <v>876.15</v>
      </c>
      <c r="AO526">
        <v>63</v>
      </c>
      <c r="AQ526" t="s">
        <v>11157</v>
      </c>
      <c r="AS526" t="s">
        <v>11173</v>
      </c>
      <c r="AU526">
        <v>16</v>
      </c>
      <c r="AW526" t="s">
        <v>11187</v>
      </c>
      <c r="AZ526" t="s">
        <v>11221</v>
      </c>
      <c r="BE526" t="s">
        <v>12017</v>
      </c>
      <c r="BF526" t="s">
        <v>14364</v>
      </c>
      <c r="BM526" t="s">
        <v>15650</v>
      </c>
    </row>
    <row r="527" spans="1:65">
      <c r="A527" s="1">
        <f>HYPERLINK("https://lsnyc.legalserver.org/matter/dynamic-profile/view/0821610","16-0821610")</f>
        <v>0</v>
      </c>
      <c r="B527" t="s">
        <v>98</v>
      </c>
      <c r="C527" t="s">
        <v>246</v>
      </c>
      <c r="D527" t="s">
        <v>474</v>
      </c>
      <c r="F527" t="s">
        <v>1419</v>
      </c>
      <c r="G527" t="s">
        <v>2006</v>
      </c>
      <c r="H527" t="s">
        <v>4972</v>
      </c>
      <c r="I527" t="s">
        <v>6486</v>
      </c>
      <c r="J527" t="s">
        <v>7170</v>
      </c>
      <c r="K527">
        <v>10452</v>
      </c>
      <c r="N527" t="s">
        <v>7237</v>
      </c>
      <c r="O527" t="s">
        <v>7651</v>
      </c>
      <c r="P527">
        <v>2</v>
      </c>
      <c r="Q527">
        <v>0</v>
      </c>
      <c r="R527">
        <v>210.99</v>
      </c>
      <c r="U527">
        <v>46800</v>
      </c>
      <c r="W527">
        <v>0</v>
      </c>
      <c r="Y527" t="s">
        <v>10899</v>
      </c>
      <c r="AA527" t="s">
        <v>10974</v>
      </c>
      <c r="AB527" t="s">
        <v>474</v>
      </c>
      <c r="AD527" t="s">
        <v>11096</v>
      </c>
      <c r="AF527" t="s">
        <v>11122</v>
      </c>
      <c r="AH527" t="s">
        <v>10974</v>
      </c>
      <c r="AJ527" t="s">
        <v>11141</v>
      </c>
      <c r="AK527" t="s">
        <v>7225</v>
      </c>
      <c r="AM527">
        <v>876.15</v>
      </c>
      <c r="AO527">
        <v>63</v>
      </c>
      <c r="AQ527" t="s">
        <v>11157</v>
      </c>
      <c r="AS527" t="s">
        <v>11173</v>
      </c>
      <c r="AU527">
        <v>16</v>
      </c>
      <c r="AW527" t="s">
        <v>11187</v>
      </c>
      <c r="AZ527" t="s">
        <v>11221</v>
      </c>
      <c r="BE527" t="s">
        <v>12017</v>
      </c>
      <c r="BF527" t="s">
        <v>14364</v>
      </c>
      <c r="BM527" t="s">
        <v>15650</v>
      </c>
    </row>
    <row r="528" spans="1:65">
      <c r="A528" s="1">
        <f>HYPERLINK("https://lsnyc.legalserver.org/matter/dynamic-profile/view/1896222","19-1896222")</f>
        <v>0</v>
      </c>
      <c r="B528" t="s">
        <v>98</v>
      </c>
      <c r="C528" t="s">
        <v>246</v>
      </c>
      <c r="D528" t="s">
        <v>445</v>
      </c>
      <c r="F528" t="s">
        <v>1420</v>
      </c>
      <c r="G528" t="s">
        <v>3098</v>
      </c>
      <c r="H528" t="s">
        <v>4989</v>
      </c>
      <c r="I528" t="s">
        <v>6438</v>
      </c>
      <c r="J528" t="s">
        <v>7170</v>
      </c>
      <c r="K528">
        <v>10453</v>
      </c>
      <c r="N528" t="s">
        <v>7237</v>
      </c>
      <c r="O528" t="s">
        <v>7652</v>
      </c>
      <c r="P528">
        <v>1</v>
      </c>
      <c r="Q528">
        <v>0</v>
      </c>
      <c r="R528">
        <v>96.08</v>
      </c>
      <c r="U528">
        <v>12000</v>
      </c>
      <c r="W528">
        <v>0</v>
      </c>
      <c r="Y528" t="s">
        <v>93</v>
      </c>
      <c r="AA528" t="s">
        <v>10974</v>
      </c>
      <c r="AB528" t="s">
        <v>370</v>
      </c>
      <c r="AD528" t="s">
        <v>11101</v>
      </c>
      <c r="AF528" t="s">
        <v>11118</v>
      </c>
      <c r="AH528" t="s">
        <v>10974</v>
      </c>
      <c r="AJ528" t="s">
        <v>11134</v>
      </c>
      <c r="AK528" t="s">
        <v>7225</v>
      </c>
      <c r="AM528">
        <v>1000</v>
      </c>
      <c r="AO528">
        <v>170</v>
      </c>
      <c r="AQ528" t="s">
        <v>11157</v>
      </c>
      <c r="AS528" t="s">
        <v>11173</v>
      </c>
      <c r="AU528">
        <v>9</v>
      </c>
      <c r="AW528" t="s">
        <v>11189</v>
      </c>
      <c r="AZ528" t="s">
        <v>11221</v>
      </c>
      <c r="BE528" t="s">
        <v>12018</v>
      </c>
      <c r="BG528" t="s">
        <v>14486</v>
      </c>
      <c r="BM528" t="s">
        <v>15650</v>
      </c>
    </row>
    <row r="529" spans="1:65">
      <c r="A529" s="1">
        <f>HYPERLINK("https://lsnyc.legalserver.org/matter/dynamic-profile/view/1896228","19-1896228")</f>
        <v>0</v>
      </c>
      <c r="B529" t="s">
        <v>98</v>
      </c>
      <c r="C529" t="s">
        <v>246</v>
      </c>
      <c r="D529" t="s">
        <v>445</v>
      </c>
      <c r="F529" t="s">
        <v>1420</v>
      </c>
      <c r="G529" t="s">
        <v>3098</v>
      </c>
      <c r="H529" t="s">
        <v>4989</v>
      </c>
      <c r="I529" t="s">
        <v>6438</v>
      </c>
      <c r="J529" t="s">
        <v>7170</v>
      </c>
      <c r="K529">
        <v>10453</v>
      </c>
      <c r="N529" t="s">
        <v>7237</v>
      </c>
      <c r="O529" t="s">
        <v>7652</v>
      </c>
      <c r="P529">
        <v>1</v>
      </c>
      <c r="Q529">
        <v>0</v>
      </c>
      <c r="R529">
        <v>96.08</v>
      </c>
      <c r="U529">
        <v>12000</v>
      </c>
      <c r="W529">
        <v>0</v>
      </c>
      <c r="Y529" t="s">
        <v>93</v>
      </c>
      <c r="AA529" t="s">
        <v>10974</v>
      </c>
      <c r="AB529" t="s">
        <v>370</v>
      </c>
      <c r="AD529" t="s">
        <v>11098</v>
      </c>
      <c r="AF529" t="s">
        <v>11122</v>
      </c>
      <c r="AH529" t="s">
        <v>10974</v>
      </c>
      <c r="AJ529" t="s">
        <v>11134</v>
      </c>
      <c r="AK529" t="s">
        <v>7225</v>
      </c>
      <c r="AM529">
        <v>1000</v>
      </c>
      <c r="AO529">
        <v>170</v>
      </c>
      <c r="AQ529" t="s">
        <v>11157</v>
      </c>
      <c r="AR529" t="s">
        <v>11172</v>
      </c>
      <c r="AU529">
        <v>9</v>
      </c>
      <c r="AW529" t="s">
        <v>11189</v>
      </c>
      <c r="AZ529" t="s">
        <v>11221</v>
      </c>
      <c r="BE529" t="s">
        <v>12018</v>
      </c>
      <c r="BF529" t="s">
        <v>14364</v>
      </c>
      <c r="BM529" t="s">
        <v>15650</v>
      </c>
    </row>
    <row r="530" spans="1:65">
      <c r="A530" s="1">
        <f>HYPERLINK("https://lsnyc.legalserver.org/matter/dynamic-profile/view/0821566","16-0821566")</f>
        <v>0</v>
      </c>
      <c r="B530" t="s">
        <v>98</v>
      </c>
      <c r="C530" t="s">
        <v>246</v>
      </c>
      <c r="D530" t="s">
        <v>514</v>
      </c>
      <c r="F530" t="s">
        <v>1421</v>
      </c>
      <c r="G530" t="s">
        <v>3194</v>
      </c>
      <c r="H530" t="s">
        <v>4972</v>
      </c>
      <c r="I530" t="s">
        <v>6412</v>
      </c>
      <c r="J530" t="s">
        <v>7170</v>
      </c>
      <c r="K530">
        <v>10452</v>
      </c>
      <c r="N530" t="s">
        <v>7237</v>
      </c>
      <c r="O530" t="s">
        <v>7653</v>
      </c>
      <c r="P530">
        <v>2</v>
      </c>
      <c r="Q530">
        <v>0</v>
      </c>
      <c r="R530">
        <v>212.23</v>
      </c>
      <c r="U530">
        <v>34000</v>
      </c>
      <c r="W530">
        <v>0</v>
      </c>
      <c r="Y530" t="s">
        <v>10899</v>
      </c>
      <c r="AA530" t="s">
        <v>10974</v>
      </c>
      <c r="AB530" t="s">
        <v>514</v>
      </c>
      <c r="AD530" t="s">
        <v>11096</v>
      </c>
      <c r="AF530" t="s">
        <v>11122</v>
      </c>
      <c r="AH530" t="s">
        <v>10974</v>
      </c>
      <c r="AJ530" t="s">
        <v>11141</v>
      </c>
      <c r="AK530" t="s">
        <v>7225</v>
      </c>
      <c r="AM530">
        <v>903.17</v>
      </c>
      <c r="AO530">
        <v>63</v>
      </c>
      <c r="AQ530" t="s">
        <v>11157</v>
      </c>
      <c r="AR530" t="s">
        <v>11172</v>
      </c>
      <c r="AU530">
        <v>35</v>
      </c>
      <c r="AW530" t="s">
        <v>11187</v>
      </c>
      <c r="AZ530" t="s">
        <v>11221</v>
      </c>
      <c r="BE530" t="s">
        <v>12019</v>
      </c>
      <c r="BF530" t="s">
        <v>14364</v>
      </c>
      <c r="BM530" t="s">
        <v>15650</v>
      </c>
    </row>
    <row r="531" spans="1:65">
      <c r="A531" s="1">
        <f>HYPERLINK("https://lsnyc.legalserver.org/matter/dynamic-profile/view/0821569","16-0821569")</f>
        <v>0</v>
      </c>
      <c r="B531" t="s">
        <v>98</v>
      </c>
      <c r="C531" t="s">
        <v>246</v>
      </c>
      <c r="D531" t="s">
        <v>474</v>
      </c>
      <c r="F531" t="s">
        <v>1421</v>
      </c>
      <c r="G531" t="s">
        <v>3194</v>
      </c>
      <c r="H531" t="s">
        <v>4972</v>
      </c>
      <c r="I531" t="s">
        <v>6412</v>
      </c>
      <c r="J531" t="s">
        <v>7170</v>
      </c>
      <c r="K531">
        <v>10452</v>
      </c>
      <c r="N531" t="s">
        <v>7237</v>
      </c>
      <c r="O531" t="s">
        <v>7653</v>
      </c>
      <c r="P531">
        <v>2</v>
      </c>
      <c r="Q531">
        <v>0</v>
      </c>
      <c r="R531">
        <v>212.23</v>
      </c>
      <c r="U531">
        <v>34000</v>
      </c>
      <c r="W531">
        <v>0</v>
      </c>
      <c r="Y531" t="s">
        <v>10899</v>
      </c>
      <c r="AA531" t="s">
        <v>10974</v>
      </c>
      <c r="AB531" t="s">
        <v>474</v>
      </c>
      <c r="AD531" t="s">
        <v>11096</v>
      </c>
      <c r="AF531" t="s">
        <v>11122</v>
      </c>
      <c r="AH531" t="s">
        <v>10974</v>
      </c>
      <c r="AJ531" t="s">
        <v>11141</v>
      </c>
      <c r="AK531" t="s">
        <v>7225</v>
      </c>
      <c r="AM531">
        <v>903.17</v>
      </c>
      <c r="AO531">
        <v>63</v>
      </c>
      <c r="AQ531" t="s">
        <v>11157</v>
      </c>
      <c r="AR531" t="s">
        <v>11172</v>
      </c>
      <c r="AU531">
        <v>35</v>
      </c>
      <c r="AW531" t="s">
        <v>11187</v>
      </c>
      <c r="AZ531" t="s">
        <v>11221</v>
      </c>
      <c r="BE531" t="s">
        <v>12019</v>
      </c>
      <c r="BF531" t="s">
        <v>14364</v>
      </c>
      <c r="BM531" t="s">
        <v>15650</v>
      </c>
    </row>
    <row r="532" spans="1:65">
      <c r="A532" s="1">
        <f>HYPERLINK("https://lsnyc.legalserver.org/matter/dynamic-profile/view/1889950","19-1889950")</f>
        <v>0</v>
      </c>
      <c r="B532" t="s">
        <v>98</v>
      </c>
      <c r="C532" t="s">
        <v>246</v>
      </c>
      <c r="D532" t="s">
        <v>482</v>
      </c>
      <c r="F532" t="s">
        <v>1366</v>
      </c>
      <c r="G532" t="s">
        <v>3143</v>
      </c>
      <c r="H532" t="s">
        <v>4989</v>
      </c>
      <c r="I532" t="s">
        <v>6497</v>
      </c>
      <c r="J532" t="s">
        <v>7170</v>
      </c>
      <c r="K532">
        <v>10453</v>
      </c>
      <c r="N532" t="s">
        <v>7237</v>
      </c>
      <c r="O532" t="s">
        <v>7585</v>
      </c>
      <c r="P532">
        <v>2</v>
      </c>
      <c r="Q532">
        <v>2</v>
      </c>
      <c r="R532">
        <v>0</v>
      </c>
      <c r="U532">
        <v>0</v>
      </c>
      <c r="W532">
        <v>0</v>
      </c>
      <c r="Y532" t="s">
        <v>10865</v>
      </c>
      <c r="AA532" t="s">
        <v>10974</v>
      </c>
      <c r="AB532" t="s">
        <v>370</v>
      </c>
      <c r="AD532" t="s">
        <v>11098</v>
      </c>
      <c r="AF532" t="s">
        <v>11122</v>
      </c>
      <c r="AH532" t="s">
        <v>10974</v>
      </c>
      <c r="AJ532" t="s">
        <v>11141</v>
      </c>
      <c r="AK532" t="s">
        <v>7225</v>
      </c>
      <c r="AM532">
        <v>1273</v>
      </c>
      <c r="AO532">
        <v>167</v>
      </c>
      <c r="AQ532" t="s">
        <v>11157</v>
      </c>
      <c r="AS532" t="s">
        <v>11173</v>
      </c>
      <c r="AU532">
        <v>11</v>
      </c>
      <c r="AW532" t="s">
        <v>11189</v>
      </c>
      <c r="AZ532" t="s">
        <v>11221</v>
      </c>
      <c r="BD532" t="s">
        <v>11667</v>
      </c>
      <c r="BF532" t="s">
        <v>14364</v>
      </c>
      <c r="BM532" t="s">
        <v>15650</v>
      </c>
    </row>
    <row r="533" spans="1:65">
      <c r="A533" s="1">
        <f>HYPERLINK("https://lsnyc.legalserver.org/matter/dynamic-profile/view/1891397","19-1891397")</f>
        <v>0</v>
      </c>
      <c r="B533" t="s">
        <v>98</v>
      </c>
      <c r="C533" t="s">
        <v>246</v>
      </c>
      <c r="D533" t="s">
        <v>480</v>
      </c>
      <c r="F533" t="s">
        <v>1364</v>
      </c>
      <c r="G533" t="s">
        <v>3139</v>
      </c>
      <c r="H533" t="s">
        <v>4989</v>
      </c>
      <c r="I533" t="s">
        <v>6556</v>
      </c>
      <c r="J533" t="s">
        <v>7170</v>
      </c>
      <c r="K533">
        <v>10453</v>
      </c>
      <c r="N533" t="s">
        <v>7237</v>
      </c>
      <c r="O533" t="s">
        <v>7581</v>
      </c>
      <c r="P533">
        <v>1</v>
      </c>
      <c r="Q533">
        <v>3</v>
      </c>
      <c r="R533">
        <v>177.91</v>
      </c>
      <c r="U533">
        <v>45812</v>
      </c>
      <c r="W533">
        <v>0</v>
      </c>
      <c r="Y533" t="s">
        <v>216</v>
      </c>
      <c r="AA533" t="s">
        <v>10974</v>
      </c>
      <c r="AB533" t="s">
        <v>370</v>
      </c>
      <c r="AD533" t="s">
        <v>11101</v>
      </c>
      <c r="AF533" t="s">
        <v>11118</v>
      </c>
      <c r="AH533" t="s">
        <v>10974</v>
      </c>
      <c r="AJ533" t="s">
        <v>11141</v>
      </c>
      <c r="AK533" t="s">
        <v>7225</v>
      </c>
      <c r="AM533">
        <v>900</v>
      </c>
      <c r="AO533">
        <v>170</v>
      </c>
      <c r="AQ533" t="s">
        <v>11157</v>
      </c>
      <c r="AS533" t="s">
        <v>11174</v>
      </c>
      <c r="AU533">
        <v>10</v>
      </c>
      <c r="AW533" t="s">
        <v>11189</v>
      </c>
      <c r="AZ533" t="s">
        <v>11221</v>
      </c>
      <c r="BE533" t="s">
        <v>11957</v>
      </c>
      <c r="BG533" t="s">
        <v>14486</v>
      </c>
      <c r="BM533" t="s">
        <v>15650</v>
      </c>
    </row>
    <row r="534" spans="1:65">
      <c r="A534" s="1">
        <f>HYPERLINK("https://lsnyc.legalserver.org/matter/dynamic-profile/view/1887394","19-1887394")</f>
        <v>0</v>
      </c>
      <c r="B534" t="s">
        <v>98</v>
      </c>
      <c r="C534" t="s">
        <v>246</v>
      </c>
      <c r="D534" t="s">
        <v>354</v>
      </c>
      <c r="F534" t="s">
        <v>1222</v>
      </c>
      <c r="G534" t="s">
        <v>2956</v>
      </c>
      <c r="H534" t="s">
        <v>4997</v>
      </c>
      <c r="I534">
        <v>41</v>
      </c>
      <c r="J534" t="s">
        <v>7170</v>
      </c>
      <c r="K534">
        <v>10453</v>
      </c>
      <c r="N534" t="s">
        <v>7237</v>
      </c>
      <c r="O534" t="s">
        <v>7654</v>
      </c>
      <c r="P534">
        <v>1</v>
      </c>
      <c r="Q534">
        <v>0</v>
      </c>
      <c r="R534">
        <v>0</v>
      </c>
      <c r="U534">
        <v>0</v>
      </c>
      <c r="W534">
        <v>0</v>
      </c>
      <c r="Y534" t="s">
        <v>10897</v>
      </c>
      <c r="AA534" t="s">
        <v>10974</v>
      </c>
      <c r="AB534" t="s">
        <v>370</v>
      </c>
      <c r="AD534" t="s">
        <v>11098</v>
      </c>
      <c r="AF534" t="s">
        <v>11122</v>
      </c>
      <c r="AH534" t="s">
        <v>10974</v>
      </c>
      <c r="AJ534" t="s">
        <v>11134</v>
      </c>
      <c r="AK534" t="s">
        <v>7225</v>
      </c>
      <c r="AM534">
        <v>1175.29</v>
      </c>
      <c r="AO534">
        <v>46</v>
      </c>
      <c r="AQ534" t="s">
        <v>11157</v>
      </c>
      <c r="AS534" t="s">
        <v>11181</v>
      </c>
      <c r="AU534">
        <v>8</v>
      </c>
      <c r="AW534" t="s">
        <v>11187</v>
      </c>
      <c r="AZ534" t="s">
        <v>11221</v>
      </c>
      <c r="BE534" t="s">
        <v>12020</v>
      </c>
      <c r="BG534" t="s">
        <v>14493</v>
      </c>
      <c r="BM534" t="s">
        <v>15650</v>
      </c>
    </row>
    <row r="535" spans="1:65">
      <c r="A535" s="1">
        <f>HYPERLINK("https://lsnyc.legalserver.org/matter/dynamic-profile/view/1901015","19-1901015")</f>
        <v>0</v>
      </c>
      <c r="B535" t="s">
        <v>98</v>
      </c>
      <c r="C535" t="s">
        <v>246</v>
      </c>
      <c r="D535" t="s">
        <v>268</v>
      </c>
      <c r="F535" t="s">
        <v>1190</v>
      </c>
      <c r="G535" t="s">
        <v>3185</v>
      </c>
      <c r="H535" t="s">
        <v>5000</v>
      </c>
      <c r="I535" t="s">
        <v>6589</v>
      </c>
      <c r="J535" t="s">
        <v>7170</v>
      </c>
      <c r="K535">
        <v>10455</v>
      </c>
      <c r="N535" t="s">
        <v>7237</v>
      </c>
      <c r="O535" t="s">
        <v>7642</v>
      </c>
      <c r="P535">
        <v>2</v>
      </c>
      <c r="Q535">
        <v>0</v>
      </c>
      <c r="R535">
        <v>0</v>
      </c>
      <c r="U535">
        <v>0</v>
      </c>
      <c r="W535">
        <v>0</v>
      </c>
      <c r="Y535" t="s">
        <v>200</v>
      </c>
      <c r="AA535" t="s">
        <v>10974</v>
      </c>
      <c r="AB535" t="s">
        <v>316</v>
      </c>
      <c r="AD535" t="s">
        <v>11101</v>
      </c>
      <c r="AF535" t="s">
        <v>11118</v>
      </c>
      <c r="AG535" t="s">
        <v>11124</v>
      </c>
      <c r="AI535" t="s">
        <v>11126</v>
      </c>
      <c r="AK535" t="s">
        <v>7225</v>
      </c>
      <c r="AM535">
        <v>1421</v>
      </c>
      <c r="AO535">
        <v>49</v>
      </c>
      <c r="AQ535" t="s">
        <v>11157</v>
      </c>
      <c r="AS535" t="s">
        <v>11173</v>
      </c>
      <c r="AU535">
        <v>5</v>
      </c>
      <c r="AW535" t="s">
        <v>11189</v>
      </c>
      <c r="BA535" t="s">
        <v>11222</v>
      </c>
      <c r="BE535" t="s">
        <v>12010</v>
      </c>
      <c r="BG535" t="s">
        <v>14502</v>
      </c>
      <c r="BM535" t="s">
        <v>15650</v>
      </c>
    </row>
    <row r="536" spans="1:65">
      <c r="A536" s="1">
        <f>HYPERLINK("https://lsnyc.legalserver.org/matter/dynamic-profile/view/0822083","16-0822083")</f>
        <v>0</v>
      </c>
      <c r="B536" t="s">
        <v>98</v>
      </c>
      <c r="C536" t="s">
        <v>246</v>
      </c>
      <c r="D536" t="s">
        <v>481</v>
      </c>
      <c r="F536" t="s">
        <v>1417</v>
      </c>
      <c r="G536" t="s">
        <v>3192</v>
      </c>
      <c r="H536" t="s">
        <v>4972</v>
      </c>
      <c r="I536" t="s">
        <v>6591</v>
      </c>
      <c r="J536" t="s">
        <v>7170</v>
      </c>
      <c r="K536">
        <v>10452</v>
      </c>
      <c r="N536" t="s">
        <v>7237</v>
      </c>
      <c r="O536" t="s">
        <v>7649</v>
      </c>
      <c r="P536">
        <v>2</v>
      </c>
      <c r="Q536">
        <v>0</v>
      </c>
      <c r="R536">
        <v>0</v>
      </c>
      <c r="U536">
        <v>0</v>
      </c>
      <c r="W536">
        <v>0</v>
      </c>
      <c r="Y536" t="s">
        <v>10899</v>
      </c>
      <c r="AA536" t="s">
        <v>10974</v>
      </c>
      <c r="AB536" t="s">
        <v>746</v>
      </c>
      <c r="AD536" t="s">
        <v>11096</v>
      </c>
      <c r="AF536" t="s">
        <v>11122</v>
      </c>
      <c r="AH536" t="s">
        <v>10974</v>
      </c>
      <c r="AJ536" t="s">
        <v>11141</v>
      </c>
      <c r="AK536" t="s">
        <v>7225</v>
      </c>
      <c r="AM536">
        <v>789</v>
      </c>
      <c r="AO536">
        <v>63</v>
      </c>
      <c r="AQ536" t="s">
        <v>11157</v>
      </c>
      <c r="AS536" t="s">
        <v>11175</v>
      </c>
      <c r="AU536">
        <v>42</v>
      </c>
      <c r="AW536" t="s">
        <v>11189</v>
      </c>
      <c r="AZ536" t="s">
        <v>11221</v>
      </c>
      <c r="BE536" t="s">
        <v>12015</v>
      </c>
      <c r="BF536" t="s">
        <v>14364</v>
      </c>
      <c r="BM536" t="s">
        <v>15650</v>
      </c>
    </row>
    <row r="537" spans="1:65">
      <c r="A537" s="1">
        <f>HYPERLINK("https://lsnyc.legalserver.org/matter/dynamic-profile/view/1894468","19-1894468")</f>
        <v>0</v>
      </c>
      <c r="B537" t="s">
        <v>98</v>
      </c>
      <c r="C537" t="s">
        <v>246</v>
      </c>
      <c r="D537" t="s">
        <v>435</v>
      </c>
      <c r="F537" t="s">
        <v>1422</v>
      </c>
      <c r="G537" t="s">
        <v>3190</v>
      </c>
      <c r="H537" t="s">
        <v>4989</v>
      </c>
      <c r="I537" t="s">
        <v>6593</v>
      </c>
      <c r="J537" t="s">
        <v>7170</v>
      </c>
      <c r="K537">
        <v>10453</v>
      </c>
      <c r="N537" t="s">
        <v>7237</v>
      </c>
      <c r="O537" t="s">
        <v>7655</v>
      </c>
      <c r="P537">
        <v>2</v>
      </c>
      <c r="Q537">
        <v>2</v>
      </c>
      <c r="R537">
        <v>70.68000000000001</v>
      </c>
      <c r="U537">
        <v>18200</v>
      </c>
      <c r="W537">
        <v>0</v>
      </c>
      <c r="Y537" t="s">
        <v>93</v>
      </c>
      <c r="AA537" t="s">
        <v>10974</v>
      </c>
      <c r="AB537" t="s">
        <v>370</v>
      </c>
      <c r="AD537" t="s">
        <v>11101</v>
      </c>
      <c r="AF537" t="s">
        <v>11118</v>
      </c>
      <c r="AH537" t="s">
        <v>10974</v>
      </c>
      <c r="AJ537" t="s">
        <v>11134</v>
      </c>
      <c r="AK537" t="s">
        <v>7225</v>
      </c>
      <c r="AM537">
        <v>1049.5</v>
      </c>
      <c r="AO537">
        <v>170</v>
      </c>
      <c r="AQ537" t="s">
        <v>11160</v>
      </c>
      <c r="AR537" t="s">
        <v>11172</v>
      </c>
      <c r="AU537">
        <v>3</v>
      </c>
      <c r="AW537" t="s">
        <v>11189</v>
      </c>
      <c r="AZ537" t="s">
        <v>11221</v>
      </c>
      <c r="BE537" t="s">
        <v>12021</v>
      </c>
      <c r="BG537" t="s">
        <v>14486</v>
      </c>
      <c r="BM537" t="s">
        <v>15650</v>
      </c>
    </row>
    <row r="538" spans="1:65">
      <c r="A538" s="1">
        <f>HYPERLINK("https://lsnyc.legalserver.org/matter/dynamic-profile/view/1914480","19-1914480")</f>
        <v>0</v>
      </c>
      <c r="B538" t="s">
        <v>98</v>
      </c>
      <c r="C538" t="s">
        <v>246</v>
      </c>
      <c r="D538" t="s">
        <v>497</v>
      </c>
      <c r="E538" t="s">
        <v>312</v>
      </c>
      <c r="F538" t="s">
        <v>1195</v>
      </c>
      <c r="G538" t="s">
        <v>2885</v>
      </c>
      <c r="H538" t="s">
        <v>5005</v>
      </c>
      <c r="I538" t="s">
        <v>6438</v>
      </c>
      <c r="J538" t="s">
        <v>7170</v>
      </c>
      <c r="K538">
        <v>10452</v>
      </c>
      <c r="L538" t="s">
        <v>7216</v>
      </c>
      <c r="N538" t="s">
        <v>7238</v>
      </c>
      <c r="O538" t="s">
        <v>7656</v>
      </c>
      <c r="P538">
        <v>1</v>
      </c>
      <c r="Q538">
        <v>0</v>
      </c>
      <c r="R538">
        <v>91.18000000000001</v>
      </c>
      <c r="U538">
        <v>11388</v>
      </c>
      <c r="W538">
        <v>1.15</v>
      </c>
      <c r="X538" t="s">
        <v>264</v>
      </c>
      <c r="Y538" t="s">
        <v>98</v>
      </c>
      <c r="AA538" t="s">
        <v>10974</v>
      </c>
      <c r="AD538" t="s">
        <v>11097</v>
      </c>
      <c r="AF538" t="s">
        <v>11119</v>
      </c>
      <c r="AH538" t="s">
        <v>10975</v>
      </c>
      <c r="AI538" t="s">
        <v>11126</v>
      </c>
      <c r="AK538" t="s">
        <v>7225</v>
      </c>
      <c r="AM538">
        <v>1350</v>
      </c>
      <c r="AO538">
        <v>3</v>
      </c>
      <c r="AQ538" t="s">
        <v>11156</v>
      </c>
      <c r="AS538" t="s">
        <v>11174</v>
      </c>
      <c r="AU538">
        <v>1</v>
      </c>
      <c r="AW538" t="s">
        <v>11187</v>
      </c>
      <c r="AY538" t="s">
        <v>11216</v>
      </c>
      <c r="BA538" t="s">
        <v>11222</v>
      </c>
      <c r="BB538" t="s">
        <v>11224</v>
      </c>
      <c r="BC538">
        <v>6050360</v>
      </c>
      <c r="BE538" t="s">
        <v>12022</v>
      </c>
      <c r="BF538" t="s">
        <v>14364</v>
      </c>
      <c r="BG538" t="s">
        <v>14503</v>
      </c>
      <c r="BM538" t="s">
        <v>15651</v>
      </c>
    </row>
    <row r="539" spans="1:65">
      <c r="A539" s="1">
        <f>HYPERLINK("https://lsnyc.legalserver.org/matter/dynamic-profile/view/1892373","19-1892373")</f>
        <v>0</v>
      </c>
      <c r="B539" t="s">
        <v>98</v>
      </c>
      <c r="C539" t="s">
        <v>246</v>
      </c>
      <c r="D539" t="s">
        <v>483</v>
      </c>
      <c r="F539" t="s">
        <v>1423</v>
      </c>
      <c r="G539" t="s">
        <v>3195</v>
      </c>
      <c r="H539" t="s">
        <v>4995</v>
      </c>
      <c r="I539" t="s">
        <v>6594</v>
      </c>
      <c r="J539" t="s">
        <v>7170</v>
      </c>
      <c r="K539">
        <v>10453</v>
      </c>
      <c r="N539" t="s">
        <v>7237</v>
      </c>
      <c r="O539" t="s">
        <v>7657</v>
      </c>
      <c r="P539">
        <v>2</v>
      </c>
      <c r="Q539">
        <v>0</v>
      </c>
      <c r="R539">
        <v>74.98999999999999</v>
      </c>
      <c r="U539">
        <v>12680</v>
      </c>
      <c r="W539">
        <v>0</v>
      </c>
      <c r="Y539" t="s">
        <v>93</v>
      </c>
      <c r="AA539" t="s">
        <v>10974</v>
      </c>
      <c r="AB539" t="s">
        <v>370</v>
      </c>
      <c r="AD539" t="s">
        <v>11098</v>
      </c>
      <c r="AF539" t="s">
        <v>11122</v>
      </c>
      <c r="AH539" t="s">
        <v>10974</v>
      </c>
      <c r="AJ539" t="s">
        <v>11134</v>
      </c>
      <c r="AK539" t="s">
        <v>7225</v>
      </c>
      <c r="AM539">
        <v>1474</v>
      </c>
      <c r="AO539">
        <v>170</v>
      </c>
      <c r="AQ539" t="s">
        <v>11157</v>
      </c>
      <c r="AS539" t="s">
        <v>11173</v>
      </c>
      <c r="AU539">
        <v>14</v>
      </c>
      <c r="AW539" t="s">
        <v>11187</v>
      </c>
      <c r="AZ539" t="s">
        <v>11221</v>
      </c>
      <c r="BD539" t="s">
        <v>11667</v>
      </c>
      <c r="BF539" t="s">
        <v>14364</v>
      </c>
      <c r="BM539" t="s">
        <v>15650</v>
      </c>
    </row>
    <row r="540" spans="1:65">
      <c r="A540" s="1">
        <f>HYPERLINK("https://lsnyc.legalserver.org/matter/dynamic-profile/view/0821529","16-0821529")</f>
        <v>0</v>
      </c>
      <c r="B540" t="s">
        <v>98</v>
      </c>
      <c r="C540" t="s">
        <v>246</v>
      </c>
      <c r="D540" t="s">
        <v>474</v>
      </c>
      <c r="F540" t="s">
        <v>1157</v>
      </c>
      <c r="G540" t="s">
        <v>3196</v>
      </c>
      <c r="H540" t="s">
        <v>4972</v>
      </c>
      <c r="I540" t="s">
        <v>6595</v>
      </c>
      <c r="J540" t="s">
        <v>7170</v>
      </c>
      <c r="K540">
        <v>10452</v>
      </c>
      <c r="N540" t="s">
        <v>7237</v>
      </c>
      <c r="O540" t="s">
        <v>7658</v>
      </c>
      <c r="P540">
        <v>1</v>
      </c>
      <c r="Q540">
        <v>0</v>
      </c>
      <c r="R540">
        <v>414.14</v>
      </c>
      <c r="U540">
        <v>49200</v>
      </c>
      <c r="W540">
        <v>0</v>
      </c>
      <c r="Y540" t="s">
        <v>10899</v>
      </c>
      <c r="AA540" t="s">
        <v>10974</v>
      </c>
      <c r="AB540" t="s">
        <v>474</v>
      </c>
      <c r="AD540" t="s">
        <v>11096</v>
      </c>
      <c r="AF540" t="s">
        <v>11122</v>
      </c>
      <c r="AH540" t="s">
        <v>10974</v>
      </c>
      <c r="AJ540" t="s">
        <v>11141</v>
      </c>
      <c r="AK540" t="s">
        <v>7225</v>
      </c>
      <c r="AM540">
        <v>754.6</v>
      </c>
      <c r="AO540">
        <v>63</v>
      </c>
      <c r="AQ540" t="s">
        <v>11157</v>
      </c>
      <c r="AR540" t="s">
        <v>11172</v>
      </c>
      <c r="AU540">
        <v>35</v>
      </c>
      <c r="AW540" t="s">
        <v>11187</v>
      </c>
      <c r="AZ540" t="s">
        <v>11221</v>
      </c>
      <c r="BE540" t="s">
        <v>12023</v>
      </c>
      <c r="BF540" t="s">
        <v>14364</v>
      </c>
      <c r="BM540" t="s">
        <v>15650</v>
      </c>
    </row>
    <row r="541" spans="1:65">
      <c r="A541" s="1">
        <f>HYPERLINK("https://lsnyc.legalserver.org/matter/dynamic-profile/view/1891677","19-1891677")</f>
        <v>0</v>
      </c>
      <c r="B541" t="s">
        <v>98</v>
      </c>
      <c r="C541" t="s">
        <v>246</v>
      </c>
      <c r="D541" t="s">
        <v>515</v>
      </c>
      <c r="F541" t="s">
        <v>1424</v>
      </c>
      <c r="G541" t="s">
        <v>2998</v>
      </c>
      <c r="H541" t="s">
        <v>4989</v>
      </c>
      <c r="I541" t="s">
        <v>6487</v>
      </c>
      <c r="J541" t="s">
        <v>7170</v>
      </c>
      <c r="K541">
        <v>10453</v>
      </c>
      <c r="N541" t="s">
        <v>7237</v>
      </c>
      <c r="O541" t="s">
        <v>7659</v>
      </c>
      <c r="P541">
        <v>4</v>
      </c>
      <c r="Q541">
        <v>0</v>
      </c>
      <c r="R541">
        <v>242.33</v>
      </c>
      <c r="U541">
        <v>62400</v>
      </c>
      <c r="W541">
        <v>0</v>
      </c>
      <c r="Y541" t="s">
        <v>93</v>
      </c>
      <c r="AA541" t="s">
        <v>10974</v>
      </c>
      <c r="AB541" t="s">
        <v>370</v>
      </c>
      <c r="AD541" t="s">
        <v>11101</v>
      </c>
      <c r="AF541" t="s">
        <v>11118</v>
      </c>
      <c r="AH541" t="s">
        <v>10974</v>
      </c>
      <c r="AJ541" t="s">
        <v>11134</v>
      </c>
      <c r="AK541" t="s">
        <v>7225</v>
      </c>
      <c r="AM541">
        <v>1233</v>
      </c>
      <c r="AO541">
        <v>172</v>
      </c>
      <c r="AQ541" t="s">
        <v>11157</v>
      </c>
      <c r="AS541" t="s">
        <v>11173</v>
      </c>
      <c r="AU541">
        <v>4</v>
      </c>
      <c r="AW541" t="s">
        <v>11189</v>
      </c>
      <c r="AZ541" t="s">
        <v>11221</v>
      </c>
      <c r="BE541" t="s">
        <v>12024</v>
      </c>
      <c r="BG541" t="s">
        <v>14486</v>
      </c>
      <c r="BM541" t="s">
        <v>15650</v>
      </c>
    </row>
    <row r="542" spans="1:65">
      <c r="A542" s="1">
        <f>HYPERLINK("https://lsnyc.legalserver.org/matter/dynamic-profile/view/1899819","19-1899819")</f>
        <v>0</v>
      </c>
      <c r="B542" t="s">
        <v>98</v>
      </c>
      <c r="C542" t="s">
        <v>246</v>
      </c>
      <c r="D542" t="s">
        <v>382</v>
      </c>
      <c r="F542" t="s">
        <v>1425</v>
      </c>
      <c r="G542" t="s">
        <v>3197</v>
      </c>
      <c r="H542" t="s">
        <v>5000</v>
      </c>
      <c r="J542" t="s">
        <v>7170</v>
      </c>
      <c r="K542">
        <v>10455</v>
      </c>
      <c r="N542" t="s">
        <v>7237</v>
      </c>
      <c r="O542" t="s">
        <v>7660</v>
      </c>
      <c r="P542">
        <v>1</v>
      </c>
      <c r="Q542">
        <v>0</v>
      </c>
      <c r="R542">
        <v>83.68000000000001</v>
      </c>
      <c r="U542">
        <v>10452</v>
      </c>
      <c r="W542">
        <v>0</v>
      </c>
      <c r="Y542" t="s">
        <v>93</v>
      </c>
      <c r="AA542" t="s">
        <v>10974</v>
      </c>
      <c r="AD542" t="s">
        <v>11101</v>
      </c>
      <c r="AF542" t="s">
        <v>11119</v>
      </c>
      <c r="AH542" t="s">
        <v>10974</v>
      </c>
      <c r="AJ542" t="s">
        <v>11141</v>
      </c>
      <c r="AK542" t="s">
        <v>7225</v>
      </c>
      <c r="AM542">
        <v>222.4</v>
      </c>
      <c r="AO542">
        <v>99</v>
      </c>
      <c r="AQ542" t="s">
        <v>11164</v>
      </c>
      <c r="AR542" t="s">
        <v>11172</v>
      </c>
      <c r="AU542">
        <v>1</v>
      </c>
      <c r="AW542" t="s">
        <v>11187</v>
      </c>
      <c r="AX542" t="s">
        <v>11212</v>
      </c>
      <c r="BA542" t="s">
        <v>11222</v>
      </c>
      <c r="BE542" t="s">
        <v>12025</v>
      </c>
      <c r="BF542" t="s">
        <v>14364</v>
      </c>
      <c r="BM542" t="s">
        <v>15650</v>
      </c>
    </row>
    <row r="543" spans="1:65">
      <c r="A543" s="1">
        <f>HYPERLINK("https://lsnyc.legalserver.org/matter/dynamic-profile/view/1905120","19-1905120")</f>
        <v>0</v>
      </c>
      <c r="B543" t="s">
        <v>98</v>
      </c>
      <c r="C543" t="s">
        <v>246</v>
      </c>
      <c r="D543" t="s">
        <v>332</v>
      </c>
      <c r="F543" t="s">
        <v>1425</v>
      </c>
      <c r="G543" t="s">
        <v>3197</v>
      </c>
      <c r="H543" t="s">
        <v>5000</v>
      </c>
      <c r="J543" t="s">
        <v>7170</v>
      </c>
      <c r="K543">
        <v>10455</v>
      </c>
      <c r="N543" t="s">
        <v>7237</v>
      </c>
      <c r="O543" t="s">
        <v>7660</v>
      </c>
      <c r="P543">
        <v>1</v>
      </c>
      <c r="Q543">
        <v>0</v>
      </c>
      <c r="R543">
        <v>83.68000000000001</v>
      </c>
      <c r="U543">
        <v>10452</v>
      </c>
      <c r="W543">
        <v>0</v>
      </c>
      <c r="Y543" t="s">
        <v>93</v>
      </c>
      <c r="AA543" t="s">
        <v>10974</v>
      </c>
      <c r="AD543" t="s">
        <v>11098</v>
      </c>
      <c r="AF543" t="s">
        <v>11122</v>
      </c>
      <c r="AH543" t="s">
        <v>10974</v>
      </c>
      <c r="AJ543" t="s">
        <v>11129</v>
      </c>
      <c r="AK543" t="s">
        <v>7225</v>
      </c>
      <c r="AM543">
        <v>222.4</v>
      </c>
      <c r="AO543">
        <v>99</v>
      </c>
      <c r="AQ543" t="s">
        <v>11157</v>
      </c>
      <c r="AS543" t="s">
        <v>11173</v>
      </c>
      <c r="AU543">
        <v>1</v>
      </c>
      <c r="AW543" t="s">
        <v>11187</v>
      </c>
      <c r="AX543" t="s">
        <v>11212</v>
      </c>
      <c r="BA543" t="s">
        <v>11222</v>
      </c>
      <c r="BE543" t="s">
        <v>12025</v>
      </c>
      <c r="BF543" t="s">
        <v>14364</v>
      </c>
      <c r="BM543" t="s">
        <v>15650</v>
      </c>
    </row>
    <row r="544" spans="1:65">
      <c r="A544" s="1">
        <f>HYPERLINK("https://lsnyc.legalserver.org/matter/dynamic-profile/view/1854196","17-1854196")</f>
        <v>0</v>
      </c>
      <c r="B544" t="s">
        <v>98</v>
      </c>
      <c r="C544" t="s">
        <v>246</v>
      </c>
      <c r="D544" t="s">
        <v>397</v>
      </c>
      <c r="F544" t="s">
        <v>1219</v>
      </c>
      <c r="G544" t="s">
        <v>3198</v>
      </c>
      <c r="H544" t="s">
        <v>4988</v>
      </c>
      <c r="I544" t="s">
        <v>6596</v>
      </c>
      <c r="J544" t="s">
        <v>7170</v>
      </c>
      <c r="K544">
        <v>10456</v>
      </c>
      <c r="N544" t="s">
        <v>7237</v>
      </c>
      <c r="O544" t="s">
        <v>7661</v>
      </c>
      <c r="P544">
        <v>2</v>
      </c>
      <c r="Q544">
        <v>0</v>
      </c>
      <c r="R544">
        <v>78.98999999999999</v>
      </c>
      <c r="S544" t="s">
        <v>10261</v>
      </c>
      <c r="U544">
        <v>12828</v>
      </c>
      <c r="W544">
        <v>0</v>
      </c>
      <c r="Y544" t="s">
        <v>10899</v>
      </c>
      <c r="AA544" t="s">
        <v>10974</v>
      </c>
      <c r="AB544" t="s">
        <v>10992</v>
      </c>
      <c r="AD544" t="s">
        <v>11096</v>
      </c>
      <c r="AF544" t="s">
        <v>11122</v>
      </c>
      <c r="AH544" t="s">
        <v>10974</v>
      </c>
      <c r="AJ544" t="s">
        <v>11141</v>
      </c>
      <c r="AK544" t="s">
        <v>7225</v>
      </c>
      <c r="AM544">
        <v>1119.98</v>
      </c>
      <c r="AO544">
        <v>61</v>
      </c>
      <c r="AQ544" t="s">
        <v>11157</v>
      </c>
      <c r="AS544" t="s">
        <v>11173</v>
      </c>
      <c r="AU544">
        <v>43</v>
      </c>
      <c r="AW544" t="s">
        <v>11189</v>
      </c>
      <c r="AZ544" t="s">
        <v>11221</v>
      </c>
      <c r="BE544" t="s">
        <v>12026</v>
      </c>
      <c r="BG544" t="s">
        <v>14490</v>
      </c>
      <c r="BM544" t="s">
        <v>15650</v>
      </c>
    </row>
    <row r="545" spans="1:65">
      <c r="A545" s="1">
        <f>HYPERLINK("https://lsnyc.legalserver.org/matter/dynamic-profile/view/0822127","16-0822127")</f>
        <v>0</v>
      </c>
      <c r="B545" t="s">
        <v>98</v>
      </c>
      <c r="C545" t="s">
        <v>246</v>
      </c>
      <c r="D545" t="s">
        <v>278</v>
      </c>
      <c r="F545" t="s">
        <v>1155</v>
      </c>
      <c r="G545" t="s">
        <v>3199</v>
      </c>
      <c r="H545" t="s">
        <v>4972</v>
      </c>
      <c r="I545" t="s">
        <v>6473</v>
      </c>
      <c r="J545" t="s">
        <v>7170</v>
      </c>
      <c r="K545">
        <v>10452</v>
      </c>
      <c r="N545" t="s">
        <v>7237</v>
      </c>
      <c r="O545" t="s">
        <v>7662</v>
      </c>
      <c r="P545">
        <v>2</v>
      </c>
      <c r="Q545">
        <v>0</v>
      </c>
      <c r="R545">
        <v>1699.48</v>
      </c>
      <c r="U545">
        <v>272256</v>
      </c>
      <c r="W545">
        <v>0</v>
      </c>
      <c r="Y545" t="s">
        <v>10899</v>
      </c>
      <c r="AA545" t="s">
        <v>10974</v>
      </c>
      <c r="AB545" t="s">
        <v>278</v>
      </c>
      <c r="AD545" t="s">
        <v>11096</v>
      </c>
      <c r="AF545" t="s">
        <v>11122</v>
      </c>
      <c r="AH545" t="s">
        <v>10974</v>
      </c>
      <c r="AJ545" t="s">
        <v>11141</v>
      </c>
      <c r="AK545" t="s">
        <v>7225</v>
      </c>
      <c r="AM545">
        <v>735</v>
      </c>
      <c r="AO545">
        <v>63</v>
      </c>
      <c r="AQ545" t="s">
        <v>11157</v>
      </c>
      <c r="AS545" t="s">
        <v>11173</v>
      </c>
      <c r="AU545">
        <v>43</v>
      </c>
      <c r="AW545" t="s">
        <v>11187</v>
      </c>
      <c r="AZ545" t="s">
        <v>11221</v>
      </c>
      <c r="BE545" t="s">
        <v>12027</v>
      </c>
      <c r="BF545" t="s">
        <v>14364</v>
      </c>
      <c r="BM545" t="s">
        <v>15650</v>
      </c>
    </row>
    <row r="546" spans="1:65">
      <c r="A546" s="1">
        <f>HYPERLINK("https://lsnyc.legalserver.org/matter/dynamic-profile/view/0822131","16-0822131")</f>
        <v>0</v>
      </c>
      <c r="B546" t="s">
        <v>98</v>
      </c>
      <c r="C546" t="s">
        <v>246</v>
      </c>
      <c r="D546" t="s">
        <v>474</v>
      </c>
      <c r="F546" t="s">
        <v>1155</v>
      </c>
      <c r="G546" t="s">
        <v>3199</v>
      </c>
      <c r="H546" t="s">
        <v>4972</v>
      </c>
      <c r="I546" t="s">
        <v>6473</v>
      </c>
      <c r="J546" t="s">
        <v>7170</v>
      </c>
      <c r="K546">
        <v>10452</v>
      </c>
      <c r="N546" t="s">
        <v>7237</v>
      </c>
      <c r="O546" t="s">
        <v>7662</v>
      </c>
      <c r="P546">
        <v>2</v>
      </c>
      <c r="Q546">
        <v>0</v>
      </c>
      <c r="R546">
        <v>1699.48</v>
      </c>
      <c r="U546">
        <v>345360</v>
      </c>
      <c r="W546">
        <v>0</v>
      </c>
      <c r="Y546" t="s">
        <v>10899</v>
      </c>
      <c r="AA546" t="s">
        <v>10974</v>
      </c>
      <c r="AB546" t="s">
        <v>474</v>
      </c>
      <c r="AD546" t="s">
        <v>11096</v>
      </c>
      <c r="AF546" t="s">
        <v>11122</v>
      </c>
      <c r="AH546" t="s">
        <v>10974</v>
      </c>
      <c r="AJ546" t="s">
        <v>11141</v>
      </c>
      <c r="AK546" t="s">
        <v>7225</v>
      </c>
      <c r="AM546">
        <v>735</v>
      </c>
      <c r="AO546">
        <v>63</v>
      </c>
      <c r="AQ546" t="s">
        <v>11157</v>
      </c>
      <c r="AS546" t="s">
        <v>11173</v>
      </c>
      <c r="AU546">
        <v>43</v>
      </c>
      <c r="AW546" t="s">
        <v>11187</v>
      </c>
      <c r="AZ546" t="s">
        <v>11221</v>
      </c>
      <c r="BE546" t="s">
        <v>12027</v>
      </c>
      <c r="BF546" t="s">
        <v>14364</v>
      </c>
      <c r="BM546" t="s">
        <v>15650</v>
      </c>
    </row>
    <row r="547" spans="1:65">
      <c r="A547" s="1">
        <f>HYPERLINK("https://lsnyc.legalserver.org/matter/dynamic-profile/view/1887387","19-1887387")</f>
        <v>0</v>
      </c>
      <c r="B547" t="s">
        <v>98</v>
      </c>
      <c r="C547" t="s">
        <v>246</v>
      </c>
      <c r="D547" t="s">
        <v>354</v>
      </c>
      <c r="F547" t="s">
        <v>1426</v>
      </c>
      <c r="G547" t="s">
        <v>3200</v>
      </c>
      <c r="H547" t="s">
        <v>4997</v>
      </c>
      <c r="I547">
        <v>16</v>
      </c>
      <c r="J547" t="s">
        <v>7170</v>
      </c>
      <c r="K547">
        <v>10453</v>
      </c>
      <c r="N547" t="s">
        <v>7237</v>
      </c>
      <c r="O547" t="s">
        <v>7663</v>
      </c>
      <c r="P547">
        <v>1</v>
      </c>
      <c r="Q547">
        <v>0</v>
      </c>
      <c r="R547">
        <v>83.23</v>
      </c>
      <c r="U547">
        <v>10104</v>
      </c>
      <c r="W547">
        <v>0</v>
      </c>
      <c r="Y547" t="s">
        <v>10897</v>
      </c>
      <c r="AA547" t="s">
        <v>10974</v>
      </c>
      <c r="AB547" t="s">
        <v>370</v>
      </c>
      <c r="AD547" t="s">
        <v>11098</v>
      </c>
      <c r="AF547" t="s">
        <v>11122</v>
      </c>
      <c r="AH547" t="s">
        <v>10974</v>
      </c>
      <c r="AJ547" t="s">
        <v>11134</v>
      </c>
      <c r="AK547" t="s">
        <v>7225</v>
      </c>
      <c r="AM547">
        <v>856.08</v>
      </c>
      <c r="AO547">
        <v>43</v>
      </c>
      <c r="AQ547" t="s">
        <v>11157</v>
      </c>
      <c r="AS547" t="s">
        <v>11181</v>
      </c>
      <c r="AU547">
        <v>38</v>
      </c>
      <c r="AW547" t="s">
        <v>11187</v>
      </c>
      <c r="AZ547" t="s">
        <v>11221</v>
      </c>
      <c r="BE547" t="s">
        <v>12028</v>
      </c>
      <c r="BG547" t="s">
        <v>14493</v>
      </c>
      <c r="BM547" t="s">
        <v>15650</v>
      </c>
    </row>
    <row r="548" spans="1:65">
      <c r="A548" s="1">
        <f>HYPERLINK("https://lsnyc.legalserver.org/matter/dynamic-profile/view/1877140","18-1877140")</f>
        <v>0</v>
      </c>
      <c r="B548" t="s">
        <v>98</v>
      </c>
      <c r="C548" t="s">
        <v>246</v>
      </c>
      <c r="D548" t="s">
        <v>516</v>
      </c>
      <c r="F548" t="s">
        <v>1235</v>
      </c>
      <c r="G548" t="s">
        <v>2977</v>
      </c>
      <c r="H548" t="s">
        <v>5006</v>
      </c>
      <c r="I548">
        <v>45</v>
      </c>
      <c r="J548" t="s">
        <v>7170</v>
      </c>
      <c r="K548">
        <v>10453</v>
      </c>
      <c r="N548" t="s">
        <v>7237</v>
      </c>
      <c r="O548" t="s">
        <v>7664</v>
      </c>
      <c r="P548">
        <v>1</v>
      </c>
      <c r="Q548">
        <v>0</v>
      </c>
      <c r="R548">
        <v>83.03</v>
      </c>
      <c r="U548">
        <v>10080</v>
      </c>
      <c r="W548">
        <v>10.8</v>
      </c>
      <c r="X548" t="s">
        <v>636</v>
      </c>
      <c r="Y548" t="s">
        <v>98</v>
      </c>
      <c r="AA548" t="s">
        <v>10974</v>
      </c>
      <c r="AB548" t="s">
        <v>370</v>
      </c>
      <c r="AD548" t="s">
        <v>11098</v>
      </c>
      <c r="AF548" t="s">
        <v>11122</v>
      </c>
      <c r="AH548" t="s">
        <v>10974</v>
      </c>
      <c r="AJ548" t="s">
        <v>11134</v>
      </c>
      <c r="AK548" t="s">
        <v>7225</v>
      </c>
      <c r="AM548">
        <v>841</v>
      </c>
      <c r="AO548">
        <v>46</v>
      </c>
      <c r="AQ548" t="s">
        <v>11157</v>
      </c>
      <c r="AR548" t="s">
        <v>11172</v>
      </c>
      <c r="AU548">
        <v>37</v>
      </c>
      <c r="AW548" t="s">
        <v>11187</v>
      </c>
      <c r="AZ548" t="s">
        <v>11221</v>
      </c>
      <c r="BE548" t="s">
        <v>12029</v>
      </c>
      <c r="BG548" t="s">
        <v>14493</v>
      </c>
      <c r="BM548" t="s">
        <v>15650</v>
      </c>
    </row>
    <row r="549" spans="1:65">
      <c r="A549" s="1">
        <f>HYPERLINK("https://lsnyc.legalserver.org/matter/dynamic-profile/view/1892433","19-1892433")</f>
        <v>0</v>
      </c>
      <c r="B549" t="s">
        <v>98</v>
      </c>
      <c r="C549" t="s">
        <v>246</v>
      </c>
      <c r="D549" t="s">
        <v>483</v>
      </c>
      <c r="F549" t="s">
        <v>1284</v>
      </c>
      <c r="G549" t="s">
        <v>3201</v>
      </c>
      <c r="H549" t="s">
        <v>4995</v>
      </c>
      <c r="I549" t="s">
        <v>6410</v>
      </c>
      <c r="J549" t="s">
        <v>7170</v>
      </c>
      <c r="K549">
        <v>10453</v>
      </c>
      <c r="N549" t="s">
        <v>7237</v>
      </c>
      <c r="O549" t="s">
        <v>7665</v>
      </c>
      <c r="P549">
        <v>1</v>
      </c>
      <c r="Q549">
        <v>0</v>
      </c>
      <c r="R549">
        <v>412.33</v>
      </c>
      <c r="U549">
        <v>51500</v>
      </c>
      <c r="W549">
        <v>0</v>
      </c>
      <c r="Y549" t="s">
        <v>93</v>
      </c>
      <c r="AA549" t="s">
        <v>10974</v>
      </c>
      <c r="AB549" t="s">
        <v>370</v>
      </c>
      <c r="AD549" t="s">
        <v>11098</v>
      </c>
      <c r="AF549" t="s">
        <v>11122</v>
      </c>
      <c r="AH549" t="s">
        <v>10974</v>
      </c>
      <c r="AJ549" t="s">
        <v>11134</v>
      </c>
      <c r="AK549" t="s">
        <v>7225</v>
      </c>
      <c r="AM549">
        <v>1325</v>
      </c>
      <c r="AO549">
        <v>170</v>
      </c>
      <c r="AQ549" t="s">
        <v>11157</v>
      </c>
      <c r="AS549" t="s">
        <v>11173</v>
      </c>
      <c r="AU549">
        <v>1</v>
      </c>
      <c r="AW549" t="s">
        <v>11187</v>
      </c>
      <c r="AZ549" t="s">
        <v>11221</v>
      </c>
      <c r="BE549" t="s">
        <v>12030</v>
      </c>
      <c r="BF549" t="s">
        <v>14364</v>
      </c>
      <c r="BM549" t="s">
        <v>15650</v>
      </c>
    </row>
    <row r="550" spans="1:65">
      <c r="A550" s="1">
        <f>HYPERLINK("https://lsnyc.legalserver.org/matter/dynamic-profile/view/1837492","17-1837492")</f>
        <v>0</v>
      </c>
      <c r="B550" t="s">
        <v>98</v>
      </c>
      <c r="C550" t="s">
        <v>246</v>
      </c>
      <c r="D550" t="s">
        <v>517</v>
      </c>
      <c r="F550" t="s">
        <v>1175</v>
      </c>
      <c r="G550" t="s">
        <v>3202</v>
      </c>
      <c r="H550" t="s">
        <v>5003</v>
      </c>
      <c r="I550" t="s">
        <v>6405</v>
      </c>
      <c r="J550" t="s">
        <v>7170</v>
      </c>
      <c r="K550">
        <v>10473</v>
      </c>
      <c r="N550" t="s">
        <v>7237</v>
      </c>
      <c r="O550" t="s">
        <v>7666</v>
      </c>
      <c r="P550">
        <v>1</v>
      </c>
      <c r="Q550">
        <v>0</v>
      </c>
      <c r="R550">
        <v>82.29000000000001</v>
      </c>
      <c r="S550" t="s">
        <v>10258</v>
      </c>
      <c r="U550">
        <v>9924</v>
      </c>
      <c r="W550">
        <v>0</v>
      </c>
      <c r="Y550" t="s">
        <v>10899</v>
      </c>
      <c r="AA550" t="s">
        <v>10974</v>
      </c>
      <c r="AB550" t="s">
        <v>10992</v>
      </c>
      <c r="AD550" t="s">
        <v>11096</v>
      </c>
      <c r="AF550" t="s">
        <v>11122</v>
      </c>
      <c r="AH550" t="s">
        <v>10974</v>
      </c>
      <c r="AJ550" t="s">
        <v>11139</v>
      </c>
      <c r="AK550" t="s">
        <v>7225</v>
      </c>
      <c r="AL550" t="s">
        <v>11150</v>
      </c>
      <c r="AM550">
        <v>0</v>
      </c>
      <c r="AO550">
        <v>976</v>
      </c>
      <c r="AQ550" t="s">
        <v>11157</v>
      </c>
      <c r="AS550" t="s">
        <v>11175</v>
      </c>
      <c r="AU550">
        <v>13</v>
      </c>
      <c r="AW550" t="s">
        <v>11187</v>
      </c>
      <c r="AZ550" t="s">
        <v>11221</v>
      </c>
      <c r="BE550" t="s">
        <v>12031</v>
      </c>
      <c r="BG550" t="s">
        <v>14488</v>
      </c>
      <c r="BM550" t="s">
        <v>15650</v>
      </c>
    </row>
    <row r="551" spans="1:65">
      <c r="A551" s="1">
        <f>HYPERLINK("https://lsnyc.legalserver.org/matter/dynamic-profile/view/1892320","19-1892320")</f>
        <v>0</v>
      </c>
      <c r="B551" t="s">
        <v>98</v>
      </c>
      <c r="C551" t="s">
        <v>246</v>
      </c>
      <c r="D551" t="s">
        <v>503</v>
      </c>
      <c r="F551" t="s">
        <v>1303</v>
      </c>
      <c r="G551" t="s">
        <v>3203</v>
      </c>
      <c r="H551" t="s">
        <v>4995</v>
      </c>
      <c r="I551" t="s">
        <v>6597</v>
      </c>
      <c r="J551" t="s">
        <v>7170</v>
      </c>
      <c r="K551">
        <v>10453</v>
      </c>
      <c r="N551" t="s">
        <v>7237</v>
      </c>
      <c r="O551" t="s">
        <v>7667</v>
      </c>
      <c r="P551">
        <v>1</v>
      </c>
      <c r="Q551">
        <v>0</v>
      </c>
      <c r="R551">
        <v>84.06999999999999</v>
      </c>
      <c r="U551">
        <v>10500</v>
      </c>
      <c r="W551">
        <v>0</v>
      </c>
      <c r="Y551" t="s">
        <v>93</v>
      </c>
      <c r="AA551" t="s">
        <v>10974</v>
      </c>
      <c r="AB551" t="s">
        <v>370</v>
      </c>
      <c r="AD551" t="s">
        <v>11098</v>
      </c>
      <c r="AF551" t="s">
        <v>11122</v>
      </c>
      <c r="AH551" t="s">
        <v>10974</v>
      </c>
      <c r="AJ551" t="s">
        <v>11134</v>
      </c>
      <c r="AK551" t="s">
        <v>7225</v>
      </c>
      <c r="AM551">
        <v>1069.19</v>
      </c>
      <c r="AO551">
        <v>170</v>
      </c>
      <c r="AQ551" t="s">
        <v>11157</v>
      </c>
      <c r="AS551" t="s">
        <v>11174</v>
      </c>
      <c r="AU551">
        <v>33</v>
      </c>
      <c r="AW551" t="s">
        <v>11187</v>
      </c>
      <c r="AZ551" t="s">
        <v>11221</v>
      </c>
      <c r="BE551" t="s">
        <v>12032</v>
      </c>
      <c r="BF551" t="s">
        <v>14364</v>
      </c>
      <c r="BM551" t="s">
        <v>15650</v>
      </c>
    </row>
    <row r="552" spans="1:65">
      <c r="A552" s="1">
        <f>HYPERLINK("https://lsnyc.legalserver.org/matter/dynamic-profile/view/1892158","19-1892158")</f>
        <v>0</v>
      </c>
      <c r="B552" t="s">
        <v>98</v>
      </c>
      <c r="C552" t="s">
        <v>246</v>
      </c>
      <c r="D552" t="s">
        <v>342</v>
      </c>
      <c r="F552" t="s">
        <v>1284</v>
      </c>
      <c r="G552" t="s">
        <v>3201</v>
      </c>
      <c r="H552" t="s">
        <v>4995</v>
      </c>
      <c r="I552" t="s">
        <v>6410</v>
      </c>
      <c r="J552" t="s">
        <v>7170</v>
      </c>
      <c r="K552">
        <v>10453</v>
      </c>
      <c r="N552" t="s">
        <v>7237</v>
      </c>
      <c r="O552" t="s">
        <v>7665</v>
      </c>
      <c r="P552">
        <v>1</v>
      </c>
      <c r="Q552">
        <v>0</v>
      </c>
      <c r="R552">
        <v>412.33</v>
      </c>
      <c r="U552">
        <v>51500</v>
      </c>
      <c r="W552">
        <v>0</v>
      </c>
      <c r="Y552" t="s">
        <v>93</v>
      </c>
      <c r="AA552" t="s">
        <v>10974</v>
      </c>
      <c r="AB552" t="s">
        <v>370</v>
      </c>
      <c r="AD552" t="s">
        <v>11101</v>
      </c>
      <c r="AF552" t="s">
        <v>11118</v>
      </c>
      <c r="AH552" t="s">
        <v>10974</v>
      </c>
      <c r="AJ552" t="s">
        <v>11134</v>
      </c>
      <c r="AK552" t="s">
        <v>7225</v>
      </c>
      <c r="AM552">
        <v>1325</v>
      </c>
      <c r="AO552">
        <v>170</v>
      </c>
      <c r="AQ552" t="s">
        <v>11157</v>
      </c>
      <c r="AR552" t="s">
        <v>11172</v>
      </c>
      <c r="AU552">
        <v>1</v>
      </c>
      <c r="AW552" t="s">
        <v>11187</v>
      </c>
      <c r="AZ552" t="s">
        <v>11221</v>
      </c>
      <c r="BE552" t="s">
        <v>12030</v>
      </c>
      <c r="BG552" t="s">
        <v>14486</v>
      </c>
      <c r="BM552" t="s">
        <v>15650</v>
      </c>
    </row>
    <row r="553" spans="1:65">
      <c r="A553" s="1">
        <f>HYPERLINK("https://lsnyc.legalserver.org/matter/dynamic-profile/view/1889981","19-1889981")</f>
        <v>0</v>
      </c>
      <c r="B553" t="s">
        <v>98</v>
      </c>
      <c r="C553" t="s">
        <v>246</v>
      </c>
      <c r="D553" t="s">
        <v>482</v>
      </c>
      <c r="F553" t="s">
        <v>1235</v>
      </c>
      <c r="G553" t="s">
        <v>3204</v>
      </c>
      <c r="H553" t="s">
        <v>4989</v>
      </c>
      <c r="I553" t="s">
        <v>6598</v>
      </c>
      <c r="J553" t="s">
        <v>7170</v>
      </c>
      <c r="K553">
        <v>10453</v>
      </c>
      <c r="N553" t="s">
        <v>7237</v>
      </c>
      <c r="O553" t="s">
        <v>7668</v>
      </c>
      <c r="P553">
        <v>1</v>
      </c>
      <c r="Q553">
        <v>0</v>
      </c>
      <c r="R553">
        <v>255.84</v>
      </c>
      <c r="U553">
        <v>31954</v>
      </c>
      <c r="W553">
        <v>0</v>
      </c>
      <c r="Y553" t="s">
        <v>10865</v>
      </c>
      <c r="AA553" t="s">
        <v>10974</v>
      </c>
      <c r="AB553" t="s">
        <v>370</v>
      </c>
      <c r="AD553" t="s">
        <v>11101</v>
      </c>
      <c r="AF553" t="s">
        <v>11118</v>
      </c>
      <c r="AH553" t="s">
        <v>10974</v>
      </c>
      <c r="AJ553" t="s">
        <v>11141</v>
      </c>
      <c r="AK553" t="s">
        <v>7225</v>
      </c>
      <c r="AM553">
        <v>692.1</v>
      </c>
      <c r="AO553">
        <v>167</v>
      </c>
      <c r="AQ553" t="s">
        <v>11157</v>
      </c>
      <c r="AS553" t="s">
        <v>11175</v>
      </c>
      <c r="AU553">
        <v>30</v>
      </c>
      <c r="AW553" t="s">
        <v>11187</v>
      </c>
      <c r="AZ553" t="s">
        <v>11221</v>
      </c>
      <c r="BE553" t="s">
        <v>12033</v>
      </c>
      <c r="BG553" t="s">
        <v>14486</v>
      </c>
      <c r="BM553" t="s">
        <v>15650</v>
      </c>
    </row>
    <row r="554" spans="1:65">
      <c r="A554" s="1">
        <f>HYPERLINK("https://lsnyc.legalserver.org/matter/dynamic-profile/view/1862822","18-1862822")</f>
        <v>0</v>
      </c>
      <c r="B554" t="s">
        <v>98</v>
      </c>
      <c r="C554" t="s">
        <v>246</v>
      </c>
      <c r="D554" t="s">
        <v>488</v>
      </c>
      <c r="F554" t="s">
        <v>1427</v>
      </c>
      <c r="G554" t="s">
        <v>2966</v>
      </c>
      <c r="H554" t="s">
        <v>4990</v>
      </c>
      <c r="J554" t="s">
        <v>7170</v>
      </c>
      <c r="K554">
        <v>10457</v>
      </c>
      <c r="N554" t="s">
        <v>7237</v>
      </c>
      <c r="O554" t="s">
        <v>7669</v>
      </c>
      <c r="P554">
        <v>1</v>
      </c>
      <c r="Q554">
        <v>0</v>
      </c>
      <c r="R554">
        <v>257</v>
      </c>
      <c r="S554" t="s">
        <v>10260</v>
      </c>
      <c r="U554">
        <v>31200</v>
      </c>
      <c r="W554">
        <v>0.4</v>
      </c>
      <c r="X554" t="s">
        <v>488</v>
      </c>
      <c r="Y554" t="s">
        <v>10865</v>
      </c>
      <c r="AA554" t="s">
        <v>10974</v>
      </c>
      <c r="AB554" t="s">
        <v>871</v>
      </c>
      <c r="AD554" t="s">
        <v>11096</v>
      </c>
      <c r="AF554" t="s">
        <v>11122</v>
      </c>
      <c r="AH554" t="s">
        <v>10974</v>
      </c>
      <c r="AJ554" t="s">
        <v>11129</v>
      </c>
      <c r="AK554" t="s">
        <v>7225</v>
      </c>
      <c r="AM554">
        <v>245</v>
      </c>
      <c r="AO554">
        <v>100</v>
      </c>
      <c r="AQ554" t="s">
        <v>11157</v>
      </c>
      <c r="AR554" t="s">
        <v>11172</v>
      </c>
      <c r="AU554">
        <v>25</v>
      </c>
      <c r="AW554" t="s">
        <v>11189</v>
      </c>
      <c r="AZ554" t="s">
        <v>11221</v>
      </c>
      <c r="BE554" t="s">
        <v>12034</v>
      </c>
      <c r="BG554" t="s">
        <v>14492</v>
      </c>
      <c r="BM554" t="s">
        <v>15650</v>
      </c>
    </row>
    <row r="555" spans="1:65">
      <c r="A555" s="1">
        <f>HYPERLINK("https://lsnyc.legalserver.org/matter/dynamic-profile/view/1838983","17-1838983")</f>
        <v>0</v>
      </c>
      <c r="B555" t="s">
        <v>98</v>
      </c>
      <c r="C555" t="s">
        <v>246</v>
      </c>
      <c r="D555" t="s">
        <v>476</v>
      </c>
      <c r="F555" t="s">
        <v>1428</v>
      </c>
      <c r="G555" t="s">
        <v>3017</v>
      </c>
      <c r="H555" t="s">
        <v>4992</v>
      </c>
      <c r="I555" t="s">
        <v>6599</v>
      </c>
      <c r="J555" t="s">
        <v>7170</v>
      </c>
      <c r="K555">
        <v>10473</v>
      </c>
      <c r="N555" t="s">
        <v>7237</v>
      </c>
      <c r="O555" t="s">
        <v>7670</v>
      </c>
      <c r="P555">
        <v>2</v>
      </c>
      <c r="Q555">
        <v>0</v>
      </c>
      <c r="R555">
        <v>264.78</v>
      </c>
      <c r="S555" t="s">
        <v>10258</v>
      </c>
      <c r="U555">
        <v>43000</v>
      </c>
      <c r="W555">
        <v>0</v>
      </c>
      <c r="Y555" t="s">
        <v>10899</v>
      </c>
      <c r="AA555" t="s">
        <v>10974</v>
      </c>
      <c r="AB555" t="s">
        <v>10992</v>
      </c>
      <c r="AD555" t="s">
        <v>11096</v>
      </c>
      <c r="AF555" t="s">
        <v>11122</v>
      </c>
      <c r="AH555" t="s">
        <v>10974</v>
      </c>
      <c r="AJ555" t="s">
        <v>11139</v>
      </c>
      <c r="AK555" t="s">
        <v>7225</v>
      </c>
      <c r="AM555">
        <v>998</v>
      </c>
      <c r="AO555">
        <v>976</v>
      </c>
      <c r="AQ555" t="s">
        <v>11157</v>
      </c>
      <c r="AS555" t="s">
        <v>11174</v>
      </c>
      <c r="AU555">
        <v>38</v>
      </c>
      <c r="AW555" t="s">
        <v>11187</v>
      </c>
      <c r="AZ555" t="s">
        <v>11221</v>
      </c>
      <c r="BE555" t="s">
        <v>12035</v>
      </c>
      <c r="BG555" t="s">
        <v>14487</v>
      </c>
      <c r="BM555" t="s">
        <v>15650</v>
      </c>
    </row>
    <row r="556" spans="1:65">
      <c r="A556" s="1">
        <f>HYPERLINK("https://lsnyc.legalserver.org/matter/dynamic-profile/view/1852358","17-1852358")</f>
        <v>0</v>
      </c>
      <c r="B556" t="s">
        <v>98</v>
      </c>
      <c r="C556" t="s">
        <v>246</v>
      </c>
      <c r="D556" t="s">
        <v>485</v>
      </c>
      <c r="F556" t="s">
        <v>1202</v>
      </c>
      <c r="G556" t="s">
        <v>3205</v>
      </c>
      <c r="H556" t="s">
        <v>4988</v>
      </c>
      <c r="I556" t="s">
        <v>6502</v>
      </c>
      <c r="J556" t="s">
        <v>7170</v>
      </c>
      <c r="K556">
        <v>10456</v>
      </c>
      <c r="N556" t="s">
        <v>7237</v>
      </c>
      <c r="O556" t="s">
        <v>7671</v>
      </c>
      <c r="P556">
        <v>1</v>
      </c>
      <c r="Q556">
        <v>0</v>
      </c>
      <c r="R556">
        <v>81.79000000000001</v>
      </c>
      <c r="S556" t="s">
        <v>10261</v>
      </c>
      <c r="U556">
        <v>9864</v>
      </c>
      <c r="W556">
        <v>145.8</v>
      </c>
      <c r="X556" t="s">
        <v>473</v>
      </c>
      <c r="Y556" t="s">
        <v>10865</v>
      </c>
      <c r="AA556" t="s">
        <v>10974</v>
      </c>
      <c r="AB556" t="s">
        <v>485</v>
      </c>
      <c r="AD556" t="s">
        <v>11096</v>
      </c>
      <c r="AF556" t="s">
        <v>11122</v>
      </c>
      <c r="AH556" t="s">
        <v>10974</v>
      </c>
      <c r="AJ556" t="s">
        <v>11141</v>
      </c>
      <c r="AK556" t="s">
        <v>7225</v>
      </c>
      <c r="AM556">
        <v>1243.51</v>
      </c>
      <c r="AO556">
        <v>61</v>
      </c>
      <c r="AQ556" t="s">
        <v>11157</v>
      </c>
      <c r="AS556" t="s">
        <v>11174</v>
      </c>
      <c r="AU556">
        <v>22</v>
      </c>
      <c r="AW556" t="s">
        <v>11187</v>
      </c>
      <c r="AZ556" t="s">
        <v>11221</v>
      </c>
      <c r="BB556" t="s">
        <v>11224</v>
      </c>
      <c r="BC556" t="s">
        <v>11272</v>
      </c>
      <c r="BE556" t="s">
        <v>12036</v>
      </c>
      <c r="BG556" t="s">
        <v>14490</v>
      </c>
      <c r="BM556" t="s">
        <v>15650</v>
      </c>
    </row>
    <row r="557" spans="1:65">
      <c r="A557" s="1">
        <f>HYPERLINK("https://lsnyc.legalserver.org/matter/dynamic-profile/view/1838878","17-1838878")</f>
        <v>0</v>
      </c>
      <c r="B557" t="s">
        <v>98</v>
      </c>
      <c r="C557" t="s">
        <v>246</v>
      </c>
      <c r="D557" t="s">
        <v>486</v>
      </c>
      <c r="F557" t="s">
        <v>1250</v>
      </c>
      <c r="G557" t="s">
        <v>3206</v>
      </c>
      <c r="H557" t="s">
        <v>4992</v>
      </c>
      <c r="I557" t="s">
        <v>6600</v>
      </c>
      <c r="J557" t="s">
        <v>7170</v>
      </c>
      <c r="K557">
        <v>10473</v>
      </c>
      <c r="N557" t="s">
        <v>7237</v>
      </c>
      <c r="O557" t="s">
        <v>7672</v>
      </c>
      <c r="P557">
        <v>1</v>
      </c>
      <c r="Q557">
        <v>0</v>
      </c>
      <c r="R557">
        <v>81.79000000000001</v>
      </c>
      <c r="S557" t="s">
        <v>10258</v>
      </c>
      <c r="U557">
        <v>9864</v>
      </c>
      <c r="W557">
        <v>0</v>
      </c>
      <c r="Y557" t="s">
        <v>10899</v>
      </c>
      <c r="AA557" t="s">
        <v>10974</v>
      </c>
      <c r="AB557" t="s">
        <v>10992</v>
      </c>
      <c r="AD557" t="s">
        <v>11096</v>
      </c>
      <c r="AF557" t="s">
        <v>11122</v>
      </c>
      <c r="AH557" t="s">
        <v>10974</v>
      </c>
      <c r="AJ557" t="s">
        <v>11139</v>
      </c>
      <c r="AK557" t="s">
        <v>7225</v>
      </c>
      <c r="AL557" t="s">
        <v>11150</v>
      </c>
      <c r="AM557">
        <v>0</v>
      </c>
      <c r="AO557">
        <v>976</v>
      </c>
      <c r="AQ557" t="s">
        <v>11157</v>
      </c>
      <c r="AS557" t="s">
        <v>11174</v>
      </c>
      <c r="AU557">
        <v>10</v>
      </c>
      <c r="AW557" t="s">
        <v>11187</v>
      </c>
      <c r="AZ557" t="s">
        <v>11221</v>
      </c>
      <c r="BE557" t="s">
        <v>12037</v>
      </c>
      <c r="BG557" t="s">
        <v>14487</v>
      </c>
      <c r="BM557" t="s">
        <v>15650</v>
      </c>
    </row>
    <row r="558" spans="1:65">
      <c r="A558" s="1">
        <f>HYPERLINK("https://lsnyc.legalserver.org/matter/dynamic-profile/view/1891409","19-1891409")</f>
        <v>0</v>
      </c>
      <c r="B558" t="s">
        <v>98</v>
      </c>
      <c r="C558" t="s">
        <v>246</v>
      </c>
      <c r="D558" t="s">
        <v>480</v>
      </c>
      <c r="F558" t="s">
        <v>1166</v>
      </c>
      <c r="G558" t="s">
        <v>3207</v>
      </c>
      <c r="H558" t="s">
        <v>4989</v>
      </c>
      <c r="I558" t="s">
        <v>6457</v>
      </c>
      <c r="J558" t="s">
        <v>7170</v>
      </c>
      <c r="K558">
        <v>10453</v>
      </c>
      <c r="N558" t="s">
        <v>7237</v>
      </c>
      <c r="O558" t="s">
        <v>7673</v>
      </c>
      <c r="P558">
        <v>1</v>
      </c>
      <c r="Q558">
        <v>0</v>
      </c>
      <c r="R558">
        <v>81.67</v>
      </c>
      <c r="U558">
        <v>10200</v>
      </c>
      <c r="W558">
        <v>0</v>
      </c>
      <c r="Y558" t="s">
        <v>216</v>
      </c>
      <c r="AA558" t="s">
        <v>10974</v>
      </c>
      <c r="AB558" t="s">
        <v>370</v>
      </c>
      <c r="AD558" t="s">
        <v>11101</v>
      </c>
      <c r="AF558" t="s">
        <v>11118</v>
      </c>
      <c r="AH558" t="s">
        <v>10974</v>
      </c>
      <c r="AJ558" t="s">
        <v>11141</v>
      </c>
      <c r="AK558" t="s">
        <v>7225</v>
      </c>
      <c r="AM558">
        <v>97</v>
      </c>
      <c r="AO558">
        <v>170</v>
      </c>
      <c r="AQ558" t="s">
        <v>11157</v>
      </c>
      <c r="AS558" t="s">
        <v>11174</v>
      </c>
      <c r="AU558">
        <v>35</v>
      </c>
      <c r="AW558" t="s">
        <v>11189</v>
      </c>
      <c r="AZ558" t="s">
        <v>11221</v>
      </c>
      <c r="BE558" t="s">
        <v>12038</v>
      </c>
      <c r="BG558" t="s">
        <v>14486</v>
      </c>
      <c r="BM558" t="s">
        <v>15650</v>
      </c>
    </row>
    <row r="559" spans="1:65">
      <c r="A559" s="1">
        <f>HYPERLINK("https://lsnyc.legalserver.org/matter/dynamic-profile/view/1891410","19-1891410")</f>
        <v>0</v>
      </c>
      <c r="B559" t="s">
        <v>98</v>
      </c>
      <c r="C559" t="s">
        <v>246</v>
      </c>
      <c r="D559" t="s">
        <v>480</v>
      </c>
      <c r="F559" t="s">
        <v>1166</v>
      </c>
      <c r="G559" t="s">
        <v>3207</v>
      </c>
      <c r="H559" t="s">
        <v>4989</v>
      </c>
      <c r="I559" t="s">
        <v>6457</v>
      </c>
      <c r="J559" t="s">
        <v>7170</v>
      </c>
      <c r="K559">
        <v>10453</v>
      </c>
      <c r="N559" t="s">
        <v>7237</v>
      </c>
      <c r="O559" t="s">
        <v>7673</v>
      </c>
      <c r="P559">
        <v>1</v>
      </c>
      <c r="Q559">
        <v>0</v>
      </c>
      <c r="R559">
        <v>81.67</v>
      </c>
      <c r="U559">
        <v>10200</v>
      </c>
      <c r="W559">
        <v>0</v>
      </c>
      <c r="Y559" t="s">
        <v>216</v>
      </c>
      <c r="AA559" t="s">
        <v>10974</v>
      </c>
      <c r="AB559" t="s">
        <v>896</v>
      </c>
      <c r="AD559" t="s">
        <v>11098</v>
      </c>
      <c r="AF559" t="s">
        <v>11122</v>
      </c>
      <c r="AH559" t="s">
        <v>10974</v>
      </c>
      <c r="AJ559" t="s">
        <v>11141</v>
      </c>
      <c r="AK559" t="s">
        <v>7225</v>
      </c>
      <c r="AM559">
        <v>97</v>
      </c>
      <c r="AO559">
        <v>170</v>
      </c>
      <c r="AQ559" t="s">
        <v>11157</v>
      </c>
      <c r="AS559" t="s">
        <v>11174</v>
      </c>
      <c r="AU559">
        <v>35</v>
      </c>
      <c r="AW559" t="s">
        <v>11189</v>
      </c>
      <c r="BA559" t="s">
        <v>11222</v>
      </c>
      <c r="BE559" t="s">
        <v>12038</v>
      </c>
      <c r="BF559" t="s">
        <v>14364</v>
      </c>
      <c r="BM559" t="s">
        <v>15650</v>
      </c>
    </row>
    <row r="560" spans="1:65">
      <c r="A560" s="1">
        <f>HYPERLINK("https://lsnyc.legalserver.org/matter/dynamic-profile/view/1876453","18-1876453")</f>
        <v>0</v>
      </c>
      <c r="B560" t="s">
        <v>98</v>
      </c>
      <c r="C560" t="s">
        <v>246</v>
      </c>
      <c r="D560" t="s">
        <v>491</v>
      </c>
      <c r="F560" t="s">
        <v>1202</v>
      </c>
      <c r="G560" t="s">
        <v>3205</v>
      </c>
      <c r="H560" t="s">
        <v>4988</v>
      </c>
      <c r="I560" t="s">
        <v>6502</v>
      </c>
      <c r="J560" t="s">
        <v>7170</v>
      </c>
      <c r="K560">
        <v>10456</v>
      </c>
      <c r="N560" t="s">
        <v>7237</v>
      </c>
      <c r="O560" t="s">
        <v>7671</v>
      </c>
      <c r="P560">
        <v>1</v>
      </c>
      <c r="Q560">
        <v>0</v>
      </c>
      <c r="R560">
        <v>81.25</v>
      </c>
      <c r="U560">
        <v>9864</v>
      </c>
      <c r="W560">
        <v>14.3</v>
      </c>
      <c r="X560" t="s">
        <v>585</v>
      </c>
      <c r="Y560" t="s">
        <v>216</v>
      </c>
      <c r="AA560" t="s">
        <v>10974</v>
      </c>
      <c r="AB560" t="s">
        <v>730</v>
      </c>
      <c r="AD560" t="s">
        <v>11098</v>
      </c>
      <c r="AF560" t="s">
        <v>11122</v>
      </c>
      <c r="AH560" t="s">
        <v>10974</v>
      </c>
      <c r="AJ560" t="s">
        <v>11141</v>
      </c>
      <c r="AK560" t="s">
        <v>7225</v>
      </c>
      <c r="AM560">
        <v>1243.51</v>
      </c>
      <c r="AO560">
        <v>61</v>
      </c>
      <c r="AQ560" t="s">
        <v>11157</v>
      </c>
      <c r="AS560" t="s">
        <v>11174</v>
      </c>
      <c r="AU560">
        <v>22</v>
      </c>
      <c r="AW560" t="s">
        <v>11187</v>
      </c>
      <c r="AZ560" t="s">
        <v>11221</v>
      </c>
      <c r="BB560" t="s">
        <v>11224</v>
      </c>
      <c r="BC560" t="s">
        <v>11272</v>
      </c>
      <c r="BE560" t="s">
        <v>12036</v>
      </c>
      <c r="BG560" t="s">
        <v>14496</v>
      </c>
      <c r="BM560" t="s">
        <v>15650</v>
      </c>
    </row>
    <row r="561" spans="1:65">
      <c r="A561" s="1">
        <f>HYPERLINK("https://lsnyc.legalserver.org/matter/dynamic-profile/view/1890995","19-1890995")</f>
        <v>0</v>
      </c>
      <c r="B561" t="s">
        <v>98</v>
      </c>
      <c r="C561" t="s">
        <v>246</v>
      </c>
      <c r="D561" t="s">
        <v>479</v>
      </c>
      <c r="F561" t="s">
        <v>1371</v>
      </c>
      <c r="G561" t="s">
        <v>3147</v>
      </c>
      <c r="H561" t="s">
        <v>4989</v>
      </c>
      <c r="I561" t="s">
        <v>6564</v>
      </c>
      <c r="J561" t="s">
        <v>7170</v>
      </c>
      <c r="K561">
        <v>10453</v>
      </c>
      <c r="N561" t="s">
        <v>7237</v>
      </c>
      <c r="O561" t="s">
        <v>7590</v>
      </c>
      <c r="P561">
        <v>1</v>
      </c>
      <c r="Q561">
        <v>0</v>
      </c>
      <c r="R561">
        <v>262.29</v>
      </c>
      <c r="U561">
        <v>32760</v>
      </c>
      <c r="W561">
        <v>0</v>
      </c>
      <c r="Y561" t="s">
        <v>10865</v>
      </c>
      <c r="AA561" t="s">
        <v>10974</v>
      </c>
      <c r="AB561" t="s">
        <v>370</v>
      </c>
      <c r="AD561" t="s">
        <v>11098</v>
      </c>
      <c r="AF561" t="s">
        <v>11122</v>
      </c>
      <c r="AH561" t="s">
        <v>10974</v>
      </c>
      <c r="AJ561" t="s">
        <v>11141</v>
      </c>
      <c r="AK561" t="s">
        <v>7225</v>
      </c>
      <c r="AM561">
        <v>685.95</v>
      </c>
      <c r="AO561">
        <v>167</v>
      </c>
      <c r="AQ561" t="s">
        <v>11157</v>
      </c>
      <c r="AS561" t="s">
        <v>11173</v>
      </c>
      <c r="AU561">
        <v>26</v>
      </c>
      <c r="AW561" t="s">
        <v>11187</v>
      </c>
      <c r="AZ561" t="s">
        <v>11221</v>
      </c>
      <c r="BE561" t="s">
        <v>11965</v>
      </c>
      <c r="BF561" t="s">
        <v>14364</v>
      </c>
      <c r="BM561" t="s">
        <v>15650</v>
      </c>
    </row>
    <row r="562" spans="1:65">
      <c r="A562" s="1">
        <f>HYPERLINK("https://lsnyc.legalserver.org/matter/dynamic-profile/view/1880585","18-1880585")</f>
        <v>0</v>
      </c>
      <c r="B562" t="s">
        <v>98</v>
      </c>
      <c r="C562" t="s">
        <v>246</v>
      </c>
      <c r="D562" t="s">
        <v>365</v>
      </c>
      <c r="F562" t="s">
        <v>1202</v>
      </c>
      <c r="G562" t="s">
        <v>3205</v>
      </c>
      <c r="H562" t="s">
        <v>4988</v>
      </c>
      <c r="I562" t="s">
        <v>6502</v>
      </c>
      <c r="J562" t="s">
        <v>7170</v>
      </c>
      <c r="K562">
        <v>10456</v>
      </c>
      <c r="N562" t="s">
        <v>7237</v>
      </c>
      <c r="O562" t="s">
        <v>7671</v>
      </c>
      <c r="P562">
        <v>1</v>
      </c>
      <c r="Q562">
        <v>0</v>
      </c>
      <c r="R562">
        <v>81.25</v>
      </c>
      <c r="U562">
        <v>9864</v>
      </c>
      <c r="W562">
        <v>10.2</v>
      </c>
      <c r="X562" t="s">
        <v>436</v>
      </c>
      <c r="Y562" t="s">
        <v>10865</v>
      </c>
      <c r="AA562" t="s">
        <v>10974</v>
      </c>
      <c r="AB562" t="s">
        <v>389</v>
      </c>
      <c r="AD562" t="s">
        <v>11098</v>
      </c>
      <c r="AF562" t="s">
        <v>11122</v>
      </c>
      <c r="AH562" t="s">
        <v>10974</v>
      </c>
      <c r="AJ562" t="s">
        <v>11141</v>
      </c>
      <c r="AK562" t="s">
        <v>7225</v>
      </c>
      <c r="AM562">
        <v>1243.51</v>
      </c>
      <c r="AO562">
        <v>61</v>
      </c>
      <c r="AQ562" t="s">
        <v>11157</v>
      </c>
      <c r="AS562" t="s">
        <v>11174</v>
      </c>
      <c r="AU562">
        <v>22</v>
      </c>
      <c r="AW562" t="s">
        <v>11187</v>
      </c>
      <c r="AZ562" t="s">
        <v>11221</v>
      </c>
      <c r="BB562" t="s">
        <v>11224</v>
      </c>
      <c r="BC562" t="s">
        <v>11272</v>
      </c>
      <c r="BE562" t="s">
        <v>12036</v>
      </c>
      <c r="BG562" t="s">
        <v>14489</v>
      </c>
      <c r="BM562" t="s">
        <v>15650</v>
      </c>
    </row>
    <row r="563" spans="1:65">
      <c r="A563" s="1">
        <f>HYPERLINK("https://lsnyc.legalserver.org/matter/dynamic-profile/view/0816846","16-0816846")</f>
        <v>0</v>
      </c>
      <c r="B563" t="s">
        <v>98</v>
      </c>
      <c r="C563" t="s">
        <v>246</v>
      </c>
      <c r="D563" t="s">
        <v>471</v>
      </c>
      <c r="F563" t="s">
        <v>1427</v>
      </c>
      <c r="G563" t="s">
        <v>2966</v>
      </c>
      <c r="H563" t="s">
        <v>4990</v>
      </c>
      <c r="J563" t="s">
        <v>7170</v>
      </c>
      <c r="K563">
        <v>10457</v>
      </c>
      <c r="N563" t="s">
        <v>7237</v>
      </c>
      <c r="O563" t="s">
        <v>7669</v>
      </c>
      <c r="P563">
        <v>1</v>
      </c>
      <c r="Q563">
        <v>0</v>
      </c>
      <c r="R563">
        <v>262.63</v>
      </c>
      <c r="S563" t="s">
        <v>10260</v>
      </c>
      <c r="U563">
        <v>31200</v>
      </c>
      <c r="W563">
        <v>0.5</v>
      </c>
      <c r="X563" t="s">
        <v>471</v>
      </c>
      <c r="Y563" t="s">
        <v>10899</v>
      </c>
      <c r="AA563" t="s">
        <v>10974</v>
      </c>
      <c r="AB563" t="s">
        <v>838</v>
      </c>
      <c r="AD563" t="s">
        <v>11096</v>
      </c>
      <c r="AF563" t="s">
        <v>11122</v>
      </c>
      <c r="AH563" t="s">
        <v>10974</v>
      </c>
      <c r="AJ563" t="s">
        <v>11130</v>
      </c>
      <c r="AK563" t="s">
        <v>7225</v>
      </c>
      <c r="AM563">
        <v>245</v>
      </c>
      <c r="AO563">
        <v>100</v>
      </c>
      <c r="AQ563" t="s">
        <v>11160</v>
      </c>
      <c r="AS563" t="s">
        <v>11173</v>
      </c>
      <c r="AU563">
        <v>25</v>
      </c>
      <c r="AW563" t="s">
        <v>11189</v>
      </c>
      <c r="AZ563" t="s">
        <v>11221</v>
      </c>
      <c r="BE563" t="s">
        <v>12034</v>
      </c>
      <c r="BF563" t="s">
        <v>14364</v>
      </c>
      <c r="BG563" t="s">
        <v>14498</v>
      </c>
      <c r="BM563" t="s">
        <v>15650</v>
      </c>
    </row>
    <row r="564" spans="1:65">
      <c r="A564" s="1">
        <f>HYPERLINK("https://lsnyc.legalserver.org/matter/dynamic-profile/view/1889983","19-1889983")</f>
        <v>0</v>
      </c>
      <c r="B564" t="s">
        <v>98</v>
      </c>
      <c r="C564" t="s">
        <v>246</v>
      </c>
      <c r="D564" t="s">
        <v>482</v>
      </c>
      <c r="F564" t="s">
        <v>1235</v>
      </c>
      <c r="G564" t="s">
        <v>3204</v>
      </c>
      <c r="H564" t="s">
        <v>4989</v>
      </c>
      <c r="I564" t="s">
        <v>6598</v>
      </c>
      <c r="J564" t="s">
        <v>7170</v>
      </c>
      <c r="K564">
        <v>10453</v>
      </c>
      <c r="N564" t="s">
        <v>7237</v>
      </c>
      <c r="O564" t="s">
        <v>7668</v>
      </c>
      <c r="P564">
        <v>1</v>
      </c>
      <c r="Q564">
        <v>0</v>
      </c>
      <c r="R564">
        <v>255.8</v>
      </c>
      <c r="U564">
        <v>31950</v>
      </c>
      <c r="W564">
        <v>0</v>
      </c>
      <c r="Y564" t="s">
        <v>10865</v>
      </c>
      <c r="AA564" t="s">
        <v>10974</v>
      </c>
      <c r="AB564" t="s">
        <v>370</v>
      </c>
      <c r="AD564" t="s">
        <v>11098</v>
      </c>
      <c r="AF564" t="s">
        <v>11122</v>
      </c>
      <c r="AH564" t="s">
        <v>10974</v>
      </c>
      <c r="AJ564" t="s">
        <v>11141</v>
      </c>
      <c r="AK564" t="s">
        <v>7225</v>
      </c>
      <c r="AM564">
        <v>692.1</v>
      </c>
      <c r="AO564">
        <v>167</v>
      </c>
      <c r="AQ564" t="s">
        <v>11157</v>
      </c>
      <c r="AS564" t="s">
        <v>11175</v>
      </c>
      <c r="AU564">
        <v>30</v>
      </c>
      <c r="AW564" t="s">
        <v>11187</v>
      </c>
      <c r="AZ564" t="s">
        <v>11221</v>
      </c>
      <c r="BE564" t="s">
        <v>12033</v>
      </c>
      <c r="BF564" t="s">
        <v>14364</v>
      </c>
      <c r="BM564" t="s">
        <v>15650</v>
      </c>
    </row>
    <row r="565" spans="1:65">
      <c r="A565" s="1">
        <f>HYPERLINK("https://lsnyc.legalserver.org/matter/dynamic-profile/view/1875670","18-1875670")</f>
        <v>0</v>
      </c>
      <c r="B565" t="s">
        <v>98</v>
      </c>
      <c r="C565" t="s">
        <v>246</v>
      </c>
      <c r="D565" t="s">
        <v>518</v>
      </c>
      <c r="F565" t="s">
        <v>1429</v>
      </c>
      <c r="G565" t="s">
        <v>2877</v>
      </c>
      <c r="H565" t="s">
        <v>5007</v>
      </c>
      <c r="I565" t="s">
        <v>6477</v>
      </c>
      <c r="J565" t="s">
        <v>7170</v>
      </c>
      <c r="K565">
        <v>10468</v>
      </c>
      <c r="N565" t="s">
        <v>7237</v>
      </c>
      <c r="O565" t="s">
        <v>7674</v>
      </c>
      <c r="P565">
        <v>2</v>
      </c>
      <c r="Q565">
        <v>1</v>
      </c>
      <c r="R565">
        <v>224.52</v>
      </c>
      <c r="U565">
        <v>46656</v>
      </c>
      <c r="W565">
        <v>0</v>
      </c>
      <c r="Y565" t="s">
        <v>10865</v>
      </c>
      <c r="AA565" t="s">
        <v>10974</v>
      </c>
      <c r="AB565" t="s">
        <v>597</v>
      </c>
      <c r="AD565" t="s">
        <v>11098</v>
      </c>
      <c r="AF565" t="s">
        <v>11120</v>
      </c>
      <c r="AH565" t="s">
        <v>10974</v>
      </c>
      <c r="AJ565" t="s">
        <v>11141</v>
      </c>
      <c r="AK565" t="s">
        <v>7225</v>
      </c>
      <c r="AM565">
        <v>2213</v>
      </c>
      <c r="AO565">
        <v>58</v>
      </c>
      <c r="AQ565" t="s">
        <v>11157</v>
      </c>
      <c r="AS565" t="s">
        <v>11173</v>
      </c>
      <c r="AU565">
        <v>1</v>
      </c>
      <c r="AW565" t="s">
        <v>11189</v>
      </c>
      <c r="AZ565" t="s">
        <v>11221</v>
      </c>
      <c r="BD565" t="s">
        <v>11667</v>
      </c>
      <c r="BF565" t="s">
        <v>14364</v>
      </c>
      <c r="BM565" t="s">
        <v>15650</v>
      </c>
    </row>
    <row r="566" spans="1:65">
      <c r="A566" s="1">
        <f>HYPERLINK("https://lsnyc.legalserver.org/matter/dynamic-profile/view/1891900","19-1891900")</f>
        <v>0</v>
      </c>
      <c r="B566" t="s">
        <v>98</v>
      </c>
      <c r="C566" t="s">
        <v>246</v>
      </c>
      <c r="D566" t="s">
        <v>480</v>
      </c>
      <c r="F566" t="s">
        <v>1303</v>
      </c>
      <c r="G566" t="s">
        <v>3203</v>
      </c>
      <c r="H566" t="s">
        <v>4995</v>
      </c>
      <c r="J566" t="s">
        <v>7170</v>
      </c>
      <c r="K566">
        <v>10453</v>
      </c>
      <c r="N566" t="s">
        <v>7237</v>
      </c>
      <c r="O566" t="s">
        <v>7667</v>
      </c>
      <c r="P566">
        <v>1</v>
      </c>
      <c r="Q566">
        <v>0</v>
      </c>
      <c r="R566">
        <v>84.06999999999999</v>
      </c>
      <c r="U566">
        <v>10500</v>
      </c>
      <c r="W566">
        <v>0</v>
      </c>
      <c r="Y566" t="s">
        <v>93</v>
      </c>
      <c r="AA566" t="s">
        <v>10974</v>
      </c>
      <c r="AB566" t="s">
        <v>370</v>
      </c>
      <c r="AD566" t="s">
        <v>11101</v>
      </c>
      <c r="AF566" t="s">
        <v>11118</v>
      </c>
      <c r="AH566" t="s">
        <v>10974</v>
      </c>
      <c r="AJ566" t="s">
        <v>11134</v>
      </c>
      <c r="AK566" t="s">
        <v>7225</v>
      </c>
      <c r="AM566">
        <v>1069.18</v>
      </c>
      <c r="AO566">
        <v>170</v>
      </c>
      <c r="AQ566" t="s">
        <v>11157</v>
      </c>
      <c r="AS566" t="s">
        <v>11174</v>
      </c>
      <c r="AU566">
        <v>33</v>
      </c>
      <c r="AW566" t="s">
        <v>11187</v>
      </c>
      <c r="AZ566" t="s">
        <v>11221</v>
      </c>
      <c r="BE566" t="s">
        <v>12032</v>
      </c>
      <c r="BG566" t="s">
        <v>14486</v>
      </c>
      <c r="BM566" t="s">
        <v>15650</v>
      </c>
    </row>
    <row r="567" spans="1:65">
      <c r="A567" s="1">
        <f>HYPERLINK("https://lsnyc.legalserver.org/matter/dynamic-profile/view/1894099","19-1894099")</f>
        <v>0</v>
      </c>
      <c r="B567" t="s">
        <v>98</v>
      </c>
      <c r="C567" t="s">
        <v>246</v>
      </c>
      <c r="D567" t="s">
        <v>505</v>
      </c>
      <c r="F567" t="s">
        <v>1418</v>
      </c>
      <c r="G567" t="s">
        <v>1149</v>
      </c>
      <c r="H567" t="s">
        <v>4989</v>
      </c>
      <c r="I567" t="s">
        <v>6601</v>
      </c>
      <c r="J567" t="s">
        <v>7170</v>
      </c>
      <c r="K567">
        <v>10453</v>
      </c>
      <c r="N567" t="s">
        <v>7237</v>
      </c>
      <c r="O567" t="s">
        <v>7675</v>
      </c>
      <c r="P567">
        <v>1</v>
      </c>
      <c r="Q567">
        <v>0</v>
      </c>
      <c r="R567">
        <v>240.19</v>
      </c>
      <c r="U567">
        <v>30000</v>
      </c>
      <c r="W567">
        <v>0</v>
      </c>
      <c r="Y567" t="s">
        <v>10865</v>
      </c>
      <c r="AA567" t="s">
        <v>10974</v>
      </c>
      <c r="AB567" t="s">
        <v>370</v>
      </c>
      <c r="AD567" t="s">
        <v>11101</v>
      </c>
      <c r="AF567" t="s">
        <v>11118</v>
      </c>
      <c r="AH567" t="s">
        <v>10974</v>
      </c>
      <c r="AJ567" t="s">
        <v>11141</v>
      </c>
      <c r="AK567" t="s">
        <v>7225</v>
      </c>
      <c r="AM567">
        <v>956</v>
      </c>
      <c r="AO567">
        <v>167</v>
      </c>
      <c r="AQ567" t="s">
        <v>11157</v>
      </c>
      <c r="AS567" t="s">
        <v>11173</v>
      </c>
      <c r="AU567">
        <v>20</v>
      </c>
      <c r="AW567" t="s">
        <v>11187</v>
      </c>
      <c r="AZ567" t="s">
        <v>11221</v>
      </c>
      <c r="BE567" t="s">
        <v>12039</v>
      </c>
      <c r="BG567" t="s">
        <v>14486</v>
      </c>
      <c r="BM567" t="s">
        <v>15650</v>
      </c>
    </row>
    <row r="568" spans="1:65">
      <c r="A568" s="1">
        <f>HYPERLINK("https://lsnyc.legalserver.org/matter/dynamic-profile/view/1891937","19-1891937")</f>
        <v>0</v>
      </c>
      <c r="B568" t="s">
        <v>98</v>
      </c>
      <c r="C568" t="s">
        <v>246</v>
      </c>
      <c r="D568" t="s">
        <v>425</v>
      </c>
      <c r="F568" t="s">
        <v>1423</v>
      </c>
      <c r="G568" t="s">
        <v>3195</v>
      </c>
      <c r="H568" t="s">
        <v>4995</v>
      </c>
      <c r="I568" t="s">
        <v>6594</v>
      </c>
      <c r="J568" t="s">
        <v>7170</v>
      </c>
      <c r="K568">
        <v>10453</v>
      </c>
      <c r="N568" t="s">
        <v>7237</v>
      </c>
      <c r="O568" t="s">
        <v>7657</v>
      </c>
      <c r="P568">
        <v>2</v>
      </c>
      <c r="Q568">
        <v>0</v>
      </c>
      <c r="R568">
        <v>74.98999999999999</v>
      </c>
      <c r="U568">
        <v>12680</v>
      </c>
      <c r="W568">
        <v>0</v>
      </c>
      <c r="Y568" t="s">
        <v>93</v>
      </c>
      <c r="AA568" t="s">
        <v>10974</v>
      </c>
      <c r="AB568" t="s">
        <v>370</v>
      </c>
      <c r="AD568" t="s">
        <v>11101</v>
      </c>
      <c r="AF568" t="s">
        <v>11118</v>
      </c>
      <c r="AH568" t="s">
        <v>10974</v>
      </c>
      <c r="AJ568" t="s">
        <v>11141</v>
      </c>
      <c r="AK568" t="s">
        <v>7225</v>
      </c>
      <c r="AM568">
        <v>1474</v>
      </c>
      <c r="AO568">
        <v>170</v>
      </c>
      <c r="AQ568" t="s">
        <v>11157</v>
      </c>
      <c r="AS568" t="s">
        <v>11173</v>
      </c>
      <c r="AU568">
        <v>1</v>
      </c>
      <c r="AW568" t="s">
        <v>11187</v>
      </c>
      <c r="AZ568" t="s">
        <v>11221</v>
      </c>
      <c r="BB568" t="s">
        <v>11224</v>
      </c>
      <c r="BC568" t="s">
        <v>11273</v>
      </c>
      <c r="BD568" t="s">
        <v>11667</v>
      </c>
      <c r="BG568" t="s">
        <v>14486</v>
      </c>
      <c r="BM568" t="s">
        <v>15650</v>
      </c>
    </row>
    <row r="569" spans="1:65">
      <c r="A569" s="1">
        <f>HYPERLINK("https://lsnyc.legalserver.org/matter/dynamic-profile/view/0800087","16-0800087")</f>
        <v>0</v>
      </c>
      <c r="B569" t="s">
        <v>98</v>
      </c>
      <c r="C569" t="s">
        <v>246</v>
      </c>
      <c r="D569" t="s">
        <v>507</v>
      </c>
      <c r="F569" t="s">
        <v>1409</v>
      </c>
      <c r="G569" t="s">
        <v>3182</v>
      </c>
      <c r="H569" t="s">
        <v>4990</v>
      </c>
      <c r="I569" t="s">
        <v>6448</v>
      </c>
      <c r="J569" t="s">
        <v>7170</v>
      </c>
      <c r="K569">
        <v>10457</v>
      </c>
      <c r="M569" t="s">
        <v>7225</v>
      </c>
      <c r="N569" t="s">
        <v>7237</v>
      </c>
      <c r="O569" t="s">
        <v>7639</v>
      </c>
      <c r="P569">
        <v>1</v>
      </c>
      <c r="Q569">
        <v>0</v>
      </c>
      <c r="R569">
        <v>225.64</v>
      </c>
      <c r="S569" t="s">
        <v>10260</v>
      </c>
      <c r="U569">
        <v>26806</v>
      </c>
      <c r="W569">
        <v>0</v>
      </c>
      <c r="Y569" t="s">
        <v>138</v>
      </c>
      <c r="AA569" t="s">
        <v>10974</v>
      </c>
      <c r="AB569" t="s">
        <v>510</v>
      </c>
      <c r="AD569" t="s">
        <v>11096</v>
      </c>
      <c r="AF569" t="s">
        <v>11122</v>
      </c>
      <c r="AH569" t="s">
        <v>10974</v>
      </c>
      <c r="AJ569" t="s">
        <v>11130</v>
      </c>
      <c r="AK569" t="s">
        <v>7225</v>
      </c>
      <c r="AM569">
        <v>1051</v>
      </c>
      <c r="AN569" t="s">
        <v>11151</v>
      </c>
      <c r="AO569" t="s">
        <v>11153</v>
      </c>
      <c r="AQ569" t="s">
        <v>11157</v>
      </c>
      <c r="AS569" t="s">
        <v>11173</v>
      </c>
      <c r="AU569">
        <v>36</v>
      </c>
      <c r="AW569" t="s">
        <v>11187</v>
      </c>
      <c r="AZ569" t="s">
        <v>11221</v>
      </c>
      <c r="BE569" t="s">
        <v>12008</v>
      </c>
      <c r="BF569" t="s">
        <v>14364</v>
      </c>
      <c r="BM569" t="s">
        <v>15650</v>
      </c>
    </row>
    <row r="570" spans="1:65">
      <c r="A570" s="1">
        <f>HYPERLINK("https://lsnyc.legalserver.org/matter/dynamic-profile/view/0816934","16-0816934")</f>
        <v>0</v>
      </c>
      <c r="B570" t="s">
        <v>98</v>
      </c>
      <c r="C570" t="s">
        <v>246</v>
      </c>
      <c r="D570" t="s">
        <v>494</v>
      </c>
      <c r="F570" t="s">
        <v>1409</v>
      </c>
      <c r="G570" t="s">
        <v>3182</v>
      </c>
      <c r="H570" t="s">
        <v>4990</v>
      </c>
      <c r="I570" t="s">
        <v>6448</v>
      </c>
      <c r="J570" t="s">
        <v>7170</v>
      </c>
      <c r="K570">
        <v>10457</v>
      </c>
      <c r="N570" t="s">
        <v>7237</v>
      </c>
      <c r="O570" t="s">
        <v>7639</v>
      </c>
      <c r="P570">
        <v>1</v>
      </c>
      <c r="Q570">
        <v>0</v>
      </c>
      <c r="R570">
        <v>225.64</v>
      </c>
      <c r="S570" t="s">
        <v>10260</v>
      </c>
      <c r="U570">
        <v>26806</v>
      </c>
      <c r="W570">
        <v>0.5</v>
      </c>
      <c r="X570" t="s">
        <v>494</v>
      </c>
      <c r="Y570" t="s">
        <v>10899</v>
      </c>
      <c r="AA570" t="s">
        <v>10974</v>
      </c>
      <c r="AB570" t="s">
        <v>838</v>
      </c>
      <c r="AD570" t="s">
        <v>11096</v>
      </c>
      <c r="AF570" t="s">
        <v>11122</v>
      </c>
      <c r="AH570" t="s">
        <v>10974</v>
      </c>
      <c r="AJ570" t="s">
        <v>11130</v>
      </c>
      <c r="AK570" t="s">
        <v>7225</v>
      </c>
      <c r="AM570">
        <v>1051</v>
      </c>
      <c r="AO570">
        <v>100</v>
      </c>
      <c r="AQ570" t="s">
        <v>11157</v>
      </c>
      <c r="AS570" t="s">
        <v>11173</v>
      </c>
      <c r="AU570">
        <v>36</v>
      </c>
      <c r="AW570" t="s">
        <v>11187</v>
      </c>
      <c r="AZ570" t="s">
        <v>11221</v>
      </c>
      <c r="BE570" t="s">
        <v>12008</v>
      </c>
      <c r="BF570" t="s">
        <v>14364</v>
      </c>
      <c r="BG570" t="s">
        <v>14485</v>
      </c>
      <c r="BM570" t="s">
        <v>15650</v>
      </c>
    </row>
    <row r="571" spans="1:65">
      <c r="A571" s="1">
        <f>HYPERLINK("https://lsnyc.legalserver.org/matter/dynamic-profile/view/0800084","16-0800084")</f>
        <v>0</v>
      </c>
      <c r="B571" t="s">
        <v>98</v>
      </c>
      <c r="C571" t="s">
        <v>246</v>
      </c>
      <c r="D571" t="s">
        <v>507</v>
      </c>
      <c r="F571" t="s">
        <v>1409</v>
      </c>
      <c r="G571" t="s">
        <v>3182</v>
      </c>
      <c r="H571" t="s">
        <v>4990</v>
      </c>
      <c r="I571" t="s">
        <v>6448</v>
      </c>
      <c r="J571" t="s">
        <v>7170</v>
      </c>
      <c r="K571">
        <v>10457</v>
      </c>
      <c r="M571" t="s">
        <v>7225</v>
      </c>
      <c r="N571" t="s">
        <v>7237</v>
      </c>
      <c r="O571" t="s">
        <v>7639</v>
      </c>
      <c r="P571">
        <v>1</v>
      </c>
      <c r="Q571">
        <v>0</v>
      </c>
      <c r="R571">
        <v>225.64</v>
      </c>
      <c r="S571" t="s">
        <v>10260</v>
      </c>
      <c r="U571">
        <v>26806</v>
      </c>
      <c r="W571">
        <v>1.5</v>
      </c>
      <c r="X571" t="s">
        <v>1021</v>
      </c>
      <c r="Y571" t="s">
        <v>138</v>
      </c>
      <c r="AA571" t="s">
        <v>10974</v>
      </c>
      <c r="AB571" t="s">
        <v>510</v>
      </c>
      <c r="AD571" t="s">
        <v>11107</v>
      </c>
      <c r="AF571" t="s">
        <v>11118</v>
      </c>
      <c r="AH571" t="s">
        <v>10974</v>
      </c>
      <c r="AJ571" t="s">
        <v>11130</v>
      </c>
      <c r="AK571" t="s">
        <v>7225</v>
      </c>
      <c r="AM571">
        <v>1051</v>
      </c>
      <c r="AN571" t="s">
        <v>11151</v>
      </c>
      <c r="AO571" t="s">
        <v>11153</v>
      </c>
      <c r="AQ571" t="s">
        <v>11157</v>
      </c>
      <c r="AS571" t="s">
        <v>11173</v>
      </c>
      <c r="AU571">
        <v>36</v>
      </c>
      <c r="AW571" t="s">
        <v>11187</v>
      </c>
      <c r="AZ571" t="s">
        <v>11221</v>
      </c>
      <c r="BE571" t="s">
        <v>12008</v>
      </c>
      <c r="BF571" t="s">
        <v>14364</v>
      </c>
      <c r="BG571" t="s">
        <v>14498</v>
      </c>
      <c r="BM571" t="s">
        <v>15650</v>
      </c>
    </row>
    <row r="572" spans="1:65">
      <c r="A572" s="1">
        <f>HYPERLINK("https://lsnyc.legalserver.org/matter/dynamic-profile/view/0821575","16-0821575")</f>
        <v>0</v>
      </c>
      <c r="B572" t="s">
        <v>98</v>
      </c>
      <c r="C572" t="s">
        <v>246</v>
      </c>
      <c r="D572" t="s">
        <v>514</v>
      </c>
      <c r="F572" t="s">
        <v>1430</v>
      </c>
      <c r="G572" t="s">
        <v>3208</v>
      </c>
      <c r="H572" t="s">
        <v>4972</v>
      </c>
      <c r="I572" t="s">
        <v>6584</v>
      </c>
      <c r="J572" t="s">
        <v>7170</v>
      </c>
      <c r="K572">
        <v>10452</v>
      </c>
      <c r="N572" t="s">
        <v>7237</v>
      </c>
      <c r="O572" t="s">
        <v>7676</v>
      </c>
      <c r="P572">
        <v>2</v>
      </c>
      <c r="Q572">
        <v>0</v>
      </c>
      <c r="R572">
        <v>227.22</v>
      </c>
      <c r="U572">
        <v>36400</v>
      </c>
      <c r="W572">
        <v>0</v>
      </c>
      <c r="Y572" t="s">
        <v>10899</v>
      </c>
      <c r="AA572" t="s">
        <v>10974</v>
      </c>
      <c r="AB572" t="s">
        <v>514</v>
      </c>
      <c r="AD572" t="s">
        <v>11096</v>
      </c>
      <c r="AF572" t="s">
        <v>11122</v>
      </c>
      <c r="AH572" t="s">
        <v>10974</v>
      </c>
      <c r="AJ572" t="s">
        <v>11141</v>
      </c>
      <c r="AK572" t="s">
        <v>7225</v>
      </c>
      <c r="AM572">
        <v>839.1</v>
      </c>
      <c r="AO572">
        <v>63</v>
      </c>
      <c r="AQ572" t="s">
        <v>11157</v>
      </c>
      <c r="AS572" t="s">
        <v>11173</v>
      </c>
      <c r="AU572">
        <v>28</v>
      </c>
      <c r="AW572" t="s">
        <v>11187</v>
      </c>
      <c r="AZ572" t="s">
        <v>11221</v>
      </c>
      <c r="BE572" t="s">
        <v>12040</v>
      </c>
      <c r="BF572" t="s">
        <v>14364</v>
      </c>
      <c r="BM572" t="s">
        <v>15650</v>
      </c>
    </row>
    <row r="573" spans="1:65">
      <c r="A573" s="1">
        <f>HYPERLINK("https://lsnyc.legalserver.org/matter/dynamic-profile/view/0821577","16-0821577")</f>
        <v>0</v>
      </c>
      <c r="B573" t="s">
        <v>98</v>
      </c>
      <c r="C573" t="s">
        <v>246</v>
      </c>
      <c r="D573" t="s">
        <v>474</v>
      </c>
      <c r="F573" t="s">
        <v>1430</v>
      </c>
      <c r="G573" t="s">
        <v>3208</v>
      </c>
      <c r="H573" t="s">
        <v>4972</v>
      </c>
      <c r="I573" t="s">
        <v>6584</v>
      </c>
      <c r="J573" t="s">
        <v>7170</v>
      </c>
      <c r="K573">
        <v>10452</v>
      </c>
      <c r="N573" t="s">
        <v>7237</v>
      </c>
      <c r="O573" t="s">
        <v>7676</v>
      </c>
      <c r="P573">
        <v>2</v>
      </c>
      <c r="Q573">
        <v>0</v>
      </c>
      <c r="R573">
        <v>227.22</v>
      </c>
      <c r="U573">
        <v>62400</v>
      </c>
      <c r="W573">
        <v>0</v>
      </c>
      <c r="Y573" t="s">
        <v>10899</v>
      </c>
      <c r="AA573" t="s">
        <v>10974</v>
      </c>
      <c r="AB573" t="s">
        <v>474</v>
      </c>
      <c r="AD573" t="s">
        <v>11096</v>
      </c>
      <c r="AF573" t="s">
        <v>11122</v>
      </c>
      <c r="AH573" t="s">
        <v>10974</v>
      </c>
      <c r="AJ573" t="s">
        <v>11141</v>
      </c>
      <c r="AK573" t="s">
        <v>7225</v>
      </c>
      <c r="AM573">
        <v>839.1</v>
      </c>
      <c r="AO573">
        <v>63</v>
      </c>
      <c r="AQ573" t="s">
        <v>11157</v>
      </c>
      <c r="AS573" t="s">
        <v>11173</v>
      </c>
      <c r="AU573">
        <v>28</v>
      </c>
      <c r="AW573" t="s">
        <v>11187</v>
      </c>
      <c r="AZ573" t="s">
        <v>11221</v>
      </c>
      <c r="BE573" t="s">
        <v>12040</v>
      </c>
      <c r="BF573" t="s">
        <v>14364</v>
      </c>
      <c r="BM573" t="s">
        <v>15650</v>
      </c>
    </row>
    <row r="574" spans="1:65">
      <c r="A574" s="1">
        <f>HYPERLINK("https://lsnyc.legalserver.org/matter/dynamic-profile/view/1838120","17-1838120")</f>
        <v>0</v>
      </c>
      <c r="B574" t="s">
        <v>98</v>
      </c>
      <c r="C574" t="s">
        <v>246</v>
      </c>
      <c r="D574" t="s">
        <v>504</v>
      </c>
      <c r="F574" t="s">
        <v>1155</v>
      </c>
      <c r="G574" t="s">
        <v>3209</v>
      </c>
      <c r="H574" t="s">
        <v>4993</v>
      </c>
      <c r="I574" t="s">
        <v>6602</v>
      </c>
      <c r="J574" t="s">
        <v>7170</v>
      </c>
      <c r="K574">
        <v>10473</v>
      </c>
      <c r="N574" t="s">
        <v>7237</v>
      </c>
      <c r="O574" t="s">
        <v>7677</v>
      </c>
      <c r="P574">
        <v>1</v>
      </c>
      <c r="Q574">
        <v>0</v>
      </c>
      <c r="R574">
        <v>398.01</v>
      </c>
      <c r="U574">
        <v>48000</v>
      </c>
      <c r="W574">
        <v>0</v>
      </c>
      <c r="Y574" t="s">
        <v>10899</v>
      </c>
      <c r="AA574" t="s">
        <v>10974</v>
      </c>
      <c r="AB574" t="s">
        <v>813</v>
      </c>
      <c r="AD574" t="s">
        <v>11096</v>
      </c>
      <c r="AF574" t="s">
        <v>11122</v>
      </c>
      <c r="AH574" t="s">
        <v>10974</v>
      </c>
      <c r="AI574" t="s">
        <v>11126</v>
      </c>
      <c r="AK574" t="s">
        <v>7225</v>
      </c>
      <c r="AM574">
        <v>1541.95</v>
      </c>
      <c r="AO574">
        <v>225</v>
      </c>
      <c r="AQ574" t="s">
        <v>11157</v>
      </c>
      <c r="AR574" t="s">
        <v>11172</v>
      </c>
      <c r="AU574">
        <v>1</v>
      </c>
      <c r="AW574" t="s">
        <v>11187</v>
      </c>
      <c r="AZ574" t="s">
        <v>11221</v>
      </c>
      <c r="BE574" t="s">
        <v>12041</v>
      </c>
      <c r="BG574" t="s">
        <v>14488</v>
      </c>
      <c r="BM574" t="s">
        <v>15650</v>
      </c>
    </row>
    <row r="575" spans="1:65">
      <c r="A575" s="1">
        <f>HYPERLINK("https://lsnyc.legalserver.org/matter/dynamic-profile/view/1892569","19-1892569")</f>
        <v>0</v>
      </c>
      <c r="B575" t="s">
        <v>98</v>
      </c>
      <c r="C575" t="s">
        <v>246</v>
      </c>
      <c r="D575" t="s">
        <v>403</v>
      </c>
      <c r="F575" t="s">
        <v>1431</v>
      </c>
      <c r="G575" t="s">
        <v>3210</v>
      </c>
      <c r="H575" t="s">
        <v>4989</v>
      </c>
      <c r="I575" t="s">
        <v>6525</v>
      </c>
      <c r="J575" t="s">
        <v>7170</v>
      </c>
      <c r="K575">
        <v>10453</v>
      </c>
      <c r="N575" t="s">
        <v>7237</v>
      </c>
      <c r="O575" t="s">
        <v>7678</v>
      </c>
      <c r="P575">
        <v>2</v>
      </c>
      <c r="Q575">
        <v>0</v>
      </c>
      <c r="R575">
        <v>399.76</v>
      </c>
      <c r="U575">
        <v>67600</v>
      </c>
      <c r="W575">
        <v>0</v>
      </c>
      <c r="Y575" t="s">
        <v>10897</v>
      </c>
      <c r="AA575" t="s">
        <v>10974</v>
      </c>
      <c r="AB575" t="s">
        <v>370</v>
      </c>
      <c r="AD575" t="s">
        <v>11101</v>
      </c>
      <c r="AF575" t="s">
        <v>11118</v>
      </c>
      <c r="AH575" t="s">
        <v>10974</v>
      </c>
      <c r="AJ575" t="s">
        <v>11134</v>
      </c>
      <c r="AK575" t="s">
        <v>7225</v>
      </c>
      <c r="AM575">
        <v>1044</v>
      </c>
      <c r="AO575">
        <v>170</v>
      </c>
      <c r="AQ575" t="s">
        <v>11157</v>
      </c>
      <c r="AS575" t="s">
        <v>11173</v>
      </c>
      <c r="AU575">
        <v>25</v>
      </c>
      <c r="AW575" t="s">
        <v>11187</v>
      </c>
      <c r="AZ575" t="s">
        <v>11221</v>
      </c>
      <c r="BE575" t="s">
        <v>12042</v>
      </c>
      <c r="BG575" t="s">
        <v>14486</v>
      </c>
      <c r="BM575" t="s">
        <v>15650</v>
      </c>
    </row>
    <row r="576" spans="1:65">
      <c r="A576" s="1">
        <f>HYPERLINK("https://lsnyc.legalserver.org/matter/dynamic-profile/view/1889389","19-1889389")</f>
        <v>0</v>
      </c>
      <c r="B576" t="s">
        <v>98</v>
      </c>
      <c r="C576" t="s">
        <v>246</v>
      </c>
      <c r="D576" t="s">
        <v>318</v>
      </c>
      <c r="F576" t="s">
        <v>1219</v>
      </c>
      <c r="G576" t="s">
        <v>3198</v>
      </c>
      <c r="H576" t="s">
        <v>4988</v>
      </c>
      <c r="I576" t="s">
        <v>6596</v>
      </c>
      <c r="J576" t="s">
        <v>7170</v>
      </c>
      <c r="K576">
        <v>10456</v>
      </c>
      <c r="N576" t="s">
        <v>7237</v>
      </c>
      <c r="O576" t="s">
        <v>7661</v>
      </c>
      <c r="P576">
        <v>2</v>
      </c>
      <c r="Q576">
        <v>0</v>
      </c>
      <c r="R576">
        <v>75.86</v>
      </c>
      <c r="U576">
        <v>12828</v>
      </c>
      <c r="W576">
        <v>0</v>
      </c>
      <c r="Y576" t="s">
        <v>216</v>
      </c>
      <c r="AA576" t="s">
        <v>10974</v>
      </c>
      <c r="AB576" t="s">
        <v>389</v>
      </c>
      <c r="AD576" t="s">
        <v>11098</v>
      </c>
      <c r="AF576" t="s">
        <v>11122</v>
      </c>
      <c r="AH576" t="s">
        <v>10974</v>
      </c>
      <c r="AJ576" t="s">
        <v>11141</v>
      </c>
      <c r="AK576" t="s">
        <v>7225</v>
      </c>
      <c r="AM576">
        <v>1119.98</v>
      </c>
      <c r="AO576">
        <v>61</v>
      </c>
      <c r="AQ576" t="s">
        <v>11157</v>
      </c>
      <c r="AS576" t="s">
        <v>11173</v>
      </c>
      <c r="AU576">
        <v>43</v>
      </c>
      <c r="AW576" t="s">
        <v>11189</v>
      </c>
      <c r="AZ576" t="s">
        <v>11221</v>
      </c>
      <c r="BE576" t="s">
        <v>12026</v>
      </c>
      <c r="BG576" t="s">
        <v>14496</v>
      </c>
      <c r="BM576" t="s">
        <v>15650</v>
      </c>
    </row>
    <row r="577" spans="1:65">
      <c r="A577" s="1">
        <f>HYPERLINK("https://lsnyc.legalserver.org/matter/dynamic-profile/view/0821992","16-0821992")</f>
        <v>0</v>
      </c>
      <c r="B577" t="s">
        <v>98</v>
      </c>
      <c r="C577" t="s">
        <v>246</v>
      </c>
      <c r="D577" t="s">
        <v>481</v>
      </c>
      <c r="F577" t="s">
        <v>1432</v>
      </c>
      <c r="G577" t="s">
        <v>3032</v>
      </c>
      <c r="H577" t="s">
        <v>4972</v>
      </c>
      <c r="I577" t="s">
        <v>6415</v>
      </c>
      <c r="J577" t="s">
        <v>7170</v>
      </c>
      <c r="K577">
        <v>10452</v>
      </c>
      <c r="N577" t="s">
        <v>7237</v>
      </c>
      <c r="O577" t="s">
        <v>7679</v>
      </c>
      <c r="P577">
        <v>1</v>
      </c>
      <c r="Q577">
        <v>0</v>
      </c>
      <c r="R577">
        <v>76.36</v>
      </c>
      <c r="U577">
        <v>9072</v>
      </c>
      <c r="W577">
        <v>0</v>
      </c>
      <c r="Y577" t="s">
        <v>10899</v>
      </c>
      <c r="AA577" t="s">
        <v>10974</v>
      </c>
      <c r="AB577" t="s">
        <v>481</v>
      </c>
      <c r="AD577" t="s">
        <v>11096</v>
      </c>
      <c r="AF577" t="s">
        <v>11122</v>
      </c>
      <c r="AH577" t="s">
        <v>10974</v>
      </c>
      <c r="AJ577" t="s">
        <v>11141</v>
      </c>
      <c r="AK577" t="s">
        <v>7225</v>
      </c>
      <c r="AM577">
        <v>301</v>
      </c>
      <c r="AO577">
        <v>63</v>
      </c>
      <c r="AQ577" t="s">
        <v>11157</v>
      </c>
      <c r="AS577" t="s">
        <v>11174</v>
      </c>
      <c r="AU577">
        <v>16</v>
      </c>
      <c r="AW577" t="s">
        <v>11189</v>
      </c>
      <c r="AZ577" t="s">
        <v>11221</v>
      </c>
      <c r="BE577" t="s">
        <v>12043</v>
      </c>
      <c r="BF577" t="s">
        <v>14364</v>
      </c>
      <c r="BM577" t="s">
        <v>15650</v>
      </c>
    </row>
    <row r="578" spans="1:65">
      <c r="A578" s="1">
        <f>HYPERLINK("https://lsnyc.legalserver.org/matter/dynamic-profile/view/0821995","16-0821995")</f>
        <v>0</v>
      </c>
      <c r="B578" t="s">
        <v>98</v>
      </c>
      <c r="C578" t="s">
        <v>246</v>
      </c>
      <c r="D578" t="s">
        <v>474</v>
      </c>
      <c r="F578" t="s">
        <v>1432</v>
      </c>
      <c r="G578" t="s">
        <v>3032</v>
      </c>
      <c r="H578" t="s">
        <v>4972</v>
      </c>
      <c r="I578" t="s">
        <v>6415</v>
      </c>
      <c r="J578" t="s">
        <v>7170</v>
      </c>
      <c r="K578">
        <v>10452</v>
      </c>
      <c r="N578" t="s">
        <v>7237</v>
      </c>
      <c r="O578" t="s">
        <v>7679</v>
      </c>
      <c r="P578">
        <v>1</v>
      </c>
      <c r="Q578">
        <v>0</v>
      </c>
      <c r="R578">
        <v>76.36</v>
      </c>
      <c r="U578">
        <v>9072</v>
      </c>
      <c r="W578">
        <v>0</v>
      </c>
      <c r="Y578" t="s">
        <v>10899</v>
      </c>
      <c r="AA578" t="s">
        <v>10974</v>
      </c>
      <c r="AB578" t="s">
        <v>474</v>
      </c>
      <c r="AD578" t="s">
        <v>11096</v>
      </c>
      <c r="AF578" t="s">
        <v>11122</v>
      </c>
      <c r="AH578" t="s">
        <v>10974</v>
      </c>
      <c r="AJ578" t="s">
        <v>11141</v>
      </c>
      <c r="AK578" t="s">
        <v>7225</v>
      </c>
      <c r="AM578">
        <v>301</v>
      </c>
      <c r="AO578">
        <v>63</v>
      </c>
      <c r="AQ578" t="s">
        <v>11157</v>
      </c>
      <c r="AS578" t="s">
        <v>11174</v>
      </c>
      <c r="AU578">
        <v>16</v>
      </c>
      <c r="AW578" t="s">
        <v>11189</v>
      </c>
      <c r="AZ578" t="s">
        <v>11221</v>
      </c>
      <c r="BE578" t="s">
        <v>12043</v>
      </c>
      <c r="BF578" t="s">
        <v>14364</v>
      </c>
      <c r="BM578" t="s">
        <v>15650</v>
      </c>
    </row>
    <row r="579" spans="1:65">
      <c r="A579" s="1">
        <f>HYPERLINK("https://lsnyc.legalserver.org/matter/dynamic-profile/view/1891346","19-1891346")</f>
        <v>0</v>
      </c>
      <c r="B579" t="s">
        <v>98</v>
      </c>
      <c r="C579" t="s">
        <v>246</v>
      </c>
      <c r="D579" t="s">
        <v>318</v>
      </c>
      <c r="F579" t="s">
        <v>1280</v>
      </c>
      <c r="G579" t="s">
        <v>3168</v>
      </c>
      <c r="H579" t="s">
        <v>4989</v>
      </c>
      <c r="I579" t="s">
        <v>6603</v>
      </c>
      <c r="J579" t="s">
        <v>7170</v>
      </c>
      <c r="K579">
        <v>10453</v>
      </c>
      <c r="N579" t="s">
        <v>7237</v>
      </c>
      <c r="O579" t="s">
        <v>7680</v>
      </c>
      <c r="P579">
        <v>1</v>
      </c>
      <c r="Q579">
        <v>0</v>
      </c>
      <c r="R579">
        <v>84.36</v>
      </c>
      <c r="U579">
        <v>10536</v>
      </c>
      <c r="W579">
        <v>0</v>
      </c>
      <c r="Y579" t="s">
        <v>216</v>
      </c>
      <c r="AA579" t="s">
        <v>10974</v>
      </c>
      <c r="AB579" t="s">
        <v>370</v>
      </c>
      <c r="AD579" t="s">
        <v>11098</v>
      </c>
      <c r="AF579" t="s">
        <v>11122</v>
      </c>
      <c r="AH579" t="s">
        <v>10974</v>
      </c>
      <c r="AJ579" t="s">
        <v>11141</v>
      </c>
      <c r="AK579" t="s">
        <v>7225</v>
      </c>
      <c r="AM579">
        <v>1270</v>
      </c>
      <c r="AO579">
        <v>170</v>
      </c>
      <c r="AQ579" t="s">
        <v>11157</v>
      </c>
      <c r="AS579" t="s">
        <v>11174</v>
      </c>
      <c r="AU579">
        <v>8</v>
      </c>
      <c r="AW579" t="s">
        <v>11189</v>
      </c>
      <c r="AZ579" t="s">
        <v>11221</v>
      </c>
      <c r="BD579" t="s">
        <v>11667</v>
      </c>
      <c r="BF579" t="s">
        <v>14364</v>
      </c>
      <c r="BM579" t="s">
        <v>15650</v>
      </c>
    </row>
    <row r="580" spans="1:65">
      <c r="A580" s="1">
        <f>HYPERLINK("https://lsnyc.legalserver.org/matter/dynamic-profile/view/1888382","19-1888382")</f>
        <v>0</v>
      </c>
      <c r="B580" t="s">
        <v>98</v>
      </c>
      <c r="C580" t="s">
        <v>246</v>
      </c>
      <c r="D580" t="s">
        <v>484</v>
      </c>
      <c r="F580" t="s">
        <v>1433</v>
      </c>
      <c r="G580" t="s">
        <v>2888</v>
      </c>
      <c r="H580" t="s">
        <v>4989</v>
      </c>
      <c r="I580" t="s">
        <v>6604</v>
      </c>
      <c r="J580" t="s">
        <v>7170</v>
      </c>
      <c r="K580">
        <v>10453</v>
      </c>
      <c r="N580" t="s">
        <v>7237</v>
      </c>
      <c r="O580" t="s">
        <v>7681</v>
      </c>
      <c r="P580">
        <v>1</v>
      </c>
      <c r="Q580">
        <v>0</v>
      </c>
      <c r="R580">
        <v>76.41</v>
      </c>
      <c r="U580">
        <v>9276</v>
      </c>
      <c r="W580">
        <v>669.8200000000001</v>
      </c>
      <c r="X580" t="s">
        <v>539</v>
      </c>
      <c r="Y580" t="s">
        <v>82</v>
      </c>
      <c r="AA580" t="s">
        <v>10974</v>
      </c>
      <c r="AB580" t="s">
        <v>370</v>
      </c>
      <c r="AD580" t="s">
        <v>11101</v>
      </c>
      <c r="AF580" t="s">
        <v>11118</v>
      </c>
      <c r="AH580" t="s">
        <v>10974</v>
      </c>
      <c r="AJ580" t="s">
        <v>11129</v>
      </c>
      <c r="AK580" t="s">
        <v>7225</v>
      </c>
      <c r="AL580" t="s">
        <v>11150</v>
      </c>
      <c r="AM580">
        <v>0</v>
      </c>
      <c r="AO580">
        <v>170</v>
      </c>
      <c r="AQ580" t="s">
        <v>11157</v>
      </c>
      <c r="AS580" t="s">
        <v>11174</v>
      </c>
      <c r="AU580">
        <v>28</v>
      </c>
      <c r="AW580" t="s">
        <v>11189</v>
      </c>
      <c r="BA580" t="s">
        <v>11222</v>
      </c>
      <c r="BE580" t="s">
        <v>12044</v>
      </c>
      <c r="BG580" t="s">
        <v>14486</v>
      </c>
      <c r="BM580" t="s">
        <v>15650</v>
      </c>
    </row>
    <row r="581" spans="1:65">
      <c r="A581" s="1">
        <f>HYPERLINK("https://lsnyc.legalserver.org/matter/dynamic-profile/view/1894488","19-1894488")</f>
        <v>0</v>
      </c>
      <c r="B581" t="s">
        <v>98</v>
      </c>
      <c r="C581" t="s">
        <v>246</v>
      </c>
      <c r="D581" t="s">
        <v>472</v>
      </c>
      <c r="F581" t="s">
        <v>1434</v>
      </c>
      <c r="G581" t="s">
        <v>2884</v>
      </c>
      <c r="H581" t="s">
        <v>4989</v>
      </c>
      <c r="I581" t="s">
        <v>6605</v>
      </c>
      <c r="J581" t="s">
        <v>7170</v>
      </c>
      <c r="K581">
        <v>10453</v>
      </c>
      <c r="N581" t="s">
        <v>7237</v>
      </c>
      <c r="O581" t="s">
        <v>7682</v>
      </c>
      <c r="P581">
        <v>4</v>
      </c>
      <c r="Q581">
        <v>0</v>
      </c>
      <c r="R581">
        <v>232.23</v>
      </c>
      <c r="U581">
        <v>59800</v>
      </c>
      <c r="W581">
        <v>0</v>
      </c>
      <c r="Y581" t="s">
        <v>93</v>
      </c>
      <c r="AA581" t="s">
        <v>10974</v>
      </c>
      <c r="AB581" t="s">
        <v>370</v>
      </c>
      <c r="AD581" t="s">
        <v>11101</v>
      </c>
      <c r="AF581" t="s">
        <v>11118</v>
      </c>
      <c r="AH581" t="s">
        <v>10974</v>
      </c>
      <c r="AJ581" t="s">
        <v>11134</v>
      </c>
      <c r="AK581" t="s">
        <v>7225</v>
      </c>
      <c r="AM581">
        <v>938.89</v>
      </c>
      <c r="AO581">
        <v>170</v>
      </c>
      <c r="AQ581" t="s">
        <v>11157</v>
      </c>
      <c r="AS581" t="s">
        <v>11173</v>
      </c>
      <c r="AU581">
        <v>41</v>
      </c>
      <c r="AW581" t="s">
        <v>11189</v>
      </c>
      <c r="AZ581" t="s">
        <v>11221</v>
      </c>
      <c r="BD581" t="s">
        <v>11667</v>
      </c>
      <c r="BG581" t="s">
        <v>14486</v>
      </c>
      <c r="BM581" t="s">
        <v>15650</v>
      </c>
    </row>
    <row r="582" spans="1:65">
      <c r="A582" s="1">
        <f>HYPERLINK("https://lsnyc.legalserver.org/matter/dynamic-profile/view/1854109","17-1854109")</f>
        <v>0</v>
      </c>
      <c r="B582" t="s">
        <v>98</v>
      </c>
      <c r="C582" t="s">
        <v>246</v>
      </c>
      <c r="D582" t="s">
        <v>397</v>
      </c>
      <c r="F582" t="s">
        <v>1435</v>
      </c>
      <c r="G582" t="s">
        <v>3211</v>
      </c>
      <c r="H582" t="s">
        <v>4988</v>
      </c>
      <c r="I582" t="s">
        <v>6425</v>
      </c>
      <c r="J582" t="s">
        <v>7170</v>
      </c>
      <c r="K582">
        <v>10456</v>
      </c>
      <c r="N582" t="s">
        <v>7237</v>
      </c>
      <c r="O582" t="s">
        <v>7683</v>
      </c>
      <c r="P582">
        <v>1</v>
      </c>
      <c r="Q582">
        <v>2</v>
      </c>
      <c r="R582">
        <v>86.37</v>
      </c>
      <c r="S582" t="s">
        <v>10261</v>
      </c>
      <c r="U582">
        <v>17636</v>
      </c>
      <c r="W582">
        <v>0.5</v>
      </c>
      <c r="X582" t="s">
        <v>991</v>
      </c>
      <c r="Y582" t="s">
        <v>10899</v>
      </c>
      <c r="AA582" t="s">
        <v>10974</v>
      </c>
      <c r="AB582" t="s">
        <v>10992</v>
      </c>
      <c r="AD582" t="s">
        <v>11096</v>
      </c>
      <c r="AF582" t="s">
        <v>11122</v>
      </c>
      <c r="AH582" t="s">
        <v>10974</v>
      </c>
      <c r="AJ582" t="s">
        <v>11141</v>
      </c>
      <c r="AK582" t="s">
        <v>7225</v>
      </c>
      <c r="AM582">
        <v>988</v>
      </c>
      <c r="AO582">
        <v>61</v>
      </c>
      <c r="AQ582" t="s">
        <v>11157</v>
      </c>
      <c r="AS582" t="s">
        <v>11180</v>
      </c>
      <c r="AU582">
        <v>11</v>
      </c>
      <c r="AW582" t="s">
        <v>11189</v>
      </c>
      <c r="AZ582" t="s">
        <v>11221</v>
      </c>
      <c r="BE582" t="s">
        <v>12045</v>
      </c>
      <c r="BG582" t="s">
        <v>14490</v>
      </c>
      <c r="BM582" t="s">
        <v>15650</v>
      </c>
    </row>
    <row r="583" spans="1:65">
      <c r="A583" s="1">
        <f>HYPERLINK("https://lsnyc.legalserver.org/matter/dynamic-profile/view/1896324","19-1896324")</f>
        <v>0</v>
      </c>
      <c r="B583" t="s">
        <v>98</v>
      </c>
      <c r="C583" t="s">
        <v>246</v>
      </c>
      <c r="D583" t="s">
        <v>412</v>
      </c>
      <c r="F583" t="s">
        <v>1406</v>
      </c>
      <c r="G583" t="s">
        <v>3179</v>
      </c>
      <c r="H583" t="s">
        <v>4988</v>
      </c>
      <c r="I583" t="s">
        <v>6422</v>
      </c>
      <c r="J583" t="s">
        <v>7170</v>
      </c>
      <c r="K583">
        <v>10456</v>
      </c>
      <c r="N583" t="s">
        <v>7237</v>
      </c>
      <c r="O583" t="s">
        <v>7635</v>
      </c>
      <c r="P583">
        <v>2</v>
      </c>
      <c r="Q583">
        <v>0</v>
      </c>
      <c r="R583">
        <v>85.16</v>
      </c>
      <c r="U583">
        <v>14400</v>
      </c>
      <c r="W583">
        <v>28.4</v>
      </c>
      <c r="X583" t="s">
        <v>669</v>
      </c>
      <c r="Y583" t="s">
        <v>98</v>
      </c>
      <c r="AA583" t="s">
        <v>10974</v>
      </c>
      <c r="AB583" t="s">
        <v>633</v>
      </c>
      <c r="AD583" t="s">
        <v>11098</v>
      </c>
      <c r="AF583" t="s">
        <v>11122</v>
      </c>
      <c r="AH583" t="s">
        <v>10974</v>
      </c>
      <c r="AI583" t="s">
        <v>11126</v>
      </c>
      <c r="AK583" t="s">
        <v>7225</v>
      </c>
      <c r="AM583">
        <v>1200</v>
      </c>
      <c r="AO583">
        <v>61</v>
      </c>
      <c r="AQ583" t="s">
        <v>11157</v>
      </c>
      <c r="AR583" t="s">
        <v>11172</v>
      </c>
      <c r="AT583" t="s">
        <v>11184</v>
      </c>
      <c r="AU583">
        <v>0</v>
      </c>
      <c r="AW583" t="s">
        <v>11187</v>
      </c>
      <c r="AY583" t="s">
        <v>11213</v>
      </c>
      <c r="AZ583" t="s">
        <v>11221</v>
      </c>
      <c r="BE583" t="s">
        <v>12005</v>
      </c>
      <c r="BF583" t="s">
        <v>14364</v>
      </c>
      <c r="BM583" t="s">
        <v>15650</v>
      </c>
    </row>
    <row r="584" spans="1:65">
      <c r="A584" s="1">
        <f>HYPERLINK("https://lsnyc.legalserver.org/matter/dynamic-profile/view/1880606","18-1880606")</f>
        <v>0</v>
      </c>
      <c r="B584" t="s">
        <v>98</v>
      </c>
      <c r="C584" t="s">
        <v>246</v>
      </c>
      <c r="D584" t="s">
        <v>365</v>
      </c>
      <c r="F584" t="s">
        <v>1435</v>
      </c>
      <c r="G584" t="s">
        <v>3211</v>
      </c>
      <c r="H584" t="s">
        <v>4988</v>
      </c>
      <c r="I584" t="s">
        <v>6425</v>
      </c>
      <c r="J584" t="s">
        <v>7170</v>
      </c>
      <c r="K584">
        <v>10456</v>
      </c>
      <c r="N584" t="s">
        <v>7237</v>
      </c>
      <c r="O584" t="s">
        <v>7683</v>
      </c>
      <c r="P584">
        <v>1</v>
      </c>
      <c r="Q584">
        <v>2</v>
      </c>
      <c r="R584">
        <v>84.87</v>
      </c>
      <c r="U584">
        <v>17636</v>
      </c>
      <c r="W584">
        <v>0</v>
      </c>
      <c r="Y584" t="s">
        <v>10865</v>
      </c>
      <c r="AA584" t="s">
        <v>10974</v>
      </c>
      <c r="AB584" t="s">
        <v>519</v>
      </c>
      <c r="AD584" t="s">
        <v>11098</v>
      </c>
      <c r="AF584" t="s">
        <v>11122</v>
      </c>
      <c r="AH584" t="s">
        <v>10974</v>
      </c>
      <c r="AJ584" t="s">
        <v>11141</v>
      </c>
      <c r="AK584" t="s">
        <v>7225</v>
      </c>
      <c r="AM584">
        <v>998</v>
      </c>
      <c r="AO584">
        <v>61</v>
      </c>
      <c r="AQ584" t="s">
        <v>11157</v>
      </c>
      <c r="AS584" t="s">
        <v>11180</v>
      </c>
      <c r="AU584">
        <v>12</v>
      </c>
      <c r="AW584" t="s">
        <v>11189</v>
      </c>
      <c r="AZ584" t="s">
        <v>11221</v>
      </c>
      <c r="BE584" t="s">
        <v>12045</v>
      </c>
      <c r="BG584" t="s">
        <v>14489</v>
      </c>
      <c r="BM584" t="s">
        <v>15650</v>
      </c>
    </row>
    <row r="585" spans="1:65">
      <c r="A585" s="1">
        <f>HYPERLINK("https://lsnyc.legalserver.org/matter/dynamic-profile/view/0821979","16-0821979")</f>
        <v>0</v>
      </c>
      <c r="B585" t="s">
        <v>98</v>
      </c>
      <c r="C585" t="s">
        <v>246</v>
      </c>
      <c r="D585" t="s">
        <v>474</v>
      </c>
      <c r="F585" t="s">
        <v>1223</v>
      </c>
      <c r="G585" t="s">
        <v>2886</v>
      </c>
      <c r="H585" t="s">
        <v>4972</v>
      </c>
      <c r="I585" t="s">
        <v>6477</v>
      </c>
      <c r="J585" t="s">
        <v>7170</v>
      </c>
      <c r="K585">
        <v>10452</v>
      </c>
      <c r="N585" t="s">
        <v>7237</v>
      </c>
      <c r="O585" t="s">
        <v>7684</v>
      </c>
      <c r="P585">
        <v>1</v>
      </c>
      <c r="Q585">
        <v>0</v>
      </c>
      <c r="R585">
        <v>84.84999999999999</v>
      </c>
      <c r="U585">
        <v>10080</v>
      </c>
      <c r="W585">
        <v>0</v>
      </c>
      <c r="Y585" t="s">
        <v>10899</v>
      </c>
      <c r="AA585" t="s">
        <v>10974</v>
      </c>
      <c r="AB585" t="s">
        <v>474</v>
      </c>
      <c r="AD585" t="s">
        <v>11096</v>
      </c>
      <c r="AF585" t="s">
        <v>11122</v>
      </c>
      <c r="AH585" t="s">
        <v>10974</v>
      </c>
      <c r="AJ585" t="s">
        <v>11141</v>
      </c>
      <c r="AK585" t="s">
        <v>7225</v>
      </c>
      <c r="AM585">
        <v>676</v>
      </c>
      <c r="AO585">
        <v>63</v>
      </c>
      <c r="AQ585" t="s">
        <v>11157</v>
      </c>
      <c r="AS585" t="s">
        <v>11175</v>
      </c>
      <c r="AU585">
        <v>28</v>
      </c>
      <c r="AW585" t="s">
        <v>11189</v>
      </c>
      <c r="AZ585" t="s">
        <v>11221</v>
      </c>
      <c r="BE585" t="s">
        <v>11917</v>
      </c>
      <c r="BF585" t="s">
        <v>14364</v>
      </c>
      <c r="BM585" t="s">
        <v>15650</v>
      </c>
    </row>
    <row r="586" spans="1:65">
      <c r="A586" s="1">
        <f>HYPERLINK("https://lsnyc.legalserver.org/matter/dynamic-profile/view/0821975","16-0821975")</f>
        <v>0</v>
      </c>
      <c r="B586" t="s">
        <v>98</v>
      </c>
      <c r="C586" t="s">
        <v>246</v>
      </c>
      <c r="D586" t="s">
        <v>481</v>
      </c>
      <c r="F586" t="s">
        <v>1223</v>
      </c>
      <c r="G586" t="s">
        <v>2886</v>
      </c>
      <c r="H586" t="s">
        <v>4972</v>
      </c>
      <c r="I586" t="s">
        <v>6477</v>
      </c>
      <c r="J586" t="s">
        <v>7170</v>
      </c>
      <c r="K586">
        <v>10452</v>
      </c>
      <c r="N586" t="s">
        <v>7237</v>
      </c>
      <c r="O586" t="s">
        <v>7684</v>
      </c>
      <c r="P586">
        <v>1</v>
      </c>
      <c r="Q586">
        <v>0</v>
      </c>
      <c r="R586">
        <v>84.84999999999999</v>
      </c>
      <c r="U586">
        <v>10080</v>
      </c>
      <c r="W586">
        <v>0</v>
      </c>
      <c r="Y586" t="s">
        <v>10899</v>
      </c>
      <c r="AA586" t="s">
        <v>10974</v>
      </c>
      <c r="AB586" t="s">
        <v>481</v>
      </c>
      <c r="AD586" t="s">
        <v>11096</v>
      </c>
      <c r="AF586" t="s">
        <v>11122</v>
      </c>
      <c r="AH586" t="s">
        <v>10974</v>
      </c>
      <c r="AJ586" t="s">
        <v>11141</v>
      </c>
      <c r="AK586" t="s">
        <v>7225</v>
      </c>
      <c r="AM586">
        <v>676</v>
      </c>
      <c r="AO586">
        <v>63</v>
      </c>
      <c r="AQ586" t="s">
        <v>11157</v>
      </c>
      <c r="AS586" t="s">
        <v>11175</v>
      </c>
      <c r="AU586">
        <v>28</v>
      </c>
      <c r="AW586" t="s">
        <v>11189</v>
      </c>
      <c r="AZ586" t="s">
        <v>11221</v>
      </c>
      <c r="BE586" t="s">
        <v>11917</v>
      </c>
      <c r="BF586" t="s">
        <v>14364</v>
      </c>
      <c r="BM586" t="s">
        <v>15650</v>
      </c>
    </row>
    <row r="587" spans="1:65">
      <c r="A587" s="1">
        <f>HYPERLINK("https://lsnyc.legalserver.org/matter/dynamic-profile/view/1880639","18-1880639")</f>
        <v>0</v>
      </c>
      <c r="B587" t="s">
        <v>98</v>
      </c>
      <c r="C587" t="s">
        <v>246</v>
      </c>
      <c r="D587" t="s">
        <v>365</v>
      </c>
      <c r="F587" t="s">
        <v>1219</v>
      </c>
      <c r="G587" t="s">
        <v>3198</v>
      </c>
      <c r="H587" t="s">
        <v>4988</v>
      </c>
      <c r="I587" t="s">
        <v>6596</v>
      </c>
      <c r="J587" t="s">
        <v>7170</v>
      </c>
      <c r="K587">
        <v>10456</v>
      </c>
      <c r="N587" t="s">
        <v>7237</v>
      </c>
      <c r="O587" t="s">
        <v>7661</v>
      </c>
      <c r="P587">
        <v>2</v>
      </c>
      <c r="Q587">
        <v>0</v>
      </c>
      <c r="R587">
        <v>77.93000000000001</v>
      </c>
      <c r="U587">
        <v>12828</v>
      </c>
      <c r="W587">
        <v>0</v>
      </c>
      <c r="Y587" t="s">
        <v>10865</v>
      </c>
      <c r="AA587" t="s">
        <v>10974</v>
      </c>
      <c r="AB587" t="s">
        <v>389</v>
      </c>
      <c r="AD587" t="s">
        <v>11098</v>
      </c>
      <c r="AF587" t="s">
        <v>11122</v>
      </c>
      <c r="AH587" t="s">
        <v>10974</v>
      </c>
      <c r="AJ587" t="s">
        <v>11141</v>
      </c>
      <c r="AK587" t="s">
        <v>7225</v>
      </c>
      <c r="AM587">
        <v>1119.98</v>
      </c>
      <c r="AO587">
        <v>61</v>
      </c>
      <c r="AQ587" t="s">
        <v>11157</v>
      </c>
      <c r="AS587" t="s">
        <v>11173</v>
      </c>
      <c r="AU587">
        <v>43</v>
      </c>
      <c r="AW587" t="s">
        <v>11189</v>
      </c>
      <c r="AZ587" t="s">
        <v>11221</v>
      </c>
      <c r="BE587" t="s">
        <v>12026</v>
      </c>
      <c r="BG587" t="s">
        <v>14489</v>
      </c>
      <c r="BM587" t="s">
        <v>15650</v>
      </c>
    </row>
    <row r="588" spans="1:65">
      <c r="A588" s="1">
        <f>HYPERLINK("https://lsnyc.legalserver.org/matter/dynamic-profile/view/1891344","19-1891344")</f>
        <v>0</v>
      </c>
      <c r="B588" t="s">
        <v>98</v>
      </c>
      <c r="C588" t="s">
        <v>246</v>
      </c>
      <c r="D588" t="s">
        <v>318</v>
      </c>
      <c r="F588" t="s">
        <v>1280</v>
      </c>
      <c r="G588" t="s">
        <v>3168</v>
      </c>
      <c r="H588" t="s">
        <v>4989</v>
      </c>
      <c r="I588" t="s">
        <v>6603</v>
      </c>
      <c r="J588" t="s">
        <v>7170</v>
      </c>
      <c r="K588">
        <v>10453</v>
      </c>
      <c r="N588" t="s">
        <v>7237</v>
      </c>
      <c r="O588" t="s">
        <v>7680</v>
      </c>
      <c r="P588">
        <v>1</v>
      </c>
      <c r="Q588">
        <v>0</v>
      </c>
      <c r="R588">
        <v>84.36</v>
      </c>
      <c r="U588">
        <v>10536</v>
      </c>
      <c r="W588">
        <v>0</v>
      </c>
      <c r="Y588" t="s">
        <v>216</v>
      </c>
      <c r="AA588" t="s">
        <v>10974</v>
      </c>
      <c r="AB588" t="s">
        <v>370</v>
      </c>
      <c r="AD588" t="s">
        <v>11101</v>
      </c>
      <c r="AF588" t="s">
        <v>11118</v>
      </c>
      <c r="AH588" t="s">
        <v>10974</v>
      </c>
      <c r="AJ588" t="s">
        <v>11141</v>
      </c>
      <c r="AK588" t="s">
        <v>7225</v>
      </c>
      <c r="AM588">
        <v>1270</v>
      </c>
      <c r="AO588">
        <v>170</v>
      </c>
      <c r="AQ588" t="s">
        <v>11157</v>
      </c>
      <c r="AS588" t="s">
        <v>11174</v>
      </c>
      <c r="AU588">
        <v>8</v>
      </c>
      <c r="AW588" t="s">
        <v>11189</v>
      </c>
      <c r="AZ588" t="s">
        <v>11221</v>
      </c>
      <c r="BD588" t="s">
        <v>11667</v>
      </c>
      <c r="BG588" t="s">
        <v>14486</v>
      </c>
      <c r="BM588" t="s">
        <v>15650</v>
      </c>
    </row>
    <row r="589" spans="1:65">
      <c r="A589" s="1">
        <f>HYPERLINK("https://lsnyc.legalserver.org/matter/dynamic-profile/view/1892453","19-1892453")</f>
        <v>0</v>
      </c>
      <c r="B589" t="s">
        <v>98</v>
      </c>
      <c r="C589" t="s">
        <v>246</v>
      </c>
      <c r="D589" t="s">
        <v>483</v>
      </c>
      <c r="F589" t="s">
        <v>1436</v>
      </c>
      <c r="G589" t="s">
        <v>3212</v>
      </c>
      <c r="H589" t="s">
        <v>4995</v>
      </c>
      <c r="I589" t="s">
        <v>6606</v>
      </c>
      <c r="J589" t="s">
        <v>7170</v>
      </c>
      <c r="K589">
        <v>10453</v>
      </c>
      <c r="N589" t="s">
        <v>7237</v>
      </c>
      <c r="O589" t="s">
        <v>7559</v>
      </c>
      <c r="P589">
        <v>1</v>
      </c>
      <c r="Q589">
        <v>0</v>
      </c>
      <c r="R589">
        <v>240.19</v>
      </c>
      <c r="U589">
        <v>30000</v>
      </c>
      <c r="W589">
        <v>0</v>
      </c>
      <c r="Y589" t="s">
        <v>93</v>
      </c>
      <c r="AA589" t="s">
        <v>10974</v>
      </c>
      <c r="AB589" t="s">
        <v>370</v>
      </c>
      <c r="AD589" t="s">
        <v>11098</v>
      </c>
      <c r="AF589" t="s">
        <v>11122</v>
      </c>
      <c r="AH589" t="s">
        <v>10974</v>
      </c>
      <c r="AJ589" t="s">
        <v>11134</v>
      </c>
      <c r="AK589" t="s">
        <v>7225</v>
      </c>
      <c r="AM589">
        <v>688.0599999999999</v>
      </c>
      <c r="AO589">
        <v>170</v>
      </c>
      <c r="AQ589" t="s">
        <v>11157</v>
      </c>
      <c r="AS589" t="s">
        <v>11173</v>
      </c>
      <c r="AU589">
        <v>25</v>
      </c>
      <c r="AW589" t="s">
        <v>11187</v>
      </c>
      <c r="AZ589" t="s">
        <v>11221</v>
      </c>
      <c r="BE589" t="s">
        <v>12046</v>
      </c>
      <c r="BF589" t="s">
        <v>14364</v>
      </c>
      <c r="BM589" t="s">
        <v>15650</v>
      </c>
    </row>
    <row r="590" spans="1:65">
      <c r="A590" s="1">
        <f>HYPERLINK("https://lsnyc.legalserver.org/matter/dynamic-profile/view/1894102","19-1894102")</f>
        <v>0</v>
      </c>
      <c r="B590" t="s">
        <v>98</v>
      </c>
      <c r="C590" t="s">
        <v>246</v>
      </c>
      <c r="D590" t="s">
        <v>505</v>
      </c>
      <c r="F590" t="s">
        <v>1418</v>
      </c>
      <c r="G590" t="s">
        <v>1149</v>
      </c>
      <c r="H590" t="s">
        <v>4989</v>
      </c>
      <c r="I590" t="s">
        <v>6601</v>
      </c>
      <c r="J590" t="s">
        <v>7170</v>
      </c>
      <c r="K590">
        <v>10453</v>
      </c>
      <c r="N590" t="s">
        <v>7237</v>
      </c>
      <c r="O590" t="s">
        <v>7675</v>
      </c>
      <c r="P590">
        <v>1</v>
      </c>
      <c r="Q590">
        <v>0</v>
      </c>
      <c r="R590">
        <v>240.19</v>
      </c>
      <c r="U590">
        <v>30000</v>
      </c>
      <c r="W590">
        <v>0</v>
      </c>
      <c r="Y590" t="s">
        <v>10865</v>
      </c>
      <c r="AA590" t="s">
        <v>10974</v>
      </c>
      <c r="AB590" t="s">
        <v>370</v>
      </c>
      <c r="AD590" t="s">
        <v>11098</v>
      </c>
      <c r="AF590" t="s">
        <v>11122</v>
      </c>
      <c r="AH590" t="s">
        <v>10974</v>
      </c>
      <c r="AJ590" t="s">
        <v>11141</v>
      </c>
      <c r="AK590" t="s">
        <v>7225</v>
      </c>
      <c r="AM590">
        <v>956</v>
      </c>
      <c r="AO590">
        <v>167</v>
      </c>
      <c r="AQ590" t="s">
        <v>11157</v>
      </c>
      <c r="AS590" t="s">
        <v>11173</v>
      </c>
      <c r="AU590">
        <v>20</v>
      </c>
      <c r="AW590" t="s">
        <v>11187</v>
      </c>
      <c r="AZ590" t="s">
        <v>11221</v>
      </c>
      <c r="BE590" t="s">
        <v>12039</v>
      </c>
      <c r="BF590" t="s">
        <v>14364</v>
      </c>
      <c r="BM590" t="s">
        <v>15650</v>
      </c>
    </row>
    <row r="591" spans="1:65">
      <c r="A591" s="1">
        <f>HYPERLINK("https://lsnyc.legalserver.org/matter/dynamic-profile/view/1892162","19-1892162")</f>
        <v>0</v>
      </c>
      <c r="B591" t="s">
        <v>98</v>
      </c>
      <c r="C591" t="s">
        <v>246</v>
      </c>
      <c r="D591" t="s">
        <v>342</v>
      </c>
      <c r="F591" t="s">
        <v>1436</v>
      </c>
      <c r="G591" t="s">
        <v>3212</v>
      </c>
      <c r="H591" t="s">
        <v>4995</v>
      </c>
      <c r="I591" t="s">
        <v>6606</v>
      </c>
      <c r="J591" t="s">
        <v>7170</v>
      </c>
      <c r="K591">
        <v>10453</v>
      </c>
      <c r="N591" t="s">
        <v>7237</v>
      </c>
      <c r="O591" t="s">
        <v>7559</v>
      </c>
      <c r="P591">
        <v>1</v>
      </c>
      <c r="Q591">
        <v>0</v>
      </c>
      <c r="R591">
        <v>240.19</v>
      </c>
      <c r="U591">
        <v>30000</v>
      </c>
      <c r="W591">
        <v>0</v>
      </c>
      <c r="Y591" t="s">
        <v>93</v>
      </c>
      <c r="AA591" t="s">
        <v>10974</v>
      </c>
      <c r="AB591" t="s">
        <v>370</v>
      </c>
      <c r="AD591" t="s">
        <v>11101</v>
      </c>
      <c r="AF591" t="s">
        <v>11118</v>
      </c>
      <c r="AH591" t="s">
        <v>10974</v>
      </c>
      <c r="AJ591" t="s">
        <v>11134</v>
      </c>
      <c r="AK591" t="s">
        <v>7225</v>
      </c>
      <c r="AM591">
        <v>688.0599999999999</v>
      </c>
      <c r="AO591">
        <v>170</v>
      </c>
      <c r="AQ591" t="s">
        <v>11157</v>
      </c>
      <c r="AS591" t="s">
        <v>11173</v>
      </c>
      <c r="AU591">
        <v>25</v>
      </c>
      <c r="AW591" t="s">
        <v>11187</v>
      </c>
      <c r="AZ591" t="s">
        <v>11221</v>
      </c>
      <c r="BE591" t="s">
        <v>12046</v>
      </c>
      <c r="BG591" t="s">
        <v>14486</v>
      </c>
      <c r="BM591" t="s">
        <v>15650</v>
      </c>
    </row>
    <row r="592" spans="1:65">
      <c r="A592" s="1">
        <f>HYPERLINK("https://lsnyc.legalserver.org/matter/dynamic-profile/view/1894498","19-1894498")</f>
        <v>0</v>
      </c>
      <c r="B592" t="s">
        <v>98</v>
      </c>
      <c r="C592" t="s">
        <v>246</v>
      </c>
      <c r="D592" t="s">
        <v>472</v>
      </c>
      <c r="F592" t="s">
        <v>1434</v>
      </c>
      <c r="G592" t="s">
        <v>2884</v>
      </c>
      <c r="H592" t="s">
        <v>4989</v>
      </c>
      <c r="I592" t="s">
        <v>6605</v>
      </c>
      <c r="J592" t="s">
        <v>7170</v>
      </c>
      <c r="K592">
        <v>10453</v>
      </c>
      <c r="N592" t="s">
        <v>7237</v>
      </c>
      <c r="O592" t="s">
        <v>7682</v>
      </c>
      <c r="P592">
        <v>4</v>
      </c>
      <c r="Q592">
        <v>0</v>
      </c>
      <c r="R592">
        <v>232.23</v>
      </c>
      <c r="U592">
        <v>59800</v>
      </c>
      <c r="W592">
        <v>0</v>
      </c>
      <c r="Y592" t="s">
        <v>93</v>
      </c>
      <c r="AA592" t="s">
        <v>10974</v>
      </c>
      <c r="AB592" t="s">
        <v>370</v>
      </c>
      <c r="AD592" t="s">
        <v>11098</v>
      </c>
      <c r="AF592" t="s">
        <v>11122</v>
      </c>
      <c r="AH592" t="s">
        <v>10974</v>
      </c>
      <c r="AJ592" t="s">
        <v>11134</v>
      </c>
      <c r="AK592" t="s">
        <v>7225</v>
      </c>
      <c r="AM592">
        <v>938.89</v>
      </c>
      <c r="AO592">
        <v>170</v>
      </c>
      <c r="AQ592" t="s">
        <v>11157</v>
      </c>
      <c r="AS592" t="s">
        <v>11173</v>
      </c>
      <c r="AU592">
        <v>41</v>
      </c>
      <c r="AW592" t="s">
        <v>11189</v>
      </c>
      <c r="AZ592" t="s">
        <v>11221</v>
      </c>
      <c r="BD592" t="s">
        <v>11667</v>
      </c>
      <c r="BF592" t="s">
        <v>14364</v>
      </c>
      <c r="BM592" t="s">
        <v>15650</v>
      </c>
    </row>
    <row r="593" spans="1:65">
      <c r="A593" s="1">
        <f>HYPERLINK("https://lsnyc.legalserver.org/matter/dynamic-profile/view/1914537","19-1914537")</f>
        <v>0</v>
      </c>
      <c r="B593" t="s">
        <v>98</v>
      </c>
      <c r="C593" t="s">
        <v>246</v>
      </c>
      <c r="D593" t="s">
        <v>312</v>
      </c>
      <c r="E593" t="s">
        <v>312</v>
      </c>
      <c r="F593" t="s">
        <v>1367</v>
      </c>
      <c r="G593" t="s">
        <v>3145</v>
      </c>
      <c r="H593" t="s">
        <v>4989</v>
      </c>
      <c r="I593" t="s">
        <v>6561</v>
      </c>
      <c r="J593" t="s">
        <v>7170</v>
      </c>
      <c r="K593">
        <v>10453</v>
      </c>
      <c r="L593" t="s">
        <v>7216</v>
      </c>
      <c r="N593" t="s">
        <v>7237</v>
      </c>
      <c r="O593" t="s">
        <v>7587</v>
      </c>
      <c r="P593">
        <v>1</v>
      </c>
      <c r="Q593">
        <v>0</v>
      </c>
      <c r="R593">
        <v>278.62</v>
      </c>
      <c r="U593">
        <v>34800</v>
      </c>
      <c r="W593">
        <v>0.8</v>
      </c>
      <c r="X593" t="s">
        <v>497</v>
      </c>
      <c r="Y593" t="s">
        <v>98</v>
      </c>
      <c r="AA593" t="s">
        <v>10974</v>
      </c>
      <c r="AC593" t="s">
        <v>11081</v>
      </c>
      <c r="AF593" t="s">
        <v>11119</v>
      </c>
      <c r="AG593" t="s">
        <v>11124</v>
      </c>
      <c r="AI593" t="s">
        <v>11126</v>
      </c>
      <c r="AK593" t="s">
        <v>7225</v>
      </c>
      <c r="AL593" t="s">
        <v>11150</v>
      </c>
      <c r="AM593">
        <v>0</v>
      </c>
      <c r="AN593" t="s">
        <v>11151</v>
      </c>
      <c r="AO593" t="s">
        <v>11153</v>
      </c>
      <c r="AP593" t="s">
        <v>11155</v>
      </c>
      <c r="AR593" t="s">
        <v>11172</v>
      </c>
      <c r="AT593" t="s">
        <v>11184</v>
      </c>
      <c r="AU593">
        <v>0</v>
      </c>
      <c r="AW593" t="s">
        <v>11187</v>
      </c>
      <c r="AX593" t="s">
        <v>11212</v>
      </c>
      <c r="BA593" t="s">
        <v>11222</v>
      </c>
      <c r="BE593" t="s">
        <v>11962</v>
      </c>
      <c r="BF593" t="s">
        <v>14364</v>
      </c>
      <c r="BM593" t="s">
        <v>15651</v>
      </c>
    </row>
    <row r="594" spans="1:65">
      <c r="A594" s="1">
        <f>HYPERLINK("https://lsnyc.legalserver.org/matter/dynamic-profile/view/1854142","17-1854142")</f>
        <v>0</v>
      </c>
      <c r="B594" t="s">
        <v>98</v>
      </c>
      <c r="C594" t="s">
        <v>246</v>
      </c>
      <c r="D594" t="s">
        <v>397</v>
      </c>
      <c r="F594" t="s">
        <v>1125</v>
      </c>
      <c r="G594" t="s">
        <v>2884</v>
      </c>
      <c r="H594" t="s">
        <v>4988</v>
      </c>
      <c r="I594" t="s">
        <v>6485</v>
      </c>
      <c r="J594" t="s">
        <v>7170</v>
      </c>
      <c r="K594">
        <v>10456</v>
      </c>
      <c r="N594" t="s">
        <v>7237</v>
      </c>
      <c r="O594" t="s">
        <v>7571</v>
      </c>
      <c r="P594">
        <v>2</v>
      </c>
      <c r="Q594">
        <v>3</v>
      </c>
      <c r="R594">
        <v>145.93</v>
      </c>
      <c r="S594" t="s">
        <v>10261</v>
      </c>
      <c r="U594">
        <v>42000</v>
      </c>
      <c r="W594">
        <v>0</v>
      </c>
      <c r="Y594" t="s">
        <v>10899</v>
      </c>
      <c r="AA594" t="s">
        <v>10974</v>
      </c>
      <c r="AB594" t="s">
        <v>10992</v>
      </c>
      <c r="AD594" t="s">
        <v>11096</v>
      </c>
      <c r="AF594" t="s">
        <v>11122</v>
      </c>
      <c r="AH594" t="s">
        <v>10974</v>
      </c>
      <c r="AJ594" t="s">
        <v>11141</v>
      </c>
      <c r="AK594" t="s">
        <v>7225</v>
      </c>
      <c r="AM594">
        <v>1800</v>
      </c>
      <c r="AO594">
        <v>61</v>
      </c>
      <c r="AQ594" t="s">
        <v>11157</v>
      </c>
      <c r="AS594" t="s">
        <v>11173</v>
      </c>
      <c r="AU594">
        <v>1</v>
      </c>
      <c r="AW594" t="s">
        <v>11189</v>
      </c>
      <c r="AZ594" t="s">
        <v>11221</v>
      </c>
      <c r="BE594" t="s">
        <v>11947</v>
      </c>
      <c r="BG594" t="s">
        <v>14490</v>
      </c>
      <c r="BM594" t="s">
        <v>15650</v>
      </c>
    </row>
    <row r="595" spans="1:65">
      <c r="A595" s="1">
        <f>HYPERLINK("https://lsnyc.legalserver.org/matter/dynamic-profile/view/1838781","17-1838781")</f>
        <v>0</v>
      </c>
      <c r="B595" t="s">
        <v>98</v>
      </c>
      <c r="C595" t="s">
        <v>246</v>
      </c>
      <c r="D595" t="s">
        <v>490</v>
      </c>
      <c r="F595" t="s">
        <v>1208</v>
      </c>
      <c r="G595" t="s">
        <v>3213</v>
      </c>
      <c r="H595" t="s">
        <v>4998</v>
      </c>
      <c r="I595" t="s">
        <v>6419</v>
      </c>
      <c r="J595" t="s">
        <v>7170</v>
      </c>
      <c r="K595">
        <v>10473</v>
      </c>
      <c r="N595" t="s">
        <v>7237</v>
      </c>
      <c r="O595" t="s">
        <v>7685</v>
      </c>
      <c r="P595">
        <v>1</v>
      </c>
      <c r="Q595">
        <v>0</v>
      </c>
      <c r="R595">
        <v>199</v>
      </c>
      <c r="S595" t="s">
        <v>10258</v>
      </c>
      <c r="U595">
        <v>24000</v>
      </c>
      <c r="W595">
        <v>0</v>
      </c>
      <c r="Y595" t="s">
        <v>10899</v>
      </c>
      <c r="AA595" t="s">
        <v>10974</v>
      </c>
      <c r="AB595" t="s">
        <v>10992</v>
      </c>
      <c r="AD595" t="s">
        <v>11096</v>
      </c>
      <c r="AF595" t="s">
        <v>11122</v>
      </c>
      <c r="AH595" t="s">
        <v>10974</v>
      </c>
      <c r="AJ595" t="s">
        <v>11139</v>
      </c>
      <c r="AK595" t="s">
        <v>7225</v>
      </c>
      <c r="AM595">
        <v>627.54</v>
      </c>
      <c r="AO595">
        <v>976</v>
      </c>
      <c r="AQ595" t="s">
        <v>11157</v>
      </c>
      <c r="AS595" t="s">
        <v>11174</v>
      </c>
      <c r="AU595">
        <v>37</v>
      </c>
      <c r="AW595" t="s">
        <v>11187</v>
      </c>
      <c r="AZ595" t="s">
        <v>11221</v>
      </c>
      <c r="BE595" t="s">
        <v>12047</v>
      </c>
      <c r="BG595" t="s">
        <v>14495</v>
      </c>
      <c r="BM595" t="s">
        <v>15650</v>
      </c>
    </row>
    <row r="596" spans="1:65">
      <c r="A596" s="1">
        <f>HYPERLINK("https://lsnyc.legalserver.org/matter/dynamic-profile/view/1891311","19-1891311")</f>
        <v>0</v>
      </c>
      <c r="B596" t="s">
        <v>98</v>
      </c>
      <c r="C596" t="s">
        <v>246</v>
      </c>
      <c r="D596" t="s">
        <v>318</v>
      </c>
      <c r="F596" t="s">
        <v>1437</v>
      </c>
      <c r="G596" t="s">
        <v>3214</v>
      </c>
      <c r="H596" t="s">
        <v>4989</v>
      </c>
      <c r="I596" t="s">
        <v>6422</v>
      </c>
      <c r="J596" t="s">
        <v>7170</v>
      </c>
      <c r="K596">
        <v>10453</v>
      </c>
      <c r="N596" t="s">
        <v>7237</v>
      </c>
      <c r="O596" t="s">
        <v>7686</v>
      </c>
      <c r="P596">
        <v>1</v>
      </c>
      <c r="Q596">
        <v>1</v>
      </c>
      <c r="R596">
        <v>187.89</v>
      </c>
      <c r="U596">
        <v>31772</v>
      </c>
      <c r="W596">
        <v>0</v>
      </c>
      <c r="Y596" t="s">
        <v>216</v>
      </c>
      <c r="AA596" t="s">
        <v>10974</v>
      </c>
      <c r="AB596" t="s">
        <v>370</v>
      </c>
      <c r="AD596" t="s">
        <v>11101</v>
      </c>
      <c r="AF596" t="s">
        <v>11118</v>
      </c>
      <c r="AH596" t="s">
        <v>10974</v>
      </c>
      <c r="AJ596" t="s">
        <v>11141</v>
      </c>
      <c r="AK596" t="s">
        <v>7225</v>
      </c>
      <c r="AM596">
        <v>1140.4</v>
      </c>
      <c r="AO596">
        <v>170</v>
      </c>
      <c r="AQ596" t="s">
        <v>11157</v>
      </c>
      <c r="AS596" t="s">
        <v>11173</v>
      </c>
      <c r="AU596">
        <v>6</v>
      </c>
      <c r="AW596" t="s">
        <v>11189</v>
      </c>
      <c r="AZ596" t="s">
        <v>11221</v>
      </c>
      <c r="BE596" t="s">
        <v>12048</v>
      </c>
      <c r="BG596" t="s">
        <v>14486</v>
      </c>
      <c r="BM596" t="s">
        <v>15650</v>
      </c>
    </row>
    <row r="597" spans="1:65">
      <c r="A597" s="1">
        <f>HYPERLINK("https://lsnyc.legalserver.org/matter/dynamic-profile/view/1890032","19-1890032")</f>
        <v>0</v>
      </c>
      <c r="B597" t="s">
        <v>98</v>
      </c>
      <c r="C597" t="s">
        <v>246</v>
      </c>
      <c r="D597" t="s">
        <v>480</v>
      </c>
      <c r="F597" t="s">
        <v>1399</v>
      </c>
      <c r="G597" t="s">
        <v>3171</v>
      </c>
      <c r="H597" t="s">
        <v>4989</v>
      </c>
      <c r="I597" t="s">
        <v>6579</v>
      </c>
      <c r="J597" t="s">
        <v>7170</v>
      </c>
      <c r="K597">
        <v>10453</v>
      </c>
      <c r="N597" t="s">
        <v>7237</v>
      </c>
      <c r="O597" t="s">
        <v>7625</v>
      </c>
      <c r="P597">
        <v>2</v>
      </c>
      <c r="Q597">
        <v>0</v>
      </c>
      <c r="R597">
        <v>11.83</v>
      </c>
      <c r="U597">
        <v>2000</v>
      </c>
      <c r="W597">
        <v>0</v>
      </c>
      <c r="Y597" t="s">
        <v>10903</v>
      </c>
      <c r="AA597" t="s">
        <v>10974</v>
      </c>
      <c r="AB597" t="s">
        <v>370</v>
      </c>
      <c r="AD597" t="s">
        <v>11098</v>
      </c>
      <c r="AF597" t="s">
        <v>11122</v>
      </c>
      <c r="AH597" t="s">
        <v>10974</v>
      </c>
      <c r="AJ597" t="s">
        <v>11141</v>
      </c>
      <c r="AK597" t="s">
        <v>7225</v>
      </c>
      <c r="AM597">
        <v>1400</v>
      </c>
      <c r="AO597">
        <v>170</v>
      </c>
      <c r="AQ597" t="s">
        <v>11157</v>
      </c>
      <c r="AR597" t="s">
        <v>11172</v>
      </c>
      <c r="AU597">
        <v>8</v>
      </c>
      <c r="AW597" t="s">
        <v>11189</v>
      </c>
      <c r="AZ597" t="s">
        <v>11221</v>
      </c>
      <c r="BE597" t="s">
        <v>11995</v>
      </c>
      <c r="BF597" t="s">
        <v>14364</v>
      </c>
      <c r="BM597" t="s">
        <v>15650</v>
      </c>
    </row>
    <row r="598" spans="1:65">
      <c r="A598" s="1">
        <f>HYPERLINK("https://lsnyc.legalserver.org/matter/dynamic-profile/view/1890019","19-1890019")</f>
        <v>0</v>
      </c>
      <c r="B598" t="s">
        <v>98</v>
      </c>
      <c r="C598" t="s">
        <v>246</v>
      </c>
      <c r="D598" t="s">
        <v>482</v>
      </c>
      <c r="F598" t="s">
        <v>1279</v>
      </c>
      <c r="G598" t="s">
        <v>3215</v>
      </c>
      <c r="H598" t="s">
        <v>4989</v>
      </c>
      <c r="I598" t="s">
        <v>6607</v>
      </c>
      <c r="J598" t="s">
        <v>7170</v>
      </c>
      <c r="K598">
        <v>10453</v>
      </c>
      <c r="N598" t="s">
        <v>7237</v>
      </c>
      <c r="O598" t="s">
        <v>7687</v>
      </c>
      <c r="P598">
        <v>1</v>
      </c>
      <c r="Q598">
        <v>0</v>
      </c>
      <c r="R598">
        <v>608.49</v>
      </c>
      <c r="U598">
        <v>76000</v>
      </c>
      <c r="W598">
        <v>0</v>
      </c>
      <c r="Y598" t="s">
        <v>10865</v>
      </c>
      <c r="AA598" t="s">
        <v>10974</v>
      </c>
      <c r="AB598" t="s">
        <v>370</v>
      </c>
      <c r="AD598" t="s">
        <v>11098</v>
      </c>
      <c r="AF598" t="s">
        <v>11122</v>
      </c>
      <c r="AH598" t="s">
        <v>10974</v>
      </c>
      <c r="AJ598" t="s">
        <v>11141</v>
      </c>
      <c r="AK598" t="s">
        <v>7225</v>
      </c>
      <c r="AM598">
        <v>1058.89</v>
      </c>
      <c r="AO598">
        <v>167</v>
      </c>
      <c r="AQ598" t="s">
        <v>11157</v>
      </c>
      <c r="AS598" t="s">
        <v>11173</v>
      </c>
      <c r="AU598">
        <v>18</v>
      </c>
      <c r="AW598" t="s">
        <v>11187</v>
      </c>
      <c r="AZ598" t="s">
        <v>11221</v>
      </c>
      <c r="BE598" t="s">
        <v>12049</v>
      </c>
      <c r="BF598" t="s">
        <v>14364</v>
      </c>
      <c r="BM598" t="s">
        <v>15650</v>
      </c>
    </row>
    <row r="599" spans="1:65">
      <c r="A599" s="1">
        <f>HYPERLINK("https://lsnyc.legalserver.org/matter/dynamic-profile/view/1838822","17-1838822")</f>
        <v>0</v>
      </c>
      <c r="B599" t="s">
        <v>98</v>
      </c>
      <c r="C599" t="s">
        <v>246</v>
      </c>
      <c r="D599" t="s">
        <v>486</v>
      </c>
      <c r="F599" t="s">
        <v>1438</v>
      </c>
      <c r="G599" t="s">
        <v>3216</v>
      </c>
      <c r="H599" t="s">
        <v>4996</v>
      </c>
      <c r="I599" t="s">
        <v>6549</v>
      </c>
      <c r="J599" t="s">
        <v>7170</v>
      </c>
      <c r="K599">
        <v>10473</v>
      </c>
      <c r="N599" t="s">
        <v>7237</v>
      </c>
      <c r="O599" t="s">
        <v>7688</v>
      </c>
      <c r="P599">
        <v>1</v>
      </c>
      <c r="Q599">
        <v>0</v>
      </c>
      <c r="R599">
        <v>109.45</v>
      </c>
      <c r="S599" t="s">
        <v>10258</v>
      </c>
      <c r="U599">
        <v>13200</v>
      </c>
      <c r="W599">
        <v>0</v>
      </c>
      <c r="Y599" t="s">
        <v>10899</v>
      </c>
      <c r="AA599" t="s">
        <v>10974</v>
      </c>
      <c r="AB599" t="s">
        <v>10992</v>
      </c>
      <c r="AD599" t="s">
        <v>11086</v>
      </c>
      <c r="AF599" t="s">
        <v>10384</v>
      </c>
      <c r="AH599" t="s">
        <v>10974</v>
      </c>
      <c r="AJ599" t="s">
        <v>11139</v>
      </c>
      <c r="AK599" t="s">
        <v>7225</v>
      </c>
      <c r="AL599" t="s">
        <v>11150</v>
      </c>
      <c r="AM599">
        <v>0</v>
      </c>
      <c r="AO599">
        <v>976</v>
      </c>
      <c r="AQ599" t="s">
        <v>11157</v>
      </c>
      <c r="AS599" t="s">
        <v>11175</v>
      </c>
      <c r="AT599" t="s">
        <v>11184</v>
      </c>
      <c r="AU599">
        <v>0</v>
      </c>
      <c r="AW599" t="s">
        <v>11187</v>
      </c>
      <c r="AZ599" t="s">
        <v>11221</v>
      </c>
      <c r="BE599" t="s">
        <v>12050</v>
      </c>
      <c r="BF599" t="s">
        <v>14364</v>
      </c>
      <c r="BM599" t="s">
        <v>15650</v>
      </c>
    </row>
    <row r="600" spans="1:65">
      <c r="A600" s="1">
        <f>HYPERLINK("https://lsnyc.legalserver.org/matter/dynamic-profile/view/1898492","19-1898492")</f>
        <v>0</v>
      </c>
      <c r="B600" t="s">
        <v>98</v>
      </c>
      <c r="C600" t="s">
        <v>246</v>
      </c>
      <c r="D600" t="s">
        <v>519</v>
      </c>
      <c r="F600" t="s">
        <v>1439</v>
      </c>
      <c r="G600" t="s">
        <v>3157</v>
      </c>
      <c r="H600" t="s">
        <v>5000</v>
      </c>
      <c r="I600" t="s">
        <v>6608</v>
      </c>
      <c r="J600" t="s">
        <v>7170</v>
      </c>
      <c r="K600">
        <v>10455</v>
      </c>
      <c r="N600" t="s">
        <v>7237</v>
      </c>
      <c r="O600" t="s">
        <v>7689</v>
      </c>
      <c r="P600">
        <v>1</v>
      </c>
      <c r="Q600">
        <v>2</v>
      </c>
      <c r="R600">
        <v>11.7</v>
      </c>
      <c r="U600">
        <v>2496</v>
      </c>
      <c r="W600">
        <v>208.75</v>
      </c>
      <c r="X600" t="s">
        <v>638</v>
      </c>
      <c r="AA600" t="s">
        <v>10974</v>
      </c>
      <c r="AD600" t="s">
        <v>11101</v>
      </c>
      <c r="AF600" t="s">
        <v>11118</v>
      </c>
      <c r="AH600" t="s">
        <v>10974</v>
      </c>
      <c r="AJ600" t="s">
        <v>11129</v>
      </c>
      <c r="AK600" t="s">
        <v>7225</v>
      </c>
      <c r="AM600">
        <v>1515</v>
      </c>
      <c r="AO600">
        <v>49</v>
      </c>
      <c r="AQ600" t="s">
        <v>11157</v>
      </c>
      <c r="AR600" t="s">
        <v>11172</v>
      </c>
      <c r="AU600">
        <v>3</v>
      </c>
      <c r="AW600" t="s">
        <v>11187</v>
      </c>
      <c r="AX600" t="s">
        <v>11212</v>
      </c>
      <c r="BA600" t="s">
        <v>11222</v>
      </c>
      <c r="BE600" t="s">
        <v>12051</v>
      </c>
      <c r="BG600" t="s">
        <v>14502</v>
      </c>
      <c r="BM600" t="s">
        <v>15650</v>
      </c>
    </row>
    <row r="601" spans="1:65">
      <c r="A601" s="1">
        <f>HYPERLINK("https://lsnyc.legalserver.org/matter/dynamic-profile/view/1905112","19-1905112")</f>
        <v>0</v>
      </c>
      <c r="B601" t="s">
        <v>98</v>
      </c>
      <c r="C601" t="s">
        <v>246</v>
      </c>
      <c r="D601" t="s">
        <v>332</v>
      </c>
      <c r="F601" t="s">
        <v>1439</v>
      </c>
      <c r="G601" t="s">
        <v>3157</v>
      </c>
      <c r="H601" t="s">
        <v>5000</v>
      </c>
      <c r="I601" t="s">
        <v>6608</v>
      </c>
      <c r="J601" t="s">
        <v>7170</v>
      </c>
      <c r="K601">
        <v>10455</v>
      </c>
      <c r="N601" t="s">
        <v>7237</v>
      </c>
      <c r="O601" t="s">
        <v>7689</v>
      </c>
      <c r="P601">
        <v>1</v>
      </c>
      <c r="Q601">
        <v>2</v>
      </c>
      <c r="R601">
        <v>11.7</v>
      </c>
      <c r="U601">
        <v>2496</v>
      </c>
      <c r="W601">
        <v>2.95</v>
      </c>
      <c r="X601" t="s">
        <v>264</v>
      </c>
      <c r="Y601" t="s">
        <v>93</v>
      </c>
      <c r="AA601" t="s">
        <v>10974</v>
      </c>
      <c r="AD601" t="s">
        <v>11098</v>
      </c>
      <c r="AF601" t="s">
        <v>11122</v>
      </c>
      <c r="AH601" t="s">
        <v>10974</v>
      </c>
      <c r="AJ601" t="s">
        <v>11129</v>
      </c>
      <c r="AK601" t="s">
        <v>7225</v>
      </c>
      <c r="AM601">
        <v>1515</v>
      </c>
      <c r="AO601">
        <v>49</v>
      </c>
      <c r="AQ601" t="s">
        <v>11157</v>
      </c>
      <c r="AS601" t="s">
        <v>11173</v>
      </c>
      <c r="AU601">
        <v>3</v>
      </c>
      <c r="AW601" t="s">
        <v>11187</v>
      </c>
      <c r="AX601" t="s">
        <v>11212</v>
      </c>
      <c r="BA601" t="s">
        <v>11222</v>
      </c>
      <c r="BE601" t="s">
        <v>12051</v>
      </c>
      <c r="BG601" t="s">
        <v>14504</v>
      </c>
      <c r="BM601" t="s">
        <v>15650</v>
      </c>
    </row>
    <row r="602" spans="1:65">
      <c r="A602" s="1">
        <f>HYPERLINK("https://lsnyc.legalserver.org/matter/dynamic-profile/view/1889380","19-1889380")</f>
        <v>0</v>
      </c>
      <c r="B602" t="s">
        <v>98</v>
      </c>
      <c r="C602" t="s">
        <v>246</v>
      </c>
      <c r="D602" t="s">
        <v>318</v>
      </c>
      <c r="F602" t="s">
        <v>1414</v>
      </c>
      <c r="G602" t="s">
        <v>3188</v>
      </c>
      <c r="H602" t="s">
        <v>4988</v>
      </c>
      <c r="I602" t="s">
        <v>6495</v>
      </c>
      <c r="J602" t="s">
        <v>7170</v>
      </c>
      <c r="K602">
        <v>10456</v>
      </c>
      <c r="N602" t="s">
        <v>7237</v>
      </c>
      <c r="O602" t="s">
        <v>7645</v>
      </c>
      <c r="P602">
        <v>2</v>
      </c>
      <c r="Q602">
        <v>0</v>
      </c>
      <c r="R602">
        <v>372.56</v>
      </c>
      <c r="U602">
        <v>63000</v>
      </c>
      <c r="W602">
        <v>0</v>
      </c>
      <c r="Y602" t="s">
        <v>216</v>
      </c>
      <c r="AA602" t="s">
        <v>10974</v>
      </c>
      <c r="AB602" t="s">
        <v>389</v>
      </c>
      <c r="AD602" t="s">
        <v>11098</v>
      </c>
      <c r="AF602" t="s">
        <v>11122</v>
      </c>
      <c r="AH602" t="s">
        <v>10974</v>
      </c>
      <c r="AJ602" t="s">
        <v>11141</v>
      </c>
      <c r="AK602" t="s">
        <v>7225</v>
      </c>
      <c r="AM602">
        <v>1098</v>
      </c>
      <c r="AO602">
        <v>61</v>
      </c>
      <c r="AQ602" t="s">
        <v>11157</v>
      </c>
      <c r="AS602" t="s">
        <v>11173</v>
      </c>
      <c r="AU602">
        <v>1</v>
      </c>
      <c r="AW602" t="s">
        <v>11189</v>
      </c>
      <c r="AZ602" t="s">
        <v>11221</v>
      </c>
      <c r="BE602" t="s">
        <v>12013</v>
      </c>
      <c r="BG602" t="s">
        <v>14489</v>
      </c>
      <c r="BM602" t="s">
        <v>15650</v>
      </c>
    </row>
    <row r="603" spans="1:65">
      <c r="A603" s="1">
        <f>HYPERLINK("https://lsnyc.legalserver.org/matter/dynamic-profile/view/1889386","19-1889386")</f>
        <v>0</v>
      </c>
      <c r="B603" t="s">
        <v>98</v>
      </c>
      <c r="C603" t="s">
        <v>246</v>
      </c>
      <c r="D603" t="s">
        <v>318</v>
      </c>
      <c r="F603" t="s">
        <v>1414</v>
      </c>
      <c r="G603" t="s">
        <v>3188</v>
      </c>
      <c r="H603" t="s">
        <v>4988</v>
      </c>
      <c r="I603" t="s">
        <v>6495</v>
      </c>
      <c r="J603" t="s">
        <v>7170</v>
      </c>
      <c r="K603">
        <v>10456</v>
      </c>
      <c r="N603" t="s">
        <v>7237</v>
      </c>
      <c r="O603" t="s">
        <v>7645</v>
      </c>
      <c r="P603">
        <v>2</v>
      </c>
      <c r="Q603">
        <v>0</v>
      </c>
      <c r="R603">
        <v>372.56</v>
      </c>
      <c r="U603">
        <v>63000</v>
      </c>
      <c r="W603">
        <v>0</v>
      </c>
      <c r="Y603" t="s">
        <v>216</v>
      </c>
      <c r="AA603" t="s">
        <v>10974</v>
      </c>
      <c r="AB603" t="s">
        <v>389</v>
      </c>
      <c r="AD603" t="s">
        <v>11098</v>
      </c>
      <c r="AF603" t="s">
        <v>11122</v>
      </c>
      <c r="AH603" t="s">
        <v>10974</v>
      </c>
      <c r="AJ603" t="s">
        <v>11141</v>
      </c>
      <c r="AK603" t="s">
        <v>7225</v>
      </c>
      <c r="AM603">
        <v>1098</v>
      </c>
      <c r="AO603">
        <v>61</v>
      </c>
      <c r="AQ603" t="s">
        <v>11157</v>
      </c>
      <c r="AS603" t="s">
        <v>11173</v>
      </c>
      <c r="AU603">
        <v>1</v>
      </c>
      <c r="AW603" t="s">
        <v>11189</v>
      </c>
      <c r="AZ603" t="s">
        <v>11221</v>
      </c>
      <c r="BE603" t="s">
        <v>12013</v>
      </c>
      <c r="BG603" t="s">
        <v>14490</v>
      </c>
      <c r="BM603" t="s">
        <v>15650</v>
      </c>
    </row>
    <row r="604" spans="1:65">
      <c r="A604" s="1">
        <f>HYPERLINK("https://lsnyc.legalserver.org/matter/dynamic-profile/view/1889957","19-1889957")</f>
        <v>0</v>
      </c>
      <c r="B604" t="s">
        <v>98</v>
      </c>
      <c r="C604" t="s">
        <v>246</v>
      </c>
      <c r="D604" t="s">
        <v>482</v>
      </c>
      <c r="F604" t="s">
        <v>1440</v>
      </c>
      <c r="G604" t="s">
        <v>3217</v>
      </c>
      <c r="H604" t="s">
        <v>4989</v>
      </c>
      <c r="I604" t="s">
        <v>6609</v>
      </c>
      <c r="J604" t="s">
        <v>7170</v>
      </c>
      <c r="K604">
        <v>10453</v>
      </c>
      <c r="N604" t="s">
        <v>7237</v>
      </c>
      <c r="O604" t="s">
        <v>7690</v>
      </c>
      <c r="P604">
        <v>1</v>
      </c>
      <c r="Q604">
        <v>0</v>
      </c>
      <c r="R604">
        <v>288.23</v>
      </c>
      <c r="U604">
        <v>36000</v>
      </c>
      <c r="W604">
        <v>0</v>
      </c>
      <c r="Y604" t="s">
        <v>10865</v>
      </c>
      <c r="AA604" t="s">
        <v>10974</v>
      </c>
      <c r="AB604" t="s">
        <v>370</v>
      </c>
      <c r="AD604" t="s">
        <v>11098</v>
      </c>
      <c r="AF604" t="s">
        <v>11122</v>
      </c>
      <c r="AH604" t="s">
        <v>10974</v>
      </c>
      <c r="AJ604" t="s">
        <v>11141</v>
      </c>
      <c r="AK604" t="s">
        <v>7225</v>
      </c>
      <c r="AM604">
        <v>1194</v>
      </c>
      <c r="AO604">
        <v>167</v>
      </c>
      <c r="AQ604" t="s">
        <v>11157</v>
      </c>
      <c r="AS604" t="s">
        <v>11173</v>
      </c>
      <c r="AU604">
        <v>12</v>
      </c>
      <c r="AW604" t="s">
        <v>11187</v>
      </c>
      <c r="AZ604" t="s">
        <v>11221</v>
      </c>
      <c r="BE604" t="s">
        <v>12052</v>
      </c>
      <c r="BF604" t="s">
        <v>14364</v>
      </c>
      <c r="BM604" t="s">
        <v>15650</v>
      </c>
    </row>
    <row r="605" spans="1:65">
      <c r="A605" s="1">
        <f>HYPERLINK("https://lsnyc.legalserver.org/matter/dynamic-profile/view/1854121","17-1854121")</f>
        <v>0</v>
      </c>
      <c r="B605" t="s">
        <v>98</v>
      </c>
      <c r="C605" t="s">
        <v>246</v>
      </c>
      <c r="D605" t="s">
        <v>397</v>
      </c>
      <c r="F605" t="s">
        <v>1441</v>
      </c>
      <c r="G605" t="s">
        <v>3218</v>
      </c>
      <c r="H605" t="s">
        <v>4988</v>
      </c>
      <c r="I605" t="s">
        <v>6610</v>
      </c>
      <c r="J605" t="s">
        <v>7170</v>
      </c>
      <c r="K605">
        <v>10456</v>
      </c>
      <c r="N605" t="s">
        <v>7237</v>
      </c>
      <c r="O605" t="s">
        <v>7691</v>
      </c>
      <c r="P605">
        <v>3</v>
      </c>
      <c r="Q605">
        <v>0</v>
      </c>
      <c r="R605">
        <v>190.99</v>
      </c>
      <c r="S605" t="s">
        <v>10261</v>
      </c>
      <c r="U605">
        <v>39000</v>
      </c>
      <c r="W605">
        <v>0</v>
      </c>
      <c r="Y605" t="s">
        <v>10899</v>
      </c>
      <c r="AA605" t="s">
        <v>10974</v>
      </c>
      <c r="AB605" t="s">
        <v>10992</v>
      </c>
      <c r="AD605" t="s">
        <v>11096</v>
      </c>
      <c r="AF605" t="s">
        <v>11122</v>
      </c>
      <c r="AH605" t="s">
        <v>10974</v>
      </c>
      <c r="AJ605" t="s">
        <v>11141</v>
      </c>
      <c r="AK605" t="s">
        <v>7225</v>
      </c>
      <c r="AM605">
        <v>1255</v>
      </c>
      <c r="AO605">
        <v>61</v>
      </c>
      <c r="AQ605" t="s">
        <v>11157</v>
      </c>
      <c r="AS605" t="s">
        <v>11174</v>
      </c>
      <c r="AU605">
        <v>19</v>
      </c>
      <c r="AW605" t="s">
        <v>11189</v>
      </c>
      <c r="AZ605" t="s">
        <v>11221</v>
      </c>
      <c r="BE605" t="s">
        <v>12053</v>
      </c>
      <c r="BG605" t="s">
        <v>14490</v>
      </c>
      <c r="BM605" t="s">
        <v>15650</v>
      </c>
    </row>
    <row r="606" spans="1:65">
      <c r="A606" s="1">
        <f>HYPERLINK("https://lsnyc.legalserver.org/matter/dynamic-profile/view/1892382","19-1892382")</f>
        <v>0</v>
      </c>
      <c r="B606" t="s">
        <v>98</v>
      </c>
      <c r="C606" t="s">
        <v>246</v>
      </c>
      <c r="D606" t="s">
        <v>483</v>
      </c>
      <c r="F606" t="s">
        <v>1442</v>
      </c>
      <c r="G606" t="s">
        <v>3079</v>
      </c>
      <c r="H606" t="s">
        <v>4989</v>
      </c>
      <c r="I606" t="s">
        <v>6575</v>
      </c>
      <c r="J606" t="s">
        <v>7170</v>
      </c>
      <c r="K606">
        <v>10453</v>
      </c>
      <c r="N606" t="s">
        <v>7237</v>
      </c>
      <c r="O606" t="s">
        <v>7692</v>
      </c>
      <c r="P606">
        <v>2</v>
      </c>
      <c r="Q606">
        <v>0</v>
      </c>
      <c r="R606">
        <v>372.56</v>
      </c>
      <c r="U606">
        <v>63000</v>
      </c>
      <c r="W606">
        <v>0</v>
      </c>
      <c r="Y606" t="s">
        <v>93</v>
      </c>
      <c r="AA606" t="s">
        <v>10974</v>
      </c>
      <c r="AB606" t="s">
        <v>896</v>
      </c>
      <c r="AD606" t="s">
        <v>11098</v>
      </c>
      <c r="AF606" t="s">
        <v>11122</v>
      </c>
      <c r="AH606" t="s">
        <v>10974</v>
      </c>
      <c r="AJ606" t="s">
        <v>11134</v>
      </c>
      <c r="AK606" t="s">
        <v>7225</v>
      </c>
      <c r="AM606">
        <v>1067.78</v>
      </c>
      <c r="AO606">
        <v>170</v>
      </c>
      <c r="AQ606" t="s">
        <v>11157</v>
      </c>
      <c r="AS606" t="s">
        <v>11173</v>
      </c>
      <c r="AU606">
        <v>20</v>
      </c>
      <c r="AW606" t="s">
        <v>11187</v>
      </c>
      <c r="BA606" t="s">
        <v>11222</v>
      </c>
      <c r="BE606" t="s">
        <v>12054</v>
      </c>
      <c r="BF606" t="s">
        <v>14364</v>
      </c>
      <c r="BM606" t="s">
        <v>15650</v>
      </c>
    </row>
    <row r="607" spans="1:65">
      <c r="A607" s="1">
        <f>HYPERLINK("https://lsnyc.legalserver.org/matter/dynamic-profile/view/0800064","16-0800064")</f>
        <v>0</v>
      </c>
      <c r="B607" t="s">
        <v>98</v>
      </c>
      <c r="C607" t="s">
        <v>246</v>
      </c>
      <c r="D607" t="s">
        <v>507</v>
      </c>
      <c r="F607" t="s">
        <v>1443</v>
      </c>
      <c r="G607" t="s">
        <v>1475</v>
      </c>
      <c r="H607" t="s">
        <v>4990</v>
      </c>
      <c r="I607" t="s">
        <v>6583</v>
      </c>
      <c r="J607" t="s">
        <v>7170</v>
      </c>
      <c r="K607">
        <v>10457</v>
      </c>
      <c r="N607" t="s">
        <v>7237</v>
      </c>
      <c r="O607" t="s">
        <v>7693</v>
      </c>
      <c r="P607">
        <v>2</v>
      </c>
      <c r="Q607">
        <v>1</v>
      </c>
      <c r="R607">
        <v>107.14</v>
      </c>
      <c r="S607" t="s">
        <v>10260</v>
      </c>
      <c r="U607">
        <v>28800</v>
      </c>
      <c r="W607">
        <v>148.9</v>
      </c>
      <c r="X607" t="s">
        <v>954</v>
      </c>
      <c r="Y607" t="s">
        <v>138</v>
      </c>
      <c r="AA607" t="s">
        <v>10974</v>
      </c>
      <c r="AB607" t="s">
        <v>510</v>
      </c>
      <c r="AD607" t="s">
        <v>11096</v>
      </c>
      <c r="AF607" t="s">
        <v>11122</v>
      </c>
      <c r="AH607" t="s">
        <v>10974</v>
      </c>
      <c r="AJ607" t="s">
        <v>11130</v>
      </c>
      <c r="AK607" t="s">
        <v>7225</v>
      </c>
      <c r="AM607">
        <v>800</v>
      </c>
      <c r="AN607" t="s">
        <v>11151</v>
      </c>
      <c r="AO607" t="s">
        <v>11153</v>
      </c>
      <c r="AQ607" t="s">
        <v>11157</v>
      </c>
      <c r="AS607" t="s">
        <v>11175</v>
      </c>
      <c r="AU607">
        <v>30</v>
      </c>
      <c r="AW607" t="s">
        <v>11189</v>
      </c>
      <c r="AZ607" t="s">
        <v>11221</v>
      </c>
      <c r="BE607" t="s">
        <v>12055</v>
      </c>
      <c r="BF607" t="s">
        <v>14364</v>
      </c>
      <c r="BM607" t="s">
        <v>15650</v>
      </c>
    </row>
    <row r="608" spans="1:65">
      <c r="A608" s="1">
        <f>HYPERLINK("https://lsnyc.legalserver.org/matter/dynamic-profile/view/1891962","19-1891962")</f>
        <v>0</v>
      </c>
      <c r="B608" t="s">
        <v>98</v>
      </c>
      <c r="C608" t="s">
        <v>246</v>
      </c>
      <c r="D608" t="s">
        <v>425</v>
      </c>
      <c r="F608" t="s">
        <v>1442</v>
      </c>
      <c r="G608" t="s">
        <v>3079</v>
      </c>
      <c r="H608" t="s">
        <v>4989</v>
      </c>
      <c r="I608" t="s">
        <v>6575</v>
      </c>
      <c r="J608" t="s">
        <v>7170</v>
      </c>
      <c r="K608">
        <v>10453</v>
      </c>
      <c r="N608" t="s">
        <v>7237</v>
      </c>
      <c r="O608" t="s">
        <v>7692</v>
      </c>
      <c r="P608">
        <v>2</v>
      </c>
      <c r="Q608">
        <v>0</v>
      </c>
      <c r="R608">
        <v>372.56</v>
      </c>
      <c r="U608">
        <v>63000</v>
      </c>
      <c r="W608">
        <v>0</v>
      </c>
      <c r="Y608" t="s">
        <v>93</v>
      </c>
      <c r="AA608" t="s">
        <v>10974</v>
      </c>
      <c r="AB608" t="s">
        <v>370</v>
      </c>
      <c r="AD608" t="s">
        <v>11101</v>
      </c>
      <c r="AF608" t="s">
        <v>11118</v>
      </c>
      <c r="AH608" t="s">
        <v>10974</v>
      </c>
      <c r="AJ608" t="s">
        <v>11134</v>
      </c>
      <c r="AK608" t="s">
        <v>7225</v>
      </c>
      <c r="AM608">
        <v>1067.78</v>
      </c>
      <c r="AO608">
        <v>170</v>
      </c>
      <c r="AQ608" t="s">
        <v>11157</v>
      </c>
      <c r="AS608" t="s">
        <v>11173</v>
      </c>
      <c r="AU608">
        <v>20</v>
      </c>
      <c r="AW608" t="s">
        <v>11187</v>
      </c>
      <c r="AZ608" t="s">
        <v>11221</v>
      </c>
      <c r="BE608" t="s">
        <v>12054</v>
      </c>
      <c r="BG608" t="s">
        <v>14486</v>
      </c>
      <c r="BM608" t="s">
        <v>15650</v>
      </c>
    </row>
    <row r="609" spans="1:65">
      <c r="A609" s="1">
        <f>HYPERLINK("https://lsnyc.legalserver.org/matter/dynamic-profile/view/1889882","19-1889882")</f>
        <v>0</v>
      </c>
      <c r="B609" t="s">
        <v>98</v>
      </c>
      <c r="C609" t="s">
        <v>246</v>
      </c>
      <c r="D609" t="s">
        <v>482</v>
      </c>
      <c r="F609" t="s">
        <v>1368</v>
      </c>
      <c r="G609" t="s">
        <v>3079</v>
      </c>
      <c r="H609" t="s">
        <v>4989</v>
      </c>
      <c r="I609" t="s">
        <v>6562</v>
      </c>
      <c r="J609" t="s">
        <v>7170</v>
      </c>
      <c r="K609">
        <v>10453</v>
      </c>
      <c r="N609" t="s">
        <v>7237</v>
      </c>
      <c r="O609" t="s">
        <v>7588</v>
      </c>
      <c r="P609">
        <v>1</v>
      </c>
      <c r="Q609">
        <v>0</v>
      </c>
      <c r="R609">
        <v>104.08</v>
      </c>
      <c r="U609">
        <v>13000</v>
      </c>
      <c r="W609">
        <v>0.3</v>
      </c>
      <c r="X609" t="s">
        <v>313</v>
      </c>
      <c r="Y609" t="s">
        <v>10865</v>
      </c>
      <c r="AA609" t="s">
        <v>10974</v>
      </c>
      <c r="AB609" t="s">
        <v>370</v>
      </c>
      <c r="AD609" t="s">
        <v>11101</v>
      </c>
      <c r="AF609" t="s">
        <v>11118</v>
      </c>
      <c r="AH609" t="s">
        <v>10974</v>
      </c>
      <c r="AJ609" t="s">
        <v>11141</v>
      </c>
      <c r="AK609" t="s">
        <v>7225</v>
      </c>
      <c r="AM609">
        <v>1152.67</v>
      </c>
      <c r="AO609">
        <v>167</v>
      </c>
      <c r="AQ609" t="s">
        <v>11157</v>
      </c>
      <c r="AS609" t="s">
        <v>11104</v>
      </c>
      <c r="AU609">
        <v>14</v>
      </c>
      <c r="AW609" t="s">
        <v>11187</v>
      </c>
      <c r="AZ609" t="s">
        <v>11221</v>
      </c>
      <c r="BE609" t="s">
        <v>11963</v>
      </c>
      <c r="BG609" t="s">
        <v>14486</v>
      </c>
      <c r="BM609" t="s">
        <v>15650</v>
      </c>
    </row>
    <row r="610" spans="1:65">
      <c r="A610" s="1">
        <f>HYPERLINK("https://lsnyc.legalserver.org/matter/dynamic-profile/view/1862824","18-1862824")</f>
        <v>0</v>
      </c>
      <c r="B610" t="s">
        <v>98</v>
      </c>
      <c r="C610" t="s">
        <v>246</v>
      </c>
      <c r="D610" t="s">
        <v>488</v>
      </c>
      <c r="F610" t="s">
        <v>1443</v>
      </c>
      <c r="G610" t="s">
        <v>1475</v>
      </c>
      <c r="H610" t="s">
        <v>4990</v>
      </c>
      <c r="I610" t="s">
        <v>6583</v>
      </c>
      <c r="J610" t="s">
        <v>7170</v>
      </c>
      <c r="K610">
        <v>10457</v>
      </c>
      <c r="N610" t="s">
        <v>7237</v>
      </c>
      <c r="O610" t="s">
        <v>7693</v>
      </c>
      <c r="P610">
        <v>2</v>
      </c>
      <c r="Q610">
        <v>1</v>
      </c>
      <c r="R610">
        <v>103.95</v>
      </c>
      <c r="U610">
        <v>28800</v>
      </c>
      <c r="W610">
        <v>0.4</v>
      </c>
      <c r="X610" t="s">
        <v>488</v>
      </c>
      <c r="Y610" t="s">
        <v>10865</v>
      </c>
      <c r="AA610" t="s">
        <v>10974</v>
      </c>
      <c r="AD610" t="s">
        <v>11096</v>
      </c>
      <c r="AF610" t="s">
        <v>11122</v>
      </c>
      <c r="AH610" t="s">
        <v>10974</v>
      </c>
      <c r="AJ610" t="s">
        <v>11129</v>
      </c>
      <c r="AK610" t="s">
        <v>7225</v>
      </c>
      <c r="AM610">
        <v>800</v>
      </c>
      <c r="AO610">
        <v>100</v>
      </c>
      <c r="AQ610" t="s">
        <v>11157</v>
      </c>
      <c r="AS610" t="s">
        <v>11175</v>
      </c>
      <c r="AU610">
        <v>30</v>
      </c>
      <c r="AW610" t="s">
        <v>11189</v>
      </c>
      <c r="AX610" t="s">
        <v>11212</v>
      </c>
      <c r="AZ610" t="s">
        <v>11221</v>
      </c>
      <c r="BE610" t="s">
        <v>12055</v>
      </c>
      <c r="BG610" t="s">
        <v>14492</v>
      </c>
      <c r="BM610" t="s">
        <v>15650</v>
      </c>
    </row>
    <row r="611" spans="1:65">
      <c r="A611" s="1">
        <f>HYPERLINK("https://lsnyc.legalserver.org/matter/dynamic-profile/view/1838974","17-1838974")</f>
        <v>0</v>
      </c>
      <c r="B611" t="s">
        <v>98</v>
      </c>
      <c r="C611" t="s">
        <v>246</v>
      </c>
      <c r="D611" t="s">
        <v>476</v>
      </c>
      <c r="F611" t="s">
        <v>1395</v>
      </c>
      <c r="G611" t="s">
        <v>2814</v>
      </c>
      <c r="H611" t="s">
        <v>4992</v>
      </c>
      <c r="I611" t="s">
        <v>6596</v>
      </c>
      <c r="J611" t="s">
        <v>7170</v>
      </c>
      <c r="K611">
        <v>10473</v>
      </c>
      <c r="N611" t="s">
        <v>7237</v>
      </c>
      <c r="O611" t="s">
        <v>7694</v>
      </c>
      <c r="P611">
        <v>2</v>
      </c>
      <c r="Q611">
        <v>0</v>
      </c>
      <c r="R611">
        <v>192.12</v>
      </c>
      <c r="S611" t="s">
        <v>10258</v>
      </c>
      <c r="U611">
        <v>46800</v>
      </c>
      <c r="W611">
        <v>0</v>
      </c>
      <c r="Y611" t="s">
        <v>10899</v>
      </c>
      <c r="AA611" t="s">
        <v>10974</v>
      </c>
      <c r="AB611" t="s">
        <v>10992</v>
      </c>
      <c r="AD611" t="s">
        <v>11096</v>
      </c>
      <c r="AF611" t="s">
        <v>11122</v>
      </c>
      <c r="AH611" t="s">
        <v>10974</v>
      </c>
      <c r="AJ611" t="s">
        <v>11139</v>
      </c>
      <c r="AK611" t="s">
        <v>7225</v>
      </c>
      <c r="AM611">
        <v>1182</v>
      </c>
      <c r="AO611">
        <v>976</v>
      </c>
      <c r="AQ611" t="s">
        <v>11157</v>
      </c>
      <c r="AS611" t="s">
        <v>11173</v>
      </c>
      <c r="AU611">
        <v>40</v>
      </c>
      <c r="AW611" t="s">
        <v>11187</v>
      </c>
      <c r="AZ611" t="s">
        <v>11221</v>
      </c>
      <c r="BE611" t="s">
        <v>12056</v>
      </c>
      <c r="BG611" t="s">
        <v>14487</v>
      </c>
      <c r="BM611" t="s">
        <v>15650</v>
      </c>
    </row>
    <row r="612" spans="1:65">
      <c r="A612" s="1">
        <f>HYPERLINK("https://lsnyc.legalserver.org/matter/dynamic-profile/view/1862815","18-1862815")</f>
        <v>0</v>
      </c>
      <c r="B612" t="s">
        <v>98</v>
      </c>
      <c r="C612" t="s">
        <v>246</v>
      </c>
      <c r="D612" t="s">
        <v>488</v>
      </c>
      <c r="F612" t="s">
        <v>1360</v>
      </c>
      <c r="G612" t="s">
        <v>3021</v>
      </c>
      <c r="H612" t="s">
        <v>4990</v>
      </c>
      <c r="I612" t="s">
        <v>6436</v>
      </c>
      <c r="J612" t="s">
        <v>7170</v>
      </c>
      <c r="K612">
        <v>10457</v>
      </c>
      <c r="N612" t="s">
        <v>7237</v>
      </c>
      <c r="O612" t="s">
        <v>7695</v>
      </c>
      <c r="P612">
        <v>2</v>
      </c>
      <c r="Q612">
        <v>0</v>
      </c>
      <c r="R612">
        <v>455.65</v>
      </c>
      <c r="U612">
        <v>120000</v>
      </c>
      <c r="W612">
        <v>0.4</v>
      </c>
      <c r="X612" t="s">
        <v>488</v>
      </c>
      <c r="Y612" t="s">
        <v>10865</v>
      </c>
      <c r="AA612" t="s">
        <v>10974</v>
      </c>
      <c r="AD612" t="s">
        <v>11096</v>
      </c>
      <c r="AF612" t="s">
        <v>11122</v>
      </c>
      <c r="AH612" t="s">
        <v>10974</v>
      </c>
      <c r="AJ612" t="s">
        <v>11129</v>
      </c>
      <c r="AK612" t="s">
        <v>7225</v>
      </c>
      <c r="AM612">
        <v>787</v>
      </c>
      <c r="AO612">
        <v>100</v>
      </c>
      <c r="AQ612" t="s">
        <v>11157</v>
      </c>
      <c r="AR612" t="s">
        <v>11172</v>
      </c>
      <c r="AU612">
        <v>30</v>
      </c>
      <c r="AW612" t="s">
        <v>11187</v>
      </c>
      <c r="AX612" t="s">
        <v>11212</v>
      </c>
      <c r="AZ612" t="s">
        <v>11221</v>
      </c>
      <c r="BE612" t="s">
        <v>12057</v>
      </c>
      <c r="BG612" t="s">
        <v>14492</v>
      </c>
      <c r="BM612" t="s">
        <v>15650</v>
      </c>
    </row>
    <row r="613" spans="1:65">
      <c r="A613" s="1">
        <f>HYPERLINK("https://lsnyc.legalserver.org/matter/dynamic-profile/view/1891390","19-1891390")</f>
        <v>0</v>
      </c>
      <c r="B613" t="s">
        <v>98</v>
      </c>
      <c r="C613" t="s">
        <v>246</v>
      </c>
      <c r="D613" t="s">
        <v>480</v>
      </c>
      <c r="F613" t="s">
        <v>1444</v>
      </c>
      <c r="G613" t="s">
        <v>3190</v>
      </c>
      <c r="H613" t="s">
        <v>4989</v>
      </c>
      <c r="I613" t="s">
        <v>6488</v>
      </c>
      <c r="J613" t="s">
        <v>7170</v>
      </c>
      <c r="K613">
        <v>10453</v>
      </c>
      <c r="N613" t="s">
        <v>7237</v>
      </c>
      <c r="O613" t="s">
        <v>7696</v>
      </c>
      <c r="P613">
        <v>3</v>
      </c>
      <c r="Q613">
        <v>2</v>
      </c>
      <c r="R613">
        <v>68.94</v>
      </c>
      <c r="U613">
        <v>20800</v>
      </c>
      <c r="W613">
        <v>0</v>
      </c>
      <c r="Y613" t="s">
        <v>216</v>
      </c>
      <c r="AA613" t="s">
        <v>10974</v>
      </c>
      <c r="AB613" t="s">
        <v>370</v>
      </c>
      <c r="AD613" t="s">
        <v>11098</v>
      </c>
      <c r="AF613" t="s">
        <v>11122</v>
      </c>
      <c r="AH613" t="s">
        <v>10974</v>
      </c>
      <c r="AJ613" t="s">
        <v>11141</v>
      </c>
      <c r="AK613" t="s">
        <v>7225</v>
      </c>
      <c r="AM613">
        <v>1306.45</v>
      </c>
      <c r="AO613">
        <v>170</v>
      </c>
      <c r="AQ613" t="s">
        <v>11157</v>
      </c>
      <c r="AS613" t="s">
        <v>11173</v>
      </c>
      <c r="AU613">
        <v>10</v>
      </c>
      <c r="AW613" t="s">
        <v>11189</v>
      </c>
      <c r="AZ613" t="s">
        <v>11221</v>
      </c>
      <c r="BE613" t="s">
        <v>12058</v>
      </c>
      <c r="BF613" t="s">
        <v>14364</v>
      </c>
      <c r="BM613" t="s">
        <v>15650</v>
      </c>
    </row>
    <row r="614" spans="1:65">
      <c r="A614" s="1">
        <f>HYPERLINK("https://lsnyc.legalserver.org/matter/dynamic-profile/view/1891378","19-1891378")</f>
        <v>0</v>
      </c>
      <c r="B614" t="s">
        <v>98</v>
      </c>
      <c r="C614" t="s">
        <v>246</v>
      </c>
      <c r="D614" t="s">
        <v>480</v>
      </c>
      <c r="F614" t="s">
        <v>1444</v>
      </c>
      <c r="G614" t="s">
        <v>3190</v>
      </c>
      <c r="H614" t="s">
        <v>4989</v>
      </c>
      <c r="I614" t="s">
        <v>6488</v>
      </c>
      <c r="J614" t="s">
        <v>7170</v>
      </c>
      <c r="K614">
        <v>10453</v>
      </c>
      <c r="N614" t="s">
        <v>7237</v>
      </c>
      <c r="O614" t="s">
        <v>7696</v>
      </c>
      <c r="P614">
        <v>3</v>
      </c>
      <c r="Q614">
        <v>2</v>
      </c>
      <c r="R614">
        <v>68.94</v>
      </c>
      <c r="U614">
        <v>20800</v>
      </c>
      <c r="W614">
        <v>0</v>
      </c>
      <c r="Y614" t="s">
        <v>216</v>
      </c>
      <c r="AA614" t="s">
        <v>10974</v>
      </c>
      <c r="AB614" t="s">
        <v>370</v>
      </c>
      <c r="AD614" t="s">
        <v>11101</v>
      </c>
      <c r="AF614" t="s">
        <v>11118</v>
      </c>
      <c r="AH614" t="s">
        <v>10974</v>
      </c>
      <c r="AJ614" t="s">
        <v>11141</v>
      </c>
      <c r="AK614" t="s">
        <v>7225</v>
      </c>
      <c r="AM614">
        <v>1306.45</v>
      </c>
      <c r="AO614">
        <v>170</v>
      </c>
      <c r="AQ614" t="s">
        <v>11157</v>
      </c>
      <c r="AS614" t="s">
        <v>11173</v>
      </c>
      <c r="AU614">
        <v>10</v>
      </c>
      <c r="AW614" t="s">
        <v>11189</v>
      </c>
      <c r="AZ614" t="s">
        <v>11221</v>
      </c>
      <c r="BE614" t="s">
        <v>12058</v>
      </c>
      <c r="BG614" t="s">
        <v>14486</v>
      </c>
      <c r="BM614" t="s">
        <v>15650</v>
      </c>
    </row>
    <row r="615" spans="1:65">
      <c r="A615" s="1">
        <f>HYPERLINK("https://lsnyc.legalserver.org/matter/dynamic-profile/view/1890024","19-1890024")</f>
        <v>0</v>
      </c>
      <c r="B615" t="s">
        <v>98</v>
      </c>
      <c r="C615" t="s">
        <v>246</v>
      </c>
      <c r="D615" t="s">
        <v>482</v>
      </c>
      <c r="F615" t="s">
        <v>1282</v>
      </c>
      <c r="G615" t="s">
        <v>3147</v>
      </c>
      <c r="H615" t="s">
        <v>4989</v>
      </c>
      <c r="I615" t="s">
        <v>6495</v>
      </c>
      <c r="J615" t="s">
        <v>7170</v>
      </c>
      <c r="K615">
        <v>10453</v>
      </c>
      <c r="N615" t="s">
        <v>7237</v>
      </c>
      <c r="O615" t="s">
        <v>7697</v>
      </c>
      <c r="P615">
        <v>2</v>
      </c>
      <c r="Q615">
        <v>4</v>
      </c>
      <c r="R615">
        <v>101.93</v>
      </c>
      <c r="U615">
        <v>34392</v>
      </c>
      <c r="W615">
        <v>0</v>
      </c>
      <c r="Y615" t="s">
        <v>93</v>
      </c>
      <c r="AA615" t="s">
        <v>10974</v>
      </c>
      <c r="AB615" t="s">
        <v>370</v>
      </c>
      <c r="AD615" t="s">
        <v>11101</v>
      </c>
      <c r="AF615" t="s">
        <v>11118</v>
      </c>
      <c r="AH615" t="s">
        <v>10974</v>
      </c>
      <c r="AJ615" t="s">
        <v>11134</v>
      </c>
      <c r="AK615" t="s">
        <v>7225</v>
      </c>
      <c r="AM615">
        <v>880.27</v>
      </c>
      <c r="AO615">
        <v>170</v>
      </c>
      <c r="AQ615" t="s">
        <v>11157</v>
      </c>
      <c r="AS615" t="s">
        <v>11173</v>
      </c>
      <c r="AU615">
        <v>20</v>
      </c>
      <c r="AW615" t="s">
        <v>11187</v>
      </c>
      <c r="AZ615" t="s">
        <v>11221</v>
      </c>
      <c r="BE615" t="s">
        <v>12059</v>
      </c>
      <c r="BG615" t="s">
        <v>14486</v>
      </c>
      <c r="BM615" t="s">
        <v>15650</v>
      </c>
    </row>
    <row r="616" spans="1:65">
      <c r="A616" s="1">
        <f>HYPERLINK("https://lsnyc.legalserver.org/matter/dynamic-profile/view/1890039","19-1890039")</f>
        <v>0</v>
      </c>
      <c r="B616" t="s">
        <v>98</v>
      </c>
      <c r="C616" t="s">
        <v>246</v>
      </c>
      <c r="D616" t="s">
        <v>482</v>
      </c>
      <c r="F616" t="s">
        <v>1282</v>
      </c>
      <c r="G616" t="s">
        <v>3147</v>
      </c>
      <c r="H616" t="s">
        <v>4989</v>
      </c>
      <c r="I616" t="s">
        <v>6495</v>
      </c>
      <c r="J616" t="s">
        <v>7170</v>
      </c>
      <c r="K616">
        <v>10453</v>
      </c>
      <c r="N616" t="s">
        <v>7237</v>
      </c>
      <c r="O616" t="s">
        <v>7697</v>
      </c>
      <c r="P616">
        <v>2</v>
      </c>
      <c r="Q616">
        <v>4</v>
      </c>
      <c r="R616">
        <v>101.93</v>
      </c>
      <c r="U616">
        <v>34392</v>
      </c>
      <c r="W616">
        <v>0</v>
      </c>
      <c r="Y616" t="s">
        <v>93</v>
      </c>
      <c r="AA616" t="s">
        <v>10974</v>
      </c>
      <c r="AB616" t="s">
        <v>896</v>
      </c>
      <c r="AD616" t="s">
        <v>11098</v>
      </c>
      <c r="AF616" t="s">
        <v>11122</v>
      </c>
      <c r="AH616" t="s">
        <v>10974</v>
      </c>
      <c r="AJ616" t="s">
        <v>11141</v>
      </c>
      <c r="AK616" t="s">
        <v>7225</v>
      </c>
      <c r="AM616">
        <v>880.27</v>
      </c>
      <c r="AO616">
        <v>170</v>
      </c>
      <c r="AQ616" t="s">
        <v>11157</v>
      </c>
      <c r="AS616" t="s">
        <v>11173</v>
      </c>
      <c r="AU616">
        <v>20</v>
      </c>
      <c r="AW616" t="s">
        <v>11187</v>
      </c>
      <c r="BA616" t="s">
        <v>11222</v>
      </c>
      <c r="BE616" t="s">
        <v>12059</v>
      </c>
      <c r="BF616" t="s">
        <v>14364</v>
      </c>
      <c r="BM616" t="s">
        <v>15650</v>
      </c>
    </row>
    <row r="617" spans="1:65">
      <c r="A617" s="1">
        <f>HYPERLINK("https://lsnyc.legalserver.org/matter/dynamic-profile/view/0796462","16-0796462")</f>
        <v>0</v>
      </c>
      <c r="B617" t="s">
        <v>98</v>
      </c>
      <c r="C617" t="s">
        <v>246</v>
      </c>
      <c r="D617" t="s">
        <v>520</v>
      </c>
      <c r="F617" t="s">
        <v>1401</v>
      </c>
      <c r="G617" t="s">
        <v>1475</v>
      </c>
      <c r="H617" t="s">
        <v>4990</v>
      </c>
      <c r="I617" t="s">
        <v>6501</v>
      </c>
      <c r="J617" t="s">
        <v>7170</v>
      </c>
      <c r="K617">
        <v>10457</v>
      </c>
      <c r="N617" t="s">
        <v>7237</v>
      </c>
      <c r="O617" t="s">
        <v>7630</v>
      </c>
      <c r="P617">
        <v>1</v>
      </c>
      <c r="Q617">
        <v>0</v>
      </c>
      <c r="R617">
        <v>637.21</v>
      </c>
      <c r="S617" t="s">
        <v>10260</v>
      </c>
      <c r="U617">
        <v>75000</v>
      </c>
      <c r="W617">
        <v>5.5</v>
      </c>
      <c r="X617" t="s">
        <v>946</v>
      </c>
      <c r="Y617" t="s">
        <v>138</v>
      </c>
      <c r="AA617" t="s">
        <v>10974</v>
      </c>
      <c r="AB617" t="s">
        <v>502</v>
      </c>
      <c r="AD617" t="s">
        <v>11085</v>
      </c>
      <c r="AF617" t="s">
        <v>11118</v>
      </c>
      <c r="AH617" t="s">
        <v>10974</v>
      </c>
      <c r="AJ617" t="s">
        <v>11130</v>
      </c>
      <c r="AK617" t="s">
        <v>7225</v>
      </c>
      <c r="AM617">
        <v>1290</v>
      </c>
      <c r="AN617" t="s">
        <v>11151</v>
      </c>
      <c r="AO617" t="s">
        <v>11153</v>
      </c>
      <c r="AQ617" t="s">
        <v>11157</v>
      </c>
      <c r="AS617" t="s">
        <v>11173</v>
      </c>
      <c r="AU617">
        <v>20</v>
      </c>
      <c r="AW617" t="s">
        <v>11187</v>
      </c>
      <c r="AZ617" t="s">
        <v>11221</v>
      </c>
      <c r="BE617" t="s">
        <v>12000</v>
      </c>
      <c r="BF617" t="s">
        <v>14364</v>
      </c>
      <c r="BG617" t="s">
        <v>14485</v>
      </c>
      <c r="BM617" t="s">
        <v>15650</v>
      </c>
    </row>
    <row r="618" spans="1:65">
      <c r="A618" s="1">
        <f>HYPERLINK("https://lsnyc.legalserver.org/matter/dynamic-profile/view/0800114","16-0800114")</f>
        <v>0</v>
      </c>
      <c r="B618" t="s">
        <v>98</v>
      </c>
      <c r="C618" t="s">
        <v>246</v>
      </c>
      <c r="D618" t="s">
        <v>507</v>
      </c>
      <c r="F618" t="s">
        <v>1360</v>
      </c>
      <c r="G618" t="s">
        <v>3021</v>
      </c>
      <c r="H618" t="s">
        <v>4990</v>
      </c>
      <c r="I618" t="s">
        <v>6436</v>
      </c>
      <c r="J618" t="s">
        <v>7170</v>
      </c>
      <c r="K618">
        <v>10457</v>
      </c>
      <c r="N618" t="s">
        <v>7237</v>
      </c>
      <c r="O618" t="s">
        <v>7695</v>
      </c>
      <c r="P618">
        <v>2</v>
      </c>
      <c r="Q618">
        <v>0</v>
      </c>
      <c r="R618">
        <v>468.16</v>
      </c>
      <c r="S618" t="s">
        <v>10260</v>
      </c>
      <c r="U618">
        <v>75000</v>
      </c>
      <c r="W618">
        <v>0</v>
      </c>
      <c r="Y618" t="s">
        <v>138</v>
      </c>
      <c r="AA618" t="s">
        <v>10974</v>
      </c>
      <c r="AB618" t="s">
        <v>502</v>
      </c>
      <c r="AD618" t="s">
        <v>11107</v>
      </c>
      <c r="AF618" t="s">
        <v>11118</v>
      </c>
      <c r="AH618" t="s">
        <v>10974</v>
      </c>
      <c r="AJ618" t="s">
        <v>11130</v>
      </c>
      <c r="AK618" t="s">
        <v>7225</v>
      </c>
      <c r="AM618">
        <v>787</v>
      </c>
      <c r="AN618" t="s">
        <v>11151</v>
      </c>
      <c r="AO618" t="s">
        <v>11153</v>
      </c>
      <c r="AQ618" t="s">
        <v>11157</v>
      </c>
      <c r="AS618" t="s">
        <v>11173</v>
      </c>
      <c r="AU618">
        <v>30</v>
      </c>
      <c r="AW618" t="s">
        <v>11187</v>
      </c>
      <c r="AZ618" t="s">
        <v>11221</v>
      </c>
      <c r="BE618" t="s">
        <v>12057</v>
      </c>
      <c r="BF618" t="s">
        <v>14364</v>
      </c>
      <c r="BG618" t="s">
        <v>14485</v>
      </c>
      <c r="BM618" t="s">
        <v>15650</v>
      </c>
    </row>
    <row r="619" spans="1:65">
      <c r="A619" s="1">
        <f>HYPERLINK("https://lsnyc.legalserver.org/matter/dynamic-profile/view/0800116","16-0800116")</f>
        <v>0</v>
      </c>
      <c r="B619" t="s">
        <v>98</v>
      </c>
      <c r="C619" t="s">
        <v>246</v>
      </c>
      <c r="D619" t="s">
        <v>507</v>
      </c>
      <c r="F619" t="s">
        <v>1360</v>
      </c>
      <c r="G619" t="s">
        <v>3021</v>
      </c>
      <c r="H619" t="s">
        <v>4990</v>
      </c>
      <c r="I619" t="s">
        <v>6436</v>
      </c>
      <c r="J619" t="s">
        <v>7170</v>
      </c>
      <c r="K619">
        <v>10457</v>
      </c>
      <c r="N619" t="s">
        <v>7237</v>
      </c>
      <c r="O619" t="s">
        <v>7695</v>
      </c>
      <c r="P619">
        <v>2</v>
      </c>
      <c r="Q619">
        <v>0</v>
      </c>
      <c r="R619">
        <v>468.16</v>
      </c>
      <c r="S619" t="s">
        <v>10260</v>
      </c>
      <c r="U619">
        <v>120000</v>
      </c>
      <c r="W619">
        <v>0.2</v>
      </c>
      <c r="X619" t="s">
        <v>507</v>
      </c>
      <c r="Y619" t="s">
        <v>138</v>
      </c>
      <c r="AA619" t="s">
        <v>10974</v>
      </c>
      <c r="AB619" t="s">
        <v>502</v>
      </c>
      <c r="AD619" t="s">
        <v>11096</v>
      </c>
      <c r="AF619" t="s">
        <v>11122</v>
      </c>
      <c r="AH619" t="s">
        <v>10974</v>
      </c>
      <c r="AJ619" t="s">
        <v>11130</v>
      </c>
      <c r="AK619" t="s">
        <v>7225</v>
      </c>
      <c r="AM619">
        <v>787</v>
      </c>
      <c r="AN619" t="s">
        <v>11151</v>
      </c>
      <c r="AO619" t="s">
        <v>11153</v>
      </c>
      <c r="AQ619" t="s">
        <v>11157</v>
      </c>
      <c r="AS619" t="s">
        <v>11173</v>
      </c>
      <c r="AU619">
        <v>30</v>
      </c>
      <c r="AW619" t="s">
        <v>11187</v>
      </c>
      <c r="AZ619" t="s">
        <v>11221</v>
      </c>
      <c r="BE619" t="s">
        <v>12057</v>
      </c>
      <c r="BF619" t="s">
        <v>14364</v>
      </c>
      <c r="BM619" t="s">
        <v>15650</v>
      </c>
    </row>
    <row r="620" spans="1:65">
      <c r="A620" s="1">
        <f>HYPERLINK("https://lsnyc.legalserver.org/matter/dynamic-profile/view/1894904","19-1894904")</f>
        <v>0</v>
      </c>
      <c r="B620" t="s">
        <v>98</v>
      </c>
      <c r="C620" t="s">
        <v>246</v>
      </c>
      <c r="D620" t="s">
        <v>521</v>
      </c>
      <c r="F620" t="s">
        <v>1445</v>
      </c>
      <c r="G620" t="s">
        <v>3214</v>
      </c>
      <c r="H620" t="s">
        <v>4989</v>
      </c>
      <c r="I620" t="s">
        <v>6611</v>
      </c>
      <c r="J620" t="s">
        <v>7170</v>
      </c>
      <c r="K620">
        <v>10453</v>
      </c>
      <c r="N620" t="s">
        <v>7237</v>
      </c>
      <c r="O620" t="s">
        <v>7698</v>
      </c>
      <c r="P620">
        <v>2</v>
      </c>
      <c r="Q620">
        <v>0</v>
      </c>
      <c r="R620">
        <v>107.63</v>
      </c>
      <c r="U620">
        <v>18200</v>
      </c>
      <c r="W620">
        <v>0</v>
      </c>
      <c r="Y620" t="s">
        <v>93</v>
      </c>
      <c r="AA620" t="s">
        <v>10974</v>
      </c>
      <c r="AB620" t="s">
        <v>370</v>
      </c>
      <c r="AD620" t="s">
        <v>11101</v>
      </c>
      <c r="AF620" t="s">
        <v>11118</v>
      </c>
      <c r="AH620" t="s">
        <v>10974</v>
      </c>
      <c r="AJ620" t="s">
        <v>11134</v>
      </c>
      <c r="AK620" t="s">
        <v>7225</v>
      </c>
      <c r="AM620">
        <v>1050</v>
      </c>
      <c r="AO620">
        <v>170</v>
      </c>
      <c r="AQ620" t="s">
        <v>11157</v>
      </c>
      <c r="AS620" t="s">
        <v>11173</v>
      </c>
      <c r="AU620">
        <v>6</v>
      </c>
      <c r="AW620" t="s">
        <v>11189</v>
      </c>
      <c r="AZ620" t="s">
        <v>11221</v>
      </c>
      <c r="BE620" t="s">
        <v>12060</v>
      </c>
      <c r="BG620" t="s">
        <v>14486</v>
      </c>
      <c r="BM620" t="s">
        <v>15650</v>
      </c>
    </row>
    <row r="621" spans="1:65">
      <c r="A621" s="1">
        <f>HYPERLINK("https://lsnyc.legalserver.org/matter/dynamic-profile/view/0816932","16-0816932")</f>
        <v>0</v>
      </c>
      <c r="B621" t="s">
        <v>98</v>
      </c>
      <c r="C621" t="s">
        <v>246</v>
      </c>
      <c r="D621" t="s">
        <v>494</v>
      </c>
      <c r="F621" t="s">
        <v>1443</v>
      </c>
      <c r="G621" t="s">
        <v>1475</v>
      </c>
      <c r="H621" t="s">
        <v>4990</v>
      </c>
      <c r="I621" t="s">
        <v>6583</v>
      </c>
      <c r="J621" t="s">
        <v>7170</v>
      </c>
      <c r="K621">
        <v>10457</v>
      </c>
      <c r="N621" t="s">
        <v>7237</v>
      </c>
      <c r="O621" t="s">
        <v>7693</v>
      </c>
      <c r="P621">
        <v>2</v>
      </c>
      <c r="Q621">
        <v>1</v>
      </c>
      <c r="R621">
        <v>107.14</v>
      </c>
      <c r="S621" t="s">
        <v>10260</v>
      </c>
      <c r="U621">
        <v>28800</v>
      </c>
      <c r="W621">
        <v>0.8</v>
      </c>
      <c r="X621" t="s">
        <v>464</v>
      </c>
      <c r="Y621" t="s">
        <v>10899</v>
      </c>
      <c r="AA621" t="s">
        <v>10974</v>
      </c>
      <c r="AB621" t="s">
        <v>838</v>
      </c>
      <c r="AD621" t="s">
        <v>11096</v>
      </c>
      <c r="AF621" t="s">
        <v>11122</v>
      </c>
      <c r="AH621" t="s">
        <v>10974</v>
      </c>
      <c r="AJ621" t="s">
        <v>11130</v>
      </c>
      <c r="AK621" t="s">
        <v>7225</v>
      </c>
      <c r="AM621">
        <v>800</v>
      </c>
      <c r="AO621">
        <v>100</v>
      </c>
      <c r="AQ621" t="s">
        <v>11157</v>
      </c>
      <c r="AS621" t="s">
        <v>11175</v>
      </c>
      <c r="AU621">
        <v>30</v>
      </c>
      <c r="AW621" t="s">
        <v>11189</v>
      </c>
      <c r="AZ621" t="s">
        <v>11221</v>
      </c>
      <c r="BE621" t="s">
        <v>12055</v>
      </c>
      <c r="BF621" t="s">
        <v>14364</v>
      </c>
      <c r="BG621" t="s">
        <v>14498</v>
      </c>
      <c r="BM621" t="s">
        <v>15650</v>
      </c>
    </row>
    <row r="622" spans="1:65">
      <c r="A622" s="1">
        <f>HYPERLINK("https://lsnyc.legalserver.org/matter/dynamic-profile/view/0821616","16-0821616")</f>
        <v>0</v>
      </c>
      <c r="B622" t="s">
        <v>98</v>
      </c>
      <c r="C622" t="s">
        <v>246</v>
      </c>
      <c r="D622" t="s">
        <v>474</v>
      </c>
      <c r="F622" t="s">
        <v>1446</v>
      </c>
      <c r="G622" t="s">
        <v>3219</v>
      </c>
      <c r="H622" t="s">
        <v>4972</v>
      </c>
      <c r="I622" t="s">
        <v>6423</v>
      </c>
      <c r="J622" t="s">
        <v>7170</v>
      </c>
      <c r="K622">
        <v>10452</v>
      </c>
      <c r="N622" t="s">
        <v>7237</v>
      </c>
      <c r="O622" t="s">
        <v>7699</v>
      </c>
      <c r="P622">
        <v>2</v>
      </c>
      <c r="Q622">
        <v>0</v>
      </c>
      <c r="R622">
        <v>107.05</v>
      </c>
      <c r="U622">
        <v>33971</v>
      </c>
      <c r="W622">
        <v>0</v>
      </c>
      <c r="Y622" t="s">
        <v>10899</v>
      </c>
      <c r="AA622" t="s">
        <v>10974</v>
      </c>
      <c r="AB622" t="s">
        <v>474</v>
      </c>
      <c r="AD622" t="s">
        <v>11096</v>
      </c>
      <c r="AF622" t="s">
        <v>11122</v>
      </c>
      <c r="AH622" t="s">
        <v>10974</v>
      </c>
      <c r="AJ622" t="s">
        <v>11141</v>
      </c>
      <c r="AK622" t="s">
        <v>7225</v>
      </c>
      <c r="AM622">
        <v>810.17</v>
      </c>
      <c r="AO622">
        <v>63</v>
      </c>
      <c r="AQ622" t="s">
        <v>11157</v>
      </c>
      <c r="AR622" t="s">
        <v>11172</v>
      </c>
      <c r="AU622">
        <v>39</v>
      </c>
      <c r="AW622" t="s">
        <v>11187</v>
      </c>
      <c r="AZ622" t="s">
        <v>11221</v>
      </c>
      <c r="BE622" t="s">
        <v>12061</v>
      </c>
      <c r="BF622" t="s">
        <v>14364</v>
      </c>
      <c r="BM622" t="s">
        <v>15650</v>
      </c>
    </row>
    <row r="623" spans="1:65">
      <c r="A623" s="1">
        <f>HYPERLINK("https://lsnyc.legalserver.org/matter/dynamic-profile/view/1876344","18-1876344")</f>
        <v>0</v>
      </c>
      <c r="B623" t="s">
        <v>98</v>
      </c>
      <c r="C623" t="s">
        <v>246</v>
      </c>
      <c r="D623" t="s">
        <v>291</v>
      </c>
      <c r="F623" t="s">
        <v>1406</v>
      </c>
      <c r="G623" t="s">
        <v>3179</v>
      </c>
      <c r="H623" t="s">
        <v>4988</v>
      </c>
      <c r="I623" t="s">
        <v>6422</v>
      </c>
      <c r="J623" t="s">
        <v>7170</v>
      </c>
      <c r="K623">
        <v>10456</v>
      </c>
      <c r="N623" t="s">
        <v>7237</v>
      </c>
      <c r="O623" t="s">
        <v>7635</v>
      </c>
      <c r="P623">
        <v>2</v>
      </c>
      <c r="Q623">
        <v>0</v>
      </c>
      <c r="R623">
        <v>625.15</v>
      </c>
      <c r="U623">
        <v>102900</v>
      </c>
      <c r="W623">
        <v>0</v>
      </c>
      <c r="Y623" t="s">
        <v>216</v>
      </c>
      <c r="AA623" t="s">
        <v>10974</v>
      </c>
      <c r="AB623" t="s">
        <v>730</v>
      </c>
      <c r="AD623" t="s">
        <v>11098</v>
      </c>
      <c r="AF623" t="s">
        <v>11122</v>
      </c>
      <c r="AH623" t="s">
        <v>10974</v>
      </c>
      <c r="AJ623" t="s">
        <v>11141</v>
      </c>
      <c r="AK623" t="s">
        <v>7225</v>
      </c>
      <c r="AM623">
        <v>1200</v>
      </c>
      <c r="AO623">
        <v>61</v>
      </c>
      <c r="AQ623" t="s">
        <v>11157</v>
      </c>
      <c r="AS623" t="s">
        <v>11173</v>
      </c>
      <c r="AT623" t="s">
        <v>11184</v>
      </c>
      <c r="AU623">
        <v>0</v>
      </c>
      <c r="AW623" t="s">
        <v>11187</v>
      </c>
      <c r="AZ623" t="s">
        <v>11221</v>
      </c>
      <c r="BE623" t="s">
        <v>12005</v>
      </c>
      <c r="BG623" t="s">
        <v>14483</v>
      </c>
      <c r="BM623" t="s">
        <v>15650</v>
      </c>
    </row>
    <row r="624" spans="1:65">
      <c r="A624" s="1">
        <f>HYPERLINK("https://lsnyc.legalserver.org/matter/dynamic-profile/view/0800070","16-0800070")</f>
        <v>0</v>
      </c>
      <c r="B624" t="s">
        <v>98</v>
      </c>
      <c r="C624" t="s">
        <v>246</v>
      </c>
      <c r="D624" t="s">
        <v>507</v>
      </c>
      <c r="F624" t="s">
        <v>1401</v>
      </c>
      <c r="G624" t="s">
        <v>1475</v>
      </c>
      <c r="H624" t="s">
        <v>4990</v>
      </c>
      <c r="I624" t="s">
        <v>6583</v>
      </c>
      <c r="J624" t="s">
        <v>7170</v>
      </c>
      <c r="K624">
        <v>10457</v>
      </c>
      <c r="N624" t="s">
        <v>7237</v>
      </c>
      <c r="O624" t="s">
        <v>7630</v>
      </c>
      <c r="P624">
        <v>1</v>
      </c>
      <c r="Q624">
        <v>0</v>
      </c>
      <c r="R624">
        <v>631.3099999999999</v>
      </c>
      <c r="U624">
        <v>75000</v>
      </c>
      <c r="W624">
        <v>2.6</v>
      </c>
      <c r="X624" t="s">
        <v>523</v>
      </c>
      <c r="Y624" t="s">
        <v>138</v>
      </c>
      <c r="AA624" t="s">
        <v>10974</v>
      </c>
      <c r="AB624" t="s">
        <v>502</v>
      </c>
      <c r="AD624" t="s">
        <v>11096</v>
      </c>
      <c r="AF624" t="s">
        <v>11122</v>
      </c>
      <c r="AH624" t="s">
        <v>10974</v>
      </c>
      <c r="AJ624" t="s">
        <v>11130</v>
      </c>
      <c r="AK624" t="s">
        <v>7225</v>
      </c>
      <c r="AM624">
        <v>1290</v>
      </c>
      <c r="AN624" t="s">
        <v>11151</v>
      </c>
      <c r="AO624" t="s">
        <v>11153</v>
      </c>
      <c r="AQ624" t="s">
        <v>11157</v>
      </c>
      <c r="AS624" t="s">
        <v>11173</v>
      </c>
      <c r="AU624">
        <v>20</v>
      </c>
      <c r="AW624" t="s">
        <v>11187</v>
      </c>
      <c r="AZ624" t="s">
        <v>11221</v>
      </c>
      <c r="BE624" t="s">
        <v>12000</v>
      </c>
      <c r="BF624" t="s">
        <v>14364</v>
      </c>
      <c r="BM624" t="s">
        <v>15650</v>
      </c>
    </row>
    <row r="625" spans="1:65">
      <c r="A625" s="1">
        <f>HYPERLINK("https://lsnyc.legalserver.org/matter/dynamic-profile/view/1891835","19-1891835")</f>
        <v>0</v>
      </c>
      <c r="B625" t="s">
        <v>98</v>
      </c>
      <c r="C625" t="s">
        <v>246</v>
      </c>
      <c r="D625" t="s">
        <v>480</v>
      </c>
      <c r="F625" t="s">
        <v>1447</v>
      </c>
      <c r="G625" t="s">
        <v>1636</v>
      </c>
      <c r="H625" t="s">
        <v>4989</v>
      </c>
      <c r="I625" t="s">
        <v>6612</v>
      </c>
      <c r="J625" t="s">
        <v>7170</v>
      </c>
      <c r="K625">
        <v>10453</v>
      </c>
      <c r="N625" t="s">
        <v>7237</v>
      </c>
      <c r="O625" t="s">
        <v>7700</v>
      </c>
      <c r="P625">
        <v>1</v>
      </c>
      <c r="Q625">
        <v>0</v>
      </c>
      <c r="R625">
        <v>187.35</v>
      </c>
      <c r="U625">
        <v>23400</v>
      </c>
      <c r="W625">
        <v>0</v>
      </c>
      <c r="Y625" t="s">
        <v>216</v>
      </c>
      <c r="AA625" t="s">
        <v>10974</v>
      </c>
      <c r="AB625" t="s">
        <v>370</v>
      </c>
      <c r="AD625" t="s">
        <v>11098</v>
      </c>
      <c r="AF625" t="s">
        <v>11122</v>
      </c>
      <c r="AH625" t="s">
        <v>10974</v>
      </c>
      <c r="AJ625" t="s">
        <v>11141</v>
      </c>
      <c r="AK625" t="s">
        <v>7225</v>
      </c>
      <c r="AM625">
        <v>1523</v>
      </c>
      <c r="AO625">
        <v>170</v>
      </c>
      <c r="AQ625" t="s">
        <v>11157</v>
      </c>
      <c r="AS625" t="s">
        <v>11173</v>
      </c>
      <c r="AU625">
        <v>7</v>
      </c>
      <c r="AW625" t="s">
        <v>11189</v>
      </c>
      <c r="AZ625" t="s">
        <v>11221</v>
      </c>
      <c r="BE625" t="s">
        <v>12062</v>
      </c>
      <c r="BF625" t="s">
        <v>14364</v>
      </c>
      <c r="BM625" t="s">
        <v>15650</v>
      </c>
    </row>
    <row r="626" spans="1:65">
      <c r="A626" s="1">
        <f>HYPERLINK("https://lsnyc.legalserver.org/matter/dynamic-profile/view/0821614","16-0821614")</f>
        <v>0</v>
      </c>
      <c r="B626" t="s">
        <v>98</v>
      </c>
      <c r="C626" t="s">
        <v>246</v>
      </c>
      <c r="D626" t="s">
        <v>513</v>
      </c>
      <c r="F626" t="s">
        <v>1446</v>
      </c>
      <c r="G626" t="s">
        <v>3219</v>
      </c>
      <c r="H626" t="s">
        <v>4972</v>
      </c>
      <c r="I626" t="s">
        <v>6423</v>
      </c>
      <c r="J626" t="s">
        <v>7170</v>
      </c>
      <c r="K626">
        <v>10452</v>
      </c>
      <c r="N626" t="s">
        <v>7237</v>
      </c>
      <c r="O626" t="s">
        <v>7699</v>
      </c>
      <c r="P626">
        <v>2</v>
      </c>
      <c r="Q626">
        <v>0</v>
      </c>
      <c r="R626">
        <v>107.05</v>
      </c>
      <c r="U626">
        <v>17149</v>
      </c>
      <c r="W626">
        <v>0</v>
      </c>
      <c r="Y626" t="s">
        <v>10899</v>
      </c>
      <c r="AA626" t="s">
        <v>10974</v>
      </c>
      <c r="AB626" t="s">
        <v>513</v>
      </c>
      <c r="AD626" t="s">
        <v>11096</v>
      </c>
      <c r="AF626" t="s">
        <v>11122</v>
      </c>
      <c r="AH626" t="s">
        <v>10974</v>
      </c>
      <c r="AJ626" t="s">
        <v>11141</v>
      </c>
      <c r="AK626" t="s">
        <v>7225</v>
      </c>
      <c r="AM626">
        <v>810.17</v>
      </c>
      <c r="AO626">
        <v>63</v>
      </c>
      <c r="AQ626" t="s">
        <v>11157</v>
      </c>
      <c r="AR626" t="s">
        <v>11172</v>
      </c>
      <c r="AU626">
        <v>39</v>
      </c>
      <c r="AW626" t="s">
        <v>11187</v>
      </c>
      <c r="AZ626" t="s">
        <v>11221</v>
      </c>
      <c r="BE626" t="s">
        <v>12061</v>
      </c>
      <c r="BF626" t="s">
        <v>14364</v>
      </c>
      <c r="BM626" t="s">
        <v>15650</v>
      </c>
    </row>
    <row r="627" spans="1:65">
      <c r="A627" s="1">
        <f>HYPERLINK("https://lsnyc.legalserver.org/matter/dynamic-profile/view/1889980","19-1889980")</f>
        <v>0</v>
      </c>
      <c r="B627" t="s">
        <v>98</v>
      </c>
      <c r="C627" t="s">
        <v>246</v>
      </c>
      <c r="D627" t="s">
        <v>482</v>
      </c>
      <c r="F627" t="s">
        <v>1448</v>
      </c>
      <c r="G627" t="s">
        <v>3220</v>
      </c>
      <c r="H627" t="s">
        <v>4989</v>
      </c>
      <c r="I627" t="s">
        <v>6613</v>
      </c>
      <c r="J627" t="s">
        <v>7170</v>
      </c>
      <c r="K627">
        <v>10453</v>
      </c>
      <c r="N627" t="s">
        <v>7237</v>
      </c>
      <c r="O627" t="s">
        <v>7701</v>
      </c>
      <c r="P627">
        <v>2</v>
      </c>
      <c r="Q627">
        <v>0</v>
      </c>
      <c r="R627">
        <v>184.51</v>
      </c>
      <c r="U627">
        <v>31200</v>
      </c>
      <c r="W627">
        <v>0</v>
      </c>
      <c r="Y627" t="s">
        <v>93</v>
      </c>
      <c r="AA627" t="s">
        <v>10974</v>
      </c>
      <c r="AB627" t="s">
        <v>370</v>
      </c>
      <c r="AD627" t="s">
        <v>11101</v>
      </c>
      <c r="AF627" t="s">
        <v>11118</v>
      </c>
      <c r="AH627" t="s">
        <v>10974</v>
      </c>
      <c r="AJ627" t="s">
        <v>11141</v>
      </c>
      <c r="AK627" t="s">
        <v>7225</v>
      </c>
      <c r="AM627">
        <v>950</v>
      </c>
      <c r="AN627" t="s">
        <v>11151</v>
      </c>
      <c r="AO627" t="s">
        <v>11153</v>
      </c>
      <c r="AQ627" t="s">
        <v>11157</v>
      </c>
      <c r="AR627" t="s">
        <v>11172</v>
      </c>
      <c r="AU627">
        <v>5</v>
      </c>
      <c r="AW627" t="s">
        <v>11189</v>
      </c>
      <c r="AZ627" t="s">
        <v>11221</v>
      </c>
      <c r="BE627" t="s">
        <v>12063</v>
      </c>
      <c r="BG627" t="s">
        <v>14486</v>
      </c>
      <c r="BM627" t="s">
        <v>15650</v>
      </c>
    </row>
    <row r="628" spans="1:65">
      <c r="A628" s="1">
        <f>HYPERLINK("https://lsnyc.legalserver.org/matter/dynamic-profile/view/1889954","19-1889954")</f>
        <v>0</v>
      </c>
      <c r="B628" t="s">
        <v>98</v>
      </c>
      <c r="C628" t="s">
        <v>246</v>
      </c>
      <c r="D628" t="s">
        <v>482</v>
      </c>
      <c r="F628" t="s">
        <v>1448</v>
      </c>
      <c r="G628" t="s">
        <v>3220</v>
      </c>
      <c r="H628" t="s">
        <v>4989</v>
      </c>
      <c r="I628" t="s">
        <v>6613</v>
      </c>
      <c r="J628" t="s">
        <v>7170</v>
      </c>
      <c r="K628">
        <v>10453</v>
      </c>
      <c r="N628" t="s">
        <v>7237</v>
      </c>
      <c r="O628" t="s">
        <v>7701</v>
      </c>
      <c r="P628">
        <v>2</v>
      </c>
      <c r="Q628">
        <v>0</v>
      </c>
      <c r="R628">
        <v>184.51</v>
      </c>
      <c r="U628">
        <v>31200</v>
      </c>
      <c r="W628">
        <v>0</v>
      </c>
      <c r="Y628" t="s">
        <v>93</v>
      </c>
      <c r="AA628" t="s">
        <v>10974</v>
      </c>
      <c r="AB628" t="s">
        <v>370</v>
      </c>
      <c r="AD628" t="s">
        <v>11098</v>
      </c>
      <c r="AF628" t="s">
        <v>11122</v>
      </c>
      <c r="AH628" t="s">
        <v>10974</v>
      </c>
      <c r="AJ628" t="s">
        <v>11134</v>
      </c>
      <c r="AK628" t="s">
        <v>7225</v>
      </c>
      <c r="AM628">
        <v>950</v>
      </c>
      <c r="AN628" t="s">
        <v>11151</v>
      </c>
      <c r="AO628" t="s">
        <v>11153</v>
      </c>
      <c r="AQ628" t="s">
        <v>11157</v>
      </c>
      <c r="AS628" t="s">
        <v>11173</v>
      </c>
      <c r="AU628">
        <v>5</v>
      </c>
      <c r="AW628" t="s">
        <v>11189</v>
      </c>
      <c r="AZ628" t="s">
        <v>11221</v>
      </c>
      <c r="BE628" t="s">
        <v>12063</v>
      </c>
      <c r="BF628" t="s">
        <v>14364</v>
      </c>
      <c r="BM628" t="s">
        <v>15650</v>
      </c>
    </row>
    <row r="629" spans="1:65">
      <c r="A629" s="1">
        <f>HYPERLINK("https://lsnyc.legalserver.org/matter/dynamic-profile/view/1891826","19-1891826")</f>
        <v>0</v>
      </c>
      <c r="B629" t="s">
        <v>98</v>
      </c>
      <c r="C629" t="s">
        <v>246</v>
      </c>
      <c r="D629" t="s">
        <v>480</v>
      </c>
      <c r="F629" t="s">
        <v>1447</v>
      </c>
      <c r="G629" t="s">
        <v>1636</v>
      </c>
      <c r="H629" t="s">
        <v>4989</v>
      </c>
      <c r="I629" t="s">
        <v>6612</v>
      </c>
      <c r="J629" t="s">
        <v>7170</v>
      </c>
      <c r="K629">
        <v>10453</v>
      </c>
      <c r="N629" t="s">
        <v>7237</v>
      </c>
      <c r="O629" t="s">
        <v>7700</v>
      </c>
      <c r="P629">
        <v>1</v>
      </c>
      <c r="Q629">
        <v>0</v>
      </c>
      <c r="R629">
        <v>187.35</v>
      </c>
      <c r="U629">
        <v>23400</v>
      </c>
      <c r="W629">
        <v>0</v>
      </c>
      <c r="Y629" t="s">
        <v>216</v>
      </c>
      <c r="AA629" t="s">
        <v>10974</v>
      </c>
      <c r="AB629" t="s">
        <v>370</v>
      </c>
      <c r="AD629" t="s">
        <v>11101</v>
      </c>
      <c r="AF629" t="s">
        <v>11118</v>
      </c>
      <c r="AH629" t="s">
        <v>10974</v>
      </c>
      <c r="AJ629" t="s">
        <v>11141</v>
      </c>
      <c r="AK629" t="s">
        <v>7225</v>
      </c>
      <c r="AM629">
        <v>1523</v>
      </c>
      <c r="AO629">
        <v>170</v>
      </c>
      <c r="AQ629" t="s">
        <v>11157</v>
      </c>
      <c r="AS629" t="s">
        <v>11173</v>
      </c>
      <c r="AU629">
        <v>7</v>
      </c>
      <c r="AW629" t="s">
        <v>11189</v>
      </c>
      <c r="AZ629" t="s">
        <v>11221</v>
      </c>
      <c r="BE629" t="s">
        <v>12062</v>
      </c>
      <c r="BG629" t="s">
        <v>14486</v>
      </c>
      <c r="BM629" t="s">
        <v>15650</v>
      </c>
    </row>
    <row r="630" spans="1:65">
      <c r="A630" s="1">
        <f>HYPERLINK("https://lsnyc.legalserver.org/matter/dynamic-profile/view/1892006","19-1892006")</f>
        <v>0</v>
      </c>
      <c r="B630" t="s">
        <v>98</v>
      </c>
      <c r="C630" t="s">
        <v>246</v>
      </c>
      <c r="D630" t="s">
        <v>425</v>
      </c>
      <c r="F630" t="s">
        <v>1449</v>
      </c>
      <c r="G630" t="s">
        <v>3221</v>
      </c>
      <c r="H630" t="s">
        <v>4995</v>
      </c>
      <c r="I630" t="s">
        <v>6492</v>
      </c>
      <c r="J630" t="s">
        <v>7170</v>
      </c>
      <c r="K630">
        <v>10453</v>
      </c>
      <c r="N630" t="s">
        <v>7237</v>
      </c>
      <c r="O630" t="s">
        <v>7702</v>
      </c>
      <c r="P630">
        <v>2</v>
      </c>
      <c r="Q630">
        <v>0</v>
      </c>
      <c r="R630">
        <v>283.86</v>
      </c>
      <c r="U630">
        <v>48000</v>
      </c>
      <c r="W630">
        <v>0</v>
      </c>
      <c r="Y630" t="s">
        <v>93</v>
      </c>
      <c r="AA630" t="s">
        <v>10974</v>
      </c>
      <c r="AB630" t="s">
        <v>370</v>
      </c>
      <c r="AD630" t="s">
        <v>11101</v>
      </c>
      <c r="AF630" t="s">
        <v>11118</v>
      </c>
      <c r="AH630" t="s">
        <v>10974</v>
      </c>
      <c r="AJ630" t="s">
        <v>11134</v>
      </c>
      <c r="AK630" t="s">
        <v>7225</v>
      </c>
      <c r="AM630">
        <v>1081</v>
      </c>
      <c r="AO630">
        <v>170</v>
      </c>
      <c r="AQ630" t="s">
        <v>11157</v>
      </c>
      <c r="AS630" t="s">
        <v>11173</v>
      </c>
      <c r="AU630">
        <v>21</v>
      </c>
      <c r="AW630" t="s">
        <v>11187</v>
      </c>
      <c r="AZ630" t="s">
        <v>11221</v>
      </c>
      <c r="BE630" t="s">
        <v>12064</v>
      </c>
      <c r="BG630" t="s">
        <v>14486</v>
      </c>
      <c r="BM630" t="s">
        <v>15650</v>
      </c>
    </row>
    <row r="631" spans="1:65">
      <c r="A631" s="1">
        <f>HYPERLINK("https://lsnyc.legalserver.org/matter/dynamic-profile/view/1894525","19-1894525")</f>
        <v>0</v>
      </c>
      <c r="B631" t="s">
        <v>98</v>
      </c>
      <c r="C631" t="s">
        <v>246</v>
      </c>
      <c r="D631" t="s">
        <v>472</v>
      </c>
      <c r="F631" t="s">
        <v>1358</v>
      </c>
      <c r="G631" t="s">
        <v>3135</v>
      </c>
      <c r="H631" t="s">
        <v>4989</v>
      </c>
      <c r="I631" t="s">
        <v>6550</v>
      </c>
      <c r="J631" t="s">
        <v>7170</v>
      </c>
      <c r="K631">
        <v>10453</v>
      </c>
      <c r="N631" t="s">
        <v>7237</v>
      </c>
      <c r="O631" t="s">
        <v>7574</v>
      </c>
      <c r="P631">
        <v>2</v>
      </c>
      <c r="Q631">
        <v>0</v>
      </c>
      <c r="R631">
        <v>514.49</v>
      </c>
      <c r="U631">
        <v>87000</v>
      </c>
      <c r="W631">
        <v>0</v>
      </c>
      <c r="Y631" t="s">
        <v>93</v>
      </c>
      <c r="AA631" t="s">
        <v>10974</v>
      </c>
      <c r="AB631" t="s">
        <v>896</v>
      </c>
      <c r="AD631" t="s">
        <v>11098</v>
      </c>
      <c r="AF631" t="s">
        <v>11122</v>
      </c>
      <c r="AH631" t="s">
        <v>10974</v>
      </c>
      <c r="AJ631" t="s">
        <v>11134</v>
      </c>
      <c r="AK631" t="s">
        <v>7225</v>
      </c>
      <c r="AM631">
        <v>1500</v>
      </c>
      <c r="AO631">
        <v>170</v>
      </c>
      <c r="AQ631" t="s">
        <v>11157</v>
      </c>
      <c r="AS631" t="s">
        <v>11173</v>
      </c>
      <c r="AU631">
        <v>2</v>
      </c>
      <c r="AV631" t="s">
        <v>11186</v>
      </c>
      <c r="AZ631" t="s">
        <v>11221</v>
      </c>
      <c r="BE631" t="s">
        <v>11950</v>
      </c>
      <c r="BF631" t="s">
        <v>14364</v>
      </c>
      <c r="BM631" t="s">
        <v>15650</v>
      </c>
    </row>
    <row r="632" spans="1:65">
      <c r="A632" s="1">
        <f>HYPERLINK("https://lsnyc.legalserver.org/matter/dynamic-profile/view/1892410","19-1892410")</f>
        <v>0</v>
      </c>
      <c r="B632" t="s">
        <v>98</v>
      </c>
      <c r="C632" t="s">
        <v>246</v>
      </c>
      <c r="D632" t="s">
        <v>483</v>
      </c>
      <c r="F632" t="s">
        <v>1449</v>
      </c>
      <c r="G632" t="s">
        <v>3221</v>
      </c>
      <c r="H632" t="s">
        <v>4995</v>
      </c>
      <c r="I632" t="s">
        <v>6492</v>
      </c>
      <c r="J632" t="s">
        <v>7170</v>
      </c>
      <c r="K632">
        <v>10453</v>
      </c>
      <c r="N632" t="s">
        <v>7237</v>
      </c>
      <c r="O632" t="s">
        <v>7702</v>
      </c>
      <c r="P632">
        <v>2</v>
      </c>
      <c r="Q632">
        <v>0</v>
      </c>
      <c r="R632">
        <v>283.86</v>
      </c>
      <c r="U632">
        <v>48000</v>
      </c>
      <c r="W632">
        <v>0</v>
      </c>
      <c r="Y632" t="s">
        <v>93</v>
      </c>
      <c r="AA632" t="s">
        <v>10974</v>
      </c>
      <c r="AB632" t="s">
        <v>370</v>
      </c>
      <c r="AD632" t="s">
        <v>11098</v>
      </c>
      <c r="AF632" t="s">
        <v>11122</v>
      </c>
      <c r="AH632" t="s">
        <v>10974</v>
      </c>
      <c r="AJ632" t="s">
        <v>11134</v>
      </c>
      <c r="AK632" t="s">
        <v>7225</v>
      </c>
      <c r="AM632">
        <v>1081</v>
      </c>
      <c r="AO632">
        <v>170</v>
      </c>
      <c r="AQ632" t="s">
        <v>11157</v>
      </c>
      <c r="AS632" t="s">
        <v>11173</v>
      </c>
      <c r="AU632">
        <v>21</v>
      </c>
      <c r="AW632" t="s">
        <v>11187</v>
      </c>
      <c r="AZ632" t="s">
        <v>11221</v>
      </c>
      <c r="BE632" t="s">
        <v>12064</v>
      </c>
      <c r="BF632" t="s">
        <v>14364</v>
      </c>
      <c r="BM632" t="s">
        <v>15650</v>
      </c>
    </row>
    <row r="633" spans="1:65">
      <c r="A633" s="1">
        <f>HYPERLINK("https://lsnyc.legalserver.org/matter/dynamic-profile/view/1862268","18-1862268")</f>
        <v>0</v>
      </c>
      <c r="B633" t="s">
        <v>98</v>
      </c>
      <c r="C633" t="s">
        <v>246</v>
      </c>
      <c r="D633" t="s">
        <v>285</v>
      </c>
      <c r="F633" t="s">
        <v>1401</v>
      </c>
      <c r="G633" t="s">
        <v>1475</v>
      </c>
      <c r="H633" t="s">
        <v>4990</v>
      </c>
      <c r="I633" t="s">
        <v>6583</v>
      </c>
      <c r="J633" t="s">
        <v>7170</v>
      </c>
      <c r="K633">
        <v>10457</v>
      </c>
      <c r="N633" t="s">
        <v>7237</v>
      </c>
      <c r="O633" t="s">
        <v>7630</v>
      </c>
      <c r="P633">
        <v>1</v>
      </c>
      <c r="Q633">
        <v>0</v>
      </c>
      <c r="R633">
        <v>617.79</v>
      </c>
      <c r="U633">
        <v>75000</v>
      </c>
      <c r="W633">
        <v>1.4</v>
      </c>
      <c r="X633" t="s">
        <v>488</v>
      </c>
      <c r="Y633" t="s">
        <v>10865</v>
      </c>
      <c r="AA633" t="s">
        <v>10974</v>
      </c>
      <c r="AB633" t="s">
        <v>939</v>
      </c>
      <c r="AD633" t="s">
        <v>11096</v>
      </c>
      <c r="AF633" t="s">
        <v>11122</v>
      </c>
      <c r="AG633" t="s">
        <v>11124</v>
      </c>
      <c r="AJ633" t="s">
        <v>11129</v>
      </c>
      <c r="AK633" t="s">
        <v>7225</v>
      </c>
      <c r="AL633" t="s">
        <v>11150</v>
      </c>
      <c r="AM633">
        <v>0</v>
      </c>
      <c r="AN633" t="s">
        <v>11151</v>
      </c>
      <c r="AO633" t="s">
        <v>11153</v>
      </c>
      <c r="AQ633" t="s">
        <v>11157</v>
      </c>
      <c r="AR633" t="s">
        <v>11172</v>
      </c>
      <c r="AT633" t="s">
        <v>11184</v>
      </c>
      <c r="AU633">
        <v>0</v>
      </c>
      <c r="AW633" t="s">
        <v>11187</v>
      </c>
      <c r="AZ633" t="s">
        <v>11221</v>
      </c>
      <c r="BE633" t="s">
        <v>12000</v>
      </c>
      <c r="BG633" t="s">
        <v>14492</v>
      </c>
      <c r="BM633" t="s">
        <v>15650</v>
      </c>
    </row>
    <row r="634" spans="1:65">
      <c r="A634" s="1">
        <f>HYPERLINK("https://lsnyc.legalserver.org/matter/dynamic-profile/view/1838920","17-1838920")</f>
        <v>0</v>
      </c>
      <c r="B634" t="s">
        <v>98</v>
      </c>
      <c r="C634" t="s">
        <v>246</v>
      </c>
      <c r="D634" t="s">
        <v>486</v>
      </c>
      <c r="F634" t="s">
        <v>1261</v>
      </c>
      <c r="G634" t="s">
        <v>3222</v>
      </c>
      <c r="H634" t="s">
        <v>4992</v>
      </c>
      <c r="I634" t="s">
        <v>6534</v>
      </c>
      <c r="J634" t="s">
        <v>7170</v>
      </c>
      <c r="K634">
        <v>10473</v>
      </c>
      <c r="N634" t="s">
        <v>7237</v>
      </c>
      <c r="O634" t="s">
        <v>7703</v>
      </c>
      <c r="P634">
        <v>2</v>
      </c>
      <c r="Q634">
        <v>0</v>
      </c>
      <c r="R634">
        <v>369.46</v>
      </c>
      <c r="S634" t="s">
        <v>10258</v>
      </c>
      <c r="U634">
        <v>90000</v>
      </c>
      <c r="W634">
        <v>0</v>
      </c>
      <c r="Y634" t="s">
        <v>10899</v>
      </c>
      <c r="AA634" t="s">
        <v>10974</v>
      </c>
      <c r="AB634" t="s">
        <v>10992</v>
      </c>
      <c r="AD634" t="s">
        <v>11096</v>
      </c>
      <c r="AF634" t="s">
        <v>11122</v>
      </c>
      <c r="AH634" t="s">
        <v>10974</v>
      </c>
      <c r="AJ634" t="s">
        <v>11139</v>
      </c>
      <c r="AK634" t="s">
        <v>7225</v>
      </c>
      <c r="AM634">
        <v>1175</v>
      </c>
      <c r="AO634">
        <v>976</v>
      </c>
      <c r="AQ634" t="s">
        <v>11157</v>
      </c>
      <c r="AS634" t="s">
        <v>11173</v>
      </c>
      <c r="AU634">
        <v>43</v>
      </c>
      <c r="AW634" t="s">
        <v>11187</v>
      </c>
      <c r="AZ634" t="s">
        <v>11221</v>
      </c>
      <c r="BE634" t="s">
        <v>12065</v>
      </c>
      <c r="BG634" t="s">
        <v>14487</v>
      </c>
      <c r="BM634" t="s">
        <v>15650</v>
      </c>
    </row>
    <row r="635" spans="1:65">
      <c r="A635" s="1">
        <f>HYPERLINK("https://lsnyc.legalserver.org/matter/dynamic-profile/view/0796328","16-0796328")</f>
        <v>0</v>
      </c>
      <c r="B635" t="s">
        <v>98</v>
      </c>
      <c r="C635" t="s">
        <v>246</v>
      </c>
      <c r="D635" t="s">
        <v>507</v>
      </c>
      <c r="F635" t="s">
        <v>1443</v>
      </c>
      <c r="G635" t="s">
        <v>1475</v>
      </c>
      <c r="H635" t="s">
        <v>4990</v>
      </c>
      <c r="I635" t="s">
        <v>6583</v>
      </c>
      <c r="J635" t="s">
        <v>7170</v>
      </c>
      <c r="K635">
        <v>10457</v>
      </c>
      <c r="N635" t="s">
        <v>7237</v>
      </c>
      <c r="O635" t="s">
        <v>7693</v>
      </c>
      <c r="P635">
        <v>2</v>
      </c>
      <c r="Q635">
        <v>1</v>
      </c>
      <c r="R635">
        <v>107.52</v>
      </c>
      <c r="S635" t="s">
        <v>10260</v>
      </c>
      <c r="U635">
        <v>21600</v>
      </c>
      <c r="W635">
        <v>548.4</v>
      </c>
      <c r="X635" t="s">
        <v>436</v>
      </c>
      <c r="Y635" t="s">
        <v>138</v>
      </c>
      <c r="AA635" t="s">
        <v>10974</v>
      </c>
      <c r="AB635" t="s">
        <v>474</v>
      </c>
      <c r="AD635" t="s">
        <v>11085</v>
      </c>
      <c r="AF635" t="s">
        <v>11118</v>
      </c>
      <c r="AH635" t="s">
        <v>10974</v>
      </c>
      <c r="AJ635" t="s">
        <v>11130</v>
      </c>
      <c r="AK635" t="s">
        <v>7225</v>
      </c>
      <c r="AM635">
        <v>800</v>
      </c>
      <c r="AO635">
        <v>100</v>
      </c>
      <c r="AQ635" t="s">
        <v>11157</v>
      </c>
      <c r="AS635" t="s">
        <v>11175</v>
      </c>
      <c r="AU635">
        <v>30</v>
      </c>
      <c r="AW635" t="s">
        <v>11189</v>
      </c>
      <c r="AZ635" t="s">
        <v>11221</v>
      </c>
      <c r="BE635" t="s">
        <v>12055</v>
      </c>
      <c r="BF635" t="s">
        <v>14364</v>
      </c>
      <c r="BG635" t="s">
        <v>14485</v>
      </c>
      <c r="BM635" t="s">
        <v>15650</v>
      </c>
    </row>
    <row r="636" spans="1:65">
      <c r="A636" s="1">
        <f>HYPERLINK("https://lsnyc.legalserver.org/matter/dynamic-profile/view/1890990","19-1890990")</f>
        <v>0</v>
      </c>
      <c r="B636" t="s">
        <v>98</v>
      </c>
      <c r="C636" t="s">
        <v>246</v>
      </c>
      <c r="D636" t="s">
        <v>479</v>
      </c>
      <c r="F636" t="s">
        <v>1371</v>
      </c>
      <c r="G636" t="s">
        <v>3147</v>
      </c>
      <c r="H636" t="s">
        <v>4989</v>
      </c>
      <c r="I636" t="s">
        <v>6564</v>
      </c>
      <c r="J636" t="s">
        <v>7170</v>
      </c>
      <c r="K636">
        <v>10453</v>
      </c>
      <c r="N636" t="s">
        <v>7237</v>
      </c>
      <c r="O636" t="s">
        <v>7590</v>
      </c>
      <c r="P636">
        <v>1</v>
      </c>
      <c r="Q636">
        <v>0</v>
      </c>
      <c r="R636">
        <v>14.38</v>
      </c>
      <c r="U636">
        <v>1796</v>
      </c>
      <c r="W636">
        <v>0</v>
      </c>
      <c r="Y636" t="s">
        <v>10865</v>
      </c>
      <c r="AA636" t="s">
        <v>10974</v>
      </c>
      <c r="AB636" t="s">
        <v>370</v>
      </c>
      <c r="AD636" t="s">
        <v>11101</v>
      </c>
      <c r="AF636" t="s">
        <v>11118</v>
      </c>
      <c r="AH636" t="s">
        <v>10974</v>
      </c>
      <c r="AJ636" t="s">
        <v>11141</v>
      </c>
      <c r="AK636" t="s">
        <v>7225</v>
      </c>
      <c r="AM636">
        <v>685.95</v>
      </c>
      <c r="AO636">
        <v>167</v>
      </c>
      <c r="AQ636" t="s">
        <v>11157</v>
      </c>
      <c r="AS636" t="s">
        <v>11173</v>
      </c>
      <c r="AU636">
        <v>26</v>
      </c>
      <c r="AW636" t="s">
        <v>11187</v>
      </c>
      <c r="AZ636" t="s">
        <v>11221</v>
      </c>
      <c r="BE636" t="s">
        <v>11965</v>
      </c>
      <c r="BG636" t="s">
        <v>14486</v>
      </c>
      <c r="BM636" t="s">
        <v>15650</v>
      </c>
    </row>
    <row r="637" spans="1:65">
      <c r="A637" s="1">
        <f>HYPERLINK("https://lsnyc.legalserver.org/matter/dynamic-profile/view/1894837","19-1894837")</f>
        <v>0</v>
      </c>
      <c r="B637" t="s">
        <v>98</v>
      </c>
      <c r="C637" t="s">
        <v>246</v>
      </c>
      <c r="D637" t="s">
        <v>435</v>
      </c>
      <c r="F637" t="s">
        <v>1422</v>
      </c>
      <c r="G637" t="s">
        <v>3190</v>
      </c>
      <c r="H637" t="s">
        <v>4989</v>
      </c>
      <c r="I637" t="s">
        <v>6593</v>
      </c>
      <c r="J637" t="s">
        <v>7170</v>
      </c>
      <c r="K637">
        <v>10453</v>
      </c>
      <c r="N637" t="s">
        <v>7237</v>
      </c>
      <c r="O637" t="s">
        <v>7655</v>
      </c>
      <c r="P637">
        <v>2</v>
      </c>
      <c r="Q637">
        <v>2</v>
      </c>
      <c r="R637">
        <v>70.68000000000001</v>
      </c>
      <c r="U637">
        <v>18200</v>
      </c>
      <c r="W637">
        <v>0</v>
      </c>
      <c r="Y637" t="s">
        <v>93</v>
      </c>
      <c r="AA637" t="s">
        <v>10974</v>
      </c>
      <c r="AB637" t="s">
        <v>896</v>
      </c>
      <c r="AD637" t="s">
        <v>11098</v>
      </c>
      <c r="AF637" t="s">
        <v>11122</v>
      </c>
      <c r="AH637" t="s">
        <v>10974</v>
      </c>
      <c r="AJ637" t="s">
        <v>11134</v>
      </c>
      <c r="AK637" t="s">
        <v>7225</v>
      </c>
      <c r="AM637">
        <v>1049.5</v>
      </c>
      <c r="AO637">
        <v>170</v>
      </c>
      <c r="AQ637" t="s">
        <v>11157</v>
      </c>
      <c r="AS637" t="s">
        <v>11173</v>
      </c>
      <c r="AU637">
        <v>3</v>
      </c>
      <c r="AW637" t="s">
        <v>11189</v>
      </c>
      <c r="BA637" t="s">
        <v>11222</v>
      </c>
      <c r="BE637" t="s">
        <v>12021</v>
      </c>
      <c r="BF637" t="s">
        <v>14364</v>
      </c>
      <c r="BM637" t="s">
        <v>15650</v>
      </c>
    </row>
    <row r="638" spans="1:65">
      <c r="A638" s="1">
        <f>HYPERLINK("https://lsnyc.legalserver.org/matter/dynamic-profile/view/1875983","18-1875983")</f>
        <v>0</v>
      </c>
      <c r="B638" t="s">
        <v>98</v>
      </c>
      <c r="C638" t="s">
        <v>246</v>
      </c>
      <c r="D638" t="s">
        <v>469</v>
      </c>
      <c r="F638" t="s">
        <v>1441</v>
      </c>
      <c r="G638" t="s">
        <v>3218</v>
      </c>
      <c r="H638" t="s">
        <v>4988</v>
      </c>
      <c r="I638" t="s">
        <v>6610</v>
      </c>
      <c r="J638" t="s">
        <v>7170</v>
      </c>
      <c r="K638">
        <v>10456</v>
      </c>
      <c r="N638" t="s">
        <v>7237</v>
      </c>
      <c r="O638" t="s">
        <v>7691</v>
      </c>
      <c r="P638">
        <v>3</v>
      </c>
      <c r="Q638">
        <v>0</v>
      </c>
      <c r="R638">
        <v>187.68</v>
      </c>
      <c r="U638">
        <v>39000</v>
      </c>
      <c r="W638">
        <v>0</v>
      </c>
      <c r="Y638" t="s">
        <v>216</v>
      </c>
      <c r="AA638" t="s">
        <v>10974</v>
      </c>
      <c r="AB638" t="s">
        <v>730</v>
      </c>
      <c r="AD638" t="s">
        <v>11098</v>
      </c>
      <c r="AF638" t="s">
        <v>11122</v>
      </c>
      <c r="AH638" t="s">
        <v>10974</v>
      </c>
      <c r="AJ638" t="s">
        <v>11141</v>
      </c>
      <c r="AK638" t="s">
        <v>7225</v>
      </c>
      <c r="AM638">
        <v>1255</v>
      </c>
      <c r="AO638">
        <v>61</v>
      </c>
      <c r="AQ638" t="s">
        <v>11157</v>
      </c>
      <c r="AS638" t="s">
        <v>11174</v>
      </c>
      <c r="AU638">
        <v>19</v>
      </c>
      <c r="AW638" t="s">
        <v>11189</v>
      </c>
      <c r="AZ638" t="s">
        <v>11221</v>
      </c>
      <c r="BE638" t="s">
        <v>12053</v>
      </c>
      <c r="BG638" t="s">
        <v>14483</v>
      </c>
      <c r="BM638" t="s">
        <v>15650</v>
      </c>
    </row>
    <row r="639" spans="1:65">
      <c r="A639" s="1">
        <f>HYPERLINK("https://lsnyc.legalserver.org/matter/dynamic-profile/view/1890015","19-1890015")</f>
        <v>0</v>
      </c>
      <c r="B639" t="s">
        <v>98</v>
      </c>
      <c r="C639" t="s">
        <v>246</v>
      </c>
      <c r="D639" t="s">
        <v>482</v>
      </c>
      <c r="F639" t="s">
        <v>1279</v>
      </c>
      <c r="G639" t="s">
        <v>3215</v>
      </c>
      <c r="H639" t="s">
        <v>4989</v>
      </c>
      <c r="I639" t="s">
        <v>6607</v>
      </c>
      <c r="J639" t="s">
        <v>7170</v>
      </c>
      <c r="K639">
        <v>10453</v>
      </c>
      <c r="N639" t="s">
        <v>7237</v>
      </c>
      <c r="O639" t="s">
        <v>7687</v>
      </c>
      <c r="P639">
        <v>1</v>
      </c>
      <c r="Q639">
        <v>0</v>
      </c>
      <c r="R639">
        <v>608.49</v>
      </c>
      <c r="U639">
        <v>76000</v>
      </c>
      <c r="W639">
        <v>0</v>
      </c>
      <c r="Y639" t="s">
        <v>10865</v>
      </c>
      <c r="AA639" t="s">
        <v>10974</v>
      </c>
      <c r="AB639" t="s">
        <v>370</v>
      </c>
      <c r="AD639" t="s">
        <v>11101</v>
      </c>
      <c r="AF639" t="s">
        <v>11118</v>
      </c>
      <c r="AH639" t="s">
        <v>10974</v>
      </c>
      <c r="AJ639" t="s">
        <v>11141</v>
      </c>
      <c r="AK639" t="s">
        <v>7225</v>
      </c>
      <c r="AM639">
        <v>1058.89</v>
      </c>
      <c r="AO639">
        <v>167</v>
      </c>
      <c r="AQ639" t="s">
        <v>11157</v>
      </c>
      <c r="AS639" t="s">
        <v>11173</v>
      </c>
      <c r="AU639">
        <v>18</v>
      </c>
      <c r="AW639" t="s">
        <v>11187</v>
      </c>
      <c r="AZ639" t="s">
        <v>11221</v>
      </c>
      <c r="BE639" t="s">
        <v>12049</v>
      </c>
      <c r="BG639" t="s">
        <v>14486</v>
      </c>
      <c r="BM639" t="s">
        <v>15650</v>
      </c>
    </row>
    <row r="640" spans="1:65">
      <c r="A640" s="1">
        <f>HYPERLINK("https://lsnyc.legalserver.org/matter/dynamic-profile/view/1880618","18-1880618")</f>
        <v>0</v>
      </c>
      <c r="B640" t="s">
        <v>98</v>
      </c>
      <c r="C640" t="s">
        <v>246</v>
      </c>
      <c r="D640" t="s">
        <v>365</v>
      </c>
      <c r="F640" t="s">
        <v>1441</v>
      </c>
      <c r="G640" t="s">
        <v>3218</v>
      </c>
      <c r="H640" t="s">
        <v>4988</v>
      </c>
      <c r="I640" t="s">
        <v>6610</v>
      </c>
      <c r="J640" t="s">
        <v>7170</v>
      </c>
      <c r="K640">
        <v>10456</v>
      </c>
      <c r="N640" t="s">
        <v>7237</v>
      </c>
      <c r="O640" t="s">
        <v>7691</v>
      </c>
      <c r="P640">
        <v>3</v>
      </c>
      <c r="Q640">
        <v>0</v>
      </c>
      <c r="R640">
        <v>187.68</v>
      </c>
      <c r="U640">
        <v>39000</v>
      </c>
      <c r="W640">
        <v>0</v>
      </c>
      <c r="Y640" t="s">
        <v>10865</v>
      </c>
      <c r="AA640" t="s">
        <v>10974</v>
      </c>
      <c r="AB640" t="s">
        <v>597</v>
      </c>
      <c r="AD640" t="s">
        <v>11098</v>
      </c>
      <c r="AF640" t="s">
        <v>11122</v>
      </c>
      <c r="AH640" t="s">
        <v>10974</v>
      </c>
      <c r="AJ640" t="s">
        <v>11141</v>
      </c>
      <c r="AK640" t="s">
        <v>7225</v>
      </c>
      <c r="AM640">
        <v>1255</v>
      </c>
      <c r="AO640">
        <v>61</v>
      </c>
      <c r="AQ640" t="s">
        <v>11157</v>
      </c>
      <c r="AS640" t="s">
        <v>11174</v>
      </c>
      <c r="AU640">
        <v>19</v>
      </c>
      <c r="AW640" t="s">
        <v>11189</v>
      </c>
      <c r="AZ640" t="s">
        <v>11221</v>
      </c>
      <c r="BE640" t="s">
        <v>12053</v>
      </c>
      <c r="BG640" t="s">
        <v>14489</v>
      </c>
      <c r="BM640" t="s">
        <v>15650</v>
      </c>
    </row>
    <row r="641" spans="1:65">
      <c r="A641" s="1">
        <f>HYPERLINK("https://lsnyc.legalserver.org/matter/dynamic-profile/view/1838024","17-1838024")</f>
        <v>0</v>
      </c>
      <c r="B641" t="s">
        <v>98</v>
      </c>
      <c r="C641" t="s">
        <v>246</v>
      </c>
      <c r="D641" t="s">
        <v>376</v>
      </c>
      <c r="F641" t="s">
        <v>1450</v>
      </c>
      <c r="G641" t="s">
        <v>1149</v>
      </c>
      <c r="H641" t="s">
        <v>5003</v>
      </c>
      <c r="I641" t="s">
        <v>6466</v>
      </c>
      <c r="J641" t="s">
        <v>7170</v>
      </c>
      <c r="K641">
        <v>10473</v>
      </c>
      <c r="N641" t="s">
        <v>7237</v>
      </c>
      <c r="O641" t="s">
        <v>7704</v>
      </c>
      <c r="P641">
        <v>4</v>
      </c>
      <c r="Q641">
        <v>0</v>
      </c>
      <c r="R641">
        <v>106.34</v>
      </c>
      <c r="S641" t="s">
        <v>10258</v>
      </c>
      <c r="U641">
        <v>26160</v>
      </c>
      <c r="W641">
        <v>0</v>
      </c>
      <c r="Y641" t="s">
        <v>10899</v>
      </c>
      <c r="AA641" t="s">
        <v>10974</v>
      </c>
      <c r="AB641" t="s">
        <v>10992</v>
      </c>
      <c r="AD641" t="s">
        <v>11096</v>
      </c>
      <c r="AF641" t="s">
        <v>11122</v>
      </c>
      <c r="AH641" t="s">
        <v>10974</v>
      </c>
      <c r="AJ641" t="s">
        <v>11139</v>
      </c>
      <c r="AK641" t="s">
        <v>7225</v>
      </c>
      <c r="AM641">
        <v>1449.4</v>
      </c>
      <c r="AO641">
        <v>976</v>
      </c>
      <c r="AQ641" t="s">
        <v>11157</v>
      </c>
      <c r="AS641" t="s">
        <v>11173</v>
      </c>
      <c r="AU641">
        <v>10</v>
      </c>
      <c r="AW641" t="s">
        <v>11187</v>
      </c>
      <c r="AZ641" t="s">
        <v>11221</v>
      </c>
      <c r="BE641" t="s">
        <v>12066</v>
      </c>
      <c r="BG641" t="s">
        <v>14488</v>
      </c>
      <c r="BM641" t="s">
        <v>15650</v>
      </c>
    </row>
    <row r="642" spans="1:65">
      <c r="A642" s="1">
        <f>HYPERLINK("https://lsnyc.legalserver.org/matter/dynamic-profile/view/1891317","19-1891317")</f>
        <v>0</v>
      </c>
      <c r="B642" t="s">
        <v>98</v>
      </c>
      <c r="C642" t="s">
        <v>246</v>
      </c>
      <c r="D642" t="s">
        <v>318</v>
      </c>
      <c r="F642" t="s">
        <v>1437</v>
      </c>
      <c r="G642" t="s">
        <v>3214</v>
      </c>
      <c r="H642" t="s">
        <v>4989</v>
      </c>
      <c r="I642" t="s">
        <v>6422</v>
      </c>
      <c r="J642" t="s">
        <v>7170</v>
      </c>
      <c r="K642">
        <v>10453</v>
      </c>
      <c r="N642" t="s">
        <v>7237</v>
      </c>
      <c r="O642" t="s">
        <v>7686</v>
      </c>
      <c r="P642">
        <v>1</v>
      </c>
      <c r="Q642">
        <v>1</v>
      </c>
      <c r="R642">
        <v>187.89</v>
      </c>
      <c r="U642">
        <v>31772</v>
      </c>
      <c r="W642">
        <v>0</v>
      </c>
      <c r="Y642" t="s">
        <v>216</v>
      </c>
      <c r="AA642" t="s">
        <v>10974</v>
      </c>
      <c r="AB642" t="s">
        <v>370</v>
      </c>
      <c r="AD642" t="s">
        <v>11098</v>
      </c>
      <c r="AF642" t="s">
        <v>11122</v>
      </c>
      <c r="AH642" t="s">
        <v>10974</v>
      </c>
      <c r="AJ642" t="s">
        <v>11141</v>
      </c>
      <c r="AK642" t="s">
        <v>7225</v>
      </c>
      <c r="AM642">
        <v>1140</v>
      </c>
      <c r="AO642">
        <v>170</v>
      </c>
      <c r="AQ642" t="s">
        <v>11157</v>
      </c>
      <c r="AS642" t="s">
        <v>11173</v>
      </c>
      <c r="AU642">
        <v>6</v>
      </c>
      <c r="AW642" t="s">
        <v>11189</v>
      </c>
      <c r="AZ642" t="s">
        <v>11221</v>
      </c>
      <c r="BE642" t="s">
        <v>12048</v>
      </c>
      <c r="BF642" t="s">
        <v>14364</v>
      </c>
      <c r="BM642" t="s">
        <v>15650</v>
      </c>
    </row>
    <row r="643" spans="1:65">
      <c r="A643" s="1">
        <f>HYPERLINK("https://lsnyc.legalserver.org/matter/dynamic-profile/view/0822047","16-0822047")</f>
        <v>0</v>
      </c>
      <c r="B643" t="s">
        <v>98</v>
      </c>
      <c r="C643" t="s">
        <v>246</v>
      </c>
      <c r="D643" t="s">
        <v>474</v>
      </c>
      <c r="F643" t="s">
        <v>1451</v>
      </c>
      <c r="G643" t="s">
        <v>3223</v>
      </c>
      <c r="H643" t="s">
        <v>4972</v>
      </c>
      <c r="I643" t="s">
        <v>6614</v>
      </c>
      <c r="J643" t="s">
        <v>7170</v>
      </c>
      <c r="K643">
        <v>10452</v>
      </c>
      <c r="N643" t="s">
        <v>7237</v>
      </c>
      <c r="O643" t="s">
        <v>7705</v>
      </c>
      <c r="P643">
        <v>3</v>
      </c>
      <c r="Q643">
        <v>2</v>
      </c>
      <c r="R643">
        <v>69.48</v>
      </c>
      <c r="U643">
        <v>19760</v>
      </c>
      <c r="W643">
        <v>0</v>
      </c>
      <c r="Y643" t="s">
        <v>10899</v>
      </c>
      <c r="AA643" t="s">
        <v>10974</v>
      </c>
      <c r="AB643" t="s">
        <v>474</v>
      </c>
      <c r="AD643" t="s">
        <v>11096</v>
      </c>
      <c r="AF643" t="s">
        <v>11122</v>
      </c>
      <c r="AH643" t="s">
        <v>10974</v>
      </c>
      <c r="AJ643" t="s">
        <v>11141</v>
      </c>
      <c r="AK643" t="s">
        <v>7225</v>
      </c>
      <c r="AM643">
        <v>1627</v>
      </c>
      <c r="AO643">
        <v>63</v>
      </c>
      <c r="AQ643" t="s">
        <v>11157</v>
      </c>
      <c r="AR643" t="s">
        <v>11172</v>
      </c>
      <c r="AU643">
        <v>20</v>
      </c>
      <c r="AW643" t="s">
        <v>11189</v>
      </c>
      <c r="AZ643" t="s">
        <v>11221</v>
      </c>
      <c r="BD643" t="s">
        <v>11667</v>
      </c>
      <c r="BF643" t="s">
        <v>14364</v>
      </c>
      <c r="BM643" t="s">
        <v>15650</v>
      </c>
    </row>
    <row r="644" spans="1:65">
      <c r="A644" s="1">
        <f>HYPERLINK("https://lsnyc.legalserver.org/matter/dynamic-profile/view/0816914","16-0816914")</f>
        <v>0</v>
      </c>
      <c r="B644" t="s">
        <v>98</v>
      </c>
      <c r="C644" t="s">
        <v>246</v>
      </c>
      <c r="D644" t="s">
        <v>494</v>
      </c>
      <c r="F644" t="s">
        <v>1360</v>
      </c>
      <c r="G644" t="s">
        <v>3021</v>
      </c>
      <c r="H644" t="s">
        <v>4990</v>
      </c>
      <c r="I644" t="s">
        <v>6436</v>
      </c>
      <c r="J644" t="s">
        <v>7170</v>
      </c>
      <c r="K644">
        <v>10457</v>
      </c>
      <c r="N644" t="s">
        <v>7237</v>
      </c>
      <c r="O644" t="s">
        <v>7695</v>
      </c>
      <c r="P644">
        <v>2</v>
      </c>
      <c r="Q644">
        <v>0</v>
      </c>
      <c r="R644">
        <v>468.16</v>
      </c>
      <c r="S644" t="s">
        <v>10260</v>
      </c>
      <c r="U644">
        <v>120000</v>
      </c>
      <c r="W644">
        <v>0.5</v>
      </c>
      <c r="X644" t="s">
        <v>494</v>
      </c>
      <c r="Y644" t="s">
        <v>10899</v>
      </c>
      <c r="AA644" t="s">
        <v>10974</v>
      </c>
      <c r="AB644" t="s">
        <v>838</v>
      </c>
      <c r="AD644" t="s">
        <v>11096</v>
      </c>
      <c r="AF644" t="s">
        <v>11122</v>
      </c>
      <c r="AH644" t="s">
        <v>10974</v>
      </c>
      <c r="AJ644" t="s">
        <v>11130</v>
      </c>
      <c r="AK644" t="s">
        <v>7225</v>
      </c>
      <c r="AM644">
        <v>787</v>
      </c>
      <c r="AO644">
        <v>100</v>
      </c>
      <c r="AQ644" t="s">
        <v>11157</v>
      </c>
      <c r="AS644" t="s">
        <v>11173</v>
      </c>
      <c r="AU644">
        <v>30</v>
      </c>
      <c r="AW644" t="s">
        <v>11187</v>
      </c>
      <c r="AZ644" t="s">
        <v>11221</v>
      </c>
      <c r="BE644" t="s">
        <v>12057</v>
      </c>
      <c r="BF644" t="s">
        <v>14364</v>
      </c>
      <c r="BG644" t="s">
        <v>14485</v>
      </c>
      <c r="BM644" t="s">
        <v>15650</v>
      </c>
    </row>
    <row r="645" spans="1:65">
      <c r="A645" s="1">
        <f>HYPERLINK("https://lsnyc.legalserver.org/matter/dynamic-profile/view/1838164","17-1838164")</f>
        <v>0</v>
      </c>
      <c r="B645" t="s">
        <v>98</v>
      </c>
      <c r="C645" t="s">
        <v>246</v>
      </c>
      <c r="D645" t="s">
        <v>504</v>
      </c>
      <c r="F645" t="s">
        <v>1345</v>
      </c>
      <c r="G645" t="s">
        <v>3224</v>
      </c>
      <c r="H645" t="s">
        <v>5003</v>
      </c>
      <c r="I645" t="s">
        <v>6550</v>
      </c>
      <c r="J645" t="s">
        <v>7170</v>
      </c>
      <c r="K645">
        <v>10473</v>
      </c>
      <c r="N645" t="s">
        <v>7237</v>
      </c>
      <c r="O645" t="s">
        <v>7706</v>
      </c>
      <c r="P645">
        <v>1</v>
      </c>
      <c r="Q645">
        <v>1</v>
      </c>
      <c r="R645">
        <v>193.43</v>
      </c>
      <c r="S645" t="s">
        <v>10258</v>
      </c>
      <c r="U645">
        <v>31413</v>
      </c>
      <c r="W645">
        <v>0</v>
      </c>
      <c r="Y645" t="s">
        <v>10899</v>
      </c>
      <c r="AA645" t="s">
        <v>10974</v>
      </c>
      <c r="AB645" t="s">
        <v>10992</v>
      </c>
      <c r="AD645" t="s">
        <v>11096</v>
      </c>
      <c r="AF645" t="s">
        <v>11122</v>
      </c>
      <c r="AH645" t="s">
        <v>10974</v>
      </c>
      <c r="AJ645" t="s">
        <v>11139</v>
      </c>
      <c r="AK645" t="s">
        <v>7225</v>
      </c>
      <c r="AM645">
        <v>863</v>
      </c>
      <c r="AO645">
        <v>244</v>
      </c>
      <c r="AQ645" t="s">
        <v>11157</v>
      </c>
      <c r="AS645" t="s">
        <v>11173</v>
      </c>
      <c r="AU645">
        <v>13</v>
      </c>
      <c r="AW645" t="s">
        <v>11187</v>
      </c>
      <c r="AZ645" t="s">
        <v>11221</v>
      </c>
      <c r="BE645" t="s">
        <v>12067</v>
      </c>
      <c r="BG645" t="s">
        <v>14488</v>
      </c>
      <c r="BM645" t="s">
        <v>15650</v>
      </c>
    </row>
    <row r="646" spans="1:65">
      <c r="A646" s="1">
        <f>HYPERLINK("https://lsnyc.legalserver.org/matter/dynamic-profile/view/1887522","19-1887522")</f>
        <v>0</v>
      </c>
      <c r="B646" t="s">
        <v>98</v>
      </c>
      <c r="C646" t="s">
        <v>246</v>
      </c>
      <c r="D646" t="s">
        <v>290</v>
      </c>
      <c r="F646" t="s">
        <v>1375</v>
      </c>
      <c r="G646" t="s">
        <v>2985</v>
      </c>
      <c r="H646" t="s">
        <v>4997</v>
      </c>
      <c r="I646">
        <v>55</v>
      </c>
      <c r="J646" t="s">
        <v>7170</v>
      </c>
      <c r="K646">
        <v>10453</v>
      </c>
      <c r="N646" t="s">
        <v>7237</v>
      </c>
      <c r="O646" t="s">
        <v>7707</v>
      </c>
      <c r="P646">
        <v>1</v>
      </c>
      <c r="Q646">
        <v>0</v>
      </c>
      <c r="R646">
        <v>195.58</v>
      </c>
      <c r="U646">
        <v>23744</v>
      </c>
      <c r="W646">
        <v>0</v>
      </c>
      <c r="Y646" t="s">
        <v>10897</v>
      </c>
      <c r="AA646" t="s">
        <v>10974</v>
      </c>
      <c r="AB646" t="s">
        <v>370</v>
      </c>
      <c r="AD646" t="s">
        <v>11098</v>
      </c>
      <c r="AF646" t="s">
        <v>11122</v>
      </c>
      <c r="AH646" t="s">
        <v>10974</v>
      </c>
      <c r="AJ646" t="s">
        <v>11134</v>
      </c>
      <c r="AK646" t="s">
        <v>7225</v>
      </c>
      <c r="AM646">
        <v>1136.42</v>
      </c>
      <c r="AO646">
        <v>46</v>
      </c>
      <c r="AQ646" t="s">
        <v>11157</v>
      </c>
      <c r="AS646" t="s">
        <v>11175</v>
      </c>
      <c r="AU646">
        <v>21</v>
      </c>
      <c r="AW646" t="s">
        <v>11189</v>
      </c>
      <c r="AZ646" t="s">
        <v>11221</v>
      </c>
      <c r="BE646" t="s">
        <v>12068</v>
      </c>
      <c r="BG646" t="s">
        <v>14493</v>
      </c>
      <c r="BM646" t="s">
        <v>15650</v>
      </c>
    </row>
    <row r="647" spans="1:65">
      <c r="A647" s="1">
        <f>HYPERLINK("https://lsnyc.legalserver.org/matter/dynamic-profile/view/1905123","19-1905123")</f>
        <v>0</v>
      </c>
      <c r="B647" t="s">
        <v>98</v>
      </c>
      <c r="C647" t="s">
        <v>246</v>
      </c>
      <c r="D647" t="s">
        <v>332</v>
      </c>
      <c r="F647" t="s">
        <v>1093</v>
      </c>
      <c r="G647" t="s">
        <v>3225</v>
      </c>
      <c r="H647" t="s">
        <v>5000</v>
      </c>
      <c r="I647" t="s">
        <v>6615</v>
      </c>
      <c r="J647" t="s">
        <v>7170</v>
      </c>
      <c r="K647">
        <v>10455</v>
      </c>
      <c r="N647" t="s">
        <v>7237</v>
      </c>
      <c r="O647" t="s">
        <v>7708</v>
      </c>
      <c r="P647">
        <v>1</v>
      </c>
      <c r="Q647">
        <v>3</v>
      </c>
      <c r="R647">
        <v>18.92</v>
      </c>
      <c r="U647">
        <v>4870.8</v>
      </c>
      <c r="W647">
        <v>0</v>
      </c>
      <c r="Y647" t="s">
        <v>93</v>
      </c>
      <c r="AA647" t="s">
        <v>10974</v>
      </c>
      <c r="AD647" t="s">
        <v>11098</v>
      </c>
      <c r="AF647" t="s">
        <v>11122</v>
      </c>
      <c r="AH647" t="s">
        <v>10974</v>
      </c>
      <c r="AJ647" t="s">
        <v>11129</v>
      </c>
      <c r="AK647" t="s">
        <v>7225</v>
      </c>
      <c r="AM647">
        <v>1534</v>
      </c>
      <c r="AO647">
        <v>99</v>
      </c>
      <c r="AQ647" t="s">
        <v>11157</v>
      </c>
      <c r="AS647" t="s">
        <v>11180</v>
      </c>
      <c r="AU647">
        <v>1</v>
      </c>
      <c r="AW647" t="s">
        <v>11187</v>
      </c>
      <c r="AX647" t="s">
        <v>11212</v>
      </c>
      <c r="BA647" t="s">
        <v>11222</v>
      </c>
      <c r="BE647" t="s">
        <v>12069</v>
      </c>
      <c r="BF647" t="s">
        <v>14364</v>
      </c>
      <c r="BM647" t="s">
        <v>15650</v>
      </c>
    </row>
    <row r="648" spans="1:65">
      <c r="A648" s="1">
        <f>HYPERLINK("https://lsnyc.legalserver.org/matter/dynamic-profile/view/1870035","18-1870035")</f>
        <v>0</v>
      </c>
      <c r="B648" t="s">
        <v>98</v>
      </c>
      <c r="C648" t="s">
        <v>246</v>
      </c>
      <c r="D648" t="s">
        <v>522</v>
      </c>
      <c r="F648" t="s">
        <v>1452</v>
      </c>
      <c r="G648" t="s">
        <v>3226</v>
      </c>
      <c r="H648" t="s">
        <v>4999</v>
      </c>
      <c r="I648" t="s">
        <v>6407</v>
      </c>
      <c r="J648" t="s">
        <v>7170</v>
      </c>
      <c r="K648">
        <v>10452</v>
      </c>
      <c r="N648" t="s">
        <v>7237</v>
      </c>
      <c r="O648" t="s">
        <v>7709</v>
      </c>
      <c r="P648">
        <v>1</v>
      </c>
      <c r="Q648">
        <v>3</v>
      </c>
      <c r="R648">
        <v>18.74</v>
      </c>
      <c r="U648">
        <v>4704</v>
      </c>
      <c r="W648">
        <v>0.95</v>
      </c>
      <c r="X648" t="s">
        <v>802</v>
      </c>
      <c r="Y648" t="s">
        <v>10865</v>
      </c>
      <c r="AA648" t="s">
        <v>10974</v>
      </c>
      <c r="AB648" t="s">
        <v>802</v>
      </c>
      <c r="AD648" t="s">
        <v>11090</v>
      </c>
      <c r="AF648" t="s">
        <v>11119</v>
      </c>
      <c r="AH648" t="s">
        <v>10974</v>
      </c>
      <c r="AJ648" t="s">
        <v>11141</v>
      </c>
      <c r="AK648" t="s">
        <v>7225</v>
      </c>
      <c r="AM648">
        <v>1946</v>
      </c>
      <c r="AO648">
        <v>53</v>
      </c>
      <c r="AQ648" t="s">
        <v>11157</v>
      </c>
      <c r="AS648" t="s">
        <v>11178</v>
      </c>
      <c r="AU648">
        <v>1</v>
      </c>
      <c r="AW648" t="s">
        <v>11187</v>
      </c>
      <c r="AY648" t="s">
        <v>11213</v>
      </c>
      <c r="AZ648" t="s">
        <v>11221</v>
      </c>
      <c r="BC648" t="s">
        <v>11274</v>
      </c>
      <c r="BE648" t="s">
        <v>12070</v>
      </c>
      <c r="BF648" t="s">
        <v>14364</v>
      </c>
      <c r="BM648" t="s">
        <v>15650</v>
      </c>
    </row>
    <row r="649" spans="1:65">
      <c r="A649" s="1">
        <f>HYPERLINK("https://lsnyc.legalserver.org/matter/dynamic-profile/view/1856778","18-1856778")</f>
        <v>0</v>
      </c>
      <c r="B649" t="s">
        <v>98</v>
      </c>
      <c r="C649" t="s">
        <v>246</v>
      </c>
      <c r="D649" t="s">
        <v>383</v>
      </c>
      <c r="F649" t="s">
        <v>1453</v>
      </c>
      <c r="G649" t="s">
        <v>3227</v>
      </c>
      <c r="H649" t="s">
        <v>4988</v>
      </c>
      <c r="I649" t="s">
        <v>6426</v>
      </c>
      <c r="J649" t="s">
        <v>7170</v>
      </c>
      <c r="K649">
        <v>10456</v>
      </c>
      <c r="N649" t="s">
        <v>7237</v>
      </c>
      <c r="O649" t="s">
        <v>7710</v>
      </c>
      <c r="P649">
        <v>2</v>
      </c>
      <c r="Q649">
        <v>2</v>
      </c>
      <c r="R649">
        <v>111.55</v>
      </c>
      <c r="S649" t="s">
        <v>10261</v>
      </c>
      <c r="U649">
        <v>28000</v>
      </c>
      <c r="V649" t="s">
        <v>10306</v>
      </c>
      <c r="W649">
        <v>1.5</v>
      </c>
      <c r="X649" t="s">
        <v>516</v>
      </c>
      <c r="Y649" t="s">
        <v>10865</v>
      </c>
      <c r="AA649" t="s">
        <v>10974</v>
      </c>
      <c r="AB649" t="s">
        <v>871</v>
      </c>
      <c r="AD649" t="s">
        <v>11096</v>
      </c>
      <c r="AF649" t="s">
        <v>11122</v>
      </c>
      <c r="AH649" t="s">
        <v>10974</v>
      </c>
      <c r="AJ649" t="s">
        <v>11141</v>
      </c>
      <c r="AK649" t="s">
        <v>7225</v>
      </c>
      <c r="AM649">
        <v>966.71</v>
      </c>
      <c r="AO649">
        <v>61</v>
      </c>
      <c r="AQ649" t="s">
        <v>11157</v>
      </c>
      <c r="AS649" t="s">
        <v>11173</v>
      </c>
      <c r="AU649">
        <v>27</v>
      </c>
      <c r="AW649" t="s">
        <v>11187</v>
      </c>
      <c r="AZ649" t="s">
        <v>11221</v>
      </c>
      <c r="BE649" t="s">
        <v>12071</v>
      </c>
      <c r="BG649" t="s">
        <v>14490</v>
      </c>
      <c r="BM649" t="s">
        <v>15650</v>
      </c>
    </row>
    <row r="650" spans="1:65">
      <c r="A650" s="1">
        <f>HYPERLINK("https://lsnyc.legalserver.org/matter/dynamic-profile/view/1891395","19-1891395")</f>
        <v>0</v>
      </c>
      <c r="B650" t="s">
        <v>98</v>
      </c>
      <c r="C650" t="s">
        <v>246</v>
      </c>
      <c r="D650" t="s">
        <v>480</v>
      </c>
      <c r="F650" t="s">
        <v>1454</v>
      </c>
      <c r="G650" t="s">
        <v>2877</v>
      </c>
      <c r="H650" t="s">
        <v>4989</v>
      </c>
      <c r="I650" t="s">
        <v>6542</v>
      </c>
      <c r="J650" t="s">
        <v>7170</v>
      </c>
      <c r="K650">
        <v>10453</v>
      </c>
      <c r="N650" t="s">
        <v>7237</v>
      </c>
      <c r="O650" t="s">
        <v>7711</v>
      </c>
      <c r="P650">
        <v>2</v>
      </c>
      <c r="Q650">
        <v>0</v>
      </c>
      <c r="R650">
        <v>99.34999999999999</v>
      </c>
      <c r="U650">
        <v>16800</v>
      </c>
      <c r="W650">
        <v>0</v>
      </c>
      <c r="Y650" t="s">
        <v>216</v>
      </c>
      <c r="AA650" t="s">
        <v>10974</v>
      </c>
      <c r="AB650" t="s">
        <v>370</v>
      </c>
      <c r="AD650" t="s">
        <v>11101</v>
      </c>
      <c r="AF650" t="s">
        <v>11118</v>
      </c>
      <c r="AH650" t="s">
        <v>10974</v>
      </c>
      <c r="AJ650" t="s">
        <v>11141</v>
      </c>
      <c r="AK650" t="s">
        <v>7225</v>
      </c>
      <c r="AM650">
        <v>900</v>
      </c>
      <c r="AO650">
        <v>170</v>
      </c>
      <c r="AQ650" t="s">
        <v>11157</v>
      </c>
      <c r="AS650" t="s">
        <v>11173</v>
      </c>
      <c r="AU650">
        <v>12</v>
      </c>
      <c r="AW650" t="s">
        <v>11187</v>
      </c>
      <c r="AZ650" t="s">
        <v>11221</v>
      </c>
      <c r="BE650" t="s">
        <v>12072</v>
      </c>
      <c r="BG650" t="s">
        <v>14486</v>
      </c>
      <c r="BM650" t="s">
        <v>15650</v>
      </c>
    </row>
    <row r="651" spans="1:65">
      <c r="A651" s="1">
        <f>HYPERLINK("https://lsnyc.legalserver.org/matter/dynamic-profile/view/1889951","19-1889951")</f>
        <v>0</v>
      </c>
      <c r="B651" t="s">
        <v>98</v>
      </c>
      <c r="C651" t="s">
        <v>246</v>
      </c>
      <c r="D651" t="s">
        <v>482</v>
      </c>
      <c r="F651" t="s">
        <v>1440</v>
      </c>
      <c r="G651" t="s">
        <v>3217</v>
      </c>
      <c r="H651" t="s">
        <v>4989</v>
      </c>
      <c r="I651" t="s">
        <v>6609</v>
      </c>
      <c r="J651" t="s">
        <v>7170</v>
      </c>
      <c r="K651">
        <v>10453</v>
      </c>
      <c r="N651" t="s">
        <v>7237</v>
      </c>
      <c r="O651" t="s">
        <v>7690</v>
      </c>
      <c r="P651">
        <v>1</v>
      </c>
      <c r="Q651">
        <v>0</v>
      </c>
      <c r="R651">
        <v>288.23</v>
      </c>
      <c r="U651">
        <v>36000</v>
      </c>
      <c r="W651">
        <v>0</v>
      </c>
      <c r="Y651" t="s">
        <v>10865</v>
      </c>
      <c r="AA651" t="s">
        <v>10974</v>
      </c>
      <c r="AB651" t="s">
        <v>370</v>
      </c>
      <c r="AD651" t="s">
        <v>11101</v>
      </c>
      <c r="AF651" t="s">
        <v>11118</v>
      </c>
      <c r="AH651" t="s">
        <v>10974</v>
      </c>
      <c r="AJ651" t="s">
        <v>11141</v>
      </c>
      <c r="AK651" t="s">
        <v>7225</v>
      </c>
      <c r="AM651">
        <v>1194</v>
      </c>
      <c r="AO651">
        <v>167</v>
      </c>
      <c r="AQ651" t="s">
        <v>11157</v>
      </c>
      <c r="AS651" t="s">
        <v>11173</v>
      </c>
      <c r="AU651">
        <v>12</v>
      </c>
      <c r="AW651" t="s">
        <v>11187</v>
      </c>
      <c r="AZ651" t="s">
        <v>11221</v>
      </c>
      <c r="BE651" t="s">
        <v>12052</v>
      </c>
      <c r="BG651" t="s">
        <v>14486</v>
      </c>
      <c r="BM651" t="s">
        <v>15650</v>
      </c>
    </row>
    <row r="652" spans="1:65">
      <c r="A652" s="1">
        <f>HYPERLINK("https://lsnyc.legalserver.org/matter/dynamic-profile/view/1838125","17-1838125")</f>
        <v>0</v>
      </c>
      <c r="B652" t="s">
        <v>98</v>
      </c>
      <c r="C652" t="s">
        <v>246</v>
      </c>
      <c r="D652" t="s">
        <v>504</v>
      </c>
      <c r="F652" t="s">
        <v>1455</v>
      </c>
      <c r="G652" t="s">
        <v>3228</v>
      </c>
      <c r="H652" t="s">
        <v>4993</v>
      </c>
      <c r="I652" t="s">
        <v>6411</v>
      </c>
      <c r="J652" t="s">
        <v>7170</v>
      </c>
      <c r="K652">
        <v>10473</v>
      </c>
      <c r="N652" t="s">
        <v>7237</v>
      </c>
      <c r="O652" t="s">
        <v>7712</v>
      </c>
      <c r="P652">
        <v>2</v>
      </c>
      <c r="Q652">
        <v>1</v>
      </c>
      <c r="R652">
        <v>195.89</v>
      </c>
      <c r="U652">
        <v>40000</v>
      </c>
      <c r="W652">
        <v>0</v>
      </c>
      <c r="Y652" t="s">
        <v>10899</v>
      </c>
      <c r="AA652" t="s">
        <v>10974</v>
      </c>
      <c r="AB652" t="s">
        <v>813</v>
      </c>
      <c r="AD652" t="s">
        <v>11096</v>
      </c>
      <c r="AF652" t="s">
        <v>11122</v>
      </c>
      <c r="AH652" t="s">
        <v>10974</v>
      </c>
      <c r="AI652" t="s">
        <v>11126</v>
      </c>
      <c r="AK652" t="s">
        <v>7225</v>
      </c>
      <c r="AM652">
        <v>932.5</v>
      </c>
      <c r="AO652">
        <v>225</v>
      </c>
      <c r="AQ652" t="s">
        <v>11157</v>
      </c>
      <c r="AS652" t="s">
        <v>11173</v>
      </c>
      <c r="AU652">
        <v>13</v>
      </c>
      <c r="AW652" t="s">
        <v>11187</v>
      </c>
      <c r="AZ652" t="s">
        <v>11221</v>
      </c>
      <c r="BE652" t="s">
        <v>12073</v>
      </c>
      <c r="BG652" t="s">
        <v>14488</v>
      </c>
      <c r="BM652" t="s">
        <v>15650</v>
      </c>
    </row>
    <row r="653" spans="1:65">
      <c r="A653" s="1">
        <f>HYPERLINK("https://lsnyc.legalserver.org/matter/dynamic-profile/view/1905062","19-1905062")</f>
        <v>0</v>
      </c>
      <c r="B653" t="s">
        <v>98</v>
      </c>
      <c r="C653" t="s">
        <v>246</v>
      </c>
      <c r="D653" t="s">
        <v>332</v>
      </c>
      <c r="F653" t="s">
        <v>1433</v>
      </c>
      <c r="G653" t="s">
        <v>2888</v>
      </c>
      <c r="H653" t="s">
        <v>4989</v>
      </c>
      <c r="I653" t="s">
        <v>6604</v>
      </c>
      <c r="J653" t="s">
        <v>7170</v>
      </c>
      <c r="K653">
        <v>10453</v>
      </c>
      <c r="N653" t="s">
        <v>7237</v>
      </c>
      <c r="O653" t="s">
        <v>7681</v>
      </c>
      <c r="P653">
        <v>1</v>
      </c>
      <c r="Q653">
        <v>0</v>
      </c>
      <c r="R653">
        <v>70.42</v>
      </c>
      <c r="U653">
        <v>8796</v>
      </c>
      <c r="W653">
        <v>0</v>
      </c>
      <c r="Y653" t="s">
        <v>216</v>
      </c>
      <c r="AA653" t="s">
        <v>10974</v>
      </c>
      <c r="AB653" t="s">
        <v>287</v>
      </c>
      <c r="AD653" t="s">
        <v>11098</v>
      </c>
      <c r="AF653" t="s">
        <v>11122</v>
      </c>
      <c r="AH653" t="s">
        <v>10974</v>
      </c>
      <c r="AJ653" t="s">
        <v>11141</v>
      </c>
      <c r="AK653" t="s">
        <v>7225</v>
      </c>
      <c r="AM653">
        <v>168</v>
      </c>
      <c r="AO653">
        <v>170</v>
      </c>
      <c r="AP653" t="s">
        <v>11155</v>
      </c>
      <c r="AS653" t="s">
        <v>11174</v>
      </c>
      <c r="AU653">
        <v>20</v>
      </c>
      <c r="AW653" t="s">
        <v>11189</v>
      </c>
      <c r="BA653" t="s">
        <v>11222</v>
      </c>
      <c r="BB653" t="s">
        <v>11224</v>
      </c>
      <c r="BC653" t="s">
        <v>11275</v>
      </c>
      <c r="BE653" t="s">
        <v>12044</v>
      </c>
      <c r="BG653" t="s">
        <v>14494</v>
      </c>
      <c r="BM653" t="s">
        <v>15650</v>
      </c>
    </row>
    <row r="654" spans="1:65">
      <c r="A654" s="1">
        <f>HYPERLINK("https://lsnyc.legalserver.org/matter/dynamic-profile/view/1891324","19-1891324")</f>
        <v>0</v>
      </c>
      <c r="B654" t="s">
        <v>98</v>
      </c>
      <c r="C654" t="s">
        <v>246</v>
      </c>
      <c r="D654" t="s">
        <v>480</v>
      </c>
      <c r="F654" t="s">
        <v>1290</v>
      </c>
      <c r="G654" t="s">
        <v>3229</v>
      </c>
      <c r="H654" t="s">
        <v>4989</v>
      </c>
      <c r="I654" t="s">
        <v>6449</v>
      </c>
      <c r="J654" t="s">
        <v>7170</v>
      </c>
      <c r="K654">
        <v>10453</v>
      </c>
      <c r="N654" t="s">
        <v>7237</v>
      </c>
      <c r="O654" t="s">
        <v>7713</v>
      </c>
      <c r="P654">
        <v>2</v>
      </c>
      <c r="Q654">
        <v>0</v>
      </c>
      <c r="R654">
        <v>196.57</v>
      </c>
      <c r="U654">
        <v>33240</v>
      </c>
      <c r="W654">
        <v>0</v>
      </c>
      <c r="Y654" t="s">
        <v>216</v>
      </c>
      <c r="AA654" t="s">
        <v>10974</v>
      </c>
      <c r="AB654" t="s">
        <v>370</v>
      </c>
      <c r="AD654" t="s">
        <v>11098</v>
      </c>
      <c r="AF654" t="s">
        <v>11122</v>
      </c>
      <c r="AH654" t="s">
        <v>10974</v>
      </c>
      <c r="AJ654" t="s">
        <v>11141</v>
      </c>
      <c r="AK654" t="s">
        <v>7225</v>
      </c>
      <c r="AM654">
        <v>685.84</v>
      </c>
      <c r="AO654">
        <v>170</v>
      </c>
      <c r="AQ654" t="s">
        <v>11157</v>
      </c>
      <c r="AS654" t="s">
        <v>11173</v>
      </c>
      <c r="AU654">
        <v>40</v>
      </c>
      <c r="AW654" t="s">
        <v>11187</v>
      </c>
      <c r="AZ654" t="s">
        <v>11221</v>
      </c>
      <c r="BD654" t="s">
        <v>11667</v>
      </c>
      <c r="BF654" t="s">
        <v>14364</v>
      </c>
      <c r="BM654" t="s">
        <v>15650</v>
      </c>
    </row>
    <row r="655" spans="1:65">
      <c r="A655" s="1">
        <f>HYPERLINK("https://lsnyc.legalserver.org/matter/dynamic-profile/view/1905058","19-1905058")</f>
        <v>0</v>
      </c>
      <c r="B655" t="s">
        <v>98</v>
      </c>
      <c r="C655" t="s">
        <v>246</v>
      </c>
      <c r="D655" t="s">
        <v>332</v>
      </c>
      <c r="F655" t="s">
        <v>1433</v>
      </c>
      <c r="G655" t="s">
        <v>2888</v>
      </c>
      <c r="H655" t="s">
        <v>4989</v>
      </c>
      <c r="I655" t="s">
        <v>6604</v>
      </c>
      <c r="J655" t="s">
        <v>7170</v>
      </c>
      <c r="K655">
        <v>10453</v>
      </c>
      <c r="N655" t="s">
        <v>7237</v>
      </c>
      <c r="O655" t="s">
        <v>7681</v>
      </c>
      <c r="P655">
        <v>1</v>
      </c>
      <c r="Q655">
        <v>0</v>
      </c>
      <c r="R655">
        <v>70.42</v>
      </c>
      <c r="U655">
        <v>8796</v>
      </c>
      <c r="W655">
        <v>0</v>
      </c>
      <c r="Y655" t="s">
        <v>216</v>
      </c>
      <c r="AA655" t="s">
        <v>10974</v>
      </c>
      <c r="AB655" t="s">
        <v>527</v>
      </c>
      <c r="AD655" t="s">
        <v>11098</v>
      </c>
      <c r="AF655" t="s">
        <v>11122</v>
      </c>
      <c r="AH655" t="s">
        <v>10974</v>
      </c>
      <c r="AJ655" t="s">
        <v>11141</v>
      </c>
      <c r="AK655" t="s">
        <v>7225</v>
      </c>
      <c r="AM655">
        <v>168</v>
      </c>
      <c r="AO655">
        <v>170</v>
      </c>
      <c r="AQ655" t="s">
        <v>11157</v>
      </c>
      <c r="AS655" t="s">
        <v>11174</v>
      </c>
      <c r="AU655">
        <v>20</v>
      </c>
      <c r="AW655" t="s">
        <v>11189</v>
      </c>
      <c r="BA655" t="s">
        <v>11222</v>
      </c>
      <c r="BB655" t="s">
        <v>11224</v>
      </c>
      <c r="BC655" t="s">
        <v>11275</v>
      </c>
      <c r="BE655" t="s">
        <v>12044</v>
      </c>
      <c r="BG655" t="s">
        <v>14484</v>
      </c>
      <c r="BM655" t="s">
        <v>15650</v>
      </c>
    </row>
    <row r="656" spans="1:65">
      <c r="A656" s="1">
        <f>HYPERLINK("https://lsnyc.legalserver.org/matter/dynamic-profile/view/1891319","19-1891319")</f>
        <v>0</v>
      </c>
      <c r="B656" t="s">
        <v>98</v>
      </c>
      <c r="C656" t="s">
        <v>246</v>
      </c>
      <c r="D656" t="s">
        <v>480</v>
      </c>
      <c r="F656" t="s">
        <v>1290</v>
      </c>
      <c r="G656" t="s">
        <v>3229</v>
      </c>
      <c r="H656" t="s">
        <v>4989</v>
      </c>
      <c r="I656" t="s">
        <v>6449</v>
      </c>
      <c r="J656" t="s">
        <v>7170</v>
      </c>
      <c r="K656">
        <v>10453</v>
      </c>
      <c r="N656" t="s">
        <v>7237</v>
      </c>
      <c r="O656" t="s">
        <v>7713</v>
      </c>
      <c r="P656">
        <v>2</v>
      </c>
      <c r="Q656">
        <v>0</v>
      </c>
      <c r="R656">
        <v>196.57</v>
      </c>
      <c r="U656">
        <v>33240</v>
      </c>
      <c r="W656">
        <v>0</v>
      </c>
      <c r="Y656" t="s">
        <v>216</v>
      </c>
      <c r="AA656" t="s">
        <v>10974</v>
      </c>
      <c r="AB656" t="s">
        <v>370</v>
      </c>
      <c r="AD656" t="s">
        <v>11101</v>
      </c>
      <c r="AF656" t="s">
        <v>11118</v>
      </c>
      <c r="AH656" t="s">
        <v>10974</v>
      </c>
      <c r="AJ656" t="s">
        <v>11141</v>
      </c>
      <c r="AK656" t="s">
        <v>7225</v>
      </c>
      <c r="AM656">
        <v>685.84</v>
      </c>
      <c r="AO656">
        <v>170</v>
      </c>
      <c r="AQ656" t="s">
        <v>11157</v>
      </c>
      <c r="AS656" t="s">
        <v>11173</v>
      </c>
      <c r="AU656">
        <v>40</v>
      </c>
      <c r="AW656" t="s">
        <v>11187</v>
      </c>
      <c r="AZ656" t="s">
        <v>11221</v>
      </c>
      <c r="BD656" t="s">
        <v>11667</v>
      </c>
      <c r="BG656" t="s">
        <v>14486</v>
      </c>
      <c r="BM656" t="s">
        <v>15650</v>
      </c>
    </row>
    <row r="657" spans="1:65">
      <c r="A657" s="1">
        <f>HYPERLINK("https://lsnyc.legalserver.org/matter/dynamic-profile/view/1889889","19-1889889")</f>
        <v>0</v>
      </c>
      <c r="B657" t="s">
        <v>98</v>
      </c>
      <c r="C657" t="s">
        <v>246</v>
      </c>
      <c r="D657" t="s">
        <v>482</v>
      </c>
      <c r="F657" t="s">
        <v>1433</v>
      </c>
      <c r="G657" t="s">
        <v>2888</v>
      </c>
      <c r="H657" t="s">
        <v>4989</v>
      </c>
      <c r="I657" t="s">
        <v>6604</v>
      </c>
      <c r="J657" t="s">
        <v>7170</v>
      </c>
      <c r="K657">
        <v>10453</v>
      </c>
      <c r="N657" t="s">
        <v>7237</v>
      </c>
      <c r="O657" t="s">
        <v>7681</v>
      </c>
      <c r="P657">
        <v>1</v>
      </c>
      <c r="Q657">
        <v>0</v>
      </c>
      <c r="R657">
        <v>70.42</v>
      </c>
      <c r="U657">
        <v>8796</v>
      </c>
      <c r="W657">
        <v>0.3</v>
      </c>
      <c r="X657" t="s">
        <v>422</v>
      </c>
      <c r="Y657" t="s">
        <v>10865</v>
      </c>
      <c r="AA657" t="s">
        <v>10974</v>
      </c>
      <c r="AB657" t="s">
        <v>370</v>
      </c>
      <c r="AD657" t="s">
        <v>11098</v>
      </c>
      <c r="AF657" t="s">
        <v>11122</v>
      </c>
      <c r="AH657" t="s">
        <v>10974</v>
      </c>
      <c r="AJ657" t="s">
        <v>11141</v>
      </c>
      <c r="AK657" t="s">
        <v>7225</v>
      </c>
      <c r="AM657">
        <v>168</v>
      </c>
      <c r="AO657">
        <v>170</v>
      </c>
      <c r="AQ657" t="s">
        <v>11157</v>
      </c>
      <c r="AS657" t="s">
        <v>11174</v>
      </c>
      <c r="AU657">
        <v>20</v>
      </c>
      <c r="AW657" t="s">
        <v>11189</v>
      </c>
      <c r="AZ657" t="s">
        <v>11221</v>
      </c>
      <c r="BB657" t="s">
        <v>11224</v>
      </c>
      <c r="BC657" t="s">
        <v>11275</v>
      </c>
      <c r="BE657" t="s">
        <v>12044</v>
      </c>
      <c r="BF657" t="s">
        <v>14364</v>
      </c>
      <c r="BM657" t="s">
        <v>15650</v>
      </c>
    </row>
    <row r="658" spans="1:65">
      <c r="A658" s="1">
        <f>HYPERLINK("https://lsnyc.legalserver.org/matter/dynamic-profile/view/1880605","18-1880605")</f>
        <v>0</v>
      </c>
      <c r="B658" t="s">
        <v>98</v>
      </c>
      <c r="C658" t="s">
        <v>246</v>
      </c>
      <c r="D658" t="s">
        <v>365</v>
      </c>
      <c r="F658" t="s">
        <v>1456</v>
      </c>
      <c r="G658" t="s">
        <v>2877</v>
      </c>
      <c r="H658" t="s">
        <v>4988</v>
      </c>
      <c r="I658" t="s">
        <v>6424</v>
      </c>
      <c r="J658" t="s">
        <v>7170</v>
      </c>
      <c r="K658">
        <v>10456</v>
      </c>
      <c r="N658" t="s">
        <v>7237</v>
      </c>
      <c r="O658" t="s">
        <v>7287</v>
      </c>
      <c r="P658">
        <v>1</v>
      </c>
      <c r="Q658">
        <v>0</v>
      </c>
      <c r="R658">
        <v>70.08</v>
      </c>
      <c r="U658">
        <v>8508</v>
      </c>
      <c r="V658" t="s">
        <v>10307</v>
      </c>
      <c r="W658">
        <v>0</v>
      </c>
      <c r="Y658" t="s">
        <v>10865</v>
      </c>
      <c r="AA658" t="s">
        <v>10974</v>
      </c>
      <c r="AB658" t="s">
        <v>659</v>
      </c>
      <c r="AD658" t="s">
        <v>11098</v>
      </c>
      <c r="AF658" t="s">
        <v>11122</v>
      </c>
      <c r="AH658" t="s">
        <v>10974</v>
      </c>
      <c r="AI658" t="s">
        <v>11126</v>
      </c>
      <c r="AK658" t="s">
        <v>7225</v>
      </c>
      <c r="AM658">
        <v>1165</v>
      </c>
      <c r="AO658">
        <v>61</v>
      </c>
      <c r="AQ658" t="s">
        <v>11157</v>
      </c>
      <c r="AS658" t="s">
        <v>11174</v>
      </c>
      <c r="AU658">
        <v>22</v>
      </c>
      <c r="AW658" t="s">
        <v>11189</v>
      </c>
      <c r="AZ658" t="s">
        <v>11221</v>
      </c>
      <c r="BE658" t="s">
        <v>12074</v>
      </c>
      <c r="BG658" t="s">
        <v>14489</v>
      </c>
      <c r="BM658" t="s">
        <v>15650</v>
      </c>
    </row>
    <row r="659" spans="1:65">
      <c r="A659" s="1">
        <f>HYPERLINK("https://lsnyc.legalserver.org/matter/dynamic-profile/view/1891698","19-1891698")</f>
        <v>0</v>
      </c>
      <c r="B659" t="s">
        <v>98</v>
      </c>
      <c r="C659" t="s">
        <v>246</v>
      </c>
      <c r="D659" t="s">
        <v>515</v>
      </c>
      <c r="F659" t="s">
        <v>1424</v>
      </c>
      <c r="G659" t="s">
        <v>2998</v>
      </c>
      <c r="H659" t="s">
        <v>4989</v>
      </c>
      <c r="I659" t="s">
        <v>6487</v>
      </c>
      <c r="J659" t="s">
        <v>7170</v>
      </c>
      <c r="K659">
        <v>10453</v>
      </c>
      <c r="N659" t="s">
        <v>7237</v>
      </c>
      <c r="O659" t="s">
        <v>7659</v>
      </c>
      <c r="P659">
        <v>4</v>
      </c>
      <c r="Q659">
        <v>0</v>
      </c>
      <c r="R659">
        <v>180.19</v>
      </c>
      <c r="U659">
        <v>46400</v>
      </c>
      <c r="W659">
        <v>0</v>
      </c>
      <c r="Y659" t="s">
        <v>93</v>
      </c>
      <c r="AA659" t="s">
        <v>10974</v>
      </c>
      <c r="AB659" t="s">
        <v>370</v>
      </c>
      <c r="AD659" t="s">
        <v>11098</v>
      </c>
      <c r="AF659" t="s">
        <v>11122</v>
      </c>
      <c r="AH659" t="s">
        <v>10974</v>
      </c>
      <c r="AJ659" t="s">
        <v>11134</v>
      </c>
      <c r="AK659" t="s">
        <v>7225</v>
      </c>
      <c r="AM659">
        <v>1233</v>
      </c>
      <c r="AO659">
        <v>170</v>
      </c>
      <c r="AQ659" t="s">
        <v>11157</v>
      </c>
      <c r="AS659" t="s">
        <v>11173</v>
      </c>
      <c r="AU659">
        <v>4</v>
      </c>
      <c r="AW659" t="s">
        <v>11189</v>
      </c>
      <c r="AZ659" t="s">
        <v>11221</v>
      </c>
      <c r="BE659" t="s">
        <v>12024</v>
      </c>
      <c r="BF659" t="s">
        <v>14364</v>
      </c>
      <c r="BM659" t="s">
        <v>15650</v>
      </c>
    </row>
    <row r="660" spans="1:65">
      <c r="A660" s="1">
        <f>HYPERLINK("https://lsnyc.legalserver.org/matter/dynamic-profile/view/1880608","18-1880608")</f>
        <v>0</v>
      </c>
      <c r="B660" t="s">
        <v>98</v>
      </c>
      <c r="C660" t="s">
        <v>246</v>
      </c>
      <c r="D660" t="s">
        <v>365</v>
      </c>
      <c r="F660" t="s">
        <v>1453</v>
      </c>
      <c r="G660" t="s">
        <v>3227</v>
      </c>
      <c r="H660" t="s">
        <v>4988</v>
      </c>
      <c r="I660" t="s">
        <v>6426</v>
      </c>
      <c r="J660" t="s">
        <v>7170</v>
      </c>
      <c r="K660">
        <v>10456</v>
      </c>
      <c r="N660" t="s">
        <v>7237</v>
      </c>
      <c r="O660" t="s">
        <v>7710</v>
      </c>
      <c r="P660">
        <v>2</v>
      </c>
      <c r="Q660">
        <v>2</v>
      </c>
      <c r="R660">
        <v>111.55</v>
      </c>
      <c r="U660">
        <v>28000</v>
      </c>
      <c r="W660">
        <v>0</v>
      </c>
      <c r="Y660" t="s">
        <v>10865</v>
      </c>
      <c r="AA660" t="s">
        <v>10974</v>
      </c>
      <c r="AB660" t="s">
        <v>389</v>
      </c>
      <c r="AD660" t="s">
        <v>11098</v>
      </c>
      <c r="AF660" t="s">
        <v>11122</v>
      </c>
      <c r="AH660" t="s">
        <v>10974</v>
      </c>
      <c r="AJ660" t="s">
        <v>11141</v>
      </c>
      <c r="AK660" t="s">
        <v>7225</v>
      </c>
      <c r="AM660">
        <v>966.71</v>
      </c>
      <c r="AO660">
        <v>61</v>
      </c>
      <c r="AQ660" t="s">
        <v>11157</v>
      </c>
      <c r="AS660" t="s">
        <v>11173</v>
      </c>
      <c r="AU660">
        <v>27</v>
      </c>
      <c r="AW660" t="s">
        <v>11187</v>
      </c>
      <c r="AZ660" t="s">
        <v>11221</v>
      </c>
      <c r="BE660" t="s">
        <v>12071</v>
      </c>
      <c r="BG660" t="s">
        <v>14489</v>
      </c>
      <c r="BM660" t="s">
        <v>15650</v>
      </c>
    </row>
    <row r="661" spans="1:65">
      <c r="A661" s="1">
        <f>HYPERLINK("https://lsnyc.legalserver.org/matter/dynamic-profile/view/0822050","16-0822050")</f>
        <v>0</v>
      </c>
      <c r="B661" t="s">
        <v>98</v>
      </c>
      <c r="C661" t="s">
        <v>246</v>
      </c>
      <c r="D661" t="s">
        <v>481</v>
      </c>
      <c r="F661" t="s">
        <v>1451</v>
      </c>
      <c r="G661" t="s">
        <v>3223</v>
      </c>
      <c r="H661" t="s">
        <v>4972</v>
      </c>
      <c r="I661" t="s">
        <v>6614</v>
      </c>
      <c r="J661" t="s">
        <v>7170</v>
      </c>
      <c r="K661">
        <v>10452</v>
      </c>
      <c r="N661" t="s">
        <v>7237</v>
      </c>
      <c r="O661" t="s">
        <v>7705</v>
      </c>
      <c r="P661">
        <v>3</v>
      </c>
      <c r="Q661">
        <v>2</v>
      </c>
      <c r="R661">
        <v>69.48</v>
      </c>
      <c r="U661">
        <v>35360</v>
      </c>
      <c r="W661">
        <v>0</v>
      </c>
      <c r="Y661" t="s">
        <v>10899</v>
      </c>
      <c r="AA661" t="s">
        <v>10974</v>
      </c>
      <c r="AB661" t="s">
        <v>481</v>
      </c>
      <c r="AD661" t="s">
        <v>11096</v>
      </c>
      <c r="AF661" t="s">
        <v>11122</v>
      </c>
      <c r="AH661" t="s">
        <v>10974</v>
      </c>
      <c r="AJ661" t="s">
        <v>11141</v>
      </c>
      <c r="AK661" t="s">
        <v>7225</v>
      </c>
      <c r="AM661">
        <v>1627</v>
      </c>
      <c r="AO661">
        <v>63</v>
      </c>
      <c r="AQ661" t="s">
        <v>11157</v>
      </c>
      <c r="AR661" t="s">
        <v>11172</v>
      </c>
      <c r="AU661">
        <v>20</v>
      </c>
      <c r="AW661" t="s">
        <v>11189</v>
      </c>
      <c r="AZ661" t="s">
        <v>11221</v>
      </c>
      <c r="BD661" t="s">
        <v>11667</v>
      </c>
      <c r="BF661" t="s">
        <v>14364</v>
      </c>
      <c r="BM661" t="s">
        <v>15650</v>
      </c>
    </row>
    <row r="662" spans="1:65">
      <c r="A662" s="1">
        <f>HYPERLINK("https://lsnyc.legalserver.org/matter/dynamic-profile/view/1856751","18-1856751")</f>
        <v>0</v>
      </c>
      <c r="B662" t="s">
        <v>98</v>
      </c>
      <c r="C662" t="s">
        <v>246</v>
      </c>
      <c r="D662" t="s">
        <v>383</v>
      </c>
      <c r="F662" t="s">
        <v>1456</v>
      </c>
      <c r="G662" t="s">
        <v>2877</v>
      </c>
      <c r="H662" t="s">
        <v>4988</v>
      </c>
      <c r="I662" t="s">
        <v>6424</v>
      </c>
      <c r="J662" t="s">
        <v>7170</v>
      </c>
      <c r="K662">
        <v>10456</v>
      </c>
      <c r="N662" t="s">
        <v>7237</v>
      </c>
      <c r="O662" t="s">
        <v>7287</v>
      </c>
      <c r="P662">
        <v>1</v>
      </c>
      <c r="Q662">
        <v>0</v>
      </c>
      <c r="R662">
        <v>70.55</v>
      </c>
      <c r="S662" t="s">
        <v>10261</v>
      </c>
      <c r="U662">
        <v>8508</v>
      </c>
      <c r="W662">
        <v>1</v>
      </c>
      <c r="X662" t="s">
        <v>991</v>
      </c>
      <c r="Y662" t="s">
        <v>10865</v>
      </c>
      <c r="AA662" t="s">
        <v>10974</v>
      </c>
      <c r="AB662" t="s">
        <v>458</v>
      </c>
      <c r="AD662" t="s">
        <v>11096</v>
      </c>
      <c r="AF662" t="s">
        <v>11122</v>
      </c>
      <c r="AH662" t="s">
        <v>10974</v>
      </c>
      <c r="AI662" t="s">
        <v>11126</v>
      </c>
      <c r="AK662" t="s">
        <v>7225</v>
      </c>
      <c r="AM662">
        <v>1165</v>
      </c>
      <c r="AO662">
        <v>61</v>
      </c>
      <c r="AQ662" t="s">
        <v>11157</v>
      </c>
      <c r="AS662" t="s">
        <v>11174</v>
      </c>
      <c r="AU662">
        <v>22</v>
      </c>
      <c r="AW662" t="s">
        <v>11189</v>
      </c>
      <c r="AZ662" t="s">
        <v>11221</v>
      </c>
      <c r="BE662" t="s">
        <v>12074</v>
      </c>
      <c r="BG662" t="s">
        <v>14490</v>
      </c>
      <c r="BM662" t="s">
        <v>15650</v>
      </c>
    </row>
    <row r="663" spans="1:65">
      <c r="A663" s="1">
        <f>HYPERLINK("https://lsnyc.legalserver.org/matter/dynamic-profile/view/1855940","18-1855940")</f>
        <v>0</v>
      </c>
      <c r="B663" t="s">
        <v>98</v>
      </c>
      <c r="C663" t="s">
        <v>246</v>
      </c>
      <c r="D663" t="s">
        <v>523</v>
      </c>
      <c r="F663" t="s">
        <v>1457</v>
      </c>
      <c r="G663" t="s">
        <v>3230</v>
      </c>
      <c r="H663" t="s">
        <v>4998</v>
      </c>
      <c r="I663" t="s">
        <v>6616</v>
      </c>
      <c r="J663" t="s">
        <v>7170</v>
      </c>
      <c r="K663">
        <v>10473</v>
      </c>
      <c r="N663" t="s">
        <v>7237</v>
      </c>
      <c r="O663" t="s">
        <v>7714</v>
      </c>
      <c r="P663">
        <v>1</v>
      </c>
      <c r="Q663">
        <v>0</v>
      </c>
      <c r="R663">
        <v>605.3099999999999</v>
      </c>
      <c r="S663" t="s">
        <v>10258</v>
      </c>
      <c r="U663">
        <v>73000</v>
      </c>
      <c r="W663">
        <v>8.5</v>
      </c>
      <c r="X663" t="s">
        <v>436</v>
      </c>
      <c r="Y663" t="s">
        <v>10908</v>
      </c>
      <c r="AA663" t="s">
        <v>10974</v>
      </c>
      <c r="AB663" t="s">
        <v>10992</v>
      </c>
      <c r="AD663" t="s">
        <v>11096</v>
      </c>
      <c r="AF663" t="s">
        <v>11122</v>
      </c>
      <c r="AH663" t="s">
        <v>10974</v>
      </c>
      <c r="AJ663" t="s">
        <v>11104</v>
      </c>
      <c r="AK663" t="s">
        <v>7225</v>
      </c>
      <c r="AM663">
        <v>1304</v>
      </c>
      <c r="AO663">
        <v>976</v>
      </c>
      <c r="AQ663" t="s">
        <v>11158</v>
      </c>
      <c r="AS663" t="s">
        <v>11173</v>
      </c>
      <c r="AU663">
        <v>8</v>
      </c>
      <c r="AW663" t="s">
        <v>11187</v>
      </c>
      <c r="AZ663" t="s">
        <v>11221</v>
      </c>
      <c r="BE663" t="s">
        <v>12075</v>
      </c>
      <c r="BG663" t="s">
        <v>14495</v>
      </c>
      <c r="BM663" t="s">
        <v>15650</v>
      </c>
    </row>
    <row r="664" spans="1:65">
      <c r="A664" s="1">
        <f>HYPERLINK("https://lsnyc.legalserver.org/matter/dynamic-profile/view/1906235","19-1906235")</f>
        <v>0</v>
      </c>
      <c r="B664" t="s">
        <v>98</v>
      </c>
      <c r="C664" t="s">
        <v>246</v>
      </c>
      <c r="D664" t="s">
        <v>524</v>
      </c>
      <c r="F664" t="s">
        <v>1093</v>
      </c>
      <c r="G664" t="s">
        <v>3225</v>
      </c>
      <c r="H664" t="s">
        <v>5000</v>
      </c>
      <c r="I664" t="s">
        <v>6615</v>
      </c>
      <c r="J664" t="s">
        <v>7170</v>
      </c>
      <c r="K664">
        <v>10455</v>
      </c>
      <c r="N664" t="s">
        <v>7237</v>
      </c>
      <c r="O664" t="s">
        <v>7708</v>
      </c>
      <c r="P664">
        <v>1</v>
      </c>
      <c r="Q664">
        <v>3</v>
      </c>
      <c r="R664">
        <v>18.92</v>
      </c>
      <c r="U664">
        <v>4870.8</v>
      </c>
      <c r="W664">
        <v>0</v>
      </c>
      <c r="Y664" t="s">
        <v>200</v>
      </c>
      <c r="AA664" t="s">
        <v>10974</v>
      </c>
      <c r="AB664" t="s">
        <v>10988</v>
      </c>
      <c r="AD664" t="s">
        <v>11098</v>
      </c>
      <c r="AF664" t="s">
        <v>11122</v>
      </c>
      <c r="AH664" t="s">
        <v>10975</v>
      </c>
      <c r="AJ664" t="s">
        <v>11129</v>
      </c>
      <c r="AK664" t="s">
        <v>7225</v>
      </c>
      <c r="AL664" t="s">
        <v>11150</v>
      </c>
      <c r="AM664">
        <v>0</v>
      </c>
      <c r="AO664">
        <v>40</v>
      </c>
      <c r="AQ664" t="s">
        <v>11157</v>
      </c>
      <c r="AS664" t="s">
        <v>11176</v>
      </c>
      <c r="AU664">
        <v>1</v>
      </c>
      <c r="AW664" t="s">
        <v>11187</v>
      </c>
      <c r="BA664" t="s">
        <v>11222</v>
      </c>
      <c r="BE664" t="s">
        <v>12069</v>
      </c>
      <c r="BF664" t="s">
        <v>14364</v>
      </c>
      <c r="BM664" t="s">
        <v>15650</v>
      </c>
    </row>
    <row r="665" spans="1:65">
      <c r="A665" s="1">
        <f>HYPERLINK("https://lsnyc.legalserver.org/matter/dynamic-profile/view/1892403","19-1892403")</f>
        <v>0</v>
      </c>
      <c r="B665" t="s">
        <v>98</v>
      </c>
      <c r="C665" t="s">
        <v>246</v>
      </c>
      <c r="D665" t="s">
        <v>483</v>
      </c>
      <c r="F665" t="s">
        <v>1226</v>
      </c>
      <c r="G665" t="s">
        <v>1636</v>
      </c>
      <c r="H665" t="s">
        <v>4989</v>
      </c>
      <c r="I665" t="s">
        <v>6617</v>
      </c>
      <c r="J665" t="s">
        <v>7170</v>
      </c>
      <c r="K665">
        <v>10453</v>
      </c>
      <c r="N665" t="s">
        <v>7237</v>
      </c>
      <c r="O665" t="s">
        <v>7715</v>
      </c>
      <c r="P665">
        <v>2</v>
      </c>
      <c r="Q665">
        <v>0</v>
      </c>
      <c r="R665">
        <v>449.44</v>
      </c>
      <c r="U665">
        <v>76000</v>
      </c>
      <c r="W665">
        <v>0</v>
      </c>
      <c r="Y665" t="s">
        <v>93</v>
      </c>
      <c r="AA665" t="s">
        <v>10974</v>
      </c>
      <c r="AB665" t="s">
        <v>370</v>
      </c>
      <c r="AD665" t="s">
        <v>11098</v>
      </c>
      <c r="AF665" t="s">
        <v>11122</v>
      </c>
      <c r="AH665" t="s">
        <v>10974</v>
      </c>
      <c r="AJ665" t="s">
        <v>11134</v>
      </c>
      <c r="AK665" t="s">
        <v>7225</v>
      </c>
      <c r="AM665">
        <v>1219.13</v>
      </c>
      <c r="AO665">
        <v>170</v>
      </c>
      <c r="AQ665" t="s">
        <v>11157</v>
      </c>
      <c r="AS665" t="s">
        <v>11173</v>
      </c>
      <c r="AU665">
        <v>15</v>
      </c>
      <c r="AW665" t="s">
        <v>11189</v>
      </c>
      <c r="AZ665" t="s">
        <v>11221</v>
      </c>
      <c r="BD665" t="s">
        <v>11667</v>
      </c>
      <c r="BF665" t="s">
        <v>14364</v>
      </c>
      <c r="BM665" t="s">
        <v>15650</v>
      </c>
    </row>
    <row r="666" spans="1:65">
      <c r="A666" s="1">
        <f>HYPERLINK("https://lsnyc.legalserver.org/matter/dynamic-profile/view/1891975","19-1891975")</f>
        <v>0</v>
      </c>
      <c r="B666" t="s">
        <v>98</v>
      </c>
      <c r="C666" t="s">
        <v>246</v>
      </c>
      <c r="D666" t="s">
        <v>425</v>
      </c>
      <c r="F666" t="s">
        <v>1226</v>
      </c>
      <c r="G666" t="s">
        <v>1636</v>
      </c>
      <c r="H666" t="s">
        <v>4989</v>
      </c>
      <c r="I666" t="s">
        <v>6617</v>
      </c>
      <c r="J666" t="s">
        <v>7170</v>
      </c>
      <c r="K666">
        <v>10453</v>
      </c>
      <c r="N666" t="s">
        <v>7237</v>
      </c>
      <c r="O666" t="s">
        <v>7715</v>
      </c>
      <c r="P666">
        <v>2</v>
      </c>
      <c r="Q666">
        <v>0</v>
      </c>
      <c r="R666">
        <v>449.44</v>
      </c>
      <c r="U666">
        <v>76000</v>
      </c>
      <c r="W666">
        <v>0</v>
      </c>
      <c r="Y666" t="s">
        <v>93</v>
      </c>
      <c r="AA666" t="s">
        <v>10974</v>
      </c>
      <c r="AB666" t="s">
        <v>370</v>
      </c>
      <c r="AD666" t="s">
        <v>11101</v>
      </c>
      <c r="AF666" t="s">
        <v>11118</v>
      </c>
      <c r="AH666" t="s">
        <v>10974</v>
      </c>
      <c r="AJ666" t="s">
        <v>11134</v>
      </c>
      <c r="AK666" t="s">
        <v>7225</v>
      </c>
      <c r="AM666">
        <v>1219.13</v>
      </c>
      <c r="AO666">
        <v>170</v>
      </c>
      <c r="AQ666" t="s">
        <v>11157</v>
      </c>
      <c r="AS666" t="s">
        <v>11173</v>
      </c>
      <c r="AU666">
        <v>15</v>
      </c>
      <c r="AW666" t="s">
        <v>11189</v>
      </c>
      <c r="AZ666" t="s">
        <v>11221</v>
      </c>
      <c r="BD666" t="s">
        <v>11667</v>
      </c>
      <c r="BG666" t="s">
        <v>14486</v>
      </c>
      <c r="BM666" t="s">
        <v>15650</v>
      </c>
    </row>
    <row r="667" spans="1:65">
      <c r="A667" s="1">
        <f>HYPERLINK("https://lsnyc.legalserver.org/matter/dynamic-profile/view/1904456","19-1904456")</f>
        <v>0</v>
      </c>
      <c r="B667" t="s">
        <v>98</v>
      </c>
      <c r="C667" t="s">
        <v>246</v>
      </c>
      <c r="D667" t="s">
        <v>525</v>
      </c>
      <c r="F667" t="s">
        <v>1226</v>
      </c>
      <c r="G667" t="s">
        <v>1636</v>
      </c>
      <c r="H667" t="s">
        <v>4989</v>
      </c>
      <c r="I667" t="s">
        <v>6617</v>
      </c>
      <c r="J667" t="s">
        <v>7170</v>
      </c>
      <c r="K667">
        <v>10453</v>
      </c>
      <c r="N667" t="s">
        <v>7237</v>
      </c>
      <c r="O667" t="s">
        <v>7715</v>
      </c>
      <c r="P667">
        <v>2</v>
      </c>
      <c r="Q667">
        <v>0</v>
      </c>
      <c r="R667">
        <v>449.44</v>
      </c>
      <c r="U667">
        <v>76000</v>
      </c>
      <c r="W667">
        <v>17.1</v>
      </c>
      <c r="X667" t="s">
        <v>731</v>
      </c>
      <c r="Y667" t="s">
        <v>93</v>
      </c>
      <c r="AA667" t="s">
        <v>10974</v>
      </c>
      <c r="AB667" t="s">
        <v>10979</v>
      </c>
      <c r="AD667" t="s">
        <v>11087</v>
      </c>
      <c r="AF667" t="s">
        <v>11122</v>
      </c>
      <c r="AH667" t="s">
        <v>10975</v>
      </c>
      <c r="AJ667" t="s">
        <v>11134</v>
      </c>
      <c r="AK667" t="s">
        <v>7225</v>
      </c>
      <c r="AM667">
        <v>1219.13</v>
      </c>
      <c r="AO667">
        <v>170</v>
      </c>
      <c r="AQ667" t="s">
        <v>11157</v>
      </c>
      <c r="AR667" t="s">
        <v>11172</v>
      </c>
      <c r="AU667">
        <v>15</v>
      </c>
      <c r="AW667" t="s">
        <v>11189</v>
      </c>
      <c r="AY667" t="s">
        <v>11213</v>
      </c>
      <c r="BA667" t="s">
        <v>11222</v>
      </c>
      <c r="BD667" t="s">
        <v>11667</v>
      </c>
      <c r="BF667" t="s">
        <v>14364</v>
      </c>
      <c r="BG667" t="s">
        <v>14505</v>
      </c>
      <c r="BM667" t="s">
        <v>15650</v>
      </c>
    </row>
    <row r="668" spans="1:65">
      <c r="A668" s="1">
        <f>HYPERLINK("https://lsnyc.legalserver.org/matter/dynamic-profile/view/1892367","19-1892367")</f>
        <v>0</v>
      </c>
      <c r="B668" t="s">
        <v>98</v>
      </c>
      <c r="C668" t="s">
        <v>246</v>
      </c>
      <c r="D668" t="s">
        <v>483</v>
      </c>
      <c r="F668" t="s">
        <v>1458</v>
      </c>
      <c r="G668" t="s">
        <v>3231</v>
      </c>
      <c r="H668" t="s">
        <v>4995</v>
      </c>
      <c r="I668" t="s">
        <v>6618</v>
      </c>
      <c r="J668" t="s">
        <v>7170</v>
      </c>
      <c r="K668">
        <v>10453</v>
      </c>
      <c r="N668" t="s">
        <v>7237</v>
      </c>
      <c r="O668" t="s">
        <v>7716</v>
      </c>
      <c r="P668">
        <v>2</v>
      </c>
      <c r="Q668">
        <v>2</v>
      </c>
      <c r="R668">
        <v>100.97</v>
      </c>
      <c r="U668">
        <v>26000</v>
      </c>
      <c r="W668">
        <v>0</v>
      </c>
      <c r="Y668" t="s">
        <v>93</v>
      </c>
      <c r="AA668" t="s">
        <v>10974</v>
      </c>
      <c r="AB668" t="s">
        <v>896</v>
      </c>
      <c r="AD668" t="s">
        <v>11098</v>
      </c>
      <c r="AF668" t="s">
        <v>11122</v>
      </c>
      <c r="AH668" t="s">
        <v>10974</v>
      </c>
      <c r="AJ668" t="s">
        <v>11134</v>
      </c>
      <c r="AK668" t="s">
        <v>7225</v>
      </c>
      <c r="AM668">
        <v>1026.68</v>
      </c>
      <c r="AO668">
        <v>170</v>
      </c>
      <c r="AQ668" t="s">
        <v>11157</v>
      </c>
      <c r="AS668" t="s">
        <v>11173</v>
      </c>
      <c r="AU668">
        <v>9</v>
      </c>
      <c r="AW668" t="s">
        <v>11189</v>
      </c>
      <c r="BA668" t="s">
        <v>11222</v>
      </c>
      <c r="BD668" t="s">
        <v>11667</v>
      </c>
      <c r="BF668" t="s">
        <v>14364</v>
      </c>
      <c r="BM668" t="s">
        <v>15650</v>
      </c>
    </row>
    <row r="669" spans="1:65">
      <c r="A669" s="1">
        <f>HYPERLINK("https://lsnyc.legalserver.org/matter/dynamic-profile/view/1899834","19-1899834")</f>
        <v>0</v>
      </c>
      <c r="B669" t="s">
        <v>98</v>
      </c>
      <c r="C669" t="s">
        <v>246</v>
      </c>
      <c r="D669" t="s">
        <v>382</v>
      </c>
      <c r="F669" t="s">
        <v>1093</v>
      </c>
      <c r="G669" t="s">
        <v>3225</v>
      </c>
      <c r="H669" t="s">
        <v>5000</v>
      </c>
      <c r="I669" t="s">
        <v>6615</v>
      </c>
      <c r="J669" t="s">
        <v>7170</v>
      </c>
      <c r="K669">
        <v>10455</v>
      </c>
      <c r="N669" t="s">
        <v>7237</v>
      </c>
      <c r="O669" t="s">
        <v>7708</v>
      </c>
      <c r="P669">
        <v>1</v>
      </c>
      <c r="Q669">
        <v>3</v>
      </c>
      <c r="R669">
        <v>18.92</v>
      </c>
      <c r="U669">
        <v>4870.8</v>
      </c>
      <c r="W669">
        <v>0.25</v>
      </c>
      <c r="X669" t="s">
        <v>923</v>
      </c>
      <c r="Y669" t="s">
        <v>93</v>
      </c>
      <c r="AA669" t="s">
        <v>10974</v>
      </c>
      <c r="AD669" t="s">
        <v>11101</v>
      </c>
      <c r="AF669" t="s">
        <v>11118</v>
      </c>
      <c r="AH669" t="s">
        <v>10974</v>
      </c>
      <c r="AJ669" t="s">
        <v>11141</v>
      </c>
      <c r="AK669" t="s">
        <v>7225</v>
      </c>
      <c r="AM669">
        <v>1534</v>
      </c>
      <c r="AO669">
        <v>40</v>
      </c>
      <c r="AQ669" t="s">
        <v>11157</v>
      </c>
      <c r="AS669" t="s">
        <v>11180</v>
      </c>
      <c r="AU669">
        <v>1</v>
      </c>
      <c r="AW669" t="s">
        <v>11187</v>
      </c>
      <c r="AX669" t="s">
        <v>11212</v>
      </c>
      <c r="BA669" t="s">
        <v>11222</v>
      </c>
      <c r="BE669" t="s">
        <v>12069</v>
      </c>
      <c r="BG669" t="s">
        <v>14502</v>
      </c>
      <c r="BM669" t="s">
        <v>15650</v>
      </c>
    </row>
    <row r="670" spans="1:65">
      <c r="A670" s="1">
        <f>HYPERLINK("https://lsnyc.legalserver.org/matter/dynamic-profile/view/0822001","16-0822001")</f>
        <v>0</v>
      </c>
      <c r="B670" t="s">
        <v>98</v>
      </c>
      <c r="C670" t="s">
        <v>246</v>
      </c>
      <c r="D670" t="s">
        <v>481</v>
      </c>
      <c r="F670" t="s">
        <v>1381</v>
      </c>
      <c r="G670" t="s">
        <v>2877</v>
      </c>
      <c r="H670" t="s">
        <v>4972</v>
      </c>
      <c r="I670" t="s">
        <v>6451</v>
      </c>
      <c r="J670" t="s">
        <v>7170</v>
      </c>
      <c r="K670">
        <v>10452</v>
      </c>
      <c r="N670" t="s">
        <v>7237</v>
      </c>
      <c r="O670" t="s">
        <v>7601</v>
      </c>
      <c r="P670">
        <v>2</v>
      </c>
      <c r="Q670">
        <v>0</v>
      </c>
      <c r="R670">
        <v>198.33</v>
      </c>
      <c r="U670">
        <v>31772</v>
      </c>
      <c r="W670">
        <v>0</v>
      </c>
      <c r="Y670" t="s">
        <v>10899</v>
      </c>
      <c r="AA670" t="s">
        <v>10974</v>
      </c>
      <c r="AB670" t="s">
        <v>481</v>
      </c>
      <c r="AD670" t="s">
        <v>11096</v>
      </c>
      <c r="AF670" t="s">
        <v>11122</v>
      </c>
      <c r="AH670" t="s">
        <v>10974</v>
      </c>
      <c r="AJ670" t="s">
        <v>11141</v>
      </c>
      <c r="AK670" t="s">
        <v>7225</v>
      </c>
      <c r="AM670">
        <v>778.01</v>
      </c>
      <c r="AO670">
        <v>63</v>
      </c>
      <c r="AQ670" t="s">
        <v>11157</v>
      </c>
      <c r="AS670" t="s">
        <v>11173</v>
      </c>
      <c r="AU670">
        <v>12</v>
      </c>
      <c r="AW670" t="s">
        <v>11189</v>
      </c>
      <c r="AZ670" t="s">
        <v>11221</v>
      </c>
      <c r="BE670" t="s">
        <v>11975</v>
      </c>
      <c r="BF670" t="s">
        <v>14364</v>
      </c>
      <c r="BM670" t="s">
        <v>15650</v>
      </c>
    </row>
    <row r="671" spans="1:65">
      <c r="A671" s="1">
        <f>HYPERLINK("https://lsnyc.legalserver.org/matter/dynamic-profile/view/1891393","19-1891393")</f>
        <v>0</v>
      </c>
      <c r="B671" t="s">
        <v>98</v>
      </c>
      <c r="C671" t="s">
        <v>246</v>
      </c>
      <c r="D671" t="s">
        <v>480</v>
      </c>
      <c r="F671" t="s">
        <v>1454</v>
      </c>
      <c r="G671" t="s">
        <v>2877</v>
      </c>
      <c r="H671" t="s">
        <v>4989</v>
      </c>
      <c r="I671" t="s">
        <v>6542</v>
      </c>
      <c r="J671" t="s">
        <v>7170</v>
      </c>
      <c r="K671">
        <v>10453</v>
      </c>
      <c r="N671" t="s">
        <v>7237</v>
      </c>
      <c r="O671" t="s">
        <v>7711</v>
      </c>
      <c r="P671">
        <v>2</v>
      </c>
      <c r="Q671">
        <v>0</v>
      </c>
      <c r="R671">
        <v>99.34999999999999</v>
      </c>
      <c r="U671">
        <v>16800</v>
      </c>
      <c r="W671">
        <v>0</v>
      </c>
      <c r="Y671" t="s">
        <v>216</v>
      </c>
      <c r="AA671" t="s">
        <v>10974</v>
      </c>
      <c r="AB671" t="s">
        <v>370</v>
      </c>
      <c r="AD671" t="s">
        <v>11098</v>
      </c>
      <c r="AF671" t="s">
        <v>11122</v>
      </c>
      <c r="AH671" t="s">
        <v>10974</v>
      </c>
      <c r="AJ671" t="s">
        <v>11141</v>
      </c>
      <c r="AK671" t="s">
        <v>7225</v>
      </c>
      <c r="AM671">
        <v>900</v>
      </c>
      <c r="AO671">
        <v>170</v>
      </c>
      <c r="AQ671" t="s">
        <v>11157</v>
      </c>
      <c r="AS671" t="s">
        <v>11173</v>
      </c>
      <c r="AU671">
        <v>12</v>
      </c>
      <c r="AW671" t="s">
        <v>11187</v>
      </c>
      <c r="AZ671" t="s">
        <v>11221</v>
      </c>
      <c r="BE671" t="s">
        <v>12072</v>
      </c>
      <c r="BF671" t="s">
        <v>14364</v>
      </c>
      <c r="BM671" t="s">
        <v>15650</v>
      </c>
    </row>
    <row r="672" spans="1:65">
      <c r="A672" s="1">
        <f>HYPERLINK("https://lsnyc.legalserver.org/matter/dynamic-profile/view/0822111","16-0822111")</f>
        <v>0</v>
      </c>
      <c r="B672" t="s">
        <v>98</v>
      </c>
      <c r="C672" t="s">
        <v>246</v>
      </c>
      <c r="D672" t="s">
        <v>474</v>
      </c>
      <c r="F672" t="s">
        <v>1390</v>
      </c>
      <c r="G672" t="s">
        <v>3007</v>
      </c>
      <c r="H672" t="s">
        <v>4972</v>
      </c>
      <c r="I672" t="s">
        <v>6424</v>
      </c>
      <c r="J672" t="s">
        <v>7170</v>
      </c>
      <c r="K672">
        <v>10452</v>
      </c>
      <c r="N672" t="s">
        <v>7237</v>
      </c>
      <c r="O672" t="s">
        <v>7612</v>
      </c>
      <c r="P672">
        <v>2</v>
      </c>
      <c r="Q672">
        <v>0</v>
      </c>
      <c r="R672">
        <v>4.19</v>
      </c>
      <c r="U672">
        <v>671</v>
      </c>
      <c r="W672">
        <v>0</v>
      </c>
      <c r="Y672" t="s">
        <v>10899</v>
      </c>
      <c r="AA672" t="s">
        <v>10974</v>
      </c>
      <c r="AB672" t="s">
        <v>474</v>
      </c>
      <c r="AD672" t="s">
        <v>11096</v>
      </c>
      <c r="AF672" t="s">
        <v>11122</v>
      </c>
      <c r="AH672" t="s">
        <v>10974</v>
      </c>
      <c r="AJ672" t="s">
        <v>11141</v>
      </c>
      <c r="AK672" t="s">
        <v>7225</v>
      </c>
      <c r="AL672" t="s">
        <v>11150</v>
      </c>
      <c r="AM672">
        <v>0</v>
      </c>
      <c r="AO672">
        <v>63</v>
      </c>
      <c r="AQ672" t="s">
        <v>11157</v>
      </c>
      <c r="AS672" t="s">
        <v>11174</v>
      </c>
      <c r="AT672" t="s">
        <v>11184</v>
      </c>
      <c r="AU672">
        <v>0</v>
      </c>
      <c r="AW672" t="s">
        <v>11189</v>
      </c>
      <c r="AZ672" t="s">
        <v>11221</v>
      </c>
      <c r="BE672" t="s">
        <v>11984</v>
      </c>
      <c r="BF672" t="s">
        <v>14364</v>
      </c>
      <c r="BM672" t="s">
        <v>15650</v>
      </c>
    </row>
    <row r="673" spans="1:65">
      <c r="A673" s="1">
        <f>HYPERLINK("https://lsnyc.legalserver.org/matter/dynamic-profile/view/1904947","19-1904947")</f>
        <v>0</v>
      </c>
      <c r="B673" t="s">
        <v>99</v>
      </c>
      <c r="C673" t="s">
        <v>248</v>
      </c>
      <c r="D673" t="s">
        <v>328</v>
      </c>
      <c r="F673" t="s">
        <v>1359</v>
      </c>
      <c r="G673" t="s">
        <v>3232</v>
      </c>
      <c r="H673" t="s">
        <v>4801</v>
      </c>
      <c r="I673" t="s">
        <v>6407</v>
      </c>
      <c r="J673" t="s">
        <v>7174</v>
      </c>
      <c r="K673">
        <v>11221</v>
      </c>
      <c r="N673" t="s">
        <v>7245</v>
      </c>
      <c r="O673" t="s">
        <v>7717</v>
      </c>
      <c r="P673">
        <v>1</v>
      </c>
      <c r="Q673">
        <v>1</v>
      </c>
      <c r="R673">
        <v>266.11</v>
      </c>
      <c r="U673">
        <v>45000</v>
      </c>
      <c r="V673" t="s">
        <v>10308</v>
      </c>
      <c r="W673">
        <v>0</v>
      </c>
      <c r="Y673" t="s">
        <v>101</v>
      </c>
      <c r="AA673" t="s">
        <v>10974</v>
      </c>
      <c r="AB673" t="s">
        <v>483</v>
      </c>
      <c r="AD673" t="s">
        <v>11100</v>
      </c>
      <c r="AF673" t="s">
        <v>10384</v>
      </c>
      <c r="AH673" t="s">
        <v>10974</v>
      </c>
      <c r="AJ673" t="s">
        <v>11104</v>
      </c>
      <c r="AK673" t="s">
        <v>7225</v>
      </c>
      <c r="AM673">
        <v>863.91</v>
      </c>
      <c r="AO673">
        <v>16</v>
      </c>
      <c r="AQ673" t="s">
        <v>11157</v>
      </c>
      <c r="AS673" t="s">
        <v>11173</v>
      </c>
      <c r="AU673">
        <v>25</v>
      </c>
      <c r="AW673" t="s">
        <v>11187</v>
      </c>
      <c r="AY673" t="s">
        <v>11213</v>
      </c>
      <c r="BA673" t="s">
        <v>11222</v>
      </c>
      <c r="BE673" t="s">
        <v>12076</v>
      </c>
      <c r="BF673" t="s">
        <v>14364</v>
      </c>
      <c r="BG673" t="s">
        <v>11173</v>
      </c>
      <c r="BM673" t="s">
        <v>15650</v>
      </c>
    </row>
    <row r="674" spans="1:65">
      <c r="A674" s="1">
        <f>HYPERLINK("https://lsnyc.legalserver.org/matter/dynamic-profile/view/0800674","16-0800674")</f>
        <v>0</v>
      </c>
      <c r="B674" t="s">
        <v>99</v>
      </c>
      <c r="C674" t="s">
        <v>248</v>
      </c>
      <c r="D674" t="s">
        <v>526</v>
      </c>
      <c r="F674" t="s">
        <v>1459</v>
      </c>
      <c r="G674" t="s">
        <v>3233</v>
      </c>
      <c r="H674" t="s">
        <v>5008</v>
      </c>
      <c r="J674" t="s">
        <v>7174</v>
      </c>
      <c r="K674">
        <v>11212</v>
      </c>
      <c r="N674" t="s">
        <v>7237</v>
      </c>
      <c r="O674" t="s">
        <v>7718</v>
      </c>
      <c r="P674">
        <v>2</v>
      </c>
      <c r="Q674">
        <v>2</v>
      </c>
      <c r="R674">
        <v>58.91</v>
      </c>
      <c r="U674">
        <v>14316</v>
      </c>
      <c r="W674">
        <v>27.8</v>
      </c>
      <c r="X674" t="s">
        <v>449</v>
      </c>
      <c r="Y674" t="s">
        <v>10909</v>
      </c>
      <c r="AA674" t="s">
        <v>10974</v>
      </c>
      <c r="AB674" t="s">
        <v>526</v>
      </c>
      <c r="AD674" t="s">
        <v>11083</v>
      </c>
      <c r="AF674" t="s">
        <v>11118</v>
      </c>
      <c r="AH674" t="s">
        <v>10974</v>
      </c>
      <c r="AJ674" t="s">
        <v>11145</v>
      </c>
      <c r="AK674" t="s">
        <v>7225</v>
      </c>
      <c r="AL674" t="s">
        <v>11150</v>
      </c>
      <c r="AM674">
        <v>0</v>
      </c>
      <c r="AO674">
        <v>12</v>
      </c>
      <c r="AP674" t="s">
        <v>11155</v>
      </c>
      <c r="AR674" t="s">
        <v>11172</v>
      </c>
      <c r="AU674">
        <v>2</v>
      </c>
      <c r="AW674" t="s">
        <v>11187</v>
      </c>
      <c r="AZ674" t="s">
        <v>11221</v>
      </c>
      <c r="BE674" t="s">
        <v>12077</v>
      </c>
      <c r="BG674" t="s">
        <v>14506</v>
      </c>
      <c r="BM674" t="s">
        <v>15650</v>
      </c>
    </row>
    <row r="675" spans="1:65">
      <c r="A675" s="1">
        <f>HYPERLINK("https://lsnyc.legalserver.org/matter/dynamic-profile/view/1904941","19-1904941")</f>
        <v>0</v>
      </c>
      <c r="B675" t="s">
        <v>99</v>
      </c>
      <c r="C675" t="s">
        <v>248</v>
      </c>
      <c r="D675" t="s">
        <v>328</v>
      </c>
      <c r="F675" t="s">
        <v>1359</v>
      </c>
      <c r="G675" t="s">
        <v>3232</v>
      </c>
      <c r="H675" t="s">
        <v>4801</v>
      </c>
      <c r="I675" t="s">
        <v>6407</v>
      </c>
      <c r="J675" t="s">
        <v>7174</v>
      </c>
      <c r="K675">
        <v>11221</v>
      </c>
      <c r="N675" t="s">
        <v>7242</v>
      </c>
      <c r="O675" t="s">
        <v>7717</v>
      </c>
      <c r="P675">
        <v>1</v>
      </c>
      <c r="Q675">
        <v>1</v>
      </c>
      <c r="R675">
        <v>266.11</v>
      </c>
      <c r="U675">
        <v>45000</v>
      </c>
      <c r="W675">
        <v>7.5</v>
      </c>
      <c r="X675" t="s">
        <v>293</v>
      </c>
      <c r="Y675" t="s">
        <v>101</v>
      </c>
      <c r="AA675" t="s">
        <v>10974</v>
      </c>
      <c r="AB675" t="s">
        <v>280</v>
      </c>
      <c r="AD675" t="s">
        <v>11097</v>
      </c>
      <c r="AF675" t="s">
        <v>11123</v>
      </c>
      <c r="AH675" t="s">
        <v>10974</v>
      </c>
      <c r="AJ675" t="s">
        <v>11104</v>
      </c>
      <c r="AK675" t="s">
        <v>7225</v>
      </c>
      <c r="AM675">
        <v>863.91</v>
      </c>
      <c r="AO675">
        <v>16</v>
      </c>
      <c r="AQ675" t="s">
        <v>11157</v>
      </c>
      <c r="AS675" t="s">
        <v>11173</v>
      </c>
      <c r="AU675">
        <v>25</v>
      </c>
      <c r="AW675" t="s">
        <v>11187</v>
      </c>
      <c r="AY675" t="s">
        <v>11213</v>
      </c>
      <c r="BA675" t="s">
        <v>11222</v>
      </c>
      <c r="BE675" t="s">
        <v>12076</v>
      </c>
      <c r="BF675" t="s">
        <v>14364</v>
      </c>
      <c r="BG675" t="s">
        <v>11173</v>
      </c>
      <c r="BM675" t="s">
        <v>15650</v>
      </c>
    </row>
    <row r="676" spans="1:65">
      <c r="A676" s="1">
        <f>HYPERLINK("https://lsnyc.legalserver.org/matter/dynamic-profile/view/1908106","19-1908106")</f>
        <v>0</v>
      </c>
      <c r="B676" t="s">
        <v>99</v>
      </c>
      <c r="C676" t="s">
        <v>248</v>
      </c>
      <c r="D676" t="s">
        <v>304</v>
      </c>
      <c r="F676" t="s">
        <v>1460</v>
      </c>
      <c r="G676" t="s">
        <v>3234</v>
      </c>
      <c r="H676" t="s">
        <v>5009</v>
      </c>
      <c r="I676" t="s">
        <v>6408</v>
      </c>
      <c r="J676" t="s">
        <v>7174</v>
      </c>
      <c r="K676">
        <v>11213</v>
      </c>
      <c r="N676" t="s">
        <v>7237</v>
      </c>
      <c r="O676" t="s">
        <v>7719</v>
      </c>
      <c r="P676">
        <v>3</v>
      </c>
      <c r="Q676">
        <v>1</v>
      </c>
      <c r="R676">
        <v>24.23</v>
      </c>
      <c r="U676">
        <v>6240</v>
      </c>
      <c r="W676">
        <v>15.75</v>
      </c>
      <c r="X676" t="s">
        <v>925</v>
      </c>
      <c r="Y676" t="s">
        <v>243</v>
      </c>
      <c r="AA676" t="s">
        <v>10974</v>
      </c>
      <c r="AB676" t="s">
        <v>304</v>
      </c>
      <c r="AD676" t="s">
        <v>11098</v>
      </c>
      <c r="AF676" t="s">
        <v>11122</v>
      </c>
      <c r="AH676" t="s">
        <v>10975</v>
      </c>
      <c r="AJ676" t="s">
        <v>11130</v>
      </c>
      <c r="AK676" t="s">
        <v>7225</v>
      </c>
      <c r="AL676" t="s">
        <v>11150</v>
      </c>
      <c r="AM676">
        <v>0</v>
      </c>
      <c r="AO676">
        <v>35</v>
      </c>
      <c r="AQ676" t="s">
        <v>11157</v>
      </c>
      <c r="AR676" t="s">
        <v>11172</v>
      </c>
      <c r="AT676" t="s">
        <v>11184</v>
      </c>
      <c r="AU676">
        <v>0</v>
      </c>
      <c r="AW676" t="s">
        <v>11187</v>
      </c>
      <c r="AY676" t="s">
        <v>11213</v>
      </c>
      <c r="BA676" t="s">
        <v>11222</v>
      </c>
      <c r="BD676" t="s">
        <v>11667</v>
      </c>
      <c r="BG676" t="s">
        <v>14507</v>
      </c>
      <c r="BM676" t="s">
        <v>15650</v>
      </c>
    </row>
    <row r="677" spans="1:65">
      <c r="A677" s="1">
        <f>HYPERLINK("https://lsnyc.legalserver.org/matter/dynamic-profile/view/1876516","18-1876516")</f>
        <v>0</v>
      </c>
      <c r="B677" t="s">
        <v>99</v>
      </c>
      <c r="C677" t="s">
        <v>248</v>
      </c>
      <c r="D677" t="s">
        <v>527</v>
      </c>
      <c r="F677" t="s">
        <v>1461</v>
      </c>
      <c r="G677" t="s">
        <v>3235</v>
      </c>
      <c r="H677" t="s">
        <v>5010</v>
      </c>
      <c r="I677">
        <v>27</v>
      </c>
      <c r="J677" t="s">
        <v>7174</v>
      </c>
      <c r="K677">
        <v>11213</v>
      </c>
      <c r="M677" t="s">
        <v>7225</v>
      </c>
      <c r="N677" t="s">
        <v>7237</v>
      </c>
      <c r="O677" t="s">
        <v>7720</v>
      </c>
      <c r="P677">
        <v>2</v>
      </c>
      <c r="Q677">
        <v>0</v>
      </c>
      <c r="R677">
        <v>369.38</v>
      </c>
      <c r="U677">
        <v>60800</v>
      </c>
      <c r="W677">
        <v>3.55</v>
      </c>
      <c r="X677" t="s">
        <v>634</v>
      </c>
      <c r="Y677" t="s">
        <v>225</v>
      </c>
      <c r="AA677" t="s">
        <v>10974</v>
      </c>
      <c r="AB677" t="s">
        <v>291</v>
      </c>
      <c r="AD677" t="s">
        <v>11101</v>
      </c>
      <c r="AF677" t="s">
        <v>11118</v>
      </c>
      <c r="AH677" t="s">
        <v>10974</v>
      </c>
      <c r="AJ677" t="s">
        <v>11141</v>
      </c>
      <c r="AK677" t="s">
        <v>7225</v>
      </c>
      <c r="AM677">
        <v>861.2</v>
      </c>
      <c r="AO677">
        <v>31</v>
      </c>
      <c r="AQ677" t="s">
        <v>11157</v>
      </c>
      <c r="AS677" t="s">
        <v>11173</v>
      </c>
      <c r="AU677">
        <v>34</v>
      </c>
      <c r="AW677" t="s">
        <v>11187</v>
      </c>
      <c r="AZ677" t="s">
        <v>11221</v>
      </c>
      <c r="BE677" t="s">
        <v>12078</v>
      </c>
      <c r="BG677" t="s">
        <v>14508</v>
      </c>
      <c r="BM677" t="s">
        <v>15650</v>
      </c>
    </row>
    <row r="678" spans="1:65">
      <c r="A678" s="1">
        <f>HYPERLINK("https://lsnyc.legalserver.org/matter/dynamic-profile/view/1915616","19-1915616")</f>
        <v>0</v>
      </c>
      <c r="B678" t="s">
        <v>99</v>
      </c>
      <c r="C678" t="s">
        <v>248</v>
      </c>
      <c r="D678" t="s">
        <v>528</v>
      </c>
      <c r="F678" t="s">
        <v>1462</v>
      </c>
      <c r="G678" t="s">
        <v>3047</v>
      </c>
      <c r="H678" t="s">
        <v>5011</v>
      </c>
      <c r="I678" t="s">
        <v>6440</v>
      </c>
      <c r="J678" t="s">
        <v>7174</v>
      </c>
      <c r="K678">
        <v>11212</v>
      </c>
      <c r="N678" t="s">
        <v>7237</v>
      </c>
      <c r="O678" t="s">
        <v>7721</v>
      </c>
      <c r="P678">
        <v>2</v>
      </c>
      <c r="Q678">
        <v>0</v>
      </c>
      <c r="R678">
        <v>118.27</v>
      </c>
      <c r="U678">
        <v>20000</v>
      </c>
      <c r="W678">
        <v>0</v>
      </c>
      <c r="Y678" t="s">
        <v>101</v>
      </c>
      <c r="AA678" t="s">
        <v>10974</v>
      </c>
      <c r="AB678" t="s">
        <v>335</v>
      </c>
      <c r="AD678" t="s">
        <v>11098</v>
      </c>
      <c r="AF678" t="s">
        <v>10384</v>
      </c>
      <c r="AH678" t="s">
        <v>10975</v>
      </c>
      <c r="AJ678" t="s">
        <v>11104</v>
      </c>
      <c r="AK678" t="s">
        <v>7225</v>
      </c>
      <c r="AM678">
        <v>1016</v>
      </c>
      <c r="AO678">
        <v>71</v>
      </c>
      <c r="AQ678" t="s">
        <v>11157</v>
      </c>
      <c r="AS678" t="s">
        <v>11173</v>
      </c>
      <c r="AU678">
        <v>20</v>
      </c>
      <c r="AW678" t="s">
        <v>11187</v>
      </c>
      <c r="BA678" t="s">
        <v>11222</v>
      </c>
      <c r="BC678" t="s">
        <v>11173</v>
      </c>
      <c r="BD678" t="s">
        <v>11667</v>
      </c>
      <c r="BF678" t="s">
        <v>14364</v>
      </c>
      <c r="BG678" t="s">
        <v>11086</v>
      </c>
      <c r="BM678" t="s">
        <v>15650</v>
      </c>
    </row>
    <row r="679" spans="1:65">
      <c r="A679" s="1">
        <f>HYPERLINK("https://lsnyc.legalserver.org/matter/dynamic-profile/view/1903926","19-1903926")</f>
        <v>0</v>
      </c>
      <c r="B679" t="s">
        <v>99</v>
      </c>
      <c r="C679" t="s">
        <v>248</v>
      </c>
      <c r="D679" t="s">
        <v>260</v>
      </c>
      <c r="F679" t="s">
        <v>1423</v>
      </c>
      <c r="G679" t="s">
        <v>3236</v>
      </c>
      <c r="H679" t="s">
        <v>5012</v>
      </c>
      <c r="I679" t="s">
        <v>6417</v>
      </c>
      <c r="J679" t="s">
        <v>7174</v>
      </c>
      <c r="K679">
        <v>11221</v>
      </c>
      <c r="N679" t="s">
        <v>7242</v>
      </c>
      <c r="O679" t="s">
        <v>7722</v>
      </c>
      <c r="P679">
        <v>3</v>
      </c>
      <c r="Q679">
        <v>2</v>
      </c>
      <c r="R679">
        <v>229.11</v>
      </c>
      <c r="U679">
        <v>69122</v>
      </c>
      <c r="W679">
        <v>26</v>
      </c>
      <c r="X679" t="s">
        <v>293</v>
      </c>
      <c r="Y679" t="s">
        <v>101</v>
      </c>
      <c r="AA679" t="s">
        <v>10974</v>
      </c>
      <c r="AB679" t="s">
        <v>10997</v>
      </c>
      <c r="AD679" t="s">
        <v>11097</v>
      </c>
      <c r="AF679" t="s">
        <v>11123</v>
      </c>
      <c r="AH679" t="s">
        <v>10974</v>
      </c>
      <c r="AJ679" t="s">
        <v>11104</v>
      </c>
      <c r="AK679" t="s">
        <v>7225</v>
      </c>
      <c r="AM679">
        <v>757</v>
      </c>
      <c r="AO679">
        <v>16</v>
      </c>
      <c r="AQ679" t="s">
        <v>11157</v>
      </c>
      <c r="AR679" t="s">
        <v>11172</v>
      </c>
      <c r="AU679">
        <v>27</v>
      </c>
      <c r="AW679" t="s">
        <v>11187</v>
      </c>
      <c r="AY679" t="s">
        <v>11213</v>
      </c>
      <c r="BA679" t="s">
        <v>11222</v>
      </c>
      <c r="BE679" t="s">
        <v>12079</v>
      </c>
      <c r="BF679" t="s">
        <v>14364</v>
      </c>
      <c r="BG679" t="s">
        <v>11173</v>
      </c>
      <c r="BM679" t="s">
        <v>15650</v>
      </c>
    </row>
    <row r="680" spans="1:65">
      <c r="A680" s="1">
        <f>HYPERLINK("https://lsnyc.legalserver.org/matter/dynamic-profile/view/1898171","19-1898171")</f>
        <v>0</v>
      </c>
      <c r="B680" t="s">
        <v>99</v>
      </c>
      <c r="C680" t="s">
        <v>248</v>
      </c>
      <c r="D680" t="s">
        <v>529</v>
      </c>
      <c r="F680" t="s">
        <v>1460</v>
      </c>
      <c r="G680" t="s">
        <v>3234</v>
      </c>
      <c r="H680" t="s">
        <v>5009</v>
      </c>
      <c r="I680" t="s">
        <v>6408</v>
      </c>
      <c r="J680" t="s">
        <v>7174</v>
      </c>
      <c r="K680">
        <v>11213</v>
      </c>
      <c r="N680" t="s">
        <v>7237</v>
      </c>
      <c r="O680" t="s">
        <v>7719</v>
      </c>
      <c r="P680">
        <v>3</v>
      </c>
      <c r="Q680">
        <v>1</v>
      </c>
      <c r="R680">
        <v>75.5</v>
      </c>
      <c r="U680">
        <v>19440</v>
      </c>
      <c r="W680">
        <v>19.35</v>
      </c>
      <c r="X680" t="s">
        <v>306</v>
      </c>
      <c r="Y680" t="s">
        <v>225</v>
      </c>
      <c r="AA680" t="s">
        <v>10974</v>
      </c>
      <c r="AB680" t="s">
        <v>343</v>
      </c>
      <c r="AD680" t="s">
        <v>11098</v>
      </c>
      <c r="AF680" t="s">
        <v>11122</v>
      </c>
      <c r="AH680" t="s">
        <v>10974</v>
      </c>
      <c r="AI680" t="s">
        <v>11126</v>
      </c>
      <c r="AK680" t="s">
        <v>7225</v>
      </c>
      <c r="AL680" t="s">
        <v>11150</v>
      </c>
      <c r="AM680">
        <v>0</v>
      </c>
      <c r="AO680">
        <v>35</v>
      </c>
      <c r="AQ680" t="s">
        <v>11157</v>
      </c>
      <c r="AR680" t="s">
        <v>11172</v>
      </c>
      <c r="AT680" t="s">
        <v>11184</v>
      </c>
      <c r="AU680">
        <v>0</v>
      </c>
      <c r="AW680" t="s">
        <v>11187</v>
      </c>
      <c r="AY680" t="s">
        <v>11213</v>
      </c>
      <c r="BA680" t="s">
        <v>11222</v>
      </c>
      <c r="BD680" t="s">
        <v>11667</v>
      </c>
      <c r="BG680" t="s">
        <v>14509</v>
      </c>
      <c r="BM680" t="s">
        <v>15650</v>
      </c>
    </row>
    <row r="681" spans="1:65">
      <c r="A681" s="1">
        <f>HYPERLINK("https://lsnyc.legalserver.org/matter/dynamic-profile/view/1903935","19-1903935")</f>
        <v>0</v>
      </c>
      <c r="B681" t="s">
        <v>99</v>
      </c>
      <c r="C681" t="s">
        <v>248</v>
      </c>
      <c r="D681" t="s">
        <v>260</v>
      </c>
      <c r="F681" t="s">
        <v>1423</v>
      </c>
      <c r="G681" t="s">
        <v>3236</v>
      </c>
      <c r="H681" t="s">
        <v>5012</v>
      </c>
      <c r="I681" t="s">
        <v>6417</v>
      </c>
      <c r="J681" t="s">
        <v>7174</v>
      </c>
      <c r="K681">
        <v>11221</v>
      </c>
      <c r="N681" t="s">
        <v>7245</v>
      </c>
      <c r="O681" t="s">
        <v>7722</v>
      </c>
      <c r="P681">
        <v>3</v>
      </c>
      <c r="Q681">
        <v>2</v>
      </c>
      <c r="R681">
        <v>229.11</v>
      </c>
      <c r="U681">
        <v>69122</v>
      </c>
      <c r="V681" t="s">
        <v>10309</v>
      </c>
      <c r="W681">
        <v>2</v>
      </c>
      <c r="X681" t="s">
        <v>568</v>
      </c>
      <c r="Y681" t="s">
        <v>101</v>
      </c>
      <c r="AA681" t="s">
        <v>10974</v>
      </c>
      <c r="AB681" t="s">
        <v>483</v>
      </c>
      <c r="AD681" t="s">
        <v>11100</v>
      </c>
      <c r="AF681" t="s">
        <v>10384</v>
      </c>
      <c r="AH681" t="s">
        <v>10974</v>
      </c>
      <c r="AJ681" t="s">
        <v>11104</v>
      </c>
      <c r="AK681" t="s">
        <v>7225</v>
      </c>
      <c r="AM681">
        <v>757</v>
      </c>
      <c r="AO681">
        <v>16</v>
      </c>
      <c r="AQ681" t="s">
        <v>11157</v>
      </c>
      <c r="AR681" t="s">
        <v>11172</v>
      </c>
      <c r="AU681">
        <v>27</v>
      </c>
      <c r="AW681" t="s">
        <v>11187</v>
      </c>
      <c r="AY681" t="s">
        <v>11213</v>
      </c>
      <c r="BA681" t="s">
        <v>11222</v>
      </c>
      <c r="BE681" t="s">
        <v>12079</v>
      </c>
      <c r="BF681" t="s">
        <v>14364</v>
      </c>
      <c r="BG681" t="s">
        <v>11173</v>
      </c>
      <c r="BM681" t="s">
        <v>15650</v>
      </c>
    </row>
    <row r="682" spans="1:65">
      <c r="A682" s="1">
        <f>HYPERLINK("https://lsnyc.legalserver.org/matter/dynamic-profile/view/0820310","16-0820310")</f>
        <v>0</v>
      </c>
      <c r="B682" t="s">
        <v>99</v>
      </c>
      <c r="C682" t="s">
        <v>248</v>
      </c>
      <c r="D682" t="s">
        <v>530</v>
      </c>
      <c r="F682" t="s">
        <v>1463</v>
      </c>
      <c r="G682" t="s">
        <v>3237</v>
      </c>
      <c r="H682" t="s">
        <v>5013</v>
      </c>
      <c r="I682" t="s">
        <v>6433</v>
      </c>
      <c r="J682" t="s">
        <v>7174</v>
      </c>
      <c r="K682">
        <v>11212</v>
      </c>
      <c r="N682" t="s">
        <v>7237</v>
      </c>
      <c r="O682" t="s">
        <v>7723</v>
      </c>
      <c r="P682">
        <v>1</v>
      </c>
      <c r="Q682">
        <v>1</v>
      </c>
      <c r="R682">
        <v>0</v>
      </c>
      <c r="U682">
        <v>0</v>
      </c>
      <c r="W682">
        <v>29.7</v>
      </c>
      <c r="X682" t="s">
        <v>265</v>
      </c>
      <c r="Y682" t="s">
        <v>225</v>
      </c>
      <c r="AA682" t="s">
        <v>10974</v>
      </c>
      <c r="AB682" t="s">
        <v>530</v>
      </c>
      <c r="AD682" t="s">
        <v>11085</v>
      </c>
      <c r="AF682" t="s">
        <v>11118</v>
      </c>
      <c r="AG682" t="s">
        <v>11124</v>
      </c>
      <c r="AJ682" t="s">
        <v>11145</v>
      </c>
      <c r="AK682" t="s">
        <v>7225</v>
      </c>
      <c r="AL682" t="s">
        <v>11150</v>
      </c>
      <c r="AM682">
        <v>0</v>
      </c>
      <c r="AO682">
        <v>21</v>
      </c>
      <c r="AQ682" t="s">
        <v>11157</v>
      </c>
      <c r="AR682" t="s">
        <v>11172</v>
      </c>
      <c r="AU682">
        <v>1</v>
      </c>
      <c r="AW682" t="s">
        <v>11187</v>
      </c>
      <c r="AZ682" t="s">
        <v>11221</v>
      </c>
      <c r="BE682" t="s">
        <v>12080</v>
      </c>
      <c r="BF682" t="s">
        <v>14364</v>
      </c>
      <c r="BG682" t="s">
        <v>14510</v>
      </c>
      <c r="BM682" t="s">
        <v>15650</v>
      </c>
    </row>
    <row r="683" spans="1:65">
      <c r="A683" s="1">
        <f>HYPERLINK("https://lsnyc.legalserver.org/matter/dynamic-profile/view/1880271","18-1880271")</f>
        <v>0</v>
      </c>
      <c r="B683" t="s">
        <v>99</v>
      </c>
      <c r="C683" t="s">
        <v>248</v>
      </c>
      <c r="D683" t="s">
        <v>531</v>
      </c>
      <c r="F683" t="s">
        <v>1464</v>
      </c>
      <c r="G683" t="s">
        <v>3238</v>
      </c>
      <c r="H683" t="s">
        <v>5014</v>
      </c>
      <c r="I683" t="s">
        <v>6619</v>
      </c>
      <c r="J683" t="s">
        <v>7174</v>
      </c>
      <c r="K683">
        <v>11213</v>
      </c>
      <c r="N683" t="s">
        <v>7237</v>
      </c>
      <c r="O683" t="s">
        <v>7724</v>
      </c>
      <c r="P683">
        <v>3</v>
      </c>
      <c r="Q683">
        <v>0</v>
      </c>
      <c r="R683">
        <v>393.85</v>
      </c>
      <c r="U683">
        <v>81843</v>
      </c>
      <c r="V683" t="s">
        <v>10310</v>
      </c>
      <c r="W683">
        <v>0.1</v>
      </c>
      <c r="X683" t="s">
        <v>342</v>
      </c>
      <c r="Y683" t="s">
        <v>225</v>
      </c>
      <c r="AA683" t="s">
        <v>10974</v>
      </c>
      <c r="AB683" t="s">
        <v>10998</v>
      </c>
      <c r="AD683" t="s">
        <v>11101</v>
      </c>
      <c r="AF683" t="s">
        <v>11118</v>
      </c>
      <c r="AH683" t="s">
        <v>10974</v>
      </c>
      <c r="AJ683" t="s">
        <v>11141</v>
      </c>
      <c r="AK683" t="s">
        <v>7225</v>
      </c>
      <c r="AM683">
        <v>1205</v>
      </c>
      <c r="AO683">
        <v>34</v>
      </c>
      <c r="AQ683" t="s">
        <v>11157</v>
      </c>
      <c r="AS683" t="s">
        <v>11173</v>
      </c>
      <c r="AU683">
        <v>34</v>
      </c>
      <c r="AW683" t="s">
        <v>11187</v>
      </c>
      <c r="AY683" t="s">
        <v>11213</v>
      </c>
      <c r="AZ683" t="s">
        <v>11221</v>
      </c>
      <c r="BC683" t="s">
        <v>11173</v>
      </c>
      <c r="BD683" t="s">
        <v>11667</v>
      </c>
      <c r="BG683" t="s">
        <v>14508</v>
      </c>
      <c r="BM683" t="s">
        <v>15650</v>
      </c>
    </row>
    <row r="684" spans="1:65">
      <c r="A684" s="1">
        <f>HYPERLINK("https://lsnyc.legalserver.org/matter/dynamic-profile/view/1910889","19-1910889")</f>
        <v>0</v>
      </c>
      <c r="B684" t="s">
        <v>99</v>
      </c>
      <c r="C684" t="s">
        <v>248</v>
      </c>
      <c r="D684" t="s">
        <v>384</v>
      </c>
      <c r="F684" t="s">
        <v>1465</v>
      </c>
      <c r="G684" t="s">
        <v>1137</v>
      </c>
      <c r="H684" t="s">
        <v>5015</v>
      </c>
      <c r="J684" t="s">
        <v>7174</v>
      </c>
      <c r="K684">
        <v>11212</v>
      </c>
      <c r="N684" t="s">
        <v>7237</v>
      </c>
      <c r="O684" t="s">
        <v>7725</v>
      </c>
      <c r="P684">
        <v>2</v>
      </c>
      <c r="Q684">
        <v>0</v>
      </c>
      <c r="R684">
        <v>157.89</v>
      </c>
      <c r="U684">
        <v>26700</v>
      </c>
      <c r="W684">
        <v>8</v>
      </c>
      <c r="X684" t="s">
        <v>312</v>
      </c>
      <c r="Y684" t="s">
        <v>225</v>
      </c>
      <c r="AA684" t="s">
        <v>10974</v>
      </c>
      <c r="AB684" t="s">
        <v>728</v>
      </c>
      <c r="AD684" t="s">
        <v>11088</v>
      </c>
      <c r="AF684" t="s">
        <v>10384</v>
      </c>
      <c r="AH684" t="s">
        <v>10975</v>
      </c>
      <c r="AJ684" t="s">
        <v>11104</v>
      </c>
      <c r="AK684" t="s">
        <v>7225</v>
      </c>
      <c r="AM684">
        <v>911.8</v>
      </c>
      <c r="AO684">
        <v>71</v>
      </c>
      <c r="AQ684" t="s">
        <v>11157</v>
      </c>
      <c r="AS684" t="s">
        <v>11173</v>
      </c>
      <c r="AU684">
        <v>30</v>
      </c>
      <c r="AW684" t="s">
        <v>11187</v>
      </c>
      <c r="AY684" t="s">
        <v>11213</v>
      </c>
      <c r="BA684" t="s">
        <v>11222</v>
      </c>
      <c r="BC684" t="s">
        <v>11228</v>
      </c>
      <c r="BE684" t="s">
        <v>12081</v>
      </c>
      <c r="BF684" t="s">
        <v>14364</v>
      </c>
      <c r="BG684" t="s">
        <v>14411</v>
      </c>
      <c r="BM684" t="s">
        <v>15650</v>
      </c>
    </row>
    <row r="685" spans="1:65">
      <c r="A685" s="1">
        <f>HYPERLINK("https://lsnyc.legalserver.org/matter/dynamic-profile/view/1915646","19-1915646")</f>
        <v>0</v>
      </c>
      <c r="B685" t="s">
        <v>99</v>
      </c>
      <c r="C685" t="s">
        <v>248</v>
      </c>
      <c r="D685" t="s">
        <v>528</v>
      </c>
      <c r="F685" t="s">
        <v>1465</v>
      </c>
      <c r="G685" t="s">
        <v>1137</v>
      </c>
      <c r="H685" t="s">
        <v>5015</v>
      </c>
      <c r="J685" t="s">
        <v>7174</v>
      </c>
      <c r="K685">
        <v>11212</v>
      </c>
      <c r="N685" t="s">
        <v>7237</v>
      </c>
      <c r="O685" t="s">
        <v>7725</v>
      </c>
      <c r="P685">
        <v>2</v>
      </c>
      <c r="Q685">
        <v>0</v>
      </c>
      <c r="R685">
        <v>157.84</v>
      </c>
      <c r="U685">
        <v>26690</v>
      </c>
      <c r="W685">
        <v>0</v>
      </c>
      <c r="Y685" t="s">
        <v>101</v>
      </c>
      <c r="AA685" t="s">
        <v>10974</v>
      </c>
      <c r="AB685" t="s">
        <v>728</v>
      </c>
      <c r="AD685" t="s">
        <v>11098</v>
      </c>
      <c r="AF685" t="s">
        <v>10384</v>
      </c>
      <c r="AH685" t="s">
        <v>10975</v>
      </c>
      <c r="AJ685" t="s">
        <v>11104</v>
      </c>
      <c r="AK685" t="s">
        <v>7225</v>
      </c>
      <c r="AM685">
        <v>911.8</v>
      </c>
      <c r="AO685">
        <v>71</v>
      </c>
      <c r="AQ685" t="s">
        <v>11157</v>
      </c>
      <c r="AS685" t="s">
        <v>11173</v>
      </c>
      <c r="AU685">
        <v>30</v>
      </c>
      <c r="AW685" t="s">
        <v>11187</v>
      </c>
      <c r="BA685" t="s">
        <v>11222</v>
      </c>
      <c r="BC685" t="s">
        <v>11173</v>
      </c>
      <c r="BE685" t="s">
        <v>12081</v>
      </c>
      <c r="BF685" t="s">
        <v>14364</v>
      </c>
      <c r="BG685" t="s">
        <v>11086</v>
      </c>
      <c r="BM685" t="s">
        <v>15650</v>
      </c>
    </row>
    <row r="686" spans="1:65">
      <c r="A686" s="1">
        <f>HYPERLINK("https://lsnyc.legalserver.org/matter/dynamic-profile/view/1876008","18-1876008")</f>
        <v>0</v>
      </c>
      <c r="B686" t="s">
        <v>99</v>
      </c>
      <c r="C686" t="s">
        <v>248</v>
      </c>
      <c r="D686" t="s">
        <v>532</v>
      </c>
      <c r="F686" t="s">
        <v>1152</v>
      </c>
      <c r="G686" t="s">
        <v>2941</v>
      </c>
      <c r="H686" t="s">
        <v>4800</v>
      </c>
      <c r="I686" t="s">
        <v>6405</v>
      </c>
      <c r="J686" t="s">
        <v>7174</v>
      </c>
      <c r="K686">
        <v>11221</v>
      </c>
      <c r="N686" t="s">
        <v>7237</v>
      </c>
      <c r="O686" t="s">
        <v>7320</v>
      </c>
      <c r="P686">
        <v>1</v>
      </c>
      <c r="Q686">
        <v>0</v>
      </c>
      <c r="R686">
        <v>171.33</v>
      </c>
      <c r="U686">
        <v>20800</v>
      </c>
      <c r="W686">
        <v>25.6</v>
      </c>
      <c r="X686" t="s">
        <v>293</v>
      </c>
      <c r="Y686" t="s">
        <v>225</v>
      </c>
      <c r="AA686" t="s">
        <v>10974</v>
      </c>
      <c r="AB686" t="s">
        <v>569</v>
      </c>
      <c r="AD686" t="s">
        <v>11101</v>
      </c>
      <c r="AF686" t="s">
        <v>11118</v>
      </c>
      <c r="AH686" t="s">
        <v>10974</v>
      </c>
      <c r="AJ686" t="s">
        <v>11134</v>
      </c>
      <c r="AK686" t="s">
        <v>7225</v>
      </c>
      <c r="AM686">
        <v>763</v>
      </c>
      <c r="AO686">
        <v>12</v>
      </c>
      <c r="AQ686" t="s">
        <v>11157</v>
      </c>
      <c r="AS686" t="s">
        <v>11173</v>
      </c>
      <c r="AU686">
        <v>10</v>
      </c>
      <c r="AW686" t="s">
        <v>11187</v>
      </c>
      <c r="AZ686" t="s">
        <v>11221</v>
      </c>
      <c r="BE686" t="s">
        <v>11733</v>
      </c>
      <c r="BG686" t="s">
        <v>14511</v>
      </c>
      <c r="BM686" t="s">
        <v>15650</v>
      </c>
    </row>
    <row r="687" spans="1:65">
      <c r="A687" s="1">
        <f>HYPERLINK("https://lsnyc.legalserver.org/matter/dynamic-profile/view/1915641","19-1915641")</f>
        <v>0</v>
      </c>
      <c r="B687" t="s">
        <v>99</v>
      </c>
      <c r="C687" t="s">
        <v>248</v>
      </c>
      <c r="D687" t="s">
        <v>528</v>
      </c>
      <c r="F687" t="s">
        <v>1466</v>
      </c>
      <c r="G687" t="s">
        <v>3239</v>
      </c>
      <c r="H687" t="s">
        <v>5011</v>
      </c>
      <c r="I687" t="s">
        <v>6438</v>
      </c>
      <c r="J687" t="s">
        <v>7174</v>
      </c>
      <c r="K687">
        <v>11212</v>
      </c>
      <c r="N687" t="s">
        <v>7237</v>
      </c>
      <c r="O687" t="s">
        <v>7726</v>
      </c>
      <c r="P687">
        <v>2</v>
      </c>
      <c r="Q687">
        <v>0</v>
      </c>
      <c r="R687">
        <v>248.37</v>
      </c>
      <c r="U687">
        <v>42000</v>
      </c>
      <c r="W687">
        <v>0</v>
      </c>
      <c r="Y687" t="s">
        <v>101</v>
      </c>
      <c r="AA687" t="s">
        <v>10974</v>
      </c>
      <c r="AB687" t="s">
        <v>375</v>
      </c>
      <c r="AD687" t="s">
        <v>11098</v>
      </c>
      <c r="AF687" t="s">
        <v>10384</v>
      </c>
      <c r="AH687" t="s">
        <v>10975</v>
      </c>
      <c r="AJ687" t="s">
        <v>11104</v>
      </c>
      <c r="AK687" t="s">
        <v>7225</v>
      </c>
      <c r="AM687">
        <v>1333.51</v>
      </c>
      <c r="AO687">
        <v>71</v>
      </c>
      <c r="AQ687" t="s">
        <v>11157</v>
      </c>
      <c r="AS687" t="s">
        <v>11173</v>
      </c>
      <c r="AU687">
        <v>13</v>
      </c>
      <c r="AW687" t="s">
        <v>11187</v>
      </c>
      <c r="BA687" t="s">
        <v>11222</v>
      </c>
      <c r="BC687" t="s">
        <v>11173</v>
      </c>
      <c r="BE687" t="s">
        <v>12082</v>
      </c>
      <c r="BF687" t="s">
        <v>14364</v>
      </c>
      <c r="BG687" t="s">
        <v>11086</v>
      </c>
      <c r="BM687" t="s">
        <v>15650</v>
      </c>
    </row>
    <row r="688" spans="1:65">
      <c r="A688" s="1">
        <f>HYPERLINK("https://lsnyc.legalserver.org/matter/dynamic-profile/view/1856558","18-1856558")</f>
        <v>0</v>
      </c>
      <c r="B688" t="s">
        <v>99</v>
      </c>
      <c r="C688" t="s">
        <v>248</v>
      </c>
      <c r="D688" t="s">
        <v>533</v>
      </c>
      <c r="F688" t="s">
        <v>1331</v>
      </c>
      <c r="G688" t="s">
        <v>3240</v>
      </c>
      <c r="H688" t="s">
        <v>5016</v>
      </c>
      <c r="I688" t="s">
        <v>6424</v>
      </c>
      <c r="J688" t="s">
        <v>7174</v>
      </c>
      <c r="K688">
        <v>11213</v>
      </c>
      <c r="N688" t="s">
        <v>7237</v>
      </c>
      <c r="O688" t="s">
        <v>7598</v>
      </c>
      <c r="P688">
        <v>1</v>
      </c>
      <c r="Q688">
        <v>0</v>
      </c>
      <c r="R688">
        <v>73.13</v>
      </c>
      <c r="S688" t="s">
        <v>1021</v>
      </c>
      <c r="U688">
        <v>8820</v>
      </c>
      <c r="W688">
        <v>219.95</v>
      </c>
      <c r="X688" t="s">
        <v>266</v>
      </c>
      <c r="Y688" t="s">
        <v>10901</v>
      </c>
      <c r="AA688" t="s">
        <v>10974</v>
      </c>
      <c r="AB688" t="s">
        <v>10982</v>
      </c>
      <c r="AD688" t="s">
        <v>11083</v>
      </c>
      <c r="AF688" t="s">
        <v>11118</v>
      </c>
      <c r="AH688" t="s">
        <v>10974</v>
      </c>
      <c r="AJ688" t="s">
        <v>11136</v>
      </c>
      <c r="AK688" t="s">
        <v>7225</v>
      </c>
      <c r="AM688">
        <v>973</v>
      </c>
      <c r="AO688">
        <v>107</v>
      </c>
      <c r="AQ688" t="s">
        <v>11157</v>
      </c>
      <c r="AS688" t="s">
        <v>11174</v>
      </c>
      <c r="AT688" t="s">
        <v>11184</v>
      </c>
      <c r="AU688">
        <v>0</v>
      </c>
      <c r="AW688" t="s">
        <v>11187</v>
      </c>
      <c r="AZ688" t="s">
        <v>11221</v>
      </c>
      <c r="BE688" t="s">
        <v>12083</v>
      </c>
      <c r="BG688" t="s">
        <v>14512</v>
      </c>
      <c r="BM688" t="s">
        <v>15650</v>
      </c>
    </row>
    <row r="689" spans="1:65">
      <c r="A689" s="1">
        <f>HYPERLINK("https://lsnyc.legalserver.org/matter/dynamic-profile/view/1835394","17-1835394")</f>
        <v>0</v>
      </c>
      <c r="B689" t="s">
        <v>99</v>
      </c>
      <c r="C689" t="s">
        <v>248</v>
      </c>
      <c r="D689" t="s">
        <v>534</v>
      </c>
      <c r="F689" t="s">
        <v>1331</v>
      </c>
      <c r="G689" t="s">
        <v>3241</v>
      </c>
      <c r="H689" t="s">
        <v>5016</v>
      </c>
      <c r="I689" t="s">
        <v>6424</v>
      </c>
      <c r="J689" t="s">
        <v>7174</v>
      </c>
      <c r="K689">
        <v>11213</v>
      </c>
      <c r="N689" t="s">
        <v>7237</v>
      </c>
      <c r="O689" t="s">
        <v>7598</v>
      </c>
      <c r="P689">
        <v>1</v>
      </c>
      <c r="Q689">
        <v>0</v>
      </c>
      <c r="R689">
        <v>73.13</v>
      </c>
      <c r="S689" t="s">
        <v>10256</v>
      </c>
      <c r="T689" t="s">
        <v>10277</v>
      </c>
      <c r="U689">
        <v>8820</v>
      </c>
      <c r="W689">
        <v>184.6</v>
      </c>
      <c r="X689" t="s">
        <v>449</v>
      </c>
      <c r="Y689" t="s">
        <v>225</v>
      </c>
      <c r="AA689" t="s">
        <v>10974</v>
      </c>
      <c r="AB689" t="s">
        <v>517</v>
      </c>
      <c r="AD689" t="s">
        <v>11082</v>
      </c>
      <c r="AF689" t="s">
        <v>11118</v>
      </c>
      <c r="AH689" t="s">
        <v>10974</v>
      </c>
      <c r="AJ689" t="s">
        <v>11136</v>
      </c>
      <c r="AK689" t="s">
        <v>7225</v>
      </c>
      <c r="AM689">
        <v>973</v>
      </c>
      <c r="AO689">
        <v>107</v>
      </c>
      <c r="AQ689" t="s">
        <v>11157</v>
      </c>
      <c r="AS689" t="s">
        <v>11174</v>
      </c>
      <c r="AU689">
        <v>32</v>
      </c>
      <c r="AW689" t="s">
        <v>11187</v>
      </c>
      <c r="AZ689" t="s">
        <v>11221</v>
      </c>
      <c r="BC689" t="s">
        <v>11276</v>
      </c>
      <c r="BE689" t="s">
        <v>12083</v>
      </c>
      <c r="BG689" t="s">
        <v>14513</v>
      </c>
      <c r="BM689" t="s">
        <v>15650</v>
      </c>
    </row>
    <row r="690" spans="1:65">
      <c r="A690" s="1">
        <f>HYPERLINK("https://lsnyc.legalserver.org/matter/dynamic-profile/view/1843874","17-1843874")</f>
        <v>0</v>
      </c>
      <c r="B690" t="s">
        <v>99</v>
      </c>
      <c r="C690" t="s">
        <v>248</v>
      </c>
      <c r="D690" t="s">
        <v>535</v>
      </c>
      <c r="F690" t="s">
        <v>1467</v>
      </c>
      <c r="G690" t="s">
        <v>3242</v>
      </c>
      <c r="H690" t="s">
        <v>5017</v>
      </c>
      <c r="I690" t="s">
        <v>6430</v>
      </c>
      <c r="J690" t="s">
        <v>7174</v>
      </c>
      <c r="K690">
        <v>11233</v>
      </c>
      <c r="N690" t="s">
        <v>7237</v>
      </c>
      <c r="O690" t="s">
        <v>7727</v>
      </c>
      <c r="P690">
        <v>1</v>
      </c>
      <c r="Q690">
        <v>0</v>
      </c>
      <c r="R690">
        <v>194.03</v>
      </c>
      <c r="U690">
        <v>23400</v>
      </c>
      <c r="W690">
        <v>121.75</v>
      </c>
      <c r="X690" t="s">
        <v>449</v>
      </c>
      <c r="Y690" t="s">
        <v>225</v>
      </c>
      <c r="AA690" t="s">
        <v>10974</v>
      </c>
      <c r="AB690" t="s">
        <v>489</v>
      </c>
      <c r="AD690" t="s">
        <v>11083</v>
      </c>
      <c r="AF690" t="s">
        <v>11118</v>
      </c>
      <c r="AH690" t="s">
        <v>10975</v>
      </c>
      <c r="AJ690" t="s">
        <v>11141</v>
      </c>
      <c r="AK690" t="s">
        <v>7225</v>
      </c>
      <c r="AM690">
        <v>569.42</v>
      </c>
      <c r="AO690">
        <v>6</v>
      </c>
      <c r="AQ690" t="s">
        <v>11157</v>
      </c>
      <c r="AS690" t="s">
        <v>11173</v>
      </c>
      <c r="AU690">
        <v>24</v>
      </c>
      <c r="AW690" t="s">
        <v>11187</v>
      </c>
      <c r="AY690" t="s">
        <v>11213</v>
      </c>
      <c r="AZ690" t="s">
        <v>11221</v>
      </c>
      <c r="BC690" t="s">
        <v>11228</v>
      </c>
      <c r="BE690" t="s">
        <v>12084</v>
      </c>
      <c r="BG690" t="s">
        <v>14514</v>
      </c>
      <c r="BM690" t="s">
        <v>15650</v>
      </c>
    </row>
    <row r="691" spans="1:65">
      <c r="A691" s="1">
        <f>HYPERLINK("https://lsnyc.legalserver.org/matter/dynamic-profile/view/1913476","19-1913476")</f>
        <v>0</v>
      </c>
      <c r="B691" t="s">
        <v>99</v>
      </c>
      <c r="C691" t="s">
        <v>248</v>
      </c>
      <c r="D691" t="s">
        <v>536</v>
      </c>
      <c r="F691" t="s">
        <v>1468</v>
      </c>
      <c r="G691" t="s">
        <v>3243</v>
      </c>
      <c r="H691" t="s">
        <v>5010</v>
      </c>
      <c r="I691">
        <v>42</v>
      </c>
      <c r="J691" t="s">
        <v>7174</v>
      </c>
      <c r="K691">
        <v>11213</v>
      </c>
      <c r="N691" t="s">
        <v>7237</v>
      </c>
      <c r="O691" t="s">
        <v>7728</v>
      </c>
      <c r="P691">
        <v>3</v>
      </c>
      <c r="Q691">
        <v>1</v>
      </c>
      <c r="R691">
        <v>100.97</v>
      </c>
      <c r="U691">
        <v>26000</v>
      </c>
      <c r="W691">
        <v>1.5</v>
      </c>
      <c r="X691" t="s">
        <v>536</v>
      </c>
      <c r="Y691" t="s">
        <v>225</v>
      </c>
      <c r="AA691" t="s">
        <v>10974</v>
      </c>
      <c r="AB691" t="s">
        <v>536</v>
      </c>
      <c r="AD691" t="s">
        <v>11086</v>
      </c>
      <c r="AF691" t="s">
        <v>10384</v>
      </c>
      <c r="AH691" t="s">
        <v>10975</v>
      </c>
      <c r="AJ691" t="s">
        <v>11141</v>
      </c>
      <c r="AK691" t="s">
        <v>7225</v>
      </c>
      <c r="AM691">
        <v>950</v>
      </c>
      <c r="AO691">
        <v>31</v>
      </c>
      <c r="AQ691" t="s">
        <v>11157</v>
      </c>
      <c r="AS691" t="s">
        <v>11173</v>
      </c>
      <c r="AU691">
        <v>18</v>
      </c>
      <c r="AW691" t="s">
        <v>11187</v>
      </c>
      <c r="AY691" t="s">
        <v>11213</v>
      </c>
      <c r="BA691" t="s">
        <v>11222</v>
      </c>
      <c r="BC691" t="s">
        <v>11173</v>
      </c>
      <c r="BE691" t="s">
        <v>12085</v>
      </c>
      <c r="BF691" t="s">
        <v>14364</v>
      </c>
      <c r="BG691" t="s">
        <v>11173</v>
      </c>
      <c r="BM691" t="s">
        <v>15650</v>
      </c>
    </row>
    <row r="692" spans="1:65">
      <c r="A692" s="1">
        <f>HYPERLINK("https://lsnyc.legalserver.org/matter/dynamic-profile/view/1880272","18-1880272")</f>
        <v>0</v>
      </c>
      <c r="B692" t="s">
        <v>99</v>
      </c>
      <c r="C692" t="s">
        <v>248</v>
      </c>
      <c r="D692" t="s">
        <v>531</v>
      </c>
      <c r="F692" t="s">
        <v>1469</v>
      </c>
      <c r="G692" t="s">
        <v>2210</v>
      </c>
      <c r="H692" t="s">
        <v>5010</v>
      </c>
      <c r="I692">
        <v>7</v>
      </c>
      <c r="J692" t="s">
        <v>7174</v>
      </c>
      <c r="K692">
        <v>11213</v>
      </c>
      <c r="N692" t="s">
        <v>7237</v>
      </c>
      <c r="O692" t="s">
        <v>7729</v>
      </c>
      <c r="P692">
        <v>2</v>
      </c>
      <c r="Q692">
        <v>0</v>
      </c>
      <c r="R692">
        <v>194.41</v>
      </c>
      <c r="U692">
        <v>32000</v>
      </c>
      <c r="W692">
        <v>1.9</v>
      </c>
      <c r="X692" t="s">
        <v>304</v>
      </c>
      <c r="Y692" t="s">
        <v>225</v>
      </c>
      <c r="AA692" t="s">
        <v>10974</v>
      </c>
      <c r="AB692" t="s">
        <v>10998</v>
      </c>
      <c r="AD692" t="s">
        <v>11101</v>
      </c>
      <c r="AF692" t="s">
        <v>11118</v>
      </c>
      <c r="AH692" t="s">
        <v>10974</v>
      </c>
      <c r="AJ692" t="s">
        <v>11141</v>
      </c>
      <c r="AK692" t="s">
        <v>7225</v>
      </c>
      <c r="AM692">
        <v>931.36</v>
      </c>
      <c r="AO692">
        <v>31</v>
      </c>
      <c r="AQ692" t="s">
        <v>11157</v>
      </c>
      <c r="AS692" t="s">
        <v>11173</v>
      </c>
      <c r="AU692">
        <v>35</v>
      </c>
      <c r="AW692" t="s">
        <v>11187</v>
      </c>
      <c r="AY692" t="s">
        <v>11213</v>
      </c>
      <c r="AZ692" t="s">
        <v>11221</v>
      </c>
      <c r="BC692" t="s">
        <v>11173</v>
      </c>
      <c r="BD692" t="s">
        <v>11667</v>
      </c>
      <c r="BG692" t="s">
        <v>14508</v>
      </c>
      <c r="BM692" t="s">
        <v>15650</v>
      </c>
    </row>
    <row r="693" spans="1:65">
      <c r="A693" s="1">
        <f>HYPERLINK("https://lsnyc.legalserver.org/matter/dynamic-profile/view/0783028","15-0783028")</f>
        <v>0</v>
      </c>
      <c r="B693" t="s">
        <v>99</v>
      </c>
      <c r="C693" t="s">
        <v>248</v>
      </c>
      <c r="D693" t="s">
        <v>537</v>
      </c>
      <c r="F693" t="s">
        <v>1239</v>
      </c>
      <c r="G693" t="s">
        <v>3244</v>
      </c>
      <c r="H693" t="s">
        <v>5018</v>
      </c>
      <c r="I693" t="s">
        <v>6620</v>
      </c>
      <c r="J693" t="s">
        <v>7174</v>
      </c>
      <c r="K693">
        <v>11215</v>
      </c>
      <c r="M693" t="s">
        <v>7226</v>
      </c>
      <c r="N693" t="s">
        <v>7237</v>
      </c>
      <c r="O693" t="s">
        <v>7730</v>
      </c>
      <c r="P693">
        <v>2</v>
      </c>
      <c r="Q693">
        <v>0</v>
      </c>
      <c r="R693">
        <v>128.06</v>
      </c>
      <c r="U693">
        <v>20400</v>
      </c>
      <c r="W693">
        <v>229.85</v>
      </c>
      <c r="X693" t="s">
        <v>449</v>
      </c>
      <c r="Y693" t="s">
        <v>165</v>
      </c>
      <c r="Z693" t="s">
        <v>10972</v>
      </c>
      <c r="AA693" t="s">
        <v>10975</v>
      </c>
      <c r="AD693" t="s">
        <v>11101</v>
      </c>
      <c r="AF693" t="s">
        <v>11118</v>
      </c>
      <c r="AG693" t="s">
        <v>11124</v>
      </c>
      <c r="AI693" t="s">
        <v>11126</v>
      </c>
      <c r="AK693" t="s">
        <v>7225</v>
      </c>
      <c r="AM693">
        <v>822</v>
      </c>
      <c r="AO693">
        <v>8</v>
      </c>
      <c r="AQ693" t="s">
        <v>11157</v>
      </c>
      <c r="AR693" t="s">
        <v>11172</v>
      </c>
      <c r="AU693">
        <v>25</v>
      </c>
      <c r="AW693" t="s">
        <v>11189</v>
      </c>
      <c r="AX693" t="s">
        <v>11212</v>
      </c>
      <c r="AZ693" t="s">
        <v>11221</v>
      </c>
      <c r="BD693" t="s">
        <v>11667</v>
      </c>
      <c r="BG693" t="s">
        <v>14515</v>
      </c>
      <c r="BM693" t="s">
        <v>15650</v>
      </c>
    </row>
    <row r="694" spans="1:65">
      <c r="A694" s="1">
        <f>HYPERLINK("https://lsnyc.legalserver.org/matter/dynamic-profile/view/1895335","19-1895335")</f>
        <v>0</v>
      </c>
      <c r="B694" t="s">
        <v>99</v>
      </c>
      <c r="C694" t="s">
        <v>248</v>
      </c>
      <c r="D694" t="s">
        <v>299</v>
      </c>
      <c r="F694" t="s">
        <v>1470</v>
      </c>
      <c r="G694" t="s">
        <v>3245</v>
      </c>
      <c r="H694" t="s">
        <v>4800</v>
      </c>
      <c r="I694" t="s">
        <v>6407</v>
      </c>
      <c r="J694" t="s">
        <v>7174</v>
      </c>
      <c r="K694">
        <v>11221</v>
      </c>
      <c r="N694" t="s">
        <v>7242</v>
      </c>
      <c r="O694" t="s">
        <v>7731</v>
      </c>
      <c r="P694">
        <v>1</v>
      </c>
      <c r="Q694">
        <v>0</v>
      </c>
      <c r="R694">
        <v>72.86</v>
      </c>
      <c r="U694">
        <v>9100</v>
      </c>
      <c r="V694" t="s">
        <v>10311</v>
      </c>
      <c r="W694">
        <v>14</v>
      </c>
      <c r="X694" t="s">
        <v>293</v>
      </c>
      <c r="Y694" t="s">
        <v>225</v>
      </c>
      <c r="AA694" t="s">
        <v>10974</v>
      </c>
      <c r="AB694" t="s">
        <v>299</v>
      </c>
      <c r="AD694" t="s">
        <v>11097</v>
      </c>
      <c r="AF694" t="s">
        <v>11123</v>
      </c>
      <c r="AH694" t="s">
        <v>10974</v>
      </c>
      <c r="AJ694" t="s">
        <v>11141</v>
      </c>
      <c r="AK694" t="s">
        <v>7225</v>
      </c>
      <c r="AM694">
        <v>793</v>
      </c>
      <c r="AO694">
        <v>12</v>
      </c>
      <c r="AQ694" t="s">
        <v>11157</v>
      </c>
      <c r="AS694" t="s">
        <v>11173</v>
      </c>
      <c r="AU694">
        <v>15</v>
      </c>
      <c r="AW694" t="s">
        <v>11187</v>
      </c>
      <c r="AY694" t="s">
        <v>11216</v>
      </c>
      <c r="BA694" t="s">
        <v>11222</v>
      </c>
      <c r="BC694" t="s">
        <v>11173</v>
      </c>
      <c r="BE694" t="s">
        <v>12086</v>
      </c>
      <c r="BF694" t="s">
        <v>14364</v>
      </c>
      <c r="BG694" t="s">
        <v>14516</v>
      </c>
      <c r="BM694" t="s">
        <v>15650</v>
      </c>
    </row>
    <row r="695" spans="1:65">
      <c r="A695" s="1">
        <f>HYPERLINK("https://lsnyc.legalserver.org/matter/dynamic-profile/view/1914288","19-1914288")</f>
        <v>0</v>
      </c>
      <c r="B695" t="s">
        <v>100</v>
      </c>
      <c r="C695" t="s">
        <v>248</v>
      </c>
      <c r="D695" t="s">
        <v>266</v>
      </c>
      <c r="F695" t="s">
        <v>1471</v>
      </c>
      <c r="G695" t="s">
        <v>2334</v>
      </c>
      <c r="H695" t="s">
        <v>5010</v>
      </c>
      <c r="I695">
        <v>41</v>
      </c>
      <c r="J695" t="s">
        <v>7174</v>
      </c>
      <c r="K695">
        <v>11213</v>
      </c>
      <c r="N695" t="s">
        <v>7237</v>
      </c>
      <c r="O695" t="s">
        <v>7732</v>
      </c>
      <c r="P695">
        <v>2</v>
      </c>
      <c r="Q695">
        <v>0</v>
      </c>
      <c r="R695">
        <v>80.76000000000001</v>
      </c>
      <c r="U695">
        <v>13656</v>
      </c>
      <c r="V695" t="s">
        <v>10312</v>
      </c>
      <c r="W695">
        <v>0</v>
      </c>
      <c r="Y695" t="s">
        <v>225</v>
      </c>
      <c r="AA695" t="s">
        <v>10974</v>
      </c>
      <c r="AB695" t="s">
        <v>272</v>
      </c>
      <c r="AD695" t="s">
        <v>11086</v>
      </c>
      <c r="AF695" t="s">
        <v>10384</v>
      </c>
      <c r="AH695" t="s">
        <v>10974</v>
      </c>
      <c r="AJ695" t="s">
        <v>11134</v>
      </c>
      <c r="AK695" t="s">
        <v>7225</v>
      </c>
      <c r="AM695">
        <v>739.64</v>
      </c>
      <c r="AO695">
        <v>31</v>
      </c>
      <c r="AQ695" t="s">
        <v>11157</v>
      </c>
      <c r="AS695" t="s">
        <v>11173</v>
      </c>
      <c r="AU695">
        <v>35</v>
      </c>
      <c r="AW695" t="s">
        <v>11187</v>
      </c>
      <c r="AY695" t="s">
        <v>11213</v>
      </c>
      <c r="BA695" t="s">
        <v>11222</v>
      </c>
      <c r="BC695">
        <v>109154905</v>
      </c>
      <c r="BE695" t="s">
        <v>12087</v>
      </c>
      <c r="BF695" t="s">
        <v>14364</v>
      </c>
      <c r="BG695" t="s">
        <v>11173</v>
      </c>
      <c r="BM695" t="s">
        <v>15650</v>
      </c>
    </row>
    <row r="696" spans="1:65">
      <c r="A696" s="1">
        <f>HYPERLINK("https://lsnyc.legalserver.org/matter/dynamic-profile/view/0820034","16-0820034")</f>
        <v>0</v>
      </c>
      <c r="B696" t="s">
        <v>100</v>
      </c>
      <c r="C696" t="s">
        <v>248</v>
      </c>
      <c r="D696" t="s">
        <v>538</v>
      </c>
      <c r="F696" t="s">
        <v>1472</v>
      </c>
      <c r="G696" t="s">
        <v>3246</v>
      </c>
      <c r="H696" t="s">
        <v>5019</v>
      </c>
      <c r="I696" t="s">
        <v>6407</v>
      </c>
      <c r="J696" t="s">
        <v>7174</v>
      </c>
      <c r="K696">
        <v>11212</v>
      </c>
      <c r="N696" t="s">
        <v>7237</v>
      </c>
      <c r="O696" t="s">
        <v>7733</v>
      </c>
      <c r="P696">
        <v>1</v>
      </c>
      <c r="Q696">
        <v>2</v>
      </c>
      <c r="R696">
        <v>75.48</v>
      </c>
      <c r="U696">
        <v>15216</v>
      </c>
      <c r="W696">
        <v>96.55</v>
      </c>
      <c r="X696" t="s">
        <v>550</v>
      </c>
      <c r="Y696" t="s">
        <v>10910</v>
      </c>
      <c r="AA696" t="s">
        <v>10974</v>
      </c>
      <c r="AB696" t="s">
        <v>10999</v>
      </c>
      <c r="AD696" t="s">
        <v>11086</v>
      </c>
      <c r="AF696" t="s">
        <v>10384</v>
      </c>
      <c r="AH696" t="s">
        <v>10974</v>
      </c>
      <c r="AJ696" t="s">
        <v>11134</v>
      </c>
      <c r="AK696" t="s">
        <v>7225</v>
      </c>
      <c r="AM696">
        <v>1268</v>
      </c>
      <c r="AO696">
        <v>71</v>
      </c>
      <c r="AQ696" t="s">
        <v>11157</v>
      </c>
      <c r="AS696" t="s">
        <v>11104</v>
      </c>
      <c r="AU696">
        <v>8</v>
      </c>
      <c r="AW696" t="s">
        <v>11187</v>
      </c>
      <c r="AZ696" t="s">
        <v>11221</v>
      </c>
      <c r="BB696" t="s">
        <v>11224</v>
      </c>
      <c r="BC696" t="s">
        <v>11277</v>
      </c>
      <c r="BE696" t="s">
        <v>12088</v>
      </c>
      <c r="BF696" t="s">
        <v>14364</v>
      </c>
      <c r="BM696" t="s">
        <v>15650</v>
      </c>
    </row>
    <row r="697" spans="1:65">
      <c r="A697" s="1">
        <f>HYPERLINK("https://lsnyc.legalserver.org/matter/dynamic-profile/view/1914877","19-1914877")</f>
        <v>0</v>
      </c>
      <c r="B697" t="s">
        <v>100</v>
      </c>
      <c r="C697" t="s">
        <v>248</v>
      </c>
      <c r="D697" t="s">
        <v>262</v>
      </c>
      <c r="F697" t="s">
        <v>1459</v>
      </c>
      <c r="G697" t="s">
        <v>1770</v>
      </c>
      <c r="H697" t="s">
        <v>4798</v>
      </c>
      <c r="I697" t="s">
        <v>6495</v>
      </c>
      <c r="J697" t="s">
        <v>7174</v>
      </c>
      <c r="K697">
        <v>11233</v>
      </c>
      <c r="N697" t="s">
        <v>7237</v>
      </c>
      <c r="O697" t="s">
        <v>7612</v>
      </c>
      <c r="P697">
        <v>1</v>
      </c>
      <c r="Q697">
        <v>0</v>
      </c>
      <c r="R697">
        <v>0</v>
      </c>
      <c r="U697">
        <v>0</v>
      </c>
      <c r="W697">
        <v>0</v>
      </c>
      <c r="Y697" t="s">
        <v>225</v>
      </c>
      <c r="Z697" t="s">
        <v>10972</v>
      </c>
      <c r="AA697" t="s">
        <v>10975</v>
      </c>
      <c r="AD697" t="s">
        <v>11086</v>
      </c>
      <c r="AE697" t="s">
        <v>11117</v>
      </c>
      <c r="AH697" t="s">
        <v>10975</v>
      </c>
      <c r="AJ697" t="s">
        <v>11141</v>
      </c>
      <c r="AK697" t="s">
        <v>7225</v>
      </c>
      <c r="AM697">
        <v>1111</v>
      </c>
      <c r="AO697">
        <v>1117</v>
      </c>
      <c r="AQ697" t="s">
        <v>11157</v>
      </c>
      <c r="AS697" t="s">
        <v>11173</v>
      </c>
      <c r="AU697">
        <v>23</v>
      </c>
      <c r="AW697" t="s">
        <v>11187</v>
      </c>
      <c r="AY697" t="s">
        <v>11213</v>
      </c>
      <c r="AZ697" t="s">
        <v>11221</v>
      </c>
      <c r="BA697" t="s">
        <v>11173</v>
      </c>
      <c r="BC697" t="s">
        <v>11173</v>
      </c>
      <c r="BE697" t="s">
        <v>12089</v>
      </c>
      <c r="BF697" t="s">
        <v>14364</v>
      </c>
      <c r="BG697" t="s">
        <v>14411</v>
      </c>
      <c r="BM697" t="s">
        <v>15650</v>
      </c>
    </row>
    <row r="698" spans="1:65">
      <c r="A698" s="1">
        <f>HYPERLINK("https://lsnyc.legalserver.org/matter/dynamic-profile/view/1913414","19-1913414")</f>
        <v>0</v>
      </c>
      <c r="B698" t="s">
        <v>101</v>
      </c>
      <c r="C698" t="s">
        <v>248</v>
      </c>
      <c r="D698" t="s">
        <v>273</v>
      </c>
      <c r="E698" t="s">
        <v>293</v>
      </c>
      <c r="F698" t="s">
        <v>1473</v>
      </c>
      <c r="G698" t="s">
        <v>3247</v>
      </c>
      <c r="H698" t="s">
        <v>5020</v>
      </c>
      <c r="I698">
        <v>2</v>
      </c>
      <c r="J698" t="s">
        <v>7174</v>
      </c>
      <c r="K698">
        <v>11236</v>
      </c>
      <c r="L698" t="s">
        <v>7216</v>
      </c>
      <c r="N698" t="s">
        <v>7237</v>
      </c>
      <c r="O698" t="s">
        <v>7734</v>
      </c>
      <c r="P698">
        <v>2</v>
      </c>
      <c r="Q698">
        <v>0</v>
      </c>
      <c r="R698">
        <v>192.1</v>
      </c>
      <c r="U698">
        <v>32484</v>
      </c>
      <c r="W698">
        <v>0.1</v>
      </c>
      <c r="X698" t="s">
        <v>293</v>
      </c>
      <c r="Y698" t="s">
        <v>101</v>
      </c>
      <c r="Z698" t="s">
        <v>10972</v>
      </c>
      <c r="AA698" t="s">
        <v>10976</v>
      </c>
      <c r="AD698" t="s">
        <v>11086</v>
      </c>
      <c r="AE698" t="s">
        <v>11117</v>
      </c>
      <c r="AH698" t="s">
        <v>10975</v>
      </c>
      <c r="AI698" t="s">
        <v>11126</v>
      </c>
      <c r="AK698" t="s">
        <v>7225</v>
      </c>
      <c r="AM698">
        <v>1000</v>
      </c>
      <c r="AO698">
        <v>2</v>
      </c>
      <c r="AQ698" t="s">
        <v>11156</v>
      </c>
      <c r="AS698" t="s">
        <v>11173</v>
      </c>
      <c r="AU698">
        <v>27</v>
      </c>
      <c r="AW698" t="s">
        <v>11187</v>
      </c>
      <c r="AX698" t="s">
        <v>11212</v>
      </c>
      <c r="AZ698" t="s">
        <v>11221</v>
      </c>
      <c r="BE698" t="s">
        <v>12090</v>
      </c>
      <c r="BF698" t="s">
        <v>14364</v>
      </c>
      <c r="BG698" t="s">
        <v>11086</v>
      </c>
      <c r="BM698" t="s">
        <v>15651</v>
      </c>
    </row>
    <row r="699" spans="1:65">
      <c r="A699" s="1">
        <f>HYPERLINK("https://lsnyc.legalserver.org/matter/dynamic-profile/view/1913453","19-1913453")</f>
        <v>0</v>
      </c>
      <c r="B699" t="s">
        <v>101</v>
      </c>
      <c r="C699" t="s">
        <v>248</v>
      </c>
      <c r="D699" t="s">
        <v>536</v>
      </c>
      <c r="F699" t="s">
        <v>1474</v>
      </c>
      <c r="G699" t="s">
        <v>3091</v>
      </c>
      <c r="H699" t="s">
        <v>5021</v>
      </c>
      <c r="I699" t="s">
        <v>6588</v>
      </c>
      <c r="J699" t="s">
        <v>7174</v>
      </c>
      <c r="K699">
        <v>11239</v>
      </c>
      <c r="N699" t="s">
        <v>7237</v>
      </c>
      <c r="O699" t="s">
        <v>7735</v>
      </c>
      <c r="P699">
        <v>1</v>
      </c>
      <c r="Q699">
        <v>0</v>
      </c>
      <c r="R699">
        <v>128.36</v>
      </c>
      <c r="U699">
        <v>16032</v>
      </c>
      <c r="W699">
        <v>0</v>
      </c>
      <c r="Y699" t="s">
        <v>101</v>
      </c>
      <c r="Z699" t="s">
        <v>10972</v>
      </c>
      <c r="AA699" t="s">
        <v>10976</v>
      </c>
      <c r="AD699" t="s">
        <v>11086</v>
      </c>
      <c r="AF699" t="s">
        <v>11121</v>
      </c>
      <c r="AH699" t="s">
        <v>10975</v>
      </c>
      <c r="AJ699" t="s">
        <v>11129</v>
      </c>
      <c r="AK699" t="s">
        <v>7225</v>
      </c>
      <c r="AM699">
        <v>273</v>
      </c>
      <c r="AO699">
        <v>1463</v>
      </c>
      <c r="AQ699" t="s">
        <v>11164</v>
      </c>
      <c r="AS699" t="s">
        <v>11173</v>
      </c>
      <c r="AU699">
        <v>43</v>
      </c>
      <c r="AW699" t="s">
        <v>11187</v>
      </c>
      <c r="AX699" t="s">
        <v>11212</v>
      </c>
      <c r="AZ699" t="s">
        <v>11221</v>
      </c>
      <c r="BE699" t="s">
        <v>12091</v>
      </c>
      <c r="BF699" t="s">
        <v>14364</v>
      </c>
      <c r="BG699" t="s">
        <v>11086</v>
      </c>
      <c r="BM699" t="s">
        <v>15650</v>
      </c>
    </row>
    <row r="700" spans="1:65">
      <c r="A700" s="1">
        <f>HYPERLINK("https://lsnyc.legalserver.org/matter/dynamic-profile/view/1914467","19-1914467")</f>
        <v>0</v>
      </c>
      <c r="B700" t="s">
        <v>101</v>
      </c>
      <c r="C700" t="s">
        <v>248</v>
      </c>
      <c r="D700" t="s">
        <v>497</v>
      </c>
      <c r="F700" t="s">
        <v>1475</v>
      </c>
      <c r="G700" t="s">
        <v>3248</v>
      </c>
      <c r="H700" t="s">
        <v>5022</v>
      </c>
      <c r="I700">
        <v>2</v>
      </c>
      <c r="J700" t="s">
        <v>7174</v>
      </c>
      <c r="K700">
        <v>11233</v>
      </c>
      <c r="N700" t="s">
        <v>7237</v>
      </c>
      <c r="O700" t="s">
        <v>7736</v>
      </c>
      <c r="P700">
        <v>2</v>
      </c>
      <c r="Q700">
        <v>1</v>
      </c>
      <c r="R700">
        <v>41.91</v>
      </c>
      <c r="U700">
        <v>8940</v>
      </c>
      <c r="W700">
        <v>0</v>
      </c>
      <c r="Y700" t="s">
        <v>101</v>
      </c>
      <c r="Z700" t="s">
        <v>10972</v>
      </c>
      <c r="AA700" t="s">
        <v>10976</v>
      </c>
      <c r="AD700" t="s">
        <v>11083</v>
      </c>
      <c r="AF700" t="s">
        <v>11121</v>
      </c>
      <c r="AH700" t="s">
        <v>10975</v>
      </c>
      <c r="AJ700" t="s">
        <v>11104</v>
      </c>
      <c r="AK700" t="s">
        <v>7225</v>
      </c>
      <c r="AM700">
        <v>1515</v>
      </c>
      <c r="AO700">
        <v>3</v>
      </c>
      <c r="AQ700" t="s">
        <v>11156</v>
      </c>
      <c r="AS700" t="s">
        <v>11180</v>
      </c>
      <c r="AU700">
        <v>1</v>
      </c>
      <c r="AW700" t="s">
        <v>11187</v>
      </c>
      <c r="AX700" t="s">
        <v>11212</v>
      </c>
      <c r="AZ700" t="s">
        <v>11221</v>
      </c>
      <c r="BE700" t="s">
        <v>12092</v>
      </c>
      <c r="BG700" t="s">
        <v>14517</v>
      </c>
      <c r="BM700" t="s">
        <v>15650</v>
      </c>
    </row>
    <row r="701" spans="1:65">
      <c r="A701" s="1">
        <f>HYPERLINK("https://lsnyc.legalserver.org/matter/dynamic-profile/view/1911920","19-1911920")</f>
        <v>0</v>
      </c>
      <c r="B701" t="s">
        <v>101</v>
      </c>
      <c r="C701" t="s">
        <v>248</v>
      </c>
      <c r="D701" t="s">
        <v>341</v>
      </c>
      <c r="E701" t="s">
        <v>262</v>
      </c>
      <c r="F701" t="s">
        <v>1476</v>
      </c>
      <c r="G701" t="s">
        <v>3168</v>
      </c>
      <c r="H701" t="s">
        <v>5023</v>
      </c>
      <c r="J701" t="s">
        <v>7174</v>
      </c>
      <c r="K701">
        <v>11208</v>
      </c>
      <c r="L701" t="s">
        <v>7216</v>
      </c>
      <c r="N701" t="s">
        <v>7237</v>
      </c>
      <c r="O701" t="s">
        <v>7737</v>
      </c>
      <c r="P701">
        <v>2</v>
      </c>
      <c r="Q701">
        <v>0</v>
      </c>
      <c r="R701">
        <v>55.21</v>
      </c>
      <c r="U701">
        <v>9336</v>
      </c>
      <c r="V701" t="s">
        <v>10313</v>
      </c>
      <c r="W701">
        <v>0.6</v>
      </c>
      <c r="X701" t="s">
        <v>341</v>
      </c>
      <c r="Y701" t="s">
        <v>10911</v>
      </c>
      <c r="Z701" t="s">
        <v>10972</v>
      </c>
      <c r="AA701" t="s">
        <v>10975</v>
      </c>
      <c r="AD701" t="s">
        <v>11083</v>
      </c>
      <c r="AE701" t="s">
        <v>11117</v>
      </c>
      <c r="AH701" t="s">
        <v>10975</v>
      </c>
      <c r="AJ701" t="s">
        <v>11143</v>
      </c>
      <c r="AK701" t="s">
        <v>7225</v>
      </c>
      <c r="AM701">
        <v>1063</v>
      </c>
      <c r="AO701">
        <v>2</v>
      </c>
      <c r="AQ701" t="s">
        <v>11156</v>
      </c>
      <c r="AR701" t="s">
        <v>11172</v>
      </c>
      <c r="AU701">
        <v>14</v>
      </c>
      <c r="AW701" t="s">
        <v>11189</v>
      </c>
      <c r="AX701" t="s">
        <v>11212</v>
      </c>
      <c r="AZ701" t="s">
        <v>11221</v>
      </c>
      <c r="BA701" t="s">
        <v>11173</v>
      </c>
      <c r="BE701" t="s">
        <v>12093</v>
      </c>
      <c r="BG701" t="s">
        <v>14518</v>
      </c>
      <c r="BM701" t="s">
        <v>15651</v>
      </c>
    </row>
    <row r="702" spans="1:65">
      <c r="A702" s="1">
        <f>HYPERLINK("https://lsnyc.legalserver.org/matter/dynamic-profile/view/1915634","19-1915634")</f>
        <v>0</v>
      </c>
      <c r="B702" t="s">
        <v>101</v>
      </c>
      <c r="C702" t="s">
        <v>248</v>
      </c>
      <c r="D702" t="s">
        <v>528</v>
      </c>
      <c r="F702" t="s">
        <v>1477</v>
      </c>
      <c r="G702" t="s">
        <v>3249</v>
      </c>
      <c r="H702" t="s">
        <v>5024</v>
      </c>
      <c r="I702" t="s">
        <v>6425</v>
      </c>
      <c r="J702" t="s">
        <v>7174</v>
      </c>
      <c r="K702">
        <v>11233</v>
      </c>
      <c r="N702" t="s">
        <v>7237</v>
      </c>
      <c r="O702" t="s">
        <v>7738</v>
      </c>
      <c r="P702">
        <v>1</v>
      </c>
      <c r="Q702">
        <v>1</v>
      </c>
      <c r="R702">
        <v>118.27</v>
      </c>
      <c r="U702">
        <v>20000</v>
      </c>
      <c r="W702">
        <v>0</v>
      </c>
      <c r="Y702" t="s">
        <v>101</v>
      </c>
      <c r="Z702" t="s">
        <v>10972</v>
      </c>
      <c r="AA702" t="s">
        <v>10976</v>
      </c>
      <c r="AD702" t="s">
        <v>11082</v>
      </c>
      <c r="AE702" t="s">
        <v>11117</v>
      </c>
      <c r="AH702" t="s">
        <v>10975</v>
      </c>
      <c r="AJ702" t="s">
        <v>11130</v>
      </c>
      <c r="AK702" t="s">
        <v>7225</v>
      </c>
      <c r="AM702">
        <v>1509.95</v>
      </c>
      <c r="AO702">
        <v>27</v>
      </c>
      <c r="AQ702" t="s">
        <v>11159</v>
      </c>
      <c r="AS702" t="s">
        <v>11173</v>
      </c>
      <c r="AU702">
        <v>23</v>
      </c>
      <c r="AW702" t="s">
        <v>11187</v>
      </c>
      <c r="AX702" t="s">
        <v>11212</v>
      </c>
      <c r="AZ702" t="s">
        <v>11221</v>
      </c>
      <c r="BE702" t="s">
        <v>12094</v>
      </c>
      <c r="BG702" t="s">
        <v>14519</v>
      </c>
      <c r="BM702" t="s">
        <v>15650</v>
      </c>
    </row>
    <row r="703" spans="1:65">
      <c r="A703" s="1">
        <f>HYPERLINK("https://lsnyc.legalserver.org/matter/dynamic-profile/view/1912188","19-1912188")</f>
        <v>0</v>
      </c>
      <c r="B703" t="s">
        <v>101</v>
      </c>
      <c r="C703" t="s">
        <v>248</v>
      </c>
      <c r="D703" t="s">
        <v>265</v>
      </c>
      <c r="F703" t="s">
        <v>1459</v>
      </c>
      <c r="G703" t="s">
        <v>3250</v>
      </c>
      <c r="H703" t="s">
        <v>5025</v>
      </c>
      <c r="I703">
        <v>311</v>
      </c>
      <c r="J703" t="s">
        <v>7174</v>
      </c>
      <c r="K703">
        <v>11208</v>
      </c>
      <c r="N703" t="s">
        <v>7237</v>
      </c>
      <c r="O703" t="s">
        <v>7739</v>
      </c>
      <c r="P703">
        <v>1</v>
      </c>
      <c r="Q703">
        <v>0</v>
      </c>
      <c r="R703">
        <v>141.23</v>
      </c>
      <c r="U703">
        <v>17640</v>
      </c>
      <c r="W703">
        <v>1</v>
      </c>
      <c r="X703" t="s">
        <v>265</v>
      </c>
      <c r="Y703" t="s">
        <v>10890</v>
      </c>
      <c r="Z703" t="s">
        <v>10972</v>
      </c>
      <c r="AA703" t="s">
        <v>10975</v>
      </c>
      <c r="AD703" t="s">
        <v>11083</v>
      </c>
      <c r="AF703" t="s">
        <v>11119</v>
      </c>
      <c r="AH703" t="s">
        <v>10975</v>
      </c>
      <c r="AJ703" t="s">
        <v>11143</v>
      </c>
      <c r="AK703" t="s">
        <v>7225</v>
      </c>
      <c r="AM703">
        <v>1200</v>
      </c>
      <c r="AO703">
        <v>30</v>
      </c>
      <c r="AP703" t="s">
        <v>11155</v>
      </c>
      <c r="AR703" t="s">
        <v>11172</v>
      </c>
      <c r="AU703">
        <v>9</v>
      </c>
      <c r="AW703" t="s">
        <v>11187</v>
      </c>
      <c r="AX703" t="s">
        <v>11212</v>
      </c>
      <c r="AZ703" t="s">
        <v>11221</v>
      </c>
      <c r="BA703" t="s">
        <v>11173</v>
      </c>
      <c r="BE703" t="s">
        <v>12095</v>
      </c>
      <c r="BG703" t="s">
        <v>14520</v>
      </c>
      <c r="BM703" t="s">
        <v>15650</v>
      </c>
    </row>
    <row r="704" spans="1:65">
      <c r="A704" s="1">
        <f>HYPERLINK("https://lsnyc.legalserver.org/matter/dynamic-profile/view/1915154","19-1915154")</f>
        <v>0</v>
      </c>
      <c r="B704" t="s">
        <v>101</v>
      </c>
      <c r="C704" t="s">
        <v>248</v>
      </c>
      <c r="D704" t="s">
        <v>449</v>
      </c>
      <c r="F704" t="s">
        <v>1478</v>
      </c>
      <c r="G704" t="s">
        <v>3163</v>
      </c>
      <c r="H704" t="s">
        <v>5026</v>
      </c>
      <c r="I704" t="s">
        <v>6468</v>
      </c>
      <c r="J704" t="s">
        <v>7174</v>
      </c>
      <c r="K704">
        <v>11208</v>
      </c>
      <c r="N704" t="s">
        <v>7237</v>
      </c>
      <c r="O704" t="s">
        <v>7740</v>
      </c>
      <c r="P704">
        <v>1</v>
      </c>
      <c r="Q704">
        <v>1</v>
      </c>
      <c r="R704">
        <v>99.94</v>
      </c>
      <c r="U704">
        <v>16900</v>
      </c>
      <c r="W704">
        <v>0</v>
      </c>
      <c r="Y704" t="s">
        <v>101</v>
      </c>
      <c r="Z704" t="s">
        <v>10972</v>
      </c>
      <c r="AA704" t="s">
        <v>10976</v>
      </c>
      <c r="AD704" t="s">
        <v>11086</v>
      </c>
      <c r="AF704" t="s">
        <v>11121</v>
      </c>
      <c r="AH704" t="s">
        <v>10975</v>
      </c>
      <c r="AJ704" t="s">
        <v>11104</v>
      </c>
      <c r="AK704" t="s">
        <v>7225</v>
      </c>
      <c r="AM704">
        <v>1774.55</v>
      </c>
      <c r="AO704">
        <v>24</v>
      </c>
      <c r="AQ704" t="s">
        <v>11157</v>
      </c>
      <c r="AS704" t="s">
        <v>11174</v>
      </c>
      <c r="AU704">
        <v>14</v>
      </c>
      <c r="AW704" t="s">
        <v>11187</v>
      </c>
      <c r="AX704" t="s">
        <v>11212</v>
      </c>
      <c r="AZ704" t="s">
        <v>11221</v>
      </c>
      <c r="BC704" t="s">
        <v>11173</v>
      </c>
      <c r="BE704" t="s">
        <v>12096</v>
      </c>
      <c r="BF704" t="s">
        <v>14364</v>
      </c>
      <c r="BG704" t="s">
        <v>11086</v>
      </c>
      <c r="BM704" t="s">
        <v>15650</v>
      </c>
    </row>
    <row r="705" spans="1:65">
      <c r="A705" s="1">
        <f>HYPERLINK("https://lsnyc.legalserver.org/matter/dynamic-profile/view/1915835","19-1915835")</f>
        <v>0</v>
      </c>
      <c r="B705" t="s">
        <v>101</v>
      </c>
      <c r="C705" t="s">
        <v>248</v>
      </c>
      <c r="D705" t="s">
        <v>539</v>
      </c>
      <c r="F705" t="s">
        <v>1479</v>
      </c>
      <c r="G705" t="s">
        <v>3251</v>
      </c>
      <c r="H705" t="s">
        <v>5027</v>
      </c>
      <c r="I705">
        <v>4</v>
      </c>
      <c r="J705" t="s">
        <v>7174</v>
      </c>
      <c r="K705">
        <v>11233</v>
      </c>
      <c r="N705" t="s">
        <v>7237</v>
      </c>
      <c r="O705" t="s">
        <v>7741</v>
      </c>
      <c r="P705">
        <v>1</v>
      </c>
      <c r="Q705">
        <v>2</v>
      </c>
      <c r="R705">
        <v>103.14</v>
      </c>
      <c r="U705">
        <v>22000</v>
      </c>
      <c r="W705">
        <v>0</v>
      </c>
      <c r="Y705" t="s">
        <v>101</v>
      </c>
      <c r="Z705" t="s">
        <v>10972</v>
      </c>
      <c r="AA705" t="s">
        <v>10975</v>
      </c>
      <c r="AD705" t="s">
        <v>11082</v>
      </c>
      <c r="AE705" t="s">
        <v>11117</v>
      </c>
      <c r="AH705" t="s">
        <v>10975</v>
      </c>
      <c r="AJ705" t="s">
        <v>11129</v>
      </c>
      <c r="AK705" t="s">
        <v>7225</v>
      </c>
      <c r="AM705">
        <v>1823</v>
      </c>
      <c r="AO705">
        <v>8</v>
      </c>
      <c r="AQ705" t="s">
        <v>11160</v>
      </c>
      <c r="AS705" t="s">
        <v>11174</v>
      </c>
      <c r="AU705">
        <v>10</v>
      </c>
      <c r="AW705" t="s">
        <v>11187</v>
      </c>
      <c r="AX705" t="s">
        <v>11212</v>
      </c>
      <c r="AZ705" t="s">
        <v>11221</v>
      </c>
      <c r="BE705" t="s">
        <v>12097</v>
      </c>
      <c r="BG705" t="s">
        <v>14521</v>
      </c>
      <c r="BM705" t="s">
        <v>15650</v>
      </c>
    </row>
    <row r="706" spans="1:65">
      <c r="A706" s="1">
        <f>HYPERLINK("https://lsnyc.legalserver.org/matter/dynamic-profile/view/1846266","17-1846266")</f>
        <v>0</v>
      </c>
      <c r="B706" t="s">
        <v>102</v>
      </c>
      <c r="C706" t="s">
        <v>247</v>
      </c>
      <c r="D706" t="s">
        <v>540</v>
      </c>
      <c r="F706" t="s">
        <v>1480</v>
      </c>
      <c r="G706" t="s">
        <v>1893</v>
      </c>
      <c r="H706" t="s">
        <v>5028</v>
      </c>
      <c r="I706">
        <v>7</v>
      </c>
      <c r="J706" t="s">
        <v>7182</v>
      </c>
      <c r="K706">
        <v>11101</v>
      </c>
      <c r="N706" t="s">
        <v>7237</v>
      </c>
      <c r="O706" t="s">
        <v>7742</v>
      </c>
      <c r="P706">
        <v>3</v>
      </c>
      <c r="Q706">
        <v>2</v>
      </c>
      <c r="R706">
        <v>111.19</v>
      </c>
      <c r="U706">
        <v>48800</v>
      </c>
      <c r="W706">
        <v>57.54</v>
      </c>
      <c r="X706" t="s">
        <v>380</v>
      </c>
      <c r="Y706" t="s">
        <v>175</v>
      </c>
      <c r="AA706" t="s">
        <v>10974</v>
      </c>
      <c r="AB706" t="s">
        <v>540</v>
      </c>
      <c r="AD706" t="s">
        <v>11083</v>
      </c>
      <c r="AF706" t="s">
        <v>11118</v>
      </c>
      <c r="AH706" t="s">
        <v>10975</v>
      </c>
      <c r="AJ706" t="s">
        <v>11129</v>
      </c>
      <c r="AK706" t="s">
        <v>7225</v>
      </c>
      <c r="AM706">
        <v>1694.41</v>
      </c>
      <c r="AO706">
        <v>14</v>
      </c>
      <c r="AQ706" t="s">
        <v>11157</v>
      </c>
      <c r="AS706" t="s">
        <v>11173</v>
      </c>
      <c r="AU706">
        <v>22</v>
      </c>
      <c r="AW706" t="s">
        <v>11198</v>
      </c>
      <c r="AZ706" t="s">
        <v>11221</v>
      </c>
      <c r="BC706" t="s">
        <v>11228</v>
      </c>
      <c r="BE706" t="s">
        <v>12098</v>
      </c>
      <c r="BG706" t="s">
        <v>14522</v>
      </c>
      <c r="BM706" t="s">
        <v>15650</v>
      </c>
    </row>
    <row r="707" spans="1:65">
      <c r="A707" s="1">
        <f>HYPERLINK("https://lsnyc.legalserver.org/matter/dynamic-profile/view/1872259","18-1872259")</f>
        <v>0</v>
      </c>
      <c r="B707" t="s">
        <v>103</v>
      </c>
      <c r="C707" t="s">
        <v>248</v>
      </c>
      <c r="D707" t="s">
        <v>541</v>
      </c>
      <c r="F707" t="s">
        <v>1481</v>
      </c>
      <c r="G707" t="s">
        <v>3252</v>
      </c>
      <c r="H707" t="s">
        <v>5029</v>
      </c>
      <c r="I707" t="s">
        <v>6403</v>
      </c>
      <c r="J707" t="s">
        <v>7174</v>
      </c>
      <c r="K707">
        <v>11225</v>
      </c>
      <c r="N707" t="s">
        <v>7237</v>
      </c>
      <c r="O707" t="s">
        <v>7743</v>
      </c>
      <c r="P707">
        <v>2</v>
      </c>
      <c r="Q707">
        <v>0</v>
      </c>
      <c r="R707">
        <v>145.81</v>
      </c>
      <c r="T707" t="s">
        <v>10277</v>
      </c>
      <c r="U707">
        <v>24000</v>
      </c>
      <c r="W707">
        <v>98.59999999999999</v>
      </c>
      <c r="X707" t="s">
        <v>426</v>
      </c>
      <c r="Y707" t="s">
        <v>10910</v>
      </c>
      <c r="AA707" t="s">
        <v>10974</v>
      </c>
      <c r="AB707" t="s">
        <v>541</v>
      </c>
      <c r="AD707" t="s">
        <v>11083</v>
      </c>
      <c r="AF707" t="s">
        <v>11118</v>
      </c>
      <c r="AH707" t="s">
        <v>10975</v>
      </c>
      <c r="AJ707" t="s">
        <v>11140</v>
      </c>
      <c r="AK707" t="s">
        <v>7225</v>
      </c>
      <c r="AM707">
        <v>1014.09</v>
      </c>
      <c r="AO707">
        <v>53</v>
      </c>
      <c r="AQ707" t="s">
        <v>11157</v>
      </c>
      <c r="AS707" t="s">
        <v>11173</v>
      </c>
      <c r="AU707">
        <v>38</v>
      </c>
      <c r="AW707" t="s">
        <v>11187</v>
      </c>
      <c r="AY707" t="s">
        <v>11213</v>
      </c>
      <c r="AZ707" t="s">
        <v>11221</v>
      </c>
      <c r="BE707" t="s">
        <v>12099</v>
      </c>
      <c r="BF707" t="s">
        <v>14364</v>
      </c>
      <c r="BG707" t="s">
        <v>14523</v>
      </c>
      <c r="BM707" t="s">
        <v>15650</v>
      </c>
    </row>
    <row r="708" spans="1:65">
      <c r="A708" s="1">
        <f>HYPERLINK("https://lsnyc.legalserver.org/matter/dynamic-profile/view/1865688","18-1865688")</f>
        <v>0</v>
      </c>
      <c r="B708" t="s">
        <v>103</v>
      </c>
      <c r="C708" t="s">
        <v>248</v>
      </c>
      <c r="D708" t="s">
        <v>340</v>
      </c>
      <c r="F708" t="s">
        <v>1175</v>
      </c>
      <c r="G708" t="s">
        <v>3253</v>
      </c>
      <c r="H708" t="s">
        <v>5030</v>
      </c>
      <c r="I708" t="s">
        <v>6621</v>
      </c>
      <c r="J708" t="s">
        <v>7174</v>
      </c>
      <c r="K708">
        <v>11230</v>
      </c>
      <c r="N708" t="s">
        <v>7237</v>
      </c>
      <c r="O708" t="s">
        <v>7744</v>
      </c>
      <c r="P708">
        <v>1</v>
      </c>
      <c r="Q708">
        <v>0</v>
      </c>
      <c r="R708">
        <v>247.12</v>
      </c>
      <c r="S708" t="s">
        <v>643</v>
      </c>
      <c r="T708" t="s">
        <v>10276</v>
      </c>
      <c r="U708">
        <v>30000</v>
      </c>
      <c r="W708">
        <v>14.5</v>
      </c>
      <c r="X708" t="s">
        <v>484</v>
      </c>
      <c r="Y708" t="s">
        <v>10909</v>
      </c>
      <c r="AA708" t="s">
        <v>10974</v>
      </c>
      <c r="AB708" t="s">
        <v>595</v>
      </c>
      <c r="AD708" t="s">
        <v>11086</v>
      </c>
      <c r="AF708" t="s">
        <v>11120</v>
      </c>
      <c r="AH708" t="s">
        <v>10974</v>
      </c>
      <c r="AJ708" t="s">
        <v>11141</v>
      </c>
      <c r="AK708" t="s">
        <v>7225</v>
      </c>
      <c r="AM708">
        <v>436.26</v>
      </c>
      <c r="AO708">
        <v>51</v>
      </c>
      <c r="AQ708" t="s">
        <v>11157</v>
      </c>
      <c r="AS708" t="s">
        <v>11173</v>
      </c>
      <c r="AU708">
        <v>40</v>
      </c>
      <c r="AW708" t="s">
        <v>11187</v>
      </c>
      <c r="AY708" t="s">
        <v>11213</v>
      </c>
      <c r="AZ708" t="s">
        <v>11221</v>
      </c>
      <c r="BD708" t="s">
        <v>11667</v>
      </c>
      <c r="BF708" t="s">
        <v>14364</v>
      </c>
      <c r="BM708" t="s">
        <v>15650</v>
      </c>
    </row>
    <row r="709" spans="1:65">
      <c r="A709" s="1">
        <f>HYPERLINK("https://lsnyc.legalserver.org/matter/dynamic-profile/view/1885014","18-1885014")</f>
        <v>0</v>
      </c>
      <c r="B709" t="s">
        <v>103</v>
      </c>
      <c r="C709" t="s">
        <v>248</v>
      </c>
      <c r="D709" t="s">
        <v>542</v>
      </c>
      <c r="F709" t="s">
        <v>1482</v>
      </c>
      <c r="G709" t="s">
        <v>2921</v>
      </c>
      <c r="H709" t="s">
        <v>5031</v>
      </c>
      <c r="I709" t="s">
        <v>6479</v>
      </c>
      <c r="J709" t="s">
        <v>7174</v>
      </c>
      <c r="K709">
        <v>11226</v>
      </c>
      <c r="N709" t="s">
        <v>7237</v>
      </c>
      <c r="O709" t="s">
        <v>7745</v>
      </c>
      <c r="P709">
        <v>1</v>
      </c>
      <c r="Q709">
        <v>2</v>
      </c>
      <c r="R709">
        <v>346.01</v>
      </c>
      <c r="U709">
        <v>71900</v>
      </c>
      <c r="W709">
        <v>0.4</v>
      </c>
      <c r="X709" t="s">
        <v>542</v>
      </c>
      <c r="Y709" t="s">
        <v>81</v>
      </c>
      <c r="AA709" t="s">
        <v>10974</v>
      </c>
      <c r="AB709" t="s">
        <v>11000</v>
      </c>
      <c r="AD709" t="s">
        <v>11098</v>
      </c>
      <c r="AF709" t="s">
        <v>11121</v>
      </c>
      <c r="AH709" t="s">
        <v>10974</v>
      </c>
      <c r="AJ709" t="s">
        <v>11141</v>
      </c>
      <c r="AK709" t="s">
        <v>7225</v>
      </c>
      <c r="AM709">
        <v>1350</v>
      </c>
      <c r="AO709">
        <v>48</v>
      </c>
      <c r="AQ709" t="s">
        <v>11157</v>
      </c>
      <c r="AR709" t="s">
        <v>11172</v>
      </c>
      <c r="AU709">
        <v>10</v>
      </c>
      <c r="AW709" t="s">
        <v>11187</v>
      </c>
      <c r="AZ709" t="s">
        <v>11221</v>
      </c>
      <c r="BD709" t="s">
        <v>11667</v>
      </c>
      <c r="BG709" t="s">
        <v>14524</v>
      </c>
      <c r="BM709" t="s">
        <v>15650</v>
      </c>
    </row>
    <row r="710" spans="1:65">
      <c r="A710" s="1">
        <f>HYPERLINK("https://lsnyc.legalserver.org/matter/dynamic-profile/view/1878570","18-1878570")</f>
        <v>0</v>
      </c>
      <c r="B710" t="s">
        <v>103</v>
      </c>
      <c r="C710" t="s">
        <v>248</v>
      </c>
      <c r="D710" t="s">
        <v>543</v>
      </c>
      <c r="F710" t="s">
        <v>1483</v>
      </c>
      <c r="G710" t="s">
        <v>3254</v>
      </c>
      <c r="H710" t="s">
        <v>5032</v>
      </c>
      <c r="I710" t="s">
        <v>6622</v>
      </c>
      <c r="J710" t="s">
        <v>7174</v>
      </c>
      <c r="K710">
        <v>11226</v>
      </c>
      <c r="N710" t="s">
        <v>7237</v>
      </c>
      <c r="O710" t="s">
        <v>7746</v>
      </c>
      <c r="P710">
        <v>2</v>
      </c>
      <c r="Q710">
        <v>2</v>
      </c>
      <c r="R710">
        <v>0</v>
      </c>
      <c r="U710">
        <v>0</v>
      </c>
      <c r="V710" t="s">
        <v>10314</v>
      </c>
      <c r="W710">
        <v>34.8</v>
      </c>
      <c r="X710" t="s">
        <v>706</v>
      </c>
      <c r="Y710" t="s">
        <v>10912</v>
      </c>
      <c r="AA710" t="s">
        <v>10974</v>
      </c>
      <c r="AB710" t="s">
        <v>543</v>
      </c>
      <c r="AD710" t="s">
        <v>11085</v>
      </c>
      <c r="AF710" t="s">
        <v>11120</v>
      </c>
      <c r="AH710" t="s">
        <v>10975</v>
      </c>
      <c r="AJ710" t="s">
        <v>11129</v>
      </c>
      <c r="AK710" t="s">
        <v>7225</v>
      </c>
      <c r="AM710">
        <v>1038</v>
      </c>
      <c r="AO710">
        <v>55</v>
      </c>
      <c r="AQ710" t="s">
        <v>11157</v>
      </c>
      <c r="AR710" t="s">
        <v>11172</v>
      </c>
      <c r="AU710">
        <v>28</v>
      </c>
      <c r="AW710" t="s">
        <v>11187</v>
      </c>
      <c r="AZ710" t="s">
        <v>11221</v>
      </c>
      <c r="BE710" t="s">
        <v>12100</v>
      </c>
      <c r="BF710" t="s">
        <v>14364</v>
      </c>
      <c r="BM710" t="s">
        <v>15650</v>
      </c>
    </row>
    <row r="711" spans="1:65">
      <c r="A711" s="1">
        <f>HYPERLINK("https://lsnyc.legalserver.org/matter/dynamic-profile/view/1905689","19-1905689")</f>
        <v>0</v>
      </c>
      <c r="B711" t="s">
        <v>103</v>
      </c>
      <c r="C711" t="s">
        <v>248</v>
      </c>
      <c r="D711" t="s">
        <v>544</v>
      </c>
      <c r="F711" t="s">
        <v>1484</v>
      </c>
      <c r="G711" t="s">
        <v>3255</v>
      </c>
      <c r="H711" t="s">
        <v>5033</v>
      </c>
      <c r="I711" t="s">
        <v>6495</v>
      </c>
      <c r="J711" t="s">
        <v>7174</v>
      </c>
      <c r="K711">
        <v>11226</v>
      </c>
      <c r="N711" t="s">
        <v>7237</v>
      </c>
      <c r="O711" t="s">
        <v>7747</v>
      </c>
      <c r="P711">
        <v>2</v>
      </c>
      <c r="Q711">
        <v>0</v>
      </c>
      <c r="R711">
        <v>85.16</v>
      </c>
      <c r="U711">
        <v>14400</v>
      </c>
      <c r="W711">
        <v>2.4</v>
      </c>
      <c r="X711" t="s">
        <v>735</v>
      </c>
      <c r="Y711" t="s">
        <v>212</v>
      </c>
      <c r="AA711" t="s">
        <v>10974</v>
      </c>
      <c r="AB711" t="s">
        <v>511</v>
      </c>
      <c r="AD711" t="s">
        <v>11098</v>
      </c>
      <c r="AF711" t="s">
        <v>11122</v>
      </c>
      <c r="AH711" t="s">
        <v>10974</v>
      </c>
      <c r="AI711" t="s">
        <v>11126</v>
      </c>
      <c r="AK711" t="s">
        <v>7225</v>
      </c>
      <c r="AL711" t="s">
        <v>11150</v>
      </c>
      <c r="AM711">
        <v>0</v>
      </c>
      <c r="AO711">
        <v>36</v>
      </c>
      <c r="AQ711" t="s">
        <v>11157</v>
      </c>
      <c r="AR711" t="s">
        <v>11172</v>
      </c>
      <c r="AT711" t="s">
        <v>11184</v>
      </c>
      <c r="AU711">
        <v>0</v>
      </c>
      <c r="AW711" t="s">
        <v>11187</v>
      </c>
      <c r="AZ711" t="s">
        <v>11221</v>
      </c>
      <c r="BE711" t="s">
        <v>12101</v>
      </c>
      <c r="BF711" t="s">
        <v>14364</v>
      </c>
      <c r="BM711" t="s">
        <v>15650</v>
      </c>
    </row>
    <row r="712" spans="1:65">
      <c r="A712" s="1">
        <f>HYPERLINK("https://lsnyc.legalserver.org/matter/dynamic-profile/view/1900433","19-1900433")</f>
        <v>0</v>
      </c>
      <c r="B712" t="s">
        <v>103</v>
      </c>
      <c r="C712" t="s">
        <v>248</v>
      </c>
      <c r="D712" t="s">
        <v>275</v>
      </c>
      <c r="F712" t="s">
        <v>1484</v>
      </c>
      <c r="G712" t="s">
        <v>3255</v>
      </c>
      <c r="H712" t="s">
        <v>5033</v>
      </c>
      <c r="I712" t="s">
        <v>6495</v>
      </c>
      <c r="J712" t="s">
        <v>7174</v>
      </c>
      <c r="K712">
        <v>11226</v>
      </c>
      <c r="M712" t="s">
        <v>7227</v>
      </c>
      <c r="N712" t="s">
        <v>7237</v>
      </c>
      <c r="O712" t="s">
        <v>7747</v>
      </c>
      <c r="P712">
        <v>2</v>
      </c>
      <c r="Q712">
        <v>0</v>
      </c>
      <c r="R712">
        <v>85.16</v>
      </c>
      <c r="U712">
        <v>14400</v>
      </c>
      <c r="W712">
        <v>189.7</v>
      </c>
      <c r="X712" t="s">
        <v>528</v>
      </c>
      <c r="Y712" t="s">
        <v>212</v>
      </c>
      <c r="AA712" t="s">
        <v>10974</v>
      </c>
      <c r="AB712" t="s">
        <v>275</v>
      </c>
      <c r="AD712" t="s">
        <v>11101</v>
      </c>
      <c r="AF712" t="s">
        <v>11118</v>
      </c>
      <c r="AH712" t="s">
        <v>10974</v>
      </c>
      <c r="AJ712" t="s">
        <v>11134</v>
      </c>
      <c r="AK712" t="s">
        <v>7225</v>
      </c>
      <c r="AM712">
        <v>773.6</v>
      </c>
      <c r="AO712">
        <v>36</v>
      </c>
      <c r="AQ712" t="s">
        <v>11157</v>
      </c>
      <c r="AR712" t="s">
        <v>11172</v>
      </c>
      <c r="AU712">
        <v>65</v>
      </c>
      <c r="AW712" t="s">
        <v>11187</v>
      </c>
      <c r="AY712" t="s">
        <v>11213</v>
      </c>
      <c r="AZ712" t="s">
        <v>11221</v>
      </c>
      <c r="BE712" t="s">
        <v>12101</v>
      </c>
      <c r="BF712" t="s">
        <v>14364</v>
      </c>
      <c r="BG712" t="s">
        <v>14525</v>
      </c>
      <c r="BM712" t="s">
        <v>15650</v>
      </c>
    </row>
    <row r="713" spans="1:65">
      <c r="A713" s="1">
        <f>HYPERLINK("https://lsnyc.legalserver.org/matter/dynamic-profile/view/1891818","19-1891818")</f>
        <v>0</v>
      </c>
      <c r="B713" t="s">
        <v>103</v>
      </c>
      <c r="C713" t="s">
        <v>248</v>
      </c>
      <c r="D713" t="s">
        <v>545</v>
      </c>
      <c r="F713" t="s">
        <v>1485</v>
      </c>
      <c r="G713" t="s">
        <v>3256</v>
      </c>
      <c r="H713" t="s">
        <v>5034</v>
      </c>
      <c r="I713" t="s">
        <v>6623</v>
      </c>
      <c r="J713" t="s">
        <v>7174</v>
      </c>
      <c r="K713">
        <v>11225</v>
      </c>
      <c r="M713" t="s">
        <v>7227</v>
      </c>
      <c r="N713" t="s">
        <v>7237</v>
      </c>
      <c r="O713" t="s">
        <v>7748</v>
      </c>
      <c r="P713">
        <v>1</v>
      </c>
      <c r="Q713">
        <v>0</v>
      </c>
      <c r="R713">
        <v>6245</v>
      </c>
      <c r="U713">
        <v>780000</v>
      </c>
      <c r="W713">
        <v>0</v>
      </c>
      <c r="Y713" t="s">
        <v>81</v>
      </c>
      <c r="AA713" t="s">
        <v>10974</v>
      </c>
      <c r="AB713" t="s">
        <v>367</v>
      </c>
      <c r="AD713" t="s">
        <v>11098</v>
      </c>
      <c r="AF713" t="s">
        <v>11122</v>
      </c>
      <c r="AH713" t="s">
        <v>10974</v>
      </c>
      <c r="AJ713" t="s">
        <v>11141</v>
      </c>
      <c r="AK713" t="s">
        <v>7225</v>
      </c>
      <c r="AM713">
        <v>1740.79</v>
      </c>
      <c r="AO713">
        <v>89</v>
      </c>
      <c r="AQ713" t="s">
        <v>11157</v>
      </c>
      <c r="AR713" t="s">
        <v>11172</v>
      </c>
      <c r="AU713">
        <v>7</v>
      </c>
      <c r="AW713" t="s">
        <v>11187</v>
      </c>
      <c r="AZ713" t="s">
        <v>11221</v>
      </c>
      <c r="BE713" t="s">
        <v>12102</v>
      </c>
      <c r="BG713" t="s">
        <v>14526</v>
      </c>
      <c r="BM713" t="s">
        <v>15650</v>
      </c>
    </row>
    <row r="714" spans="1:65">
      <c r="A714" s="1">
        <f>HYPERLINK("https://lsnyc.legalserver.org/matter/dynamic-profile/view/1892920","19-1892920")</f>
        <v>0</v>
      </c>
      <c r="B714" t="s">
        <v>103</v>
      </c>
      <c r="C714" t="s">
        <v>248</v>
      </c>
      <c r="D714" t="s">
        <v>319</v>
      </c>
      <c r="F714" t="s">
        <v>1485</v>
      </c>
      <c r="G714" t="s">
        <v>3256</v>
      </c>
      <c r="H714" t="s">
        <v>5034</v>
      </c>
      <c r="I714" t="s">
        <v>6623</v>
      </c>
      <c r="J714" t="s">
        <v>7174</v>
      </c>
      <c r="K714">
        <v>11225</v>
      </c>
      <c r="N714" t="s">
        <v>7237</v>
      </c>
      <c r="O714" t="s">
        <v>7748</v>
      </c>
      <c r="P714">
        <v>1</v>
      </c>
      <c r="Q714">
        <v>0</v>
      </c>
      <c r="R714">
        <v>520.42</v>
      </c>
      <c r="U714">
        <v>65000</v>
      </c>
      <c r="W714">
        <v>0</v>
      </c>
      <c r="Y714" t="s">
        <v>81</v>
      </c>
      <c r="AA714" t="s">
        <v>10974</v>
      </c>
      <c r="AB714" t="s">
        <v>367</v>
      </c>
      <c r="AD714" t="s">
        <v>11098</v>
      </c>
      <c r="AF714" t="s">
        <v>11118</v>
      </c>
      <c r="AH714" t="s">
        <v>10974</v>
      </c>
      <c r="AJ714" t="s">
        <v>11141</v>
      </c>
      <c r="AK714" t="s">
        <v>7225</v>
      </c>
      <c r="AM714">
        <v>1740.79</v>
      </c>
      <c r="AO714">
        <v>89</v>
      </c>
      <c r="AQ714" t="s">
        <v>11157</v>
      </c>
      <c r="AR714" t="s">
        <v>11172</v>
      </c>
      <c r="AU714">
        <v>7</v>
      </c>
      <c r="AW714" t="s">
        <v>11187</v>
      </c>
      <c r="AZ714" t="s">
        <v>11221</v>
      </c>
      <c r="BE714" t="s">
        <v>12102</v>
      </c>
      <c r="BG714" t="s">
        <v>14527</v>
      </c>
      <c r="BM714" t="s">
        <v>15650</v>
      </c>
    </row>
    <row r="715" spans="1:65">
      <c r="A715" s="1">
        <f>HYPERLINK("https://lsnyc.legalserver.org/matter/dynamic-profile/view/1895557","19-1895557")</f>
        <v>0</v>
      </c>
      <c r="B715" t="s">
        <v>103</v>
      </c>
      <c r="C715" t="s">
        <v>248</v>
      </c>
      <c r="D715" t="s">
        <v>370</v>
      </c>
      <c r="F715" t="s">
        <v>1204</v>
      </c>
      <c r="G715" t="s">
        <v>1421</v>
      </c>
      <c r="H715" t="s">
        <v>5035</v>
      </c>
      <c r="I715" t="s">
        <v>6624</v>
      </c>
      <c r="J715" t="s">
        <v>7174</v>
      </c>
      <c r="K715">
        <v>11203</v>
      </c>
      <c r="N715" t="s">
        <v>7237</v>
      </c>
      <c r="O715" t="s">
        <v>7749</v>
      </c>
      <c r="P715">
        <v>1</v>
      </c>
      <c r="Q715">
        <v>0</v>
      </c>
      <c r="R715">
        <v>110.02</v>
      </c>
      <c r="U715">
        <v>13741</v>
      </c>
      <c r="W715">
        <v>122.7</v>
      </c>
      <c r="X715" t="s">
        <v>426</v>
      </c>
      <c r="Y715" t="s">
        <v>212</v>
      </c>
      <c r="AA715" t="s">
        <v>10974</v>
      </c>
      <c r="AB715" t="s">
        <v>370</v>
      </c>
      <c r="AD715" t="s">
        <v>11083</v>
      </c>
      <c r="AF715" t="s">
        <v>11118</v>
      </c>
      <c r="AH715" t="s">
        <v>10975</v>
      </c>
      <c r="AI715" t="s">
        <v>11126</v>
      </c>
      <c r="AK715" t="s">
        <v>7225</v>
      </c>
      <c r="AM715">
        <v>921</v>
      </c>
      <c r="AO715">
        <v>90</v>
      </c>
      <c r="AQ715" t="s">
        <v>11157</v>
      </c>
      <c r="AS715" t="s">
        <v>11173</v>
      </c>
      <c r="AU715">
        <v>7</v>
      </c>
      <c r="AW715" t="s">
        <v>11187</v>
      </c>
      <c r="AY715" t="s">
        <v>11217</v>
      </c>
      <c r="BA715" t="s">
        <v>11222</v>
      </c>
      <c r="BE715" t="s">
        <v>12103</v>
      </c>
      <c r="BG715" t="s">
        <v>14528</v>
      </c>
      <c r="BI715" t="s">
        <v>15611</v>
      </c>
      <c r="BM715" t="s">
        <v>15650</v>
      </c>
    </row>
    <row r="716" spans="1:65">
      <c r="A716" s="1">
        <f>HYPERLINK("https://lsnyc.legalserver.org/matter/dynamic-profile/view/1905630","19-1905630")</f>
        <v>0</v>
      </c>
      <c r="B716" t="s">
        <v>103</v>
      </c>
      <c r="C716" t="s">
        <v>248</v>
      </c>
      <c r="D716" t="s">
        <v>546</v>
      </c>
      <c r="F716" t="s">
        <v>1486</v>
      </c>
      <c r="G716" t="s">
        <v>2877</v>
      </c>
      <c r="H716" t="s">
        <v>5033</v>
      </c>
      <c r="I716" t="s">
        <v>6422</v>
      </c>
      <c r="J716" t="s">
        <v>7174</v>
      </c>
      <c r="K716">
        <v>11226</v>
      </c>
      <c r="M716" t="s">
        <v>7227</v>
      </c>
      <c r="N716" t="s">
        <v>7237</v>
      </c>
      <c r="O716" t="s">
        <v>7750</v>
      </c>
      <c r="P716">
        <v>2</v>
      </c>
      <c r="Q716">
        <v>0</v>
      </c>
      <c r="R716">
        <v>177.41</v>
      </c>
      <c r="U716">
        <v>30000</v>
      </c>
      <c r="W716">
        <v>0.2</v>
      </c>
      <c r="X716" t="s">
        <v>524</v>
      </c>
      <c r="Y716" t="s">
        <v>81</v>
      </c>
      <c r="AA716" t="s">
        <v>10974</v>
      </c>
      <c r="AB716" t="s">
        <v>546</v>
      </c>
      <c r="AD716" t="s">
        <v>11101</v>
      </c>
      <c r="AF716" t="s">
        <v>11118</v>
      </c>
      <c r="AH716" t="s">
        <v>10974</v>
      </c>
      <c r="AI716" t="s">
        <v>11126</v>
      </c>
      <c r="AK716" t="s">
        <v>7225</v>
      </c>
      <c r="AM716">
        <v>1165.29</v>
      </c>
      <c r="AN716" t="s">
        <v>11151</v>
      </c>
      <c r="AO716" t="s">
        <v>11153</v>
      </c>
      <c r="AP716" t="s">
        <v>11155</v>
      </c>
      <c r="AR716" t="s">
        <v>11172</v>
      </c>
      <c r="AU716">
        <v>19</v>
      </c>
      <c r="AW716" t="s">
        <v>11189</v>
      </c>
      <c r="BA716" t="s">
        <v>11222</v>
      </c>
      <c r="BE716" t="s">
        <v>12104</v>
      </c>
      <c r="BF716" t="s">
        <v>14364</v>
      </c>
      <c r="BM716" t="s">
        <v>15650</v>
      </c>
    </row>
    <row r="717" spans="1:65">
      <c r="A717" s="1">
        <f>HYPERLINK("https://lsnyc.legalserver.org/matter/dynamic-profile/view/1886780","19-1886780")</f>
        <v>0</v>
      </c>
      <c r="B717" t="s">
        <v>103</v>
      </c>
      <c r="C717" t="s">
        <v>248</v>
      </c>
      <c r="D717" t="s">
        <v>547</v>
      </c>
      <c r="E717" t="s">
        <v>638</v>
      </c>
      <c r="F717" t="s">
        <v>1487</v>
      </c>
      <c r="G717" t="s">
        <v>3257</v>
      </c>
      <c r="H717" t="s">
        <v>5036</v>
      </c>
      <c r="J717" t="s">
        <v>7174</v>
      </c>
      <c r="K717">
        <v>11230</v>
      </c>
      <c r="L717" t="s">
        <v>7217</v>
      </c>
      <c r="M717" t="s">
        <v>7227</v>
      </c>
      <c r="N717" t="s">
        <v>7237</v>
      </c>
      <c r="O717" t="s">
        <v>7751</v>
      </c>
      <c r="P717">
        <v>2</v>
      </c>
      <c r="Q717">
        <v>2</v>
      </c>
      <c r="R717">
        <v>108.05</v>
      </c>
      <c r="U717">
        <v>27120</v>
      </c>
      <c r="W717">
        <v>1.5</v>
      </c>
      <c r="X717" t="s">
        <v>336</v>
      </c>
      <c r="Y717" t="s">
        <v>81</v>
      </c>
      <c r="AA717" t="s">
        <v>10974</v>
      </c>
      <c r="AB717" t="s">
        <v>597</v>
      </c>
      <c r="AD717" t="s">
        <v>11100</v>
      </c>
      <c r="AF717" t="s">
        <v>11120</v>
      </c>
      <c r="AH717" t="s">
        <v>10975</v>
      </c>
      <c r="AJ717" t="s">
        <v>11140</v>
      </c>
      <c r="AK717" t="s">
        <v>7225</v>
      </c>
      <c r="AM717">
        <v>1345.21</v>
      </c>
      <c r="AO717">
        <v>60</v>
      </c>
      <c r="AQ717" t="s">
        <v>11157</v>
      </c>
      <c r="AS717" t="s">
        <v>11173</v>
      </c>
      <c r="AU717">
        <v>6</v>
      </c>
      <c r="AW717" t="s">
        <v>11187</v>
      </c>
      <c r="AZ717" t="s">
        <v>11221</v>
      </c>
      <c r="BE717" t="s">
        <v>12105</v>
      </c>
      <c r="BF717" t="s">
        <v>14364</v>
      </c>
      <c r="BM717" t="s">
        <v>15651</v>
      </c>
    </row>
    <row r="718" spans="1:65">
      <c r="A718" s="1">
        <f>HYPERLINK("https://lsnyc.legalserver.org/matter/dynamic-profile/view/1915608","19-1915608")</f>
        <v>0</v>
      </c>
      <c r="B718" t="s">
        <v>103</v>
      </c>
      <c r="C718" t="s">
        <v>248</v>
      </c>
      <c r="D718" t="s">
        <v>548</v>
      </c>
      <c r="F718" t="s">
        <v>1488</v>
      </c>
      <c r="G718" t="s">
        <v>3258</v>
      </c>
      <c r="H718" t="s">
        <v>5037</v>
      </c>
      <c r="I718">
        <v>11</v>
      </c>
      <c r="J718" t="s">
        <v>7174</v>
      </c>
      <c r="K718">
        <v>11238</v>
      </c>
      <c r="N718" t="s">
        <v>7237</v>
      </c>
      <c r="O718" t="s">
        <v>7752</v>
      </c>
      <c r="P718">
        <v>2</v>
      </c>
      <c r="Q718">
        <v>0</v>
      </c>
      <c r="R718">
        <v>0</v>
      </c>
      <c r="U718">
        <v>0</v>
      </c>
      <c r="W718">
        <v>2.7</v>
      </c>
      <c r="X718" t="s">
        <v>528</v>
      </c>
      <c r="Y718" t="s">
        <v>81</v>
      </c>
      <c r="AA718" t="s">
        <v>10974</v>
      </c>
      <c r="AB718" t="s">
        <v>548</v>
      </c>
      <c r="AC718" t="s">
        <v>11081</v>
      </c>
      <c r="AF718" t="s">
        <v>11118</v>
      </c>
      <c r="AH718" t="s">
        <v>10975</v>
      </c>
      <c r="AI718" t="s">
        <v>11126</v>
      </c>
      <c r="AK718" t="s">
        <v>7225</v>
      </c>
      <c r="AM718">
        <v>1200</v>
      </c>
      <c r="AO718">
        <v>6</v>
      </c>
      <c r="AP718" t="s">
        <v>11155</v>
      </c>
      <c r="AR718" t="s">
        <v>11172</v>
      </c>
      <c r="AT718" t="s">
        <v>11184</v>
      </c>
      <c r="AU718">
        <v>0</v>
      </c>
      <c r="AW718" t="s">
        <v>11187</v>
      </c>
      <c r="BA718" t="s">
        <v>11222</v>
      </c>
      <c r="BE718" t="s">
        <v>12106</v>
      </c>
      <c r="BF718" t="s">
        <v>14364</v>
      </c>
      <c r="BM718" t="s">
        <v>15650</v>
      </c>
    </row>
    <row r="719" spans="1:65">
      <c r="A719" s="1">
        <f>HYPERLINK("https://lsnyc.legalserver.org/matter/dynamic-profile/view/1891367","19-1891367")</f>
        <v>0</v>
      </c>
      <c r="B719" t="s">
        <v>103</v>
      </c>
      <c r="C719" t="s">
        <v>248</v>
      </c>
      <c r="D719" t="s">
        <v>545</v>
      </c>
      <c r="F719" t="s">
        <v>1489</v>
      </c>
      <c r="G719" t="s">
        <v>3259</v>
      </c>
      <c r="H719" t="s">
        <v>5034</v>
      </c>
      <c r="I719" t="s">
        <v>6625</v>
      </c>
      <c r="J719" t="s">
        <v>7174</v>
      </c>
      <c r="K719">
        <v>11225</v>
      </c>
      <c r="M719" t="s">
        <v>7227</v>
      </c>
      <c r="N719" t="s">
        <v>7237</v>
      </c>
      <c r="O719" t="s">
        <v>7753</v>
      </c>
      <c r="P719">
        <v>1</v>
      </c>
      <c r="Q719">
        <v>0</v>
      </c>
      <c r="R719">
        <v>320.26</v>
      </c>
      <c r="U719">
        <v>40000</v>
      </c>
      <c r="W719">
        <v>4.1</v>
      </c>
      <c r="X719" t="s">
        <v>436</v>
      </c>
      <c r="Y719" t="s">
        <v>81</v>
      </c>
      <c r="AA719" t="s">
        <v>10974</v>
      </c>
      <c r="AB719" t="s">
        <v>367</v>
      </c>
      <c r="AD719" t="s">
        <v>11098</v>
      </c>
      <c r="AF719" t="s">
        <v>11122</v>
      </c>
      <c r="AH719" t="s">
        <v>10974</v>
      </c>
      <c r="AJ719" t="s">
        <v>11141</v>
      </c>
      <c r="AK719" t="s">
        <v>7225</v>
      </c>
      <c r="AM719">
        <v>856</v>
      </c>
      <c r="AO719">
        <v>89</v>
      </c>
      <c r="AQ719" t="s">
        <v>11157</v>
      </c>
      <c r="AR719" t="s">
        <v>11172</v>
      </c>
      <c r="AU719">
        <v>16</v>
      </c>
      <c r="AW719" t="s">
        <v>11187</v>
      </c>
      <c r="AZ719" t="s">
        <v>11221</v>
      </c>
      <c r="BE719" t="s">
        <v>12107</v>
      </c>
      <c r="BG719" t="s">
        <v>14527</v>
      </c>
      <c r="BM719" t="s">
        <v>15650</v>
      </c>
    </row>
    <row r="720" spans="1:65">
      <c r="A720" s="1">
        <f>HYPERLINK("https://lsnyc.legalserver.org/matter/dynamic-profile/view/1913986","19-1913986")</f>
        <v>0</v>
      </c>
      <c r="B720" t="s">
        <v>103</v>
      </c>
      <c r="C720" t="s">
        <v>248</v>
      </c>
      <c r="D720" t="s">
        <v>333</v>
      </c>
      <c r="F720" t="s">
        <v>1490</v>
      </c>
      <c r="G720" t="s">
        <v>3260</v>
      </c>
      <c r="H720" t="s">
        <v>5038</v>
      </c>
      <c r="I720">
        <v>26</v>
      </c>
      <c r="J720" t="s">
        <v>7174</v>
      </c>
      <c r="K720">
        <v>11215</v>
      </c>
      <c r="N720" t="s">
        <v>7237</v>
      </c>
      <c r="O720" t="s">
        <v>7754</v>
      </c>
      <c r="P720">
        <v>1</v>
      </c>
      <c r="Q720">
        <v>2</v>
      </c>
      <c r="R720">
        <v>182.84</v>
      </c>
      <c r="U720">
        <v>39000</v>
      </c>
      <c r="W720">
        <v>1.3</v>
      </c>
      <c r="X720" t="s">
        <v>669</v>
      </c>
      <c r="Y720" t="s">
        <v>103</v>
      </c>
      <c r="AA720" t="s">
        <v>10974</v>
      </c>
      <c r="AB720" t="s">
        <v>801</v>
      </c>
      <c r="AD720" t="s">
        <v>11082</v>
      </c>
      <c r="AF720" t="s">
        <v>11118</v>
      </c>
      <c r="AH720" t="s">
        <v>10975</v>
      </c>
      <c r="AJ720" t="s">
        <v>11129</v>
      </c>
      <c r="AK720" t="s">
        <v>7225</v>
      </c>
      <c r="AL720" t="s">
        <v>11150</v>
      </c>
      <c r="AM720">
        <v>0</v>
      </c>
      <c r="AO720">
        <v>8</v>
      </c>
      <c r="AP720" t="s">
        <v>11155</v>
      </c>
      <c r="AR720" t="s">
        <v>11172</v>
      </c>
      <c r="AT720" t="s">
        <v>11184</v>
      </c>
      <c r="AU720">
        <v>0</v>
      </c>
      <c r="AW720" t="s">
        <v>11187</v>
      </c>
      <c r="AY720" t="s">
        <v>11213</v>
      </c>
      <c r="BA720" t="s">
        <v>11222</v>
      </c>
      <c r="BE720" t="s">
        <v>12108</v>
      </c>
      <c r="BG720" t="s">
        <v>14529</v>
      </c>
      <c r="BM720" t="s">
        <v>15650</v>
      </c>
    </row>
    <row r="721" spans="1:65">
      <c r="A721" s="1">
        <f>HYPERLINK("https://lsnyc.legalserver.org/matter/dynamic-profile/view/1900598","19-1900598")</f>
        <v>0</v>
      </c>
      <c r="B721" t="s">
        <v>103</v>
      </c>
      <c r="C721" t="s">
        <v>248</v>
      </c>
      <c r="D721" t="s">
        <v>549</v>
      </c>
      <c r="F721" t="s">
        <v>1491</v>
      </c>
      <c r="G721" t="s">
        <v>3261</v>
      </c>
      <c r="H721" t="s">
        <v>5033</v>
      </c>
      <c r="I721" t="s">
        <v>6448</v>
      </c>
      <c r="J721" t="s">
        <v>7174</v>
      </c>
      <c r="K721">
        <v>11226</v>
      </c>
      <c r="M721" t="s">
        <v>7227</v>
      </c>
      <c r="N721" t="s">
        <v>7237</v>
      </c>
      <c r="O721" t="s">
        <v>7755</v>
      </c>
      <c r="P721">
        <v>2</v>
      </c>
      <c r="Q721">
        <v>0</v>
      </c>
      <c r="R721">
        <v>603.1900000000001</v>
      </c>
      <c r="U721">
        <v>102000</v>
      </c>
      <c r="W721">
        <v>0.3</v>
      </c>
      <c r="X721" t="s">
        <v>549</v>
      </c>
      <c r="Y721" t="s">
        <v>212</v>
      </c>
      <c r="AA721" t="s">
        <v>10974</v>
      </c>
      <c r="AB721" t="s">
        <v>549</v>
      </c>
      <c r="AD721" t="s">
        <v>11101</v>
      </c>
      <c r="AF721" t="s">
        <v>11118</v>
      </c>
      <c r="AH721" t="s">
        <v>10974</v>
      </c>
      <c r="AJ721" t="s">
        <v>11134</v>
      </c>
      <c r="AK721" t="s">
        <v>7225</v>
      </c>
      <c r="AM721">
        <v>1670</v>
      </c>
      <c r="AO721">
        <v>36</v>
      </c>
      <c r="AQ721" t="s">
        <v>11157</v>
      </c>
      <c r="AS721" t="s">
        <v>11173</v>
      </c>
      <c r="AU721">
        <v>4</v>
      </c>
      <c r="AW721" t="s">
        <v>11187</v>
      </c>
      <c r="AY721" t="s">
        <v>11213</v>
      </c>
      <c r="BA721" t="s">
        <v>11222</v>
      </c>
      <c r="BE721" t="s">
        <v>12109</v>
      </c>
      <c r="BF721" t="s">
        <v>14364</v>
      </c>
      <c r="BG721" t="s">
        <v>14525</v>
      </c>
      <c r="BM721" t="s">
        <v>15650</v>
      </c>
    </row>
    <row r="722" spans="1:65">
      <c r="A722" s="1">
        <f>HYPERLINK("https://lsnyc.legalserver.org/matter/dynamic-profile/view/1910509","19-1910509")</f>
        <v>0</v>
      </c>
      <c r="B722" t="s">
        <v>103</v>
      </c>
      <c r="C722" t="s">
        <v>248</v>
      </c>
      <c r="D722" t="s">
        <v>263</v>
      </c>
      <c r="F722" t="s">
        <v>1490</v>
      </c>
      <c r="G722" t="s">
        <v>3260</v>
      </c>
      <c r="H722" t="s">
        <v>5038</v>
      </c>
      <c r="I722">
        <v>26</v>
      </c>
      <c r="J722" t="s">
        <v>7174</v>
      </c>
      <c r="K722">
        <v>11215</v>
      </c>
      <c r="N722" t="s">
        <v>7237</v>
      </c>
      <c r="O722" t="s">
        <v>7754</v>
      </c>
      <c r="P722">
        <v>1</v>
      </c>
      <c r="Q722">
        <v>2</v>
      </c>
      <c r="R722">
        <v>182.84</v>
      </c>
      <c r="U722">
        <v>39000</v>
      </c>
      <c r="W722">
        <v>4.6</v>
      </c>
      <c r="X722" t="s">
        <v>536</v>
      </c>
      <c r="Y722" t="s">
        <v>103</v>
      </c>
      <c r="AA722" t="s">
        <v>10974</v>
      </c>
      <c r="AB722" t="s">
        <v>263</v>
      </c>
      <c r="AC722" t="s">
        <v>11081</v>
      </c>
      <c r="AF722" t="s">
        <v>10384</v>
      </c>
      <c r="AH722" t="s">
        <v>10975</v>
      </c>
      <c r="AJ722" t="s">
        <v>11138</v>
      </c>
      <c r="AK722" t="s">
        <v>7225</v>
      </c>
      <c r="AM722">
        <v>1380.54</v>
      </c>
      <c r="AO722">
        <v>26</v>
      </c>
      <c r="AQ722" t="s">
        <v>11157</v>
      </c>
      <c r="AS722" t="s">
        <v>11173</v>
      </c>
      <c r="AU722">
        <v>7</v>
      </c>
      <c r="AW722" t="s">
        <v>11187</v>
      </c>
      <c r="AY722" t="s">
        <v>11213</v>
      </c>
      <c r="AZ722" t="s">
        <v>11221</v>
      </c>
      <c r="BE722" t="s">
        <v>12108</v>
      </c>
      <c r="BF722" t="s">
        <v>14364</v>
      </c>
      <c r="BM722" t="s">
        <v>15650</v>
      </c>
    </row>
    <row r="723" spans="1:65">
      <c r="A723" s="1">
        <f>HYPERLINK("https://lsnyc.legalserver.org/matter/dynamic-profile/view/1894728","19-1894728")</f>
        <v>0</v>
      </c>
      <c r="B723" t="s">
        <v>103</v>
      </c>
      <c r="C723" t="s">
        <v>248</v>
      </c>
      <c r="D723" t="s">
        <v>550</v>
      </c>
      <c r="F723" t="s">
        <v>1093</v>
      </c>
      <c r="G723" t="s">
        <v>3262</v>
      </c>
      <c r="H723" t="s">
        <v>5039</v>
      </c>
      <c r="J723" t="s">
        <v>7174</v>
      </c>
      <c r="K723">
        <v>11217</v>
      </c>
      <c r="N723" t="s">
        <v>7237</v>
      </c>
      <c r="O723" t="s">
        <v>7756</v>
      </c>
      <c r="P723">
        <v>2</v>
      </c>
      <c r="Q723">
        <v>1</v>
      </c>
      <c r="R723">
        <v>46.98</v>
      </c>
      <c r="U723">
        <v>10020</v>
      </c>
      <c r="W723">
        <v>1.6</v>
      </c>
      <c r="X723" t="s">
        <v>333</v>
      </c>
      <c r="Y723" t="s">
        <v>81</v>
      </c>
      <c r="AA723" t="s">
        <v>10974</v>
      </c>
      <c r="AB723" t="s">
        <v>472</v>
      </c>
      <c r="AC723" t="s">
        <v>11081</v>
      </c>
      <c r="AF723" t="s">
        <v>11120</v>
      </c>
      <c r="AG723" t="s">
        <v>11124</v>
      </c>
      <c r="AI723" t="s">
        <v>11126</v>
      </c>
      <c r="AK723" t="s">
        <v>7225</v>
      </c>
      <c r="AM723">
        <v>1104</v>
      </c>
      <c r="AN723" t="s">
        <v>11151</v>
      </c>
      <c r="AO723" t="s">
        <v>11153</v>
      </c>
      <c r="AP723" t="s">
        <v>11155</v>
      </c>
      <c r="AR723" t="s">
        <v>11172</v>
      </c>
      <c r="AU723">
        <v>-1</v>
      </c>
      <c r="AW723" t="s">
        <v>11187</v>
      </c>
      <c r="AZ723" t="s">
        <v>11221</v>
      </c>
      <c r="BB723" t="s">
        <v>11224</v>
      </c>
      <c r="BC723">
        <v>9122791</v>
      </c>
      <c r="BE723" t="s">
        <v>12110</v>
      </c>
      <c r="BF723" t="s">
        <v>14364</v>
      </c>
      <c r="BM723" t="s">
        <v>15650</v>
      </c>
    </row>
    <row r="724" spans="1:65">
      <c r="A724" s="1">
        <f>HYPERLINK("https://lsnyc.legalserver.org/matter/dynamic-profile/view/1907666","19-1907666")</f>
        <v>0</v>
      </c>
      <c r="B724" t="s">
        <v>103</v>
      </c>
      <c r="C724" t="s">
        <v>248</v>
      </c>
      <c r="D724" t="s">
        <v>544</v>
      </c>
      <c r="F724" t="s">
        <v>1492</v>
      </c>
      <c r="G724" t="s">
        <v>3263</v>
      </c>
      <c r="H724" t="s">
        <v>5033</v>
      </c>
      <c r="I724" t="s">
        <v>6626</v>
      </c>
      <c r="J724" t="s">
        <v>7174</v>
      </c>
      <c r="K724">
        <v>11226</v>
      </c>
      <c r="N724" t="s">
        <v>7237</v>
      </c>
      <c r="O724" t="s">
        <v>7757</v>
      </c>
      <c r="P724">
        <v>2</v>
      </c>
      <c r="Q724">
        <v>1</v>
      </c>
      <c r="R724">
        <v>48.76</v>
      </c>
      <c r="U724">
        <v>10400</v>
      </c>
      <c r="V724" t="s">
        <v>10315</v>
      </c>
      <c r="W724">
        <v>0.2</v>
      </c>
      <c r="X724" t="s">
        <v>544</v>
      </c>
      <c r="Y724" t="s">
        <v>212</v>
      </c>
      <c r="AA724" t="s">
        <v>10974</v>
      </c>
      <c r="AB724" t="s">
        <v>544</v>
      </c>
      <c r="AD724" t="s">
        <v>11098</v>
      </c>
      <c r="AF724" t="s">
        <v>11122</v>
      </c>
      <c r="AH724" t="s">
        <v>10974</v>
      </c>
      <c r="AI724" t="s">
        <v>11126</v>
      </c>
      <c r="AK724" t="s">
        <v>7225</v>
      </c>
      <c r="AL724" t="s">
        <v>11150</v>
      </c>
      <c r="AM724">
        <v>0</v>
      </c>
      <c r="AO724">
        <v>36</v>
      </c>
      <c r="AQ724" t="s">
        <v>11157</v>
      </c>
      <c r="AR724" t="s">
        <v>11172</v>
      </c>
      <c r="AT724" t="s">
        <v>11184</v>
      </c>
      <c r="AU724">
        <v>0</v>
      </c>
      <c r="AW724" t="s">
        <v>11189</v>
      </c>
      <c r="BA724" t="s">
        <v>11222</v>
      </c>
      <c r="BD724" t="s">
        <v>11667</v>
      </c>
      <c r="BF724" t="s">
        <v>14364</v>
      </c>
      <c r="BM724" t="s">
        <v>15650</v>
      </c>
    </row>
    <row r="725" spans="1:65">
      <c r="A725" s="1">
        <f>HYPERLINK("https://lsnyc.legalserver.org/matter/dynamic-profile/view/1900448","19-1900448")</f>
        <v>0</v>
      </c>
      <c r="B725" t="s">
        <v>103</v>
      </c>
      <c r="C725" t="s">
        <v>248</v>
      </c>
      <c r="D725" t="s">
        <v>275</v>
      </c>
      <c r="F725" t="s">
        <v>1492</v>
      </c>
      <c r="G725" t="s">
        <v>3263</v>
      </c>
      <c r="H725" t="s">
        <v>5033</v>
      </c>
      <c r="I725" t="s">
        <v>6626</v>
      </c>
      <c r="J725" t="s">
        <v>7174</v>
      </c>
      <c r="K725">
        <v>11226</v>
      </c>
      <c r="M725" t="s">
        <v>7227</v>
      </c>
      <c r="N725" t="s">
        <v>7237</v>
      </c>
      <c r="O725" t="s">
        <v>7757</v>
      </c>
      <c r="P725">
        <v>2</v>
      </c>
      <c r="Q725">
        <v>1</v>
      </c>
      <c r="R725">
        <v>48.76</v>
      </c>
      <c r="U725">
        <v>10400</v>
      </c>
      <c r="W725">
        <v>0.2</v>
      </c>
      <c r="X725" t="s">
        <v>275</v>
      </c>
      <c r="Y725" t="s">
        <v>212</v>
      </c>
      <c r="AA725" t="s">
        <v>10974</v>
      </c>
      <c r="AB725" t="s">
        <v>10987</v>
      </c>
      <c r="AD725" t="s">
        <v>11101</v>
      </c>
      <c r="AF725" t="s">
        <v>11118</v>
      </c>
      <c r="AH725" t="s">
        <v>10974</v>
      </c>
      <c r="AJ725" t="s">
        <v>11134</v>
      </c>
      <c r="AK725" t="s">
        <v>7225</v>
      </c>
      <c r="AM725">
        <v>1050.15</v>
      </c>
      <c r="AO725">
        <v>36</v>
      </c>
      <c r="AQ725" t="s">
        <v>11157</v>
      </c>
      <c r="AR725" t="s">
        <v>11172</v>
      </c>
      <c r="AU725">
        <v>21</v>
      </c>
      <c r="AW725" t="s">
        <v>11189</v>
      </c>
      <c r="AY725" t="s">
        <v>11213</v>
      </c>
      <c r="BA725" t="s">
        <v>11222</v>
      </c>
      <c r="BD725" t="s">
        <v>11667</v>
      </c>
      <c r="BF725" t="s">
        <v>14364</v>
      </c>
      <c r="BG725" t="s">
        <v>14525</v>
      </c>
      <c r="BM725" t="s">
        <v>15650</v>
      </c>
    </row>
    <row r="726" spans="1:65">
      <c r="A726" s="1">
        <f>HYPERLINK("https://lsnyc.legalserver.org/matter/dynamic-profile/view/1883006","18-1883006")</f>
        <v>0</v>
      </c>
      <c r="B726" t="s">
        <v>103</v>
      </c>
      <c r="C726" t="s">
        <v>248</v>
      </c>
      <c r="D726" t="s">
        <v>400</v>
      </c>
      <c r="F726" t="s">
        <v>1493</v>
      </c>
      <c r="G726" t="s">
        <v>3264</v>
      </c>
      <c r="H726" t="s">
        <v>4837</v>
      </c>
      <c r="I726" t="s">
        <v>6568</v>
      </c>
      <c r="J726" t="s">
        <v>7174</v>
      </c>
      <c r="K726">
        <v>11226</v>
      </c>
      <c r="N726" t="s">
        <v>7237</v>
      </c>
      <c r="O726" t="s">
        <v>7758</v>
      </c>
      <c r="P726">
        <v>2</v>
      </c>
      <c r="Q726">
        <v>0</v>
      </c>
      <c r="R726">
        <v>258.81</v>
      </c>
      <c r="U726">
        <v>42600</v>
      </c>
      <c r="V726" t="s">
        <v>10316</v>
      </c>
      <c r="W726">
        <v>9.5</v>
      </c>
      <c r="X726" t="s">
        <v>583</v>
      </c>
      <c r="Y726" t="s">
        <v>212</v>
      </c>
      <c r="AA726" t="s">
        <v>10974</v>
      </c>
      <c r="AB726" t="s">
        <v>552</v>
      </c>
      <c r="AD726" t="s">
        <v>11100</v>
      </c>
      <c r="AF726" t="s">
        <v>10384</v>
      </c>
      <c r="AH726" t="s">
        <v>10975</v>
      </c>
      <c r="AJ726" t="s">
        <v>11141</v>
      </c>
      <c r="AK726" t="s">
        <v>7225</v>
      </c>
      <c r="AM726">
        <v>1822.5</v>
      </c>
      <c r="AO726">
        <v>120</v>
      </c>
      <c r="AQ726" t="s">
        <v>11157</v>
      </c>
      <c r="AR726" t="s">
        <v>11172</v>
      </c>
      <c r="AU726">
        <v>4</v>
      </c>
      <c r="AW726" t="s">
        <v>11187</v>
      </c>
      <c r="BA726" t="s">
        <v>11222</v>
      </c>
      <c r="BE726" t="s">
        <v>12111</v>
      </c>
      <c r="BF726" t="s">
        <v>14364</v>
      </c>
      <c r="BM726" t="s">
        <v>15650</v>
      </c>
    </row>
    <row r="727" spans="1:65">
      <c r="A727" s="1">
        <f>HYPERLINK("https://lsnyc.legalserver.org/matter/dynamic-profile/view/1886501","18-1886501")</f>
        <v>0</v>
      </c>
      <c r="B727" t="s">
        <v>103</v>
      </c>
      <c r="C727" t="s">
        <v>248</v>
      </c>
      <c r="D727" t="s">
        <v>551</v>
      </c>
      <c r="E727" t="s">
        <v>638</v>
      </c>
      <c r="F727" t="s">
        <v>1487</v>
      </c>
      <c r="G727" t="s">
        <v>3257</v>
      </c>
      <c r="H727" t="s">
        <v>5036</v>
      </c>
      <c r="J727" t="s">
        <v>7174</v>
      </c>
      <c r="K727">
        <v>11230</v>
      </c>
      <c r="L727" t="s">
        <v>7219</v>
      </c>
      <c r="M727" t="s">
        <v>7225</v>
      </c>
      <c r="N727" t="s">
        <v>7237</v>
      </c>
      <c r="O727" t="s">
        <v>7751</v>
      </c>
      <c r="P727">
        <v>2</v>
      </c>
      <c r="Q727">
        <v>2</v>
      </c>
      <c r="R727">
        <v>108.05</v>
      </c>
      <c r="U727">
        <v>27120</v>
      </c>
      <c r="W727">
        <v>13.4</v>
      </c>
      <c r="X727" t="s">
        <v>701</v>
      </c>
      <c r="Y727" t="s">
        <v>81</v>
      </c>
      <c r="AA727" t="s">
        <v>10974</v>
      </c>
      <c r="AB727" t="s">
        <v>551</v>
      </c>
      <c r="AD727" t="s">
        <v>11082</v>
      </c>
      <c r="AF727" t="s">
        <v>11118</v>
      </c>
      <c r="AH727" t="s">
        <v>10975</v>
      </c>
      <c r="AJ727" t="s">
        <v>11140</v>
      </c>
      <c r="AK727" t="s">
        <v>7225</v>
      </c>
      <c r="AM727">
        <v>1345.21</v>
      </c>
      <c r="AO727">
        <v>60</v>
      </c>
      <c r="AQ727" t="s">
        <v>11157</v>
      </c>
      <c r="AS727" t="s">
        <v>11173</v>
      </c>
      <c r="AU727">
        <v>6</v>
      </c>
      <c r="AW727" t="s">
        <v>11187</v>
      </c>
      <c r="AY727" t="s">
        <v>11216</v>
      </c>
      <c r="BA727" t="s">
        <v>11222</v>
      </c>
      <c r="BE727" t="s">
        <v>12105</v>
      </c>
      <c r="BG727" t="s">
        <v>14530</v>
      </c>
      <c r="BH727" t="s">
        <v>15605</v>
      </c>
      <c r="BJ727" t="s">
        <v>15615</v>
      </c>
      <c r="BL727" t="s">
        <v>15648</v>
      </c>
      <c r="BM727" t="s">
        <v>15651</v>
      </c>
    </row>
    <row r="728" spans="1:65">
      <c r="A728" s="1">
        <f>HYPERLINK("https://lsnyc.legalserver.org/matter/dynamic-profile/view/1892931","19-1892931")</f>
        <v>0</v>
      </c>
      <c r="B728" t="s">
        <v>103</v>
      </c>
      <c r="C728" t="s">
        <v>248</v>
      </c>
      <c r="D728" t="s">
        <v>319</v>
      </c>
      <c r="F728" t="s">
        <v>1489</v>
      </c>
      <c r="G728" t="s">
        <v>3259</v>
      </c>
      <c r="H728" t="s">
        <v>5034</v>
      </c>
      <c r="I728" t="s">
        <v>6625</v>
      </c>
      <c r="J728" t="s">
        <v>7174</v>
      </c>
      <c r="K728">
        <v>11225</v>
      </c>
      <c r="N728" t="s">
        <v>7237</v>
      </c>
      <c r="O728" t="s">
        <v>7753</v>
      </c>
      <c r="P728">
        <v>1</v>
      </c>
      <c r="Q728">
        <v>0</v>
      </c>
      <c r="R728">
        <v>320.26</v>
      </c>
      <c r="U728">
        <v>40000</v>
      </c>
      <c r="W728">
        <v>6.2</v>
      </c>
      <c r="X728" t="s">
        <v>571</v>
      </c>
      <c r="Y728" t="s">
        <v>81</v>
      </c>
      <c r="AA728" t="s">
        <v>10974</v>
      </c>
      <c r="AB728" t="s">
        <v>367</v>
      </c>
      <c r="AD728" t="s">
        <v>11098</v>
      </c>
      <c r="AF728" t="s">
        <v>11122</v>
      </c>
      <c r="AH728" t="s">
        <v>10974</v>
      </c>
      <c r="AJ728" t="s">
        <v>11141</v>
      </c>
      <c r="AK728" t="s">
        <v>7225</v>
      </c>
      <c r="AL728" t="s">
        <v>11150</v>
      </c>
      <c r="AM728">
        <v>0</v>
      </c>
      <c r="AO728">
        <v>86</v>
      </c>
      <c r="AQ728" t="s">
        <v>11157</v>
      </c>
      <c r="AR728" t="s">
        <v>11172</v>
      </c>
      <c r="AU728">
        <v>16</v>
      </c>
      <c r="AW728" t="s">
        <v>11187</v>
      </c>
      <c r="AZ728" t="s">
        <v>11221</v>
      </c>
      <c r="BE728" t="s">
        <v>12107</v>
      </c>
      <c r="BG728" t="s">
        <v>14526</v>
      </c>
      <c r="BM728" t="s">
        <v>15650</v>
      </c>
    </row>
    <row r="729" spans="1:65">
      <c r="A729" s="1">
        <f>HYPERLINK("https://lsnyc.legalserver.org/matter/dynamic-profile/view/1884060","18-1884060")</f>
        <v>0</v>
      </c>
      <c r="B729" t="s">
        <v>103</v>
      </c>
      <c r="C729" t="s">
        <v>248</v>
      </c>
      <c r="D729" t="s">
        <v>552</v>
      </c>
      <c r="F729" t="s">
        <v>1493</v>
      </c>
      <c r="G729" t="s">
        <v>3264</v>
      </c>
      <c r="H729" t="s">
        <v>4837</v>
      </c>
      <c r="I729" t="s">
        <v>6568</v>
      </c>
      <c r="J729" t="s">
        <v>7174</v>
      </c>
      <c r="K729">
        <v>11226</v>
      </c>
      <c r="N729" t="s">
        <v>7237</v>
      </c>
      <c r="O729" t="s">
        <v>7758</v>
      </c>
      <c r="P729">
        <v>2</v>
      </c>
      <c r="Q729">
        <v>0</v>
      </c>
      <c r="R729">
        <v>146.74</v>
      </c>
      <c r="U729">
        <v>24154</v>
      </c>
      <c r="V729" t="s">
        <v>10317</v>
      </c>
      <c r="W729">
        <v>5.2</v>
      </c>
      <c r="X729" t="s">
        <v>314</v>
      </c>
      <c r="Y729" t="s">
        <v>10912</v>
      </c>
      <c r="AA729" t="s">
        <v>10974</v>
      </c>
      <c r="AB729" t="s">
        <v>608</v>
      </c>
      <c r="AD729" t="s">
        <v>11086</v>
      </c>
      <c r="AF729" t="s">
        <v>10384</v>
      </c>
      <c r="AH729" t="s">
        <v>10975</v>
      </c>
      <c r="AJ729" t="s">
        <v>11141</v>
      </c>
      <c r="AK729" t="s">
        <v>7225</v>
      </c>
      <c r="AM729">
        <v>1822.5</v>
      </c>
      <c r="AO729">
        <v>120</v>
      </c>
      <c r="AQ729" t="s">
        <v>11157</v>
      </c>
      <c r="AR729" t="s">
        <v>11172</v>
      </c>
      <c r="AU729">
        <v>4</v>
      </c>
      <c r="AW729" t="s">
        <v>11187</v>
      </c>
      <c r="BA729" t="s">
        <v>11222</v>
      </c>
      <c r="BE729" t="s">
        <v>12111</v>
      </c>
      <c r="BF729" t="s">
        <v>14364</v>
      </c>
      <c r="BM729" t="s">
        <v>15650</v>
      </c>
    </row>
    <row r="730" spans="1:65">
      <c r="A730" s="1">
        <f>HYPERLINK("https://lsnyc.legalserver.org/matter/dynamic-profile/view/1891795","19-1891795")</f>
        <v>0</v>
      </c>
      <c r="B730" t="s">
        <v>103</v>
      </c>
      <c r="C730" t="s">
        <v>248</v>
      </c>
      <c r="D730" t="s">
        <v>545</v>
      </c>
      <c r="F730" t="s">
        <v>1093</v>
      </c>
      <c r="G730" t="s">
        <v>3265</v>
      </c>
      <c r="H730" t="s">
        <v>5034</v>
      </c>
      <c r="J730" t="s">
        <v>7174</v>
      </c>
      <c r="K730">
        <v>11225</v>
      </c>
      <c r="M730" t="s">
        <v>7227</v>
      </c>
      <c r="N730" t="s">
        <v>7237</v>
      </c>
      <c r="O730" t="s">
        <v>7759</v>
      </c>
      <c r="P730">
        <v>1</v>
      </c>
      <c r="Q730">
        <v>0</v>
      </c>
      <c r="R730">
        <v>528.42</v>
      </c>
      <c r="U730">
        <v>66000</v>
      </c>
      <c r="W730">
        <v>0.2</v>
      </c>
      <c r="X730" t="s">
        <v>319</v>
      </c>
      <c r="Y730" t="s">
        <v>81</v>
      </c>
      <c r="AA730" t="s">
        <v>10974</v>
      </c>
      <c r="AB730" t="s">
        <v>367</v>
      </c>
      <c r="AD730" t="s">
        <v>11098</v>
      </c>
      <c r="AF730" t="s">
        <v>11122</v>
      </c>
      <c r="AH730" t="s">
        <v>10974</v>
      </c>
      <c r="AJ730" t="s">
        <v>11141</v>
      </c>
      <c r="AK730" t="s">
        <v>7225</v>
      </c>
      <c r="AM730">
        <v>1552.37</v>
      </c>
      <c r="AO730">
        <v>89</v>
      </c>
      <c r="AQ730" t="s">
        <v>11157</v>
      </c>
      <c r="AR730" t="s">
        <v>11172</v>
      </c>
      <c r="AU730">
        <v>3</v>
      </c>
      <c r="AW730" t="s">
        <v>11187</v>
      </c>
      <c r="AZ730" t="s">
        <v>11221</v>
      </c>
      <c r="BE730" t="s">
        <v>12112</v>
      </c>
      <c r="BG730" t="s">
        <v>14526</v>
      </c>
      <c r="BM730" t="s">
        <v>15650</v>
      </c>
    </row>
    <row r="731" spans="1:65">
      <c r="A731" s="1">
        <f>HYPERLINK("https://lsnyc.legalserver.org/matter/dynamic-profile/view/1881758","18-1881758")</f>
        <v>0</v>
      </c>
      <c r="B731" t="s">
        <v>103</v>
      </c>
      <c r="C731" t="s">
        <v>248</v>
      </c>
      <c r="D731" t="s">
        <v>553</v>
      </c>
      <c r="F731" t="s">
        <v>1490</v>
      </c>
      <c r="G731" t="s">
        <v>3260</v>
      </c>
      <c r="H731" t="s">
        <v>5038</v>
      </c>
      <c r="I731">
        <v>26</v>
      </c>
      <c r="J731" t="s">
        <v>7174</v>
      </c>
      <c r="K731">
        <v>11215</v>
      </c>
      <c r="N731" t="s">
        <v>7237</v>
      </c>
      <c r="O731" t="s">
        <v>7754</v>
      </c>
      <c r="P731">
        <v>1</v>
      </c>
      <c r="Q731">
        <v>2</v>
      </c>
      <c r="R731">
        <v>187.68</v>
      </c>
      <c r="U731">
        <v>39000</v>
      </c>
      <c r="W731">
        <v>140.2</v>
      </c>
      <c r="X731" t="s">
        <v>443</v>
      </c>
      <c r="Y731" t="s">
        <v>10913</v>
      </c>
      <c r="AA731" t="s">
        <v>10974</v>
      </c>
      <c r="AB731" t="s">
        <v>569</v>
      </c>
      <c r="AD731" t="s">
        <v>11083</v>
      </c>
      <c r="AF731" t="s">
        <v>11118</v>
      </c>
      <c r="AH731" t="s">
        <v>10975</v>
      </c>
      <c r="AJ731" t="s">
        <v>11138</v>
      </c>
      <c r="AK731" t="s">
        <v>7225</v>
      </c>
      <c r="AM731">
        <v>1380</v>
      </c>
      <c r="AO731">
        <v>26</v>
      </c>
      <c r="AQ731" t="s">
        <v>11157</v>
      </c>
      <c r="AS731" t="s">
        <v>11173</v>
      </c>
      <c r="AU731">
        <v>7</v>
      </c>
      <c r="AW731" t="s">
        <v>11187</v>
      </c>
      <c r="AY731" t="s">
        <v>11213</v>
      </c>
      <c r="AZ731" t="s">
        <v>11221</v>
      </c>
      <c r="BE731" t="s">
        <v>12108</v>
      </c>
      <c r="BG731" t="s">
        <v>14531</v>
      </c>
      <c r="BM731" t="s">
        <v>15650</v>
      </c>
    </row>
    <row r="732" spans="1:65">
      <c r="A732" s="1">
        <f>HYPERLINK("https://lsnyc.legalserver.org/matter/dynamic-profile/view/1910612","19-1910612")</f>
        <v>0</v>
      </c>
      <c r="B732" t="s">
        <v>103</v>
      </c>
      <c r="C732" t="s">
        <v>248</v>
      </c>
      <c r="D732" t="s">
        <v>554</v>
      </c>
      <c r="F732" t="s">
        <v>1494</v>
      </c>
      <c r="G732" t="s">
        <v>1137</v>
      </c>
      <c r="H732" t="s">
        <v>5040</v>
      </c>
      <c r="I732" t="s">
        <v>6423</v>
      </c>
      <c r="J732" t="s">
        <v>7174</v>
      </c>
      <c r="K732">
        <v>11226</v>
      </c>
      <c r="N732" t="s">
        <v>7237</v>
      </c>
      <c r="P732">
        <v>1</v>
      </c>
      <c r="Q732">
        <v>0</v>
      </c>
      <c r="R732">
        <v>0</v>
      </c>
      <c r="U732">
        <v>0</v>
      </c>
      <c r="W732">
        <v>0.2</v>
      </c>
      <c r="X732" t="s">
        <v>554</v>
      </c>
      <c r="Y732" t="s">
        <v>212</v>
      </c>
      <c r="AA732" t="s">
        <v>10974</v>
      </c>
      <c r="AB732" t="s">
        <v>554</v>
      </c>
      <c r="AD732" t="s">
        <v>11101</v>
      </c>
      <c r="AF732" t="s">
        <v>11118</v>
      </c>
      <c r="AH732" t="s">
        <v>10974</v>
      </c>
      <c r="AJ732" t="s">
        <v>11141</v>
      </c>
      <c r="AK732" t="s">
        <v>7225</v>
      </c>
      <c r="AM732">
        <v>820</v>
      </c>
      <c r="AO732">
        <v>16</v>
      </c>
      <c r="AQ732" t="s">
        <v>11157</v>
      </c>
      <c r="AR732" t="s">
        <v>11172</v>
      </c>
      <c r="AU732">
        <v>15</v>
      </c>
      <c r="AW732" t="s">
        <v>11187</v>
      </c>
      <c r="AY732" t="s">
        <v>11213</v>
      </c>
      <c r="AZ732" t="s">
        <v>11221</v>
      </c>
      <c r="BD732" t="s">
        <v>11667</v>
      </c>
      <c r="BF732" t="s">
        <v>14364</v>
      </c>
      <c r="BM732" t="s">
        <v>15650</v>
      </c>
    </row>
    <row r="733" spans="1:65">
      <c r="A733" s="1">
        <f>HYPERLINK("https://lsnyc.legalserver.org/matter/dynamic-profile/view/1871432","18-1871432")</f>
        <v>0</v>
      </c>
      <c r="B733" t="s">
        <v>103</v>
      </c>
      <c r="C733" t="s">
        <v>248</v>
      </c>
      <c r="D733" t="s">
        <v>555</v>
      </c>
      <c r="F733" t="s">
        <v>1113</v>
      </c>
      <c r="G733" t="s">
        <v>3266</v>
      </c>
      <c r="H733" t="s">
        <v>5030</v>
      </c>
      <c r="I733" t="s">
        <v>6627</v>
      </c>
      <c r="J733" t="s">
        <v>7174</v>
      </c>
      <c r="K733">
        <v>11230</v>
      </c>
      <c r="M733" t="s">
        <v>7227</v>
      </c>
      <c r="N733" t="s">
        <v>7237</v>
      </c>
      <c r="O733" t="s">
        <v>7760</v>
      </c>
      <c r="P733">
        <v>2</v>
      </c>
      <c r="Q733">
        <v>0</v>
      </c>
      <c r="R733">
        <v>54.68</v>
      </c>
      <c r="U733">
        <v>9000</v>
      </c>
      <c r="V733" t="s">
        <v>10318</v>
      </c>
      <c r="W733">
        <v>2.4</v>
      </c>
      <c r="X733" t="s">
        <v>314</v>
      </c>
      <c r="Y733" t="s">
        <v>10909</v>
      </c>
      <c r="AA733" t="s">
        <v>10974</v>
      </c>
      <c r="AB733" t="s">
        <v>555</v>
      </c>
      <c r="AD733" t="s">
        <v>11090</v>
      </c>
      <c r="AF733" t="s">
        <v>11120</v>
      </c>
      <c r="AH733" t="s">
        <v>10974</v>
      </c>
      <c r="AJ733" t="s">
        <v>11141</v>
      </c>
      <c r="AK733" t="s">
        <v>7225</v>
      </c>
      <c r="AM733">
        <v>611.15</v>
      </c>
      <c r="AO733">
        <v>51</v>
      </c>
      <c r="AQ733" t="s">
        <v>11157</v>
      </c>
      <c r="AS733" t="s">
        <v>11173</v>
      </c>
      <c r="AU733">
        <v>54</v>
      </c>
      <c r="AW733" t="s">
        <v>11187</v>
      </c>
      <c r="AZ733" t="s">
        <v>11221</v>
      </c>
      <c r="BD733" t="s">
        <v>11667</v>
      </c>
      <c r="BF733" t="s">
        <v>14364</v>
      </c>
      <c r="BM733" t="s">
        <v>15650</v>
      </c>
    </row>
    <row r="734" spans="1:65">
      <c r="A734" s="1">
        <f>HYPERLINK("https://lsnyc.legalserver.org/matter/dynamic-profile/view/1877995","18-1877995")</f>
        <v>0</v>
      </c>
      <c r="B734" t="s">
        <v>103</v>
      </c>
      <c r="C734" t="s">
        <v>248</v>
      </c>
      <c r="D734" t="s">
        <v>556</v>
      </c>
      <c r="F734" t="s">
        <v>1495</v>
      </c>
      <c r="G734" t="s">
        <v>3267</v>
      </c>
      <c r="H734" t="s">
        <v>5031</v>
      </c>
      <c r="I734" t="s">
        <v>6628</v>
      </c>
      <c r="J734" t="s">
        <v>7174</v>
      </c>
      <c r="K734">
        <v>11226</v>
      </c>
      <c r="N734" t="s">
        <v>7237</v>
      </c>
      <c r="O734" t="s">
        <v>7761</v>
      </c>
      <c r="P734">
        <v>2</v>
      </c>
      <c r="Q734">
        <v>2</v>
      </c>
      <c r="R734">
        <v>101.71</v>
      </c>
      <c r="U734">
        <v>25528</v>
      </c>
      <c r="W734">
        <v>11</v>
      </c>
      <c r="X734" t="s">
        <v>570</v>
      </c>
      <c r="Y734" t="s">
        <v>212</v>
      </c>
      <c r="AA734" t="s">
        <v>10974</v>
      </c>
      <c r="AB734" t="s">
        <v>1020</v>
      </c>
      <c r="AD734" t="s">
        <v>11090</v>
      </c>
      <c r="AF734" t="s">
        <v>11120</v>
      </c>
      <c r="AH734" t="s">
        <v>10974</v>
      </c>
      <c r="AJ734" t="s">
        <v>11141</v>
      </c>
      <c r="AK734" t="s">
        <v>7225</v>
      </c>
      <c r="AM734">
        <v>923</v>
      </c>
      <c r="AO734">
        <v>48</v>
      </c>
      <c r="AQ734" t="s">
        <v>11157</v>
      </c>
      <c r="AS734" t="s">
        <v>11173</v>
      </c>
      <c r="AU734">
        <v>19</v>
      </c>
      <c r="AW734" t="s">
        <v>11187</v>
      </c>
      <c r="AY734" t="s">
        <v>11213</v>
      </c>
      <c r="AZ734" t="s">
        <v>11221</v>
      </c>
      <c r="BC734" t="s">
        <v>11278</v>
      </c>
      <c r="BE734" t="s">
        <v>12113</v>
      </c>
      <c r="BF734" t="s">
        <v>14364</v>
      </c>
      <c r="BM734" t="s">
        <v>15650</v>
      </c>
    </row>
    <row r="735" spans="1:65">
      <c r="A735" s="1">
        <f>HYPERLINK("https://lsnyc.legalserver.org/matter/dynamic-profile/view/1907667","19-1907667")</f>
        <v>0</v>
      </c>
      <c r="B735" t="s">
        <v>103</v>
      </c>
      <c r="C735" t="s">
        <v>248</v>
      </c>
      <c r="D735" t="s">
        <v>544</v>
      </c>
      <c r="F735" t="s">
        <v>1496</v>
      </c>
      <c r="G735" t="s">
        <v>3268</v>
      </c>
      <c r="H735" t="s">
        <v>5033</v>
      </c>
      <c r="I735" t="s">
        <v>6407</v>
      </c>
      <c r="J735" t="s">
        <v>7174</v>
      </c>
      <c r="K735">
        <v>11226</v>
      </c>
      <c r="N735" t="s">
        <v>7237</v>
      </c>
      <c r="O735" t="s">
        <v>7762</v>
      </c>
      <c r="P735">
        <v>1</v>
      </c>
      <c r="Q735">
        <v>0</v>
      </c>
      <c r="R735">
        <v>124.9</v>
      </c>
      <c r="U735">
        <v>15600</v>
      </c>
      <c r="W735">
        <v>0.2</v>
      </c>
      <c r="X735" t="s">
        <v>544</v>
      </c>
      <c r="Y735" t="s">
        <v>212</v>
      </c>
      <c r="AA735" t="s">
        <v>10974</v>
      </c>
      <c r="AB735" t="s">
        <v>544</v>
      </c>
      <c r="AD735" t="s">
        <v>11098</v>
      </c>
      <c r="AF735" t="s">
        <v>11122</v>
      </c>
      <c r="AH735" t="s">
        <v>10974</v>
      </c>
      <c r="AI735" t="s">
        <v>11126</v>
      </c>
      <c r="AK735" t="s">
        <v>7225</v>
      </c>
      <c r="AL735" t="s">
        <v>11150</v>
      </c>
      <c r="AM735">
        <v>0</v>
      </c>
      <c r="AO735">
        <v>36</v>
      </c>
      <c r="AQ735" t="s">
        <v>11157</v>
      </c>
      <c r="AR735" t="s">
        <v>11172</v>
      </c>
      <c r="AT735" t="s">
        <v>11184</v>
      </c>
      <c r="AU735">
        <v>0</v>
      </c>
      <c r="AW735" t="s">
        <v>11195</v>
      </c>
      <c r="AZ735" t="s">
        <v>11221</v>
      </c>
      <c r="BE735" t="s">
        <v>12114</v>
      </c>
      <c r="BF735" t="s">
        <v>14364</v>
      </c>
      <c r="BM735" t="s">
        <v>15650</v>
      </c>
    </row>
    <row r="736" spans="1:65">
      <c r="A736" s="1">
        <f>HYPERLINK("https://lsnyc.legalserver.org/matter/dynamic-profile/view/1892956","19-1892956")</f>
        <v>0</v>
      </c>
      <c r="B736" t="s">
        <v>103</v>
      </c>
      <c r="C736" t="s">
        <v>248</v>
      </c>
      <c r="D736" t="s">
        <v>319</v>
      </c>
      <c r="F736" t="s">
        <v>1093</v>
      </c>
      <c r="G736" t="s">
        <v>3265</v>
      </c>
      <c r="H736" t="s">
        <v>5034</v>
      </c>
      <c r="J736" t="s">
        <v>7174</v>
      </c>
      <c r="K736">
        <v>11225</v>
      </c>
      <c r="M736" t="s">
        <v>7227</v>
      </c>
      <c r="N736" t="s">
        <v>7237</v>
      </c>
      <c r="O736" t="s">
        <v>7759</v>
      </c>
      <c r="P736">
        <v>1</v>
      </c>
      <c r="Q736">
        <v>0</v>
      </c>
      <c r="R736">
        <v>528.42</v>
      </c>
      <c r="U736">
        <v>66000</v>
      </c>
      <c r="W736">
        <v>0</v>
      </c>
      <c r="Y736" t="s">
        <v>81</v>
      </c>
      <c r="AA736" t="s">
        <v>10974</v>
      </c>
      <c r="AB736" t="s">
        <v>367</v>
      </c>
      <c r="AD736" t="s">
        <v>11098</v>
      </c>
      <c r="AF736" t="s">
        <v>11122</v>
      </c>
      <c r="AH736" t="s">
        <v>10974</v>
      </c>
      <c r="AJ736" t="s">
        <v>11141</v>
      </c>
      <c r="AK736" t="s">
        <v>7225</v>
      </c>
      <c r="AM736">
        <v>1552.37</v>
      </c>
      <c r="AO736">
        <v>89</v>
      </c>
      <c r="AQ736" t="s">
        <v>11157</v>
      </c>
      <c r="AR736" t="s">
        <v>11172</v>
      </c>
      <c r="AU736">
        <v>3</v>
      </c>
      <c r="AW736" t="s">
        <v>11187</v>
      </c>
      <c r="AZ736" t="s">
        <v>11221</v>
      </c>
      <c r="BE736" t="s">
        <v>12112</v>
      </c>
      <c r="BG736" t="s">
        <v>14527</v>
      </c>
      <c r="BM736" t="s">
        <v>15650</v>
      </c>
    </row>
    <row r="737" spans="1:67">
      <c r="A737" s="1">
        <f>HYPERLINK("https://lsnyc.legalserver.org/matter/dynamic-profile/view/1910104","19-1910104")</f>
        <v>0</v>
      </c>
      <c r="B737" t="s">
        <v>103</v>
      </c>
      <c r="C737" t="s">
        <v>248</v>
      </c>
      <c r="D737" t="s">
        <v>335</v>
      </c>
      <c r="F737" t="s">
        <v>1497</v>
      </c>
      <c r="G737" t="s">
        <v>3269</v>
      </c>
      <c r="H737" t="s">
        <v>5041</v>
      </c>
      <c r="I737">
        <v>10</v>
      </c>
      <c r="J737" t="s">
        <v>7174</v>
      </c>
      <c r="K737">
        <v>11225</v>
      </c>
      <c r="N737" t="s">
        <v>7237</v>
      </c>
      <c r="O737" t="s">
        <v>7763</v>
      </c>
      <c r="P737">
        <v>2</v>
      </c>
      <c r="Q737">
        <v>0</v>
      </c>
      <c r="R737">
        <v>57.69</v>
      </c>
      <c r="U737">
        <v>9756</v>
      </c>
      <c r="W737">
        <v>12.2</v>
      </c>
      <c r="X737" t="s">
        <v>333</v>
      </c>
      <c r="Y737" t="s">
        <v>103</v>
      </c>
      <c r="AA737" t="s">
        <v>10974</v>
      </c>
      <c r="AB737" t="s">
        <v>335</v>
      </c>
      <c r="AD737" t="s">
        <v>11095</v>
      </c>
      <c r="AF737" t="s">
        <v>11120</v>
      </c>
      <c r="AH737" t="s">
        <v>10975</v>
      </c>
      <c r="AI737" t="s">
        <v>11126</v>
      </c>
      <c r="AK737" t="s">
        <v>7225</v>
      </c>
      <c r="AM737">
        <v>1519.6</v>
      </c>
      <c r="AO737">
        <v>12</v>
      </c>
      <c r="AQ737" t="s">
        <v>11157</v>
      </c>
      <c r="AR737" t="s">
        <v>11172</v>
      </c>
      <c r="AU737">
        <v>17</v>
      </c>
      <c r="AW737" t="s">
        <v>11189</v>
      </c>
      <c r="AY737" t="s">
        <v>11213</v>
      </c>
      <c r="AZ737" t="s">
        <v>11221</v>
      </c>
      <c r="BD737" t="s">
        <v>11667</v>
      </c>
      <c r="BF737" t="s">
        <v>14364</v>
      </c>
      <c r="BG737" t="s">
        <v>11173</v>
      </c>
      <c r="BM737" t="s">
        <v>15650</v>
      </c>
    </row>
    <row r="738" spans="1:67">
      <c r="A738" s="1">
        <f>HYPERLINK("https://lsnyc.legalserver.org/matter/dynamic-profile/view/1905676","19-1905676")</f>
        <v>0</v>
      </c>
      <c r="B738" t="s">
        <v>103</v>
      </c>
      <c r="C738" t="s">
        <v>248</v>
      </c>
      <c r="D738" t="s">
        <v>511</v>
      </c>
      <c r="F738" t="s">
        <v>1496</v>
      </c>
      <c r="G738" t="s">
        <v>2273</v>
      </c>
      <c r="H738" t="s">
        <v>5033</v>
      </c>
      <c r="I738" t="s">
        <v>6410</v>
      </c>
      <c r="J738" t="s">
        <v>7174</v>
      </c>
      <c r="K738">
        <v>11226</v>
      </c>
      <c r="M738" t="s">
        <v>7227</v>
      </c>
      <c r="N738" t="s">
        <v>7237</v>
      </c>
      <c r="O738" t="s">
        <v>7764</v>
      </c>
      <c r="P738">
        <v>1</v>
      </c>
      <c r="Q738">
        <v>0</v>
      </c>
      <c r="R738">
        <v>96.08</v>
      </c>
      <c r="U738">
        <v>12000</v>
      </c>
      <c r="W738">
        <v>0.2</v>
      </c>
      <c r="X738" t="s">
        <v>511</v>
      </c>
      <c r="Y738" t="s">
        <v>212</v>
      </c>
      <c r="AA738" t="s">
        <v>10974</v>
      </c>
      <c r="AB738" t="s">
        <v>511</v>
      </c>
      <c r="AD738" t="s">
        <v>11098</v>
      </c>
      <c r="AF738" t="s">
        <v>11122</v>
      </c>
      <c r="AH738" t="s">
        <v>10974</v>
      </c>
      <c r="AI738" t="s">
        <v>11126</v>
      </c>
      <c r="AK738" t="s">
        <v>7225</v>
      </c>
      <c r="AL738" t="s">
        <v>11150</v>
      </c>
      <c r="AM738">
        <v>0</v>
      </c>
      <c r="AO738">
        <v>36</v>
      </c>
      <c r="AQ738" t="s">
        <v>11157</v>
      </c>
      <c r="AR738" t="s">
        <v>11172</v>
      </c>
      <c r="AT738" t="s">
        <v>11184</v>
      </c>
      <c r="AU738">
        <v>0</v>
      </c>
      <c r="AW738" t="s">
        <v>11199</v>
      </c>
      <c r="AZ738" t="s">
        <v>11221</v>
      </c>
      <c r="BE738" t="s">
        <v>12115</v>
      </c>
      <c r="BF738" t="s">
        <v>14364</v>
      </c>
      <c r="BM738" t="s">
        <v>15650</v>
      </c>
    </row>
    <row r="739" spans="1:67">
      <c r="A739" s="1">
        <f>HYPERLINK("https://lsnyc.legalserver.org/matter/dynamic-profile/view/1900420","19-1900420")</f>
        <v>0</v>
      </c>
      <c r="B739" t="s">
        <v>103</v>
      </c>
      <c r="C739" t="s">
        <v>248</v>
      </c>
      <c r="D739" t="s">
        <v>275</v>
      </c>
      <c r="F739" t="s">
        <v>1419</v>
      </c>
      <c r="G739" t="s">
        <v>1191</v>
      </c>
      <c r="H739" t="s">
        <v>5033</v>
      </c>
      <c r="I739" t="s">
        <v>6466</v>
      </c>
      <c r="J739" t="s">
        <v>7174</v>
      </c>
      <c r="K739">
        <v>11226</v>
      </c>
      <c r="M739" t="s">
        <v>7227</v>
      </c>
      <c r="N739" t="s">
        <v>7237</v>
      </c>
      <c r="O739" t="s">
        <v>7765</v>
      </c>
      <c r="P739">
        <v>2</v>
      </c>
      <c r="Q739">
        <v>0</v>
      </c>
      <c r="R739">
        <v>162.67</v>
      </c>
      <c r="U739">
        <v>27508</v>
      </c>
      <c r="W739">
        <v>0</v>
      </c>
      <c r="Y739" t="s">
        <v>81</v>
      </c>
      <c r="AA739" t="s">
        <v>10974</v>
      </c>
      <c r="AB739" t="s">
        <v>275</v>
      </c>
      <c r="AD739" t="s">
        <v>11101</v>
      </c>
      <c r="AF739" t="s">
        <v>11118</v>
      </c>
      <c r="AH739" t="s">
        <v>10974</v>
      </c>
      <c r="AJ739" t="s">
        <v>11134</v>
      </c>
      <c r="AK739" t="s">
        <v>7225</v>
      </c>
      <c r="AM739">
        <v>1107</v>
      </c>
      <c r="AO739">
        <v>36</v>
      </c>
      <c r="AQ739" t="s">
        <v>11157</v>
      </c>
      <c r="AS739" t="s">
        <v>11173</v>
      </c>
      <c r="AU739">
        <v>18</v>
      </c>
      <c r="AW739" t="s">
        <v>11199</v>
      </c>
      <c r="AY739" t="s">
        <v>11213</v>
      </c>
      <c r="BA739" t="s">
        <v>11222</v>
      </c>
      <c r="BE739" t="s">
        <v>12116</v>
      </c>
      <c r="BF739" t="s">
        <v>14364</v>
      </c>
      <c r="BG739" t="s">
        <v>14525</v>
      </c>
      <c r="BM739" t="s">
        <v>15650</v>
      </c>
    </row>
    <row r="740" spans="1:67">
      <c r="A740" s="1">
        <f>HYPERLINK("https://lsnyc.legalserver.org/matter/dynamic-profile/view/1889053","19-1889053")</f>
        <v>0</v>
      </c>
      <c r="B740" t="s">
        <v>103</v>
      </c>
      <c r="C740" t="s">
        <v>248</v>
      </c>
      <c r="D740" t="s">
        <v>321</v>
      </c>
      <c r="E740" t="s">
        <v>266</v>
      </c>
      <c r="F740" t="s">
        <v>1497</v>
      </c>
      <c r="G740" t="s">
        <v>3269</v>
      </c>
      <c r="H740" t="s">
        <v>5041</v>
      </c>
      <c r="I740">
        <v>10</v>
      </c>
      <c r="J740" t="s">
        <v>7174</v>
      </c>
      <c r="K740">
        <v>11225</v>
      </c>
      <c r="L740" t="s">
        <v>7219</v>
      </c>
      <c r="N740" t="s">
        <v>7237</v>
      </c>
      <c r="O740" t="s">
        <v>7763</v>
      </c>
      <c r="P740">
        <v>2</v>
      </c>
      <c r="Q740">
        <v>0</v>
      </c>
      <c r="R740">
        <v>57.69</v>
      </c>
      <c r="U740">
        <v>9756</v>
      </c>
      <c r="W740">
        <v>49.1</v>
      </c>
      <c r="X740" t="s">
        <v>627</v>
      </c>
      <c r="Y740" t="s">
        <v>81</v>
      </c>
      <c r="AA740" t="s">
        <v>10974</v>
      </c>
      <c r="AB740" t="s">
        <v>558</v>
      </c>
      <c r="AD740" t="s">
        <v>11101</v>
      </c>
      <c r="AF740" t="s">
        <v>11118</v>
      </c>
      <c r="AH740" t="s">
        <v>10975</v>
      </c>
      <c r="AI740" t="s">
        <v>11126</v>
      </c>
      <c r="AK740" t="s">
        <v>7225</v>
      </c>
      <c r="AM740">
        <v>1519.6</v>
      </c>
      <c r="AO740">
        <v>12</v>
      </c>
      <c r="AQ740" t="s">
        <v>11157</v>
      </c>
      <c r="AS740" t="s">
        <v>11174</v>
      </c>
      <c r="AU740">
        <v>17</v>
      </c>
      <c r="AW740" t="s">
        <v>11189</v>
      </c>
      <c r="AY740" t="s">
        <v>11213</v>
      </c>
      <c r="BA740" t="s">
        <v>11222</v>
      </c>
      <c r="BD740" t="s">
        <v>11667</v>
      </c>
      <c r="BG740" t="s">
        <v>14532</v>
      </c>
      <c r="BJ740" t="s">
        <v>15615</v>
      </c>
      <c r="BM740" t="s">
        <v>15651</v>
      </c>
      <c r="BN740" t="s">
        <v>15652</v>
      </c>
      <c r="BO740" t="s">
        <v>15667</v>
      </c>
    </row>
    <row r="741" spans="1:67">
      <c r="A741" s="1">
        <f>HYPERLINK("https://lsnyc.legalserver.org/matter/dynamic-profile/view/1905681","19-1905681")</f>
        <v>0</v>
      </c>
      <c r="B741" t="s">
        <v>103</v>
      </c>
      <c r="C741" t="s">
        <v>248</v>
      </c>
      <c r="D741" t="s">
        <v>511</v>
      </c>
      <c r="F741" t="s">
        <v>1498</v>
      </c>
      <c r="G741" t="s">
        <v>3006</v>
      </c>
      <c r="H741" t="s">
        <v>5033</v>
      </c>
      <c r="I741" t="s">
        <v>6477</v>
      </c>
      <c r="J741" t="s">
        <v>7174</v>
      </c>
      <c r="K741">
        <v>11226</v>
      </c>
      <c r="N741" t="s">
        <v>7237</v>
      </c>
      <c r="O741" t="s">
        <v>7766</v>
      </c>
      <c r="P741">
        <v>4</v>
      </c>
      <c r="Q741">
        <v>0</v>
      </c>
      <c r="R741">
        <v>100.97</v>
      </c>
      <c r="U741">
        <v>26000</v>
      </c>
      <c r="W741">
        <v>0.2</v>
      </c>
      <c r="X741" t="s">
        <v>511</v>
      </c>
      <c r="Y741" t="s">
        <v>212</v>
      </c>
      <c r="AA741" t="s">
        <v>10974</v>
      </c>
      <c r="AB741" t="s">
        <v>511</v>
      </c>
      <c r="AD741" t="s">
        <v>11098</v>
      </c>
      <c r="AF741" t="s">
        <v>11122</v>
      </c>
      <c r="AH741" t="s">
        <v>10974</v>
      </c>
      <c r="AI741" t="s">
        <v>11126</v>
      </c>
      <c r="AK741" t="s">
        <v>7225</v>
      </c>
      <c r="AL741" t="s">
        <v>11150</v>
      </c>
      <c r="AM741">
        <v>0</v>
      </c>
      <c r="AO741">
        <v>36</v>
      </c>
      <c r="AQ741" t="s">
        <v>11157</v>
      </c>
      <c r="AR741" t="s">
        <v>11172</v>
      </c>
      <c r="AT741" t="s">
        <v>11184</v>
      </c>
      <c r="AU741">
        <v>0</v>
      </c>
      <c r="AW741" t="s">
        <v>11189</v>
      </c>
      <c r="AZ741" t="s">
        <v>11221</v>
      </c>
      <c r="BE741" t="s">
        <v>12117</v>
      </c>
      <c r="BF741" t="s">
        <v>14364</v>
      </c>
      <c r="BM741" t="s">
        <v>15650</v>
      </c>
    </row>
    <row r="742" spans="1:67">
      <c r="A742" s="1">
        <f>HYPERLINK("https://lsnyc.legalserver.org/matter/dynamic-profile/view/1895760","19-1895760")</f>
        <v>0</v>
      </c>
      <c r="B742" t="s">
        <v>103</v>
      </c>
      <c r="C742" t="s">
        <v>248</v>
      </c>
      <c r="D742" t="s">
        <v>557</v>
      </c>
      <c r="F742" t="s">
        <v>1499</v>
      </c>
      <c r="G742" t="s">
        <v>3270</v>
      </c>
      <c r="H742" t="s">
        <v>5042</v>
      </c>
      <c r="I742" t="s">
        <v>6629</v>
      </c>
      <c r="J742" t="s">
        <v>7174</v>
      </c>
      <c r="K742">
        <v>11226</v>
      </c>
      <c r="N742" t="s">
        <v>7237</v>
      </c>
      <c r="O742" t="s">
        <v>7767</v>
      </c>
      <c r="P742">
        <v>2</v>
      </c>
      <c r="Q742">
        <v>3</v>
      </c>
      <c r="R742">
        <v>124.1</v>
      </c>
      <c r="U742">
        <v>37440</v>
      </c>
      <c r="W742">
        <v>2.9</v>
      </c>
      <c r="X742" t="s">
        <v>1030</v>
      </c>
      <c r="Y742" t="s">
        <v>81</v>
      </c>
      <c r="AA742" t="s">
        <v>10974</v>
      </c>
      <c r="AB742" t="s">
        <v>428</v>
      </c>
      <c r="AD742" t="s">
        <v>11086</v>
      </c>
      <c r="AF742" t="s">
        <v>11120</v>
      </c>
      <c r="AH742" t="s">
        <v>10975</v>
      </c>
      <c r="AJ742" t="s">
        <v>11134</v>
      </c>
      <c r="AK742" t="s">
        <v>7225</v>
      </c>
      <c r="AM742">
        <v>950</v>
      </c>
      <c r="AO742">
        <v>54</v>
      </c>
      <c r="AQ742" t="s">
        <v>11157</v>
      </c>
      <c r="AS742" t="s">
        <v>11174</v>
      </c>
      <c r="AU742">
        <v>19</v>
      </c>
      <c r="AW742" t="s">
        <v>11187</v>
      </c>
      <c r="BA742" t="s">
        <v>11222</v>
      </c>
      <c r="BE742" t="s">
        <v>12118</v>
      </c>
      <c r="BF742" t="s">
        <v>14364</v>
      </c>
      <c r="BM742" t="s">
        <v>15650</v>
      </c>
    </row>
    <row r="743" spans="1:67">
      <c r="A743" s="1">
        <f>HYPERLINK("https://lsnyc.legalserver.org/matter/dynamic-profile/view/1888423","19-1888423")</f>
        <v>0</v>
      </c>
      <c r="B743" t="s">
        <v>103</v>
      </c>
      <c r="C743" t="s">
        <v>248</v>
      </c>
      <c r="D743" t="s">
        <v>558</v>
      </c>
      <c r="F743" t="s">
        <v>1104</v>
      </c>
      <c r="G743" t="s">
        <v>2956</v>
      </c>
      <c r="H743" t="s">
        <v>5043</v>
      </c>
      <c r="J743" t="s">
        <v>7174</v>
      </c>
      <c r="K743">
        <v>11231</v>
      </c>
      <c r="N743" t="s">
        <v>7237</v>
      </c>
      <c r="O743" t="s">
        <v>7768</v>
      </c>
      <c r="P743">
        <v>2</v>
      </c>
      <c r="Q743">
        <v>0</v>
      </c>
      <c r="R743">
        <v>100.44</v>
      </c>
      <c r="U743">
        <v>16532</v>
      </c>
      <c r="W743">
        <v>83.40000000000001</v>
      </c>
      <c r="X743" t="s">
        <v>297</v>
      </c>
      <c r="Y743" t="s">
        <v>81</v>
      </c>
      <c r="AA743" t="s">
        <v>10974</v>
      </c>
      <c r="AB743" t="s">
        <v>588</v>
      </c>
      <c r="AD743" t="s">
        <v>11082</v>
      </c>
      <c r="AF743" t="s">
        <v>11118</v>
      </c>
      <c r="AH743" t="s">
        <v>10975</v>
      </c>
      <c r="AI743" t="s">
        <v>11126</v>
      </c>
      <c r="AK743" t="s">
        <v>7225</v>
      </c>
      <c r="AM743">
        <v>787</v>
      </c>
      <c r="AO743">
        <v>9</v>
      </c>
      <c r="AQ743" t="s">
        <v>11157</v>
      </c>
      <c r="AR743" t="s">
        <v>11172</v>
      </c>
      <c r="AU743">
        <v>20</v>
      </c>
      <c r="AW743" t="s">
        <v>11187</v>
      </c>
      <c r="AY743" t="s">
        <v>11213</v>
      </c>
      <c r="AZ743" t="s">
        <v>11221</v>
      </c>
      <c r="BE743" t="s">
        <v>12119</v>
      </c>
      <c r="BG743" t="s">
        <v>14533</v>
      </c>
      <c r="BM743" t="s">
        <v>15650</v>
      </c>
    </row>
    <row r="744" spans="1:67">
      <c r="A744" s="1">
        <f>HYPERLINK("https://lsnyc.legalserver.org/matter/dynamic-profile/view/1868024","18-1868024")</f>
        <v>0</v>
      </c>
      <c r="B744" t="s">
        <v>103</v>
      </c>
      <c r="C744" t="s">
        <v>248</v>
      </c>
      <c r="D744" t="s">
        <v>364</v>
      </c>
      <c r="F744" t="s">
        <v>1500</v>
      </c>
      <c r="G744" t="s">
        <v>3271</v>
      </c>
      <c r="H744" t="s">
        <v>5030</v>
      </c>
      <c r="I744" t="s">
        <v>6630</v>
      </c>
      <c r="J744" t="s">
        <v>7174</v>
      </c>
      <c r="K744">
        <v>11230</v>
      </c>
      <c r="N744" t="s">
        <v>7237</v>
      </c>
      <c r="O744" t="s">
        <v>7769</v>
      </c>
      <c r="P744">
        <v>4</v>
      </c>
      <c r="Q744">
        <v>0</v>
      </c>
      <c r="R744">
        <v>207.17</v>
      </c>
      <c r="U744">
        <v>52000</v>
      </c>
      <c r="W744">
        <v>3.7</v>
      </c>
      <c r="X744" t="s">
        <v>442</v>
      </c>
      <c r="Y744" t="s">
        <v>10909</v>
      </c>
      <c r="AA744" t="s">
        <v>10974</v>
      </c>
      <c r="AB744" t="s">
        <v>595</v>
      </c>
      <c r="AD744" t="s">
        <v>11086</v>
      </c>
      <c r="AF744" t="s">
        <v>11120</v>
      </c>
      <c r="AH744" t="s">
        <v>10974</v>
      </c>
      <c r="AJ744" t="s">
        <v>11141</v>
      </c>
      <c r="AK744" t="s">
        <v>7225</v>
      </c>
      <c r="AM744">
        <v>615.9400000000001</v>
      </c>
      <c r="AO744">
        <v>40</v>
      </c>
      <c r="AQ744" t="s">
        <v>11157</v>
      </c>
      <c r="AS744" t="s">
        <v>11173</v>
      </c>
      <c r="AU744">
        <v>37</v>
      </c>
      <c r="AW744" t="s">
        <v>11187</v>
      </c>
      <c r="AZ744" t="s">
        <v>11221</v>
      </c>
      <c r="BD744" t="s">
        <v>11667</v>
      </c>
      <c r="BF744" t="s">
        <v>14364</v>
      </c>
      <c r="BM744" t="s">
        <v>15650</v>
      </c>
    </row>
    <row r="745" spans="1:67">
      <c r="A745" s="1">
        <f>HYPERLINK("https://lsnyc.legalserver.org/matter/dynamic-profile/view/1885062","18-1885062")</f>
        <v>0</v>
      </c>
      <c r="B745" t="s">
        <v>103</v>
      </c>
      <c r="C745" t="s">
        <v>248</v>
      </c>
      <c r="D745" t="s">
        <v>559</v>
      </c>
      <c r="F745" t="s">
        <v>1501</v>
      </c>
      <c r="G745" t="s">
        <v>2138</v>
      </c>
      <c r="H745" t="s">
        <v>5031</v>
      </c>
      <c r="J745" t="s">
        <v>7174</v>
      </c>
      <c r="K745">
        <v>11226</v>
      </c>
      <c r="N745" t="s">
        <v>7237</v>
      </c>
      <c r="O745" t="s">
        <v>7770</v>
      </c>
      <c r="P745">
        <v>2</v>
      </c>
      <c r="Q745">
        <v>2</v>
      </c>
      <c r="R745">
        <v>163.35</v>
      </c>
      <c r="U745">
        <v>41000</v>
      </c>
      <c r="W745">
        <v>1.1</v>
      </c>
      <c r="X745" t="s">
        <v>621</v>
      </c>
      <c r="Y745" t="s">
        <v>81</v>
      </c>
      <c r="AA745" t="s">
        <v>10974</v>
      </c>
      <c r="AB745" t="s">
        <v>668</v>
      </c>
      <c r="AD745" t="s">
        <v>11098</v>
      </c>
      <c r="AF745" t="s">
        <v>11121</v>
      </c>
      <c r="AH745" t="s">
        <v>10974</v>
      </c>
      <c r="AJ745" t="s">
        <v>11141</v>
      </c>
      <c r="AK745" t="s">
        <v>7225</v>
      </c>
      <c r="AM745">
        <v>1295</v>
      </c>
      <c r="AO745">
        <v>48</v>
      </c>
      <c r="AQ745" t="s">
        <v>11157</v>
      </c>
      <c r="AR745" t="s">
        <v>11172</v>
      </c>
      <c r="AU745">
        <v>10</v>
      </c>
      <c r="AW745" t="s">
        <v>11187</v>
      </c>
      <c r="AZ745" t="s">
        <v>11221</v>
      </c>
      <c r="BD745" t="s">
        <v>11667</v>
      </c>
      <c r="BG745" t="s">
        <v>14524</v>
      </c>
      <c r="BM745" t="s">
        <v>15650</v>
      </c>
    </row>
    <row r="746" spans="1:67">
      <c r="A746" s="1">
        <f>HYPERLINK("https://lsnyc.legalserver.org/matter/dynamic-profile/view/1903972","19-1903972")</f>
        <v>0</v>
      </c>
      <c r="B746" t="s">
        <v>103</v>
      </c>
      <c r="C746" t="s">
        <v>248</v>
      </c>
      <c r="D746" t="s">
        <v>546</v>
      </c>
      <c r="F746" t="s">
        <v>1496</v>
      </c>
      <c r="G746" t="s">
        <v>2273</v>
      </c>
      <c r="H746" t="s">
        <v>5033</v>
      </c>
      <c r="I746" t="s">
        <v>6410</v>
      </c>
      <c r="J746" t="s">
        <v>7174</v>
      </c>
      <c r="K746">
        <v>11226</v>
      </c>
      <c r="M746" t="s">
        <v>7227</v>
      </c>
      <c r="N746" t="s">
        <v>7237</v>
      </c>
      <c r="O746" t="s">
        <v>7764</v>
      </c>
      <c r="P746">
        <v>1</v>
      </c>
      <c r="Q746">
        <v>0</v>
      </c>
      <c r="R746">
        <v>96.88</v>
      </c>
      <c r="U746">
        <v>12100</v>
      </c>
      <c r="W746">
        <v>0.5</v>
      </c>
      <c r="X746" t="s">
        <v>524</v>
      </c>
      <c r="Y746" t="s">
        <v>81</v>
      </c>
      <c r="AA746" t="s">
        <v>10974</v>
      </c>
      <c r="AB746" t="s">
        <v>315</v>
      </c>
      <c r="AD746" t="s">
        <v>11101</v>
      </c>
      <c r="AF746" t="s">
        <v>11118</v>
      </c>
      <c r="AH746" t="s">
        <v>10974</v>
      </c>
      <c r="AI746" t="s">
        <v>11126</v>
      </c>
      <c r="AK746" t="s">
        <v>7225</v>
      </c>
      <c r="AL746" t="s">
        <v>11150</v>
      </c>
      <c r="AM746">
        <v>0</v>
      </c>
      <c r="AN746" t="s">
        <v>11151</v>
      </c>
      <c r="AO746" t="s">
        <v>11153</v>
      </c>
      <c r="AP746" t="s">
        <v>11155</v>
      </c>
      <c r="AR746" t="s">
        <v>11172</v>
      </c>
      <c r="AT746" t="s">
        <v>11184</v>
      </c>
      <c r="AU746">
        <v>0</v>
      </c>
      <c r="AW746" t="s">
        <v>11199</v>
      </c>
      <c r="BA746" t="s">
        <v>11222</v>
      </c>
      <c r="BE746" t="s">
        <v>12115</v>
      </c>
      <c r="BF746" t="s">
        <v>14364</v>
      </c>
      <c r="BM746" t="s">
        <v>15650</v>
      </c>
    </row>
    <row r="747" spans="1:67">
      <c r="A747" s="1">
        <f>HYPERLINK("https://lsnyc.legalserver.org/matter/dynamic-profile/view/1906286","19-1906286")</f>
        <v>0</v>
      </c>
      <c r="B747" t="s">
        <v>103</v>
      </c>
      <c r="C747" t="s">
        <v>248</v>
      </c>
      <c r="D747" t="s">
        <v>560</v>
      </c>
      <c r="F747" t="s">
        <v>1502</v>
      </c>
      <c r="G747" t="s">
        <v>3272</v>
      </c>
      <c r="H747" t="s">
        <v>5044</v>
      </c>
      <c r="I747" t="s">
        <v>6414</v>
      </c>
      <c r="J747" t="s">
        <v>7174</v>
      </c>
      <c r="K747">
        <v>11226</v>
      </c>
      <c r="N747" t="s">
        <v>7237</v>
      </c>
      <c r="O747" t="s">
        <v>7771</v>
      </c>
      <c r="P747">
        <v>4</v>
      </c>
      <c r="Q747">
        <v>0</v>
      </c>
      <c r="R747">
        <v>97.09</v>
      </c>
      <c r="U747">
        <v>25000</v>
      </c>
      <c r="W747">
        <v>0.6</v>
      </c>
      <c r="X747" t="s">
        <v>733</v>
      </c>
      <c r="Y747" t="s">
        <v>212</v>
      </c>
      <c r="AA747" t="s">
        <v>10974</v>
      </c>
      <c r="AB747" t="s">
        <v>560</v>
      </c>
      <c r="AD747" t="s">
        <v>11098</v>
      </c>
      <c r="AF747" t="s">
        <v>11120</v>
      </c>
      <c r="AH747" t="s">
        <v>10975</v>
      </c>
      <c r="AI747" t="s">
        <v>11126</v>
      </c>
      <c r="AK747" t="s">
        <v>7225</v>
      </c>
      <c r="AM747">
        <v>1024.45</v>
      </c>
      <c r="AO747">
        <v>27</v>
      </c>
      <c r="AQ747" t="s">
        <v>11157</v>
      </c>
      <c r="AR747" t="s">
        <v>11172</v>
      </c>
      <c r="AU747">
        <v>23</v>
      </c>
      <c r="AW747" t="s">
        <v>11187</v>
      </c>
      <c r="BA747" t="s">
        <v>11222</v>
      </c>
      <c r="BD747" t="s">
        <v>11667</v>
      </c>
      <c r="BG747" t="s">
        <v>14534</v>
      </c>
      <c r="BM747" t="s">
        <v>15650</v>
      </c>
    </row>
    <row r="748" spans="1:67">
      <c r="A748" s="1">
        <f>HYPERLINK("https://lsnyc.legalserver.org/matter/dynamic-profile/view/1910547","19-1910547")</f>
        <v>0</v>
      </c>
      <c r="B748" t="s">
        <v>103</v>
      </c>
      <c r="C748" t="s">
        <v>248</v>
      </c>
      <c r="D748" t="s">
        <v>561</v>
      </c>
      <c r="F748" t="s">
        <v>1104</v>
      </c>
      <c r="G748" t="s">
        <v>2956</v>
      </c>
      <c r="H748" t="s">
        <v>5043</v>
      </c>
      <c r="I748" t="s">
        <v>6414</v>
      </c>
      <c r="J748" t="s">
        <v>7174</v>
      </c>
      <c r="K748">
        <v>11231</v>
      </c>
      <c r="N748" t="s">
        <v>7237</v>
      </c>
      <c r="O748" t="s">
        <v>7768</v>
      </c>
      <c r="P748">
        <v>2</v>
      </c>
      <c r="Q748">
        <v>0</v>
      </c>
      <c r="R748">
        <v>97.76000000000001</v>
      </c>
      <c r="U748">
        <v>16532</v>
      </c>
      <c r="W748">
        <v>23.6</v>
      </c>
      <c r="X748" t="s">
        <v>528</v>
      </c>
      <c r="Y748" t="s">
        <v>103</v>
      </c>
      <c r="AA748" t="s">
        <v>10974</v>
      </c>
      <c r="AB748" t="s">
        <v>561</v>
      </c>
      <c r="AD748" t="s">
        <v>11082</v>
      </c>
      <c r="AF748" t="s">
        <v>11118</v>
      </c>
      <c r="AH748" t="s">
        <v>10975</v>
      </c>
      <c r="AJ748" t="s">
        <v>11129</v>
      </c>
      <c r="AK748" t="s">
        <v>7225</v>
      </c>
      <c r="AM748">
        <v>787.48</v>
      </c>
      <c r="AO748">
        <v>9</v>
      </c>
      <c r="AQ748" t="s">
        <v>11157</v>
      </c>
      <c r="AS748" t="s">
        <v>11104</v>
      </c>
      <c r="AU748">
        <v>21</v>
      </c>
      <c r="AW748" t="s">
        <v>11187</v>
      </c>
      <c r="AY748" t="s">
        <v>11213</v>
      </c>
      <c r="BA748" t="s">
        <v>11222</v>
      </c>
      <c r="BE748" t="s">
        <v>12119</v>
      </c>
      <c r="BF748" t="s">
        <v>14364</v>
      </c>
      <c r="BG748" t="s">
        <v>14535</v>
      </c>
      <c r="BM748" t="s">
        <v>15650</v>
      </c>
    </row>
    <row r="749" spans="1:67">
      <c r="A749" s="1">
        <f>HYPERLINK("https://lsnyc.legalserver.org/matter/dynamic-profile/view/1905685","19-1905685")</f>
        <v>0</v>
      </c>
      <c r="B749" t="s">
        <v>103</v>
      </c>
      <c r="C749" t="s">
        <v>248</v>
      </c>
      <c r="D749" t="s">
        <v>511</v>
      </c>
      <c r="F749" t="s">
        <v>1419</v>
      </c>
      <c r="G749" t="s">
        <v>1191</v>
      </c>
      <c r="H749" t="s">
        <v>5033</v>
      </c>
      <c r="I749" t="s">
        <v>6466</v>
      </c>
      <c r="J749" t="s">
        <v>7174</v>
      </c>
      <c r="K749">
        <v>11226</v>
      </c>
      <c r="N749" t="s">
        <v>7237</v>
      </c>
      <c r="O749" t="s">
        <v>7765</v>
      </c>
      <c r="P749">
        <v>2</v>
      </c>
      <c r="Q749">
        <v>0</v>
      </c>
      <c r="R749">
        <v>123</v>
      </c>
      <c r="U749">
        <v>20800</v>
      </c>
      <c r="W749">
        <v>0.2</v>
      </c>
      <c r="X749" t="s">
        <v>511</v>
      </c>
      <c r="Y749" t="s">
        <v>212</v>
      </c>
      <c r="AA749" t="s">
        <v>10974</v>
      </c>
      <c r="AB749" t="s">
        <v>511</v>
      </c>
      <c r="AD749" t="s">
        <v>11098</v>
      </c>
      <c r="AF749" t="s">
        <v>11122</v>
      </c>
      <c r="AH749" t="s">
        <v>10974</v>
      </c>
      <c r="AI749" t="s">
        <v>11126</v>
      </c>
      <c r="AK749" t="s">
        <v>7225</v>
      </c>
      <c r="AL749" t="s">
        <v>11150</v>
      </c>
      <c r="AM749">
        <v>0</v>
      </c>
      <c r="AO749">
        <v>36</v>
      </c>
      <c r="AQ749" t="s">
        <v>11157</v>
      </c>
      <c r="AR749" t="s">
        <v>11172</v>
      </c>
      <c r="AT749" t="s">
        <v>11184</v>
      </c>
      <c r="AU749">
        <v>0</v>
      </c>
      <c r="AW749" t="s">
        <v>11199</v>
      </c>
      <c r="AZ749" t="s">
        <v>11221</v>
      </c>
      <c r="BE749" t="s">
        <v>12116</v>
      </c>
      <c r="BF749" t="s">
        <v>14364</v>
      </c>
      <c r="BM749" t="s">
        <v>15650</v>
      </c>
    </row>
    <row r="750" spans="1:67">
      <c r="A750" s="1">
        <f>HYPERLINK("https://lsnyc.legalserver.org/matter/dynamic-profile/view/1898667","19-1898667")</f>
        <v>0</v>
      </c>
      <c r="B750" t="s">
        <v>103</v>
      </c>
      <c r="C750" t="s">
        <v>248</v>
      </c>
      <c r="D750" t="s">
        <v>562</v>
      </c>
      <c r="F750" t="s">
        <v>1104</v>
      </c>
      <c r="G750" t="s">
        <v>2956</v>
      </c>
      <c r="H750" t="s">
        <v>5043</v>
      </c>
      <c r="J750" t="s">
        <v>7174</v>
      </c>
      <c r="K750">
        <v>11231</v>
      </c>
      <c r="N750" t="s">
        <v>7237</v>
      </c>
      <c r="O750" t="s">
        <v>7768</v>
      </c>
      <c r="P750">
        <v>2</v>
      </c>
      <c r="Q750">
        <v>0</v>
      </c>
      <c r="R750">
        <v>97.76000000000001</v>
      </c>
      <c r="U750">
        <v>16532</v>
      </c>
      <c r="W750">
        <v>2.3</v>
      </c>
      <c r="X750" t="s">
        <v>264</v>
      </c>
      <c r="Y750" t="s">
        <v>81</v>
      </c>
      <c r="AA750" t="s">
        <v>10974</v>
      </c>
      <c r="AB750" t="s">
        <v>562</v>
      </c>
      <c r="AC750" t="s">
        <v>11081</v>
      </c>
      <c r="AF750" t="s">
        <v>11122</v>
      </c>
      <c r="AG750" t="s">
        <v>11124</v>
      </c>
      <c r="AI750" t="s">
        <v>11126</v>
      </c>
      <c r="AK750" t="s">
        <v>7225</v>
      </c>
      <c r="AL750" t="s">
        <v>11150</v>
      </c>
      <c r="AM750">
        <v>0</v>
      </c>
      <c r="AN750" t="s">
        <v>11151</v>
      </c>
      <c r="AO750" t="s">
        <v>11153</v>
      </c>
      <c r="AP750" t="s">
        <v>11155</v>
      </c>
      <c r="AR750" t="s">
        <v>11172</v>
      </c>
      <c r="AT750" t="s">
        <v>11184</v>
      </c>
      <c r="AU750">
        <v>0</v>
      </c>
      <c r="AW750" t="s">
        <v>11187</v>
      </c>
      <c r="AZ750" t="s">
        <v>11221</v>
      </c>
      <c r="BE750" t="s">
        <v>12119</v>
      </c>
      <c r="BF750" t="s">
        <v>14364</v>
      </c>
      <c r="BM750" t="s">
        <v>15650</v>
      </c>
    </row>
    <row r="751" spans="1:67">
      <c r="A751" s="1">
        <f>HYPERLINK("https://lsnyc.legalserver.org/matter/dynamic-profile/view/1890813","19-1890813")</f>
        <v>0</v>
      </c>
      <c r="B751" t="s">
        <v>103</v>
      </c>
      <c r="C751" t="s">
        <v>248</v>
      </c>
      <c r="D751" t="s">
        <v>367</v>
      </c>
      <c r="F751" t="s">
        <v>1503</v>
      </c>
      <c r="G751" t="s">
        <v>3273</v>
      </c>
      <c r="H751" t="s">
        <v>5045</v>
      </c>
      <c r="I751" t="s">
        <v>6409</v>
      </c>
      <c r="J751" t="s">
        <v>7174</v>
      </c>
      <c r="K751">
        <v>11225</v>
      </c>
      <c r="N751" t="s">
        <v>7237</v>
      </c>
      <c r="O751" t="s">
        <v>7772</v>
      </c>
      <c r="P751">
        <v>4</v>
      </c>
      <c r="Q751">
        <v>1</v>
      </c>
      <c r="R751">
        <v>33.37</v>
      </c>
      <c r="U751">
        <v>10068</v>
      </c>
      <c r="V751" t="s">
        <v>10319</v>
      </c>
      <c r="W751">
        <v>10.4</v>
      </c>
      <c r="X751" t="s">
        <v>524</v>
      </c>
      <c r="Y751" t="s">
        <v>81</v>
      </c>
      <c r="Z751" t="s">
        <v>10973</v>
      </c>
      <c r="AA751" t="s">
        <v>10975</v>
      </c>
      <c r="AB751" t="s">
        <v>442</v>
      </c>
      <c r="AC751" t="s">
        <v>11081</v>
      </c>
      <c r="AE751" t="s">
        <v>11117</v>
      </c>
      <c r="AH751" t="s">
        <v>10975</v>
      </c>
      <c r="AI751" t="s">
        <v>11126</v>
      </c>
      <c r="AK751" t="s">
        <v>7225</v>
      </c>
      <c r="AL751" t="s">
        <v>11150</v>
      </c>
      <c r="AM751">
        <v>0</v>
      </c>
      <c r="AO751">
        <v>72</v>
      </c>
      <c r="AP751" t="s">
        <v>11155</v>
      </c>
      <c r="AR751" t="s">
        <v>11172</v>
      </c>
      <c r="AU751">
        <v>32</v>
      </c>
      <c r="AW751" t="s">
        <v>11187</v>
      </c>
      <c r="AZ751" t="s">
        <v>11221</v>
      </c>
      <c r="BD751" t="s">
        <v>11667</v>
      </c>
      <c r="BF751" t="s">
        <v>14364</v>
      </c>
      <c r="BM751" t="s">
        <v>15650</v>
      </c>
    </row>
    <row r="752" spans="1:67">
      <c r="A752" s="1">
        <f>HYPERLINK("https://lsnyc.legalserver.org/matter/dynamic-profile/view/1910604","19-1910604")</f>
        <v>0</v>
      </c>
      <c r="B752" t="s">
        <v>103</v>
      </c>
      <c r="C752" t="s">
        <v>248</v>
      </c>
      <c r="D752" t="s">
        <v>554</v>
      </c>
      <c r="F752" t="s">
        <v>1504</v>
      </c>
      <c r="G752" t="s">
        <v>3226</v>
      </c>
      <c r="H752" t="s">
        <v>5040</v>
      </c>
      <c r="I752" t="s">
        <v>6573</v>
      </c>
      <c r="J752" t="s">
        <v>7174</v>
      </c>
      <c r="K752">
        <v>11226</v>
      </c>
      <c r="N752" t="s">
        <v>7237</v>
      </c>
      <c r="O752" t="s">
        <v>7773</v>
      </c>
      <c r="P752">
        <v>3</v>
      </c>
      <c r="Q752">
        <v>3</v>
      </c>
      <c r="R752">
        <v>98.38</v>
      </c>
      <c r="U752">
        <v>34028</v>
      </c>
      <c r="W752">
        <v>0.7</v>
      </c>
      <c r="X752" t="s">
        <v>271</v>
      </c>
      <c r="Y752" t="s">
        <v>103</v>
      </c>
      <c r="AA752" t="s">
        <v>10974</v>
      </c>
      <c r="AB752" t="s">
        <v>554</v>
      </c>
      <c r="AD752" t="s">
        <v>11101</v>
      </c>
      <c r="AF752" t="s">
        <v>11118</v>
      </c>
      <c r="AH752" t="s">
        <v>10974</v>
      </c>
      <c r="AJ752" t="s">
        <v>11141</v>
      </c>
      <c r="AK752" t="s">
        <v>7225</v>
      </c>
      <c r="AM752">
        <v>2100</v>
      </c>
      <c r="AO752">
        <v>16</v>
      </c>
      <c r="AQ752" t="s">
        <v>11157</v>
      </c>
      <c r="AS752" t="s">
        <v>11104</v>
      </c>
      <c r="AU752">
        <v>-1</v>
      </c>
      <c r="AW752" t="s">
        <v>11187</v>
      </c>
      <c r="AY752" t="s">
        <v>11213</v>
      </c>
      <c r="BA752" t="s">
        <v>11222</v>
      </c>
      <c r="BD752" t="s">
        <v>11667</v>
      </c>
      <c r="BF752" t="s">
        <v>14364</v>
      </c>
      <c r="BM752" t="s">
        <v>15650</v>
      </c>
    </row>
    <row r="753" spans="1:67">
      <c r="A753" s="1">
        <f>HYPERLINK("https://lsnyc.legalserver.org/matter/dynamic-profile/view/1910617","19-1910617")</f>
        <v>0</v>
      </c>
      <c r="B753" t="s">
        <v>103</v>
      </c>
      <c r="C753" t="s">
        <v>248</v>
      </c>
      <c r="D753" t="s">
        <v>554</v>
      </c>
      <c r="F753" t="s">
        <v>1504</v>
      </c>
      <c r="G753" t="s">
        <v>3226</v>
      </c>
      <c r="H753" t="s">
        <v>5040</v>
      </c>
      <c r="I753" t="s">
        <v>6573</v>
      </c>
      <c r="J753" t="s">
        <v>7174</v>
      </c>
      <c r="K753">
        <v>11226</v>
      </c>
      <c r="N753" t="s">
        <v>7237</v>
      </c>
      <c r="O753" t="s">
        <v>7773</v>
      </c>
      <c r="P753">
        <v>3</v>
      </c>
      <c r="Q753">
        <v>3</v>
      </c>
      <c r="R753">
        <v>98.38</v>
      </c>
      <c r="U753">
        <v>34028</v>
      </c>
      <c r="W753">
        <v>0</v>
      </c>
      <c r="Y753" t="s">
        <v>103</v>
      </c>
      <c r="AA753" t="s">
        <v>10974</v>
      </c>
      <c r="AB753" t="s">
        <v>554</v>
      </c>
      <c r="AD753" t="s">
        <v>11101</v>
      </c>
      <c r="AF753" t="s">
        <v>11118</v>
      </c>
      <c r="AH753" t="s">
        <v>10974</v>
      </c>
      <c r="AJ753" t="s">
        <v>11141</v>
      </c>
      <c r="AK753" t="s">
        <v>7225</v>
      </c>
      <c r="AM753">
        <v>2100</v>
      </c>
      <c r="AO753">
        <v>16</v>
      </c>
      <c r="AQ753" t="s">
        <v>11157</v>
      </c>
      <c r="AS753" t="s">
        <v>11104</v>
      </c>
      <c r="AU753">
        <v>-1</v>
      </c>
      <c r="AW753" t="s">
        <v>11187</v>
      </c>
      <c r="AY753" t="s">
        <v>11213</v>
      </c>
      <c r="BA753" t="s">
        <v>11222</v>
      </c>
      <c r="BD753" t="s">
        <v>11667</v>
      </c>
      <c r="BF753" t="s">
        <v>14364</v>
      </c>
      <c r="BM753" t="s">
        <v>15650</v>
      </c>
    </row>
    <row r="754" spans="1:67">
      <c r="A754" s="1">
        <f>HYPERLINK("https://lsnyc.legalserver.org/matter/dynamic-profile/view/1905743","19-1905743")</f>
        <v>0</v>
      </c>
      <c r="B754" t="s">
        <v>103</v>
      </c>
      <c r="C754" t="s">
        <v>248</v>
      </c>
      <c r="D754" t="s">
        <v>511</v>
      </c>
      <c r="F754" t="s">
        <v>1505</v>
      </c>
      <c r="G754" t="s">
        <v>3274</v>
      </c>
      <c r="H754" t="s">
        <v>5033</v>
      </c>
      <c r="I754" t="s">
        <v>6425</v>
      </c>
      <c r="J754" t="s">
        <v>7174</v>
      </c>
      <c r="K754">
        <v>11226</v>
      </c>
      <c r="N754" t="s">
        <v>7237</v>
      </c>
      <c r="O754" t="s">
        <v>7774</v>
      </c>
      <c r="P754">
        <v>2</v>
      </c>
      <c r="Q754">
        <v>0</v>
      </c>
      <c r="R754">
        <v>56.77</v>
      </c>
      <c r="U754">
        <v>9600</v>
      </c>
      <c r="W754">
        <v>0.2</v>
      </c>
      <c r="X754" t="s">
        <v>511</v>
      </c>
      <c r="Y754" t="s">
        <v>212</v>
      </c>
      <c r="AA754" t="s">
        <v>10974</v>
      </c>
      <c r="AB754" t="s">
        <v>511</v>
      </c>
      <c r="AD754" t="s">
        <v>11098</v>
      </c>
      <c r="AF754" t="s">
        <v>11122</v>
      </c>
      <c r="AH754" t="s">
        <v>10974</v>
      </c>
      <c r="AI754" t="s">
        <v>11126</v>
      </c>
      <c r="AK754" t="s">
        <v>7225</v>
      </c>
      <c r="AL754" t="s">
        <v>11150</v>
      </c>
      <c r="AM754">
        <v>0</v>
      </c>
      <c r="AO754">
        <v>36</v>
      </c>
      <c r="AQ754" t="s">
        <v>11157</v>
      </c>
      <c r="AR754" t="s">
        <v>11172</v>
      </c>
      <c r="AT754" t="s">
        <v>11184</v>
      </c>
      <c r="AU754">
        <v>0</v>
      </c>
      <c r="AW754" t="s">
        <v>11199</v>
      </c>
      <c r="AZ754" t="s">
        <v>11221</v>
      </c>
      <c r="BE754" t="s">
        <v>12120</v>
      </c>
      <c r="BF754" t="s">
        <v>14364</v>
      </c>
      <c r="BM754" t="s">
        <v>15650</v>
      </c>
    </row>
    <row r="755" spans="1:67">
      <c r="A755" s="1">
        <f>HYPERLINK("https://lsnyc.legalserver.org/matter/dynamic-profile/view/1900437","19-1900437")</f>
        <v>0</v>
      </c>
      <c r="B755" t="s">
        <v>103</v>
      </c>
      <c r="C755" t="s">
        <v>248</v>
      </c>
      <c r="D755" t="s">
        <v>275</v>
      </c>
      <c r="F755" t="s">
        <v>1505</v>
      </c>
      <c r="G755" t="s">
        <v>3274</v>
      </c>
      <c r="H755" t="s">
        <v>5033</v>
      </c>
      <c r="I755" t="s">
        <v>6425</v>
      </c>
      <c r="J755" t="s">
        <v>7174</v>
      </c>
      <c r="K755">
        <v>11226</v>
      </c>
      <c r="M755" t="s">
        <v>7227</v>
      </c>
      <c r="N755" t="s">
        <v>7237</v>
      </c>
      <c r="O755" t="s">
        <v>7774</v>
      </c>
      <c r="P755">
        <v>2</v>
      </c>
      <c r="Q755">
        <v>0</v>
      </c>
      <c r="R755">
        <v>56.77</v>
      </c>
      <c r="U755">
        <v>9600</v>
      </c>
      <c r="W755">
        <v>0.2</v>
      </c>
      <c r="X755" t="s">
        <v>275</v>
      </c>
      <c r="Y755" t="s">
        <v>212</v>
      </c>
      <c r="AA755" t="s">
        <v>10974</v>
      </c>
      <c r="AB755" t="s">
        <v>275</v>
      </c>
      <c r="AD755" t="s">
        <v>11101</v>
      </c>
      <c r="AF755" t="s">
        <v>11118</v>
      </c>
      <c r="AH755" t="s">
        <v>10974</v>
      </c>
      <c r="AJ755" t="s">
        <v>11134</v>
      </c>
      <c r="AK755" t="s">
        <v>7225</v>
      </c>
      <c r="AM755">
        <v>1038.57</v>
      </c>
      <c r="AO755">
        <v>36</v>
      </c>
      <c r="AQ755" t="s">
        <v>11157</v>
      </c>
      <c r="AS755" t="s">
        <v>11173</v>
      </c>
      <c r="AT755" t="s">
        <v>11184</v>
      </c>
      <c r="AU755">
        <v>0</v>
      </c>
      <c r="AW755" t="s">
        <v>11199</v>
      </c>
      <c r="AY755" t="s">
        <v>11213</v>
      </c>
      <c r="BA755" t="s">
        <v>11222</v>
      </c>
      <c r="BE755" t="s">
        <v>12120</v>
      </c>
      <c r="BF755" t="s">
        <v>14364</v>
      </c>
      <c r="BG755" t="s">
        <v>14525</v>
      </c>
      <c r="BM755" t="s">
        <v>15650</v>
      </c>
    </row>
    <row r="756" spans="1:67">
      <c r="A756" s="1">
        <f>HYPERLINK("https://lsnyc.legalserver.org/matter/dynamic-profile/view/1900617","19-1900617")</f>
        <v>0</v>
      </c>
      <c r="B756" t="s">
        <v>103</v>
      </c>
      <c r="C756" t="s">
        <v>248</v>
      </c>
      <c r="D756" t="s">
        <v>549</v>
      </c>
      <c r="F756" t="s">
        <v>1498</v>
      </c>
      <c r="G756" t="s">
        <v>3006</v>
      </c>
      <c r="H756" t="s">
        <v>5033</v>
      </c>
      <c r="I756" t="s">
        <v>6477</v>
      </c>
      <c r="J756" t="s">
        <v>7174</v>
      </c>
      <c r="K756">
        <v>11226</v>
      </c>
      <c r="M756" t="s">
        <v>7227</v>
      </c>
      <c r="N756" t="s">
        <v>7237</v>
      </c>
      <c r="O756" t="s">
        <v>7766</v>
      </c>
      <c r="P756">
        <v>4</v>
      </c>
      <c r="Q756">
        <v>0</v>
      </c>
      <c r="R756">
        <v>192.65</v>
      </c>
      <c r="U756">
        <v>49608</v>
      </c>
      <c r="W756">
        <v>0.3</v>
      </c>
      <c r="X756" t="s">
        <v>549</v>
      </c>
      <c r="Y756" t="s">
        <v>212</v>
      </c>
      <c r="AA756" t="s">
        <v>10974</v>
      </c>
      <c r="AB756" t="s">
        <v>549</v>
      </c>
      <c r="AD756" t="s">
        <v>11101</v>
      </c>
      <c r="AF756" t="s">
        <v>11118</v>
      </c>
      <c r="AH756" t="s">
        <v>10974</v>
      </c>
      <c r="AJ756" t="s">
        <v>11134</v>
      </c>
      <c r="AK756" t="s">
        <v>7225</v>
      </c>
      <c r="AM756">
        <v>763.1799999999999</v>
      </c>
      <c r="AO756">
        <v>36</v>
      </c>
      <c r="AQ756" t="s">
        <v>11157</v>
      </c>
      <c r="AS756" t="s">
        <v>11175</v>
      </c>
      <c r="AU756">
        <v>30</v>
      </c>
      <c r="AW756" t="s">
        <v>11189</v>
      </c>
      <c r="AY756" t="s">
        <v>11213</v>
      </c>
      <c r="AZ756" t="s">
        <v>11221</v>
      </c>
      <c r="BE756" t="s">
        <v>12117</v>
      </c>
      <c r="BF756" t="s">
        <v>14364</v>
      </c>
      <c r="BG756" t="s">
        <v>14525</v>
      </c>
      <c r="BM756" t="s">
        <v>15650</v>
      </c>
    </row>
    <row r="757" spans="1:67">
      <c r="A757" s="1">
        <f>HYPERLINK("https://lsnyc.legalserver.org/matter/dynamic-profile/view/1891137","19-1891137")</f>
        <v>0</v>
      </c>
      <c r="B757" t="s">
        <v>103</v>
      </c>
      <c r="C757" t="s">
        <v>248</v>
      </c>
      <c r="D757" t="s">
        <v>331</v>
      </c>
      <c r="F757" t="s">
        <v>1137</v>
      </c>
      <c r="G757" t="s">
        <v>3125</v>
      </c>
      <c r="H757" t="s">
        <v>5034</v>
      </c>
      <c r="I757" t="s">
        <v>6631</v>
      </c>
      <c r="J757" t="s">
        <v>7174</v>
      </c>
      <c r="K757">
        <v>11225</v>
      </c>
      <c r="N757" t="s">
        <v>7237</v>
      </c>
      <c r="O757" t="s">
        <v>7775</v>
      </c>
      <c r="P757">
        <v>1</v>
      </c>
      <c r="Q757">
        <v>0</v>
      </c>
      <c r="R757">
        <v>800.64</v>
      </c>
      <c r="U757">
        <v>100000</v>
      </c>
      <c r="W757">
        <v>0</v>
      </c>
      <c r="Y757" t="s">
        <v>81</v>
      </c>
      <c r="AA757" t="s">
        <v>10974</v>
      </c>
      <c r="AB757" t="s">
        <v>483</v>
      </c>
      <c r="AD757" t="s">
        <v>11098</v>
      </c>
      <c r="AF757" t="s">
        <v>11122</v>
      </c>
      <c r="AH757" t="s">
        <v>10974</v>
      </c>
      <c r="AJ757" t="s">
        <v>11141</v>
      </c>
      <c r="AK757" t="s">
        <v>7225</v>
      </c>
      <c r="AM757">
        <v>1510</v>
      </c>
      <c r="AO757">
        <v>89</v>
      </c>
      <c r="AQ757" t="s">
        <v>11157</v>
      </c>
      <c r="AR757" t="s">
        <v>11172</v>
      </c>
      <c r="AU757">
        <v>5</v>
      </c>
      <c r="AW757" t="s">
        <v>11187</v>
      </c>
      <c r="AZ757" t="s">
        <v>11221</v>
      </c>
      <c r="BE757" t="s">
        <v>12121</v>
      </c>
      <c r="BG757" t="s">
        <v>14526</v>
      </c>
      <c r="BM757" t="s">
        <v>15650</v>
      </c>
    </row>
    <row r="758" spans="1:67">
      <c r="A758" s="1">
        <f>HYPERLINK("https://lsnyc.legalserver.org/matter/dynamic-profile/view/1900452","19-1900452")</f>
        <v>0</v>
      </c>
      <c r="B758" t="s">
        <v>103</v>
      </c>
      <c r="C758" t="s">
        <v>248</v>
      </c>
      <c r="D758" t="s">
        <v>275</v>
      </c>
      <c r="F758" t="s">
        <v>1496</v>
      </c>
      <c r="G758" t="s">
        <v>3268</v>
      </c>
      <c r="H758" t="s">
        <v>5033</v>
      </c>
      <c r="I758" t="s">
        <v>6407</v>
      </c>
      <c r="J758" t="s">
        <v>7174</v>
      </c>
      <c r="K758">
        <v>11226</v>
      </c>
      <c r="M758" t="s">
        <v>7227</v>
      </c>
      <c r="N758" t="s">
        <v>7237</v>
      </c>
      <c r="O758" t="s">
        <v>7762</v>
      </c>
      <c r="P758">
        <v>1</v>
      </c>
      <c r="Q758">
        <v>0</v>
      </c>
      <c r="R758">
        <v>124.9</v>
      </c>
      <c r="U758">
        <v>15600</v>
      </c>
      <c r="W758">
        <v>0.3</v>
      </c>
      <c r="X758" t="s">
        <v>275</v>
      </c>
      <c r="Y758" t="s">
        <v>212</v>
      </c>
      <c r="AA758" t="s">
        <v>10974</v>
      </c>
      <c r="AB758" t="s">
        <v>275</v>
      </c>
      <c r="AD758" t="s">
        <v>11101</v>
      </c>
      <c r="AF758" t="s">
        <v>11118</v>
      </c>
      <c r="AH758" t="s">
        <v>10974</v>
      </c>
      <c r="AJ758" t="s">
        <v>11134</v>
      </c>
      <c r="AK758" t="s">
        <v>7225</v>
      </c>
      <c r="AM758">
        <v>965</v>
      </c>
      <c r="AO758">
        <v>36</v>
      </c>
      <c r="AQ758" t="s">
        <v>11157</v>
      </c>
      <c r="AR758" t="s">
        <v>11172</v>
      </c>
      <c r="AU758">
        <v>1</v>
      </c>
      <c r="AW758" t="s">
        <v>11195</v>
      </c>
      <c r="AY758" t="s">
        <v>11213</v>
      </c>
      <c r="AZ758" t="s">
        <v>11221</v>
      </c>
      <c r="BE758" t="s">
        <v>12114</v>
      </c>
      <c r="BF758" t="s">
        <v>14364</v>
      </c>
      <c r="BG758" t="s">
        <v>14525</v>
      </c>
      <c r="BM758" t="s">
        <v>15650</v>
      </c>
    </row>
    <row r="759" spans="1:67">
      <c r="A759" s="1">
        <f>HYPERLINK("https://lsnyc.legalserver.org/matter/dynamic-profile/view/1887235","19-1887235")</f>
        <v>0</v>
      </c>
      <c r="B759" t="s">
        <v>103</v>
      </c>
      <c r="C759" t="s">
        <v>248</v>
      </c>
      <c r="D759" t="s">
        <v>495</v>
      </c>
      <c r="F759" t="s">
        <v>1506</v>
      </c>
      <c r="G759" t="s">
        <v>3275</v>
      </c>
      <c r="H759" t="s">
        <v>5046</v>
      </c>
      <c r="I759">
        <v>43</v>
      </c>
      <c r="J759" t="s">
        <v>7174</v>
      </c>
      <c r="K759">
        <v>11210</v>
      </c>
      <c r="N759" t="s">
        <v>7237</v>
      </c>
      <c r="O759" t="s">
        <v>7776</v>
      </c>
      <c r="P759">
        <v>1</v>
      </c>
      <c r="Q759">
        <v>0</v>
      </c>
      <c r="R759">
        <v>94.3</v>
      </c>
      <c r="U759">
        <v>11448</v>
      </c>
      <c r="W759">
        <v>13.9</v>
      </c>
      <c r="X759" t="s">
        <v>267</v>
      </c>
      <c r="Y759" t="s">
        <v>81</v>
      </c>
      <c r="Z759" t="s">
        <v>10973</v>
      </c>
      <c r="AA759" t="s">
        <v>10975</v>
      </c>
      <c r="AB759" t="s">
        <v>495</v>
      </c>
      <c r="AC759" t="s">
        <v>11081</v>
      </c>
      <c r="AF759" t="s">
        <v>11120</v>
      </c>
      <c r="AH759" t="s">
        <v>10975</v>
      </c>
      <c r="AI759" t="s">
        <v>11126</v>
      </c>
      <c r="AK759" t="s">
        <v>7225</v>
      </c>
      <c r="AL759" t="s">
        <v>11150</v>
      </c>
      <c r="AM759">
        <v>0</v>
      </c>
      <c r="AN759" t="s">
        <v>11151</v>
      </c>
      <c r="AO759" t="s">
        <v>11153</v>
      </c>
      <c r="AP759" t="s">
        <v>11155</v>
      </c>
      <c r="AR759" t="s">
        <v>11172</v>
      </c>
      <c r="AT759" t="s">
        <v>11184</v>
      </c>
      <c r="AU759">
        <v>0</v>
      </c>
      <c r="AW759" t="s">
        <v>11187</v>
      </c>
      <c r="AZ759" t="s">
        <v>11221</v>
      </c>
      <c r="BE759" t="s">
        <v>12122</v>
      </c>
      <c r="BF759" t="s">
        <v>14364</v>
      </c>
      <c r="BM759" t="s">
        <v>15650</v>
      </c>
    </row>
    <row r="760" spans="1:67">
      <c r="A760" s="1">
        <f>HYPERLINK("https://lsnyc.legalserver.org/matter/dynamic-profile/view/1911770","19-1911770")</f>
        <v>0</v>
      </c>
      <c r="B760" t="s">
        <v>103</v>
      </c>
      <c r="C760" t="s">
        <v>248</v>
      </c>
      <c r="D760" t="s">
        <v>563</v>
      </c>
      <c r="F760" t="s">
        <v>1494</v>
      </c>
      <c r="G760" t="s">
        <v>1137</v>
      </c>
      <c r="H760" t="s">
        <v>5040</v>
      </c>
      <c r="I760">
        <v>1</v>
      </c>
      <c r="J760" t="s">
        <v>7174</v>
      </c>
      <c r="K760">
        <v>11226</v>
      </c>
      <c r="N760" t="s">
        <v>7237</v>
      </c>
      <c r="P760">
        <v>1</v>
      </c>
      <c r="Q760">
        <v>0</v>
      </c>
      <c r="R760">
        <v>0</v>
      </c>
      <c r="U760">
        <v>0</v>
      </c>
      <c r="V760" t="s">
        <v>10320</v>
      </c>
      <c r="W760">
        <v>0</v>
      </c>
      <c r="Y760" t="s">
        <v>81</v>
      </c>
      <c r="AA760" t="s">
        <v>10974</v>
      </c>
      <c r="AB760" t="s">
        <v>601</v>
      </c>
      <c r="AC760" t="s">
        <v>11081</v>
      </c>
      <c r="AF760" t="s">
        <v>11118</v>
      </c>
      <c r="AG760" t="s">
        <v>11124</v>
      </c>
      <c r="AI760" t="s">
        <v>11126</v>
      </c>
      <c r="AK760" t="s">
        <v>7225</v>
      </c>
      <c r="AL760" t="s">
        <v>11150</v>
      </c>
      <c r="AM760">
        <v>0</v>
      </c>
      <c r="AO760">
        <v>16</v>
      </c>
      <c r="AP760" t="s">
        <v>11155</v>
      </c>
      <c r="AR760" t="s">
        <v>11172</v>
      </c>
      <c r="AT760" t="s">
        <v>11184</v>
      </c>
      <c r="AU760">
        <v>0</v>
      </c>
      <c r="AW760" t="s">
        <v>11187</v>
      </c>
      <c r="BA760" t="s">
        <v>11222</v>
      </c>
      <c r="BD760" t="s">
        <v>11667</v>
      </c>
      <c r="BF760" t="s">
        <v>14364</v>
      </c>
      <c r="BM760" t="s">
        <v>15650</v>
      </c>
    </row>
    <row r="761" spans="1:67">
      <c r="A761" s="1">
        <f>HYPERLINK("https://lsnyc.legalserver.org/matter/dynamic-profile/view/1899996","19-1899996")</f>
        <v>0</v>
      </c>
      <c r="B761" t="s">
        <v>103</v>
      </c>
      <c r="C761" t="s">
        <v>248</v>
      </c>
      <c r="D761" t="s">
        <v>314</v>
      </c>
      <c r="F761" t="s">
        <v>1098</v>
      </c>
      <c r="G761" t="s">
        <v>2877</v>
      </c>
      <c r="H761" t="s">
        <v>5047</v>
      </c>
      <c r="I761">
        <v>31</v>
      </c>
      <c r="J761" t="s">
        <v>7174</v>
      </c>
      <c r="K761">
        <v>11220</v>
      </c>
      <c r="N761" t="s">
        <v>7237</v>
      </c>
      <c r="O761" t="s">
        <v>7777</v>
      </c>
      <c r="P761">
        <v>3</v>
      </c>
      <c r="Q761">
        <v>0</v>
      </c>
      <c r="R761">
        <v>0</v>
      </c>
      <c r="U761">
        <v>0</v>
      </c>
      <c r="W761">
        <v>0.8</v>
      </c>
      <c r="X761" t="s">
        <v>314</v>
      </c>
      <c r="Y761" t="s">
        <v>212</v>
      </c>
      <c r="AA761" t="s">
        <v>10974</v>
      </c>
      <c r="AB761" t="s">
        <v>314</v>
      </c>
      <c r="AD761" t="s">
        <v>11090</v>
      </c>
      <c r="AF761" t="s">
        <v>10384</v>
      </c>
      <c r="AH761" t="s">
        <v>10975</v>
      </c>
      <c r="AJ761" t="s">
        <v>11141</v>
      </c>
      <c r="AK761" t="s">
        <v>7225</v>
      </c>
      <c r="AL761" t="s">
        <v>11150</v>
      </c>
      <c r="AM761">
        <v>0</v>
      </c>
      <c r="AO761">
        <v>84</v>
      </c>
      <c r="AQ761" t="s">
        <v>11157</v>
      </c>
      <c r="AS761" t="s">
        <v>11173</v>
      </c>
      <c r="AU761">
        <v>25</v>
      </c>
      <c r="AW761" t="s">
        <v>11189</v>
      </c>
      <c r="AY761" t="s">
        <v>11213</v>
      </c>
      <c r="AZ761" t="s">
        <v>11221</v>
      </c>
      <c r="BC761" t="s">
        <v>11173</v>
      </c>
      <c r="BD761" t="s">
        <v>11667</v>
      </c>
      <c r="BF761" t="s">
        <v>14364</v>
      </c>
      <c r="BG761" t="s">
        <v>11173</v>
      </c>
      <c r="BM761" t="s">
        <v>15650</v>
      </c>
    </row>
    <row r="762" spans="1:67">
      <c r="A762" s="1">
        <f>HYPERLINK("https://lsnyc.legalserver.org/matter/dynamic-profile/view/1911473","19-1911473")</f>
        <v>0</v>
      </c>
      <c r="B762" t="s">
        <v>103</v>
      </c>
      <c r="C762" t="s">
        <v>248</v>
      </c>
      <c r="D762" t="s">
        <v>564</v>
      </c>
      <c r="F762" t="s">
        <v>1415</v>
      </c>
      <c r="G762" t="s">
        <v>3276</v>
      </c>
      <c r="H762" t="s">
        <v>5040</v>
      </c>
      <c r="I762" t="s">
        <v>6417</v>
      </c>
      <c r="J762" t="s">
        <v>7174</v>
      </c>
      <c r="K762">
        <v>11226</v>
      </c>
      <c r="N762" t="s">
        <v>7237</v>
      </c>
      <c r="O762" t="s">
        <v>7778</v>
      </c>
      <c r="P762">
        <v>1</v>
      </c>
      <c r="Q762">
        <v>0</v>
      </c>
      <c r="R762">
        <v>400.32</v>
      </c>
      <c r="U762">
        <v>50000</v>
      </c>
      <c r="W762">
        <v>1.1</v>
      </c>
      <c r="X762" t="s">
        <v>548</v>
      </c>
      <c r="Y762" t="s">
        <v>81</v>
      </c>
      <c r="AA762" t="s">
        <v>10974</v>
      </c>
      <c r="AB762" t="s">
        <v>601</v>
      </c>
      <c r="AC762" t="s">
        <v>11081</v>
      </c>
      <c r="AF762" t="s">
        <v>11118</v>
      </c>
      <c r="AH762" t="s">
        <v>10975</v>
      </c>
      <c r="AI762" t="s">
        <v>11126</v>
      </c>
      <c r="AK762" t="s">
        <v>7225</v>
      </c>
      <c r="AM762">
        <v>786.46</v>
      </c>
      <c r="AO762">
        <v>16</v>
      </c>
      <c r="AP762" t="s">
        <v>11155</v>
      </c>
      <c r="AR762" t="s">
        <v>11172</v>
      </c>
      <c r="AU762">
        <v>19</v>
      </c>
      <c r="AW762" t="s">
        <v>11187</v>
      </c>
      <c r="BA762" t="s">
        <v>11222</v>
      </c>
      <c r="BE762" t="s">
        <v>12123</v>
      </c>
      <c r="BF762" t="s">
        <v>14364</v>
      </c>
      <c r="BM762" t="s">
        <v>15650</v>
      </c>
    </row>
    <row r="763" spans="1:67">
      <c r="A763" s="1">
        <f>HYPERLINK("https://lsnyc.legalserver.org/matter/dynamic-profile/view/1907585","19-1907585")</f>
        <v>0</v>
      </c>
      <c r="B763" t="s">
        <v>103</v>
      </c>
      <c r="C763" t="s">
        <v>248</v>
      </c>
      <c r="D763" t="s">
        <v>377</v>
      </c>
      <c r="F763" t="s">
        <v>1415</v>
      </c>
      <c r="G763" t="s">
        <v>3276</v>
      </c>
      <c r="H763" t="s">
        <v>5040</v>
      </c>
      <c r="I763" t="s">
        <v>6417</v>
      </c>
      <c r="J763" t="s">
        <v>7174</v>
      </c>
      <c r="K763">
        <v>11226</v>
      </c>
      <c r="N763" t="s">
        <v>7237</v>
      </c>
      <c r="O763" t="s">
        <v>7778</v>
      </c>
      <c r="P763">
        <v>1</v>
      </c>
      <c r="Q763">
        <v>0</v>
      </c>
      <c r="R763">
        <v>400.32</v>
      </c>
      <c r="U763">
        <v>50000</v>
      </c>
      <c r="W763">
        <v>22.1</v>
      </c>
      <c r="X763" t="s">
        <v>436</v>
      </c>
      <c r="Y763" t="s">
        <v>81</v>
      </c>
      <c r="AA763" t="s">
        <v>10974</v>
      </c>
      <c r="AB763" t="s">
        <v>377</v>
      </c>
      <c r="AD763" t="s">
        <v>11101</v>
      </c>
      <c r="AF763" t="s">
        <v>11118</v>
      </c>
      <c r="AH763" t="s">
        <v>10974</v>
      </c>
      <c r="AI763" t="s">
        <v>11126</v>
      </c>
      <c r="AK763" t="s">
        <v>7225</v>
      </c>
      <c r="AM763">
        <v>786.46</v>
      </c>
      <c r="AO763">
        <v>16</v>
      </c>
      <c r="AQ763" t="s">
        <v>11157</v>
      </c>
      <c r="AR763" t="s">
        <v>11172</v>
      </c>
      <c r="AU763">
        <v>19</v>
      </c>
      <c r="AW763" t="s">
        <v>11187</v>
      </c>
      <c r="BA763" t="s">
        <v>11222</v>
      </c>
      <c r="BE763" t="s">
        <v>12123</v>
      </c>
      <c r="BF763" t="s">
        <v>14364</v>
      </c>
      <c r="BM763" t="s">
        <v>15650</v>
      </c>
    </row>
    <row r="764" spans="1:67">
      <c r="A764" s="1">
        <f>HYPERLINK("https://lsnyc.legalserver.org/matter/dynamic-profile/view/1892946","19-1892946")</f>
        <v>0</v>
      </c>
      <c r="B764" t="s">
        <v>103</v>
      </c>
      <c r="C764" t="s">
        <v>248</v>
      </c>
      <c r="D764" t="s">
        <v>319</v>
      </c>
      <c r="F764" t="s">
        <v>1137</v>
      </c>
      <c r="G764" t="s">
        <v>3125</v>
      </c>
      <c r="H764" t="s">
        <v>5034</v>
      </c>
      <c r="I764" t="s">
        <v>6631</v>
      </c>
      <c r="J764" t="s">
        <v>7174</v>
      </c>
      <c r="K764">
        <v>11225</v>
      </c>
      <c r="M764" t="s">
        <v>7227</v>
      </c>
      <c r="N764" t="s">
        <v>7237</v>
      </c>
      <c r="O764" t="s">
        <v>7775</v>
      </c>
      <c r="P764">
        <v>1</v>
      </c>
      <c r="Q764">
        <v>0</v>
      </c>
      <c r="R764">
        <v>800.64</v>
      </c>
      <c r="U764">
        <v>100000</v>
      </c>
      <c r="W764">
        <v>0</v>
      </c>
      <c r="Y764" t="s">
        <v>81</v>
      </c>
      <c r="AA764" t="s">
        <v>10974</v>
      </c>
      <c r="AB764" t="s">
        <v>367</v>
      </c>
      <c r="AD764" t="s">
        <v>11098</v>
      </c>
      <c r="AF764" t="s">
        <v>11118</v>
      </c>
      <c r="AH764" t="s">
        <v>10974</v>
      </c>
      <c r="AJ764" t="s">
        <v>11141</v>
      </c>
      <c r="AK764" t="s">
        <v>7225</v>
      </c>
      <c r="AM764">
        <v>1510</v>
      </c>
      <c r="AO764">
        <v>86</v>
      </c>
      <c r="AQ764" t="s">
        <v>11157</v>
      </c>
      <c r="AR764" t="s">
        <v>11172</v>
      </c>
      <c r="AU764">
        <v>5</v>
      </c>
      <c r="AW764" t="s">
        <v>11187</v>
      </c>
      <c r="AY764" t="s">
        <v>11213</v>
      </c>
      <c r="AZ764" t="s">
        <v>11221</v>
      </c>
      <c r="BE764" t="s">
        <v>12121</v>
      </c>
      <c r="BG764" t="s">
        <v>14527</v>
      </c>
      <c r="BM764" t="s">
        <v>15650</v>
      </c>
    </row>
    <row r="765" spans="1:67">
      <c r="A765" s="1">
        <f>HYPERLINK("https://lsnyc.legalserver.org/matter/dynamic-profile/view/1902616","19-1902616")</f>
        <v>0</v>
      </c>
      <c r="B765" t="s">
        <v>103</v>
      </c>
      <c r="C765" t="s">
        <v>248</v>
      </c>
      <c r="D765" t="s">
        <v>307</v>
      </c>
      <c r="F765" t="s">
        <v>1507</v>
      </c>
      <c r="G765" t="s">
        <v>2992</v>
      </c>
      <c r="H765" t="s">
        <v>5048</v>
      </c>
      <c r="I765" t="s">
        <v>6632</v>
      </c>
      <c r="J765" t="s">
        <v>7174</v>
      </c>
      <c r="K765">
        <v>11220</v>
      </c>
      <c r="N765" t="s">
        <v>7237</v>
      </c>
      <c r="O765" t="s">
        <v>7779</v>
      </c>
      <c r="P765">
        <v>3</v>
      </c>
      <c r="Q765">
        <v>0</v>
      </c>
      <c r="R765">
        <v>59.24</v>
      </c>
      <c r="U765">
        <v>12636</v>
      </c>
      <c r="W765">
        <v>13.8</v>
      </c>
      <c r="X765" t="s">
        <v>264</v>
      </c>
      <c r="Y765" t="s">
        <v>212</v>
      </c>
      <c r="AA765" t="s">
        <v>10974</v>
      </c>
      <c r="AB765" t="s">
        <v>307</v>
      </c>
      <c r="AC765" t="s">
        <v>11081</v>
      </c>
      <c r="AF765" t="s">
        <v>11118</v>
      </c>
      <c r="AH765" t="s">
        <v>10975</v>
      </c>
      <c r="AJ765" t="s">
        <v>11141</v>
      </c>
      <c r="AK765" t="s">
        <v>7225</v>
      </c>
      <c r="AL765" t="s">
        <v>11150</v>
      </c>
      <c r="AM765">
        <v>0</v>
      </c>
      <c r="AO765">
        <v>8</v>
      </c>
      <c r="AQ765" t="s">
        <v>11161</v>
      </c>
      <c r="AS765" t="s">
        <v>11174</v>
      </c>
      <c r="AU765">
        <v>10</v>
      </c>
      <c r="AW765" t="s">
        <v>11189</v>
      </c>
      <c r="BA765" t="s">
        <v>11222</v>
      </c>
      <c r="BD765" t="s">
        <v>11667</v>
      </c>
      <c r="BF765" t="s">
        <v>14364</v>
      </c>
      <c r="BI765" t="s">
        <v>15611</v>
      </c>
      <c r="BK765" t="s">
        <v>15620</v>
      </c>
      <c r="BM765" t="s">
        <v>15650</v>
      </c>
      <c r="BN765" t="s">
        <v>15652</v>
      </c>
      <c r="BO765" t="s">
        <v>15668</v>
      </c>
    </row>
    <row r="766" spans="1:67">
      <c r="A766" s="1">
        <f>HYPERLINK("https://lsnyc.legalserver.org/matter/dynamic-profile/view/1905679","19-1905679")</f>
        <v>0</v>
      </c>
      <c r="B766" t="s">
        <v>103</v>
      </c>
      <c r="C766" t="s">
        <v>248</v>
      </c>
      <c r="D766" t="s">
        <v>511</v>
      </c>
      <c r="F766" t="s">
        <v>1491</v>
      </c>
      <c r="G766" t="s">
        <v>3261</v>
      </c>
      <c r="H766" t="s">
        <v>5033</v>
      </c>
      <c r="I766" t="s">
        <v>6448</v>
      </c>
      <c r="J766" t="s">
        <v>7174</v>
      </c>
      <c r="K766">
        <v>11226</v>
      </c>
      <c r="M766" t="s">
        <v>7227</v>
      </c>
      <c r="N766" t="s">
        <v>7237</v>
      </c>
      <c r="O766" t="s">
        <v>7755</v>
      </c>
      <c r="P766">
        <v>2</v>
      </c>
      <c r="Q766">
        <v>0</v>
      </c>
      <c r="R766">
        <v>532.23</v>
      </c>
      <c r="U766">
        <v>90000</v>
      </c>
      <c r="W766">
        <v>0.2</v>
      </c>
      <c r="X766" t="s">
        <v>511</v>
      </c>
      <c r="Y766" t="s">
        <v>212</v>
      </c>
      <c r="AA766" t="s">
        <v>10974</v>
      </c>
      <c r="AB766" t="s">
        <v>511</v>
      </c>
      <c r="AD766" t="s">
        <v>11098</v>
      </c>
      <c r="AF766" t="s">
        <v>11122</v>
      </c>
      <c r="AH766" t="s">
        <v>10974</v>
      </c>
      <c r="AI766" t="s">
        <v>11126</v>
      </c>
      <c r="AK766" t="s">
        <v>7225</v>
      </c>
      <c r="AL766" t="s">
        <v>11150</v>
      </c>
      <c r="AM766">
        <v>0</v>
      </c>
      <c r="AO766">
        <v>36</v>
      </c>
      <c r="AQ766" t="s">
        <v>11157</v>
      </c>
      <c r="AR766" t="s">
        <v>11172</v>
      </c>
      <c r="AT766" t="s">
        <v>11184</v>
      </c>
      <c r="AU766">
        <v>0</v>
      </c>
      <c r="AW766" t="s">
        <v>11187</v>
      </c>
      <c r="AZ766" t="s">
        <v>11221</v>
      </c>
      <c r="BE766" t="s">
        <v>12109</v>
      </c>
      <c r="BF766" t="s">
        <v>14364</v>
      </c>
      <c r="BM766" t="s">
        <v>15650</v>
      </c>
    </row>
    <row r="767" spans="1:67">
      <c r="A767" s="1">
        <f>HYPERLINK("https://lsnyc.legalserver.org/matter/dynamic-profile/view/1884826","18-1884826")</f>
        <v>0</v>
      </c>
      <c r="B767" t="s">
        <v>103</v>
      </c>
      <c r="C767" t="s">
        <v>248</v>
      </c>
      <c r="D767" t="s">
        <v>559</v>
      </c>
      <c r="F767" t="s">
        <v>1508</v>
      </c>
      <c r="G767" t="s">
        <v>3277</v>
      </c>
      <c r="H767" t="s">
        <v>5031</v>
      </c>
      <c r="I767" t="s">
        <v>6633</v>
      </c>
      <c r="J767" t="s">
        <v>7174</v>
      </c>
      <c r="K767">
        <v>11226</v>
      </c>
      <c r="N767" t="s">
        <v>7237</v>
      </c>
      <c r="O767" t="s">
        <v>7780</v>
      </c>
      <c r="P767">
        <v>2</v>
      </c>
      <c r="Q767">
        <v>1</v>
      </c>
      <c r="R767">
        <v>136.48</v>
      </c>
      <c r="U767">
        <v>28360.8</v>
      </c>
      <c r="W767">
        <v>0.5</v>
      </c>
      <c r="X767" t="s">
        <v>631</v>
      </c>
      <c r="Y767" t="s">
        <v>81</v>
      </c>
      <c r="AA767" t="s">
        <v>10974</v>
      </c>
      <c r="AB767" t="s">
        <v>11000</v>
      </c>
      <c r="AD767" t="s">
        <v>11098</v>
      </c>
      <c r="AF767" t="s">
        <v>11121</v>
      </c>
      <c r="AH767" t="s">
        <v>10974</v>
      </c>
      <c r="AJ767" t="s">
        <v>11141</v>
      </c>
      <c r="AK767" t="s">
        <v>7225</v>
      </c>
      <c r="AM767">
        <v>1098.97</v>
      </c>
      <c r="AO767">
        <v>48</v>
      </c>
      <c r="AQ767" t="s">
        <v>11157</v>
      </c>
      <c r="AS767" t="s">
        <v>11173</v>
      </c>
      <c r="AU767">
        <v>16</v>
      </c>
      <c r="AW767" t="s">
        <v>11187</v>
      </c>
      <c r="AZ767" t="s">
        <v>11221</v>
      </c>
      <c r="BE767" t="s">
        <v>12124</v>
      </c>
      <c r="BG767" t="s">
        <v>14524</v>
      </c>
      <c r="BM767" t="s">
        <v>15650</v>
      </c>
    </row>
    <row r="768" spans="1:67">
      <c r="A768" s="1">
        <f>HYPERLINK("https://lsnyc.legalserver.org/matter/dynamic-profile/view/1907664","19-1907664")</f>
        <v>0</v>
      </c>
      <c r="B768" t="s">
        <v>103</v>
      </c>
      <c r="C768" t="s">
        <v>248</v>
      </c>
      <c r="D768" t="s">
        <v>544</v>
      </c>
      <c r="F768" t="s">
        <v>1509</v>
      </c>
      <c r="G768" t="s">
        <v>2443</v>
      </c>
      <c r="H768" t="s">
        <v>5033</v>
      </c>
      <c r="I768" t="s">
        <v>6421</v>
      </c>
      <c r="J768" t="s">
        <v>7174</v>
      </c>
      <c r="K768">
        <v>11226</v>
      </c>
      <c r="N768" t="s">
        <v>7237</v>
      </c>
      <c r="O768" t="s">
        <v>7433</v>
      </c>
      <c r="P768">
        <v>3</v>
      </c>
      <c r="Q768">
        <v>0</v>
      </c>
      <c r="R768">
        <v>85.33</v>
      </c>
      <c r="U768">
        <v>18200</v>
      </c>
      <c r="V768" t="s">
        <v>10321</v>
      </c>
      <c r="W768">
        <v>0.2</v>
      </c>
      <c r="X768" t="s">
        <v>544</v>
      </c>
      <c r="Y768" t="s">
        <v>212</v>
      </c>
      <c r="AA768" t="s">
        <v>10974</v>
      </c>
      <c r="AB768" t="s">
        <v>544</v>
      </c>
      <c r="AD768" t="s">
        <v>11098</v>
      </c>
      <c r="AF768" t="s">
        <v>11122</v>
      </c>
      <c r="AH768" t="s">
        <v>10974</v>
      </c>
      <c r="AI768" t="s">
        <v>11126</v>
      </c>
      <c r="AK768" t="s">
        <v>7225</v>
      </c>
      <c r="AL768" t="s">
        <v>11150</v>
      </c>
      <c r="AM768">
        <v>0</v>
      </c>
      <c r="AO768">
        <v>36</v>
      </c>
      <c r="AQ768" t="s">
        <v>11157</v>
      </c>
      <c r="AR768" t="s">
        <v>11172</v>
      </c>
      <c r="AT768" t="s">
        <v>11184</v>
      </c>
      <c r="AU768">
        <v>0</v>
      </c>
      <c r="AW768" t="s">
        <v>11195</v>
      </c>
      <c r="BA768" t="s">
        <v>11222</v>
      </c>
      <c r="BE768" t="s">
        <v>12125</v>
      </c>
      <c r="BF768" t="s">
        <v>14364</v>
      </c>
      <c r="BM768" t="s">
        <v>15650</v>
      </c>
    </row>
    <row r="769" spans="1:67">
      <c r="A769" s="1">
        <f>HYPERLINK("https://lsnyc.legalserver.org/matter/dynamic-profile/view/1899675","19-1899675")</f>
        <v>0</v>
      </c>
      <c r="B769" t="s">
        <v>103</v>
      </c>
      <c r="C769" t="s">
        <v>248</v>
      </c>
      <c r="D769" t="s">
        <v>431</v>
      </c>
      <c r="F769" t="s">
        <v>1280</v>
      </c>
      <c r="G769" t="s">
        <v>1412</v>
      </c>
      <c r="H769" t="s">
        <v>5049</v>
      </c>
      <c r="I769" t="s">
        <v>6410</v>
      </c>
      <c r="J769" t="s">
        <v>7174</v>
      </c>
      <c r="K769">
        <v>11214</v>
      </c>
      <c r="N769" t="s">
        <v>7237</v>
      </c>
      <c r="O769" t="s">
        <v>7781</v>
      </c>
      <c r="P769">
        <v>2</v>
      </c>
      <c r="Q769">
        <v>0</v>
      </c>
      <c r="R769">
        <v>130.27</v>
      </c>
      <c r="U769">
        <v>22029.13</v>
      </c>
      <c r="W769">
        <v>3.9</v>
      </c>
      <c r="X769" t="s">
        <v>420</v>
      </c>
      <c r="Y769" t="s">
        <v>81</v>
      </c>
      <c r="AA769" t="s">
        <v>10974</v>
      </c>
      <c r="AB769" t="s">
        <v>431</v>
      </c>
      <c r="AD769" t="s">
        <v>11086</v>
      </c>
      <c r="AF769" t="s">
        <v>11120</v>
      </c>
      <c r="AH769" t="s">
        <v>10975</v>
      </c>
      <c r="AJ769" t="s">
        <v>11141</v>
      </c>
      <c r="AK769" t="s">
        <v>7225</v>
      </c>
      <c r="AM769">
        <v>1997.8</v>
      </c>
      <c r="AO769">
        <v>16</v>
      </c>
      <c r="AQ769" t="s">
        <v>11157</v>
      </c>
      <c r="AS769" t="s">
        <v>11173</v>
      </c>
      <c r="AU769">
        <v>7</v>
      </c>
      <c r="AW769" t="s">
        <v>11187</v>
      </c>
      <c r="AY769" t="s">
        <v>11213</v>
      </c>
      <c r="BA769" t="s">
        <v>11222</v>
      </c>
      <c r="BE769" t="s">
        <v>12126</v>
      </c>
      <c r="BF769" t="s">
        <v>14364</v>
      </c>
      <c r="BG769" t="s">
        <v>11173</v>
      </c>
      <c r="BK769" t="s">
        <v>11104</v>
      </c>
      <c r="BM769" t="s">
        <v>15650</v>
      </c>
      <c r="BN769" t="s">
        <v>15652</v>
      </c>
      <c r="BO769" t="s">
        <v>15669</v>
      </c>
    </row>
    <row r="770" spans="1:67">
      <c r="A770" s="1">
        <f>HYPERLINK("https://lsnyc.legalserver.org/matter/dynamic-profile/view/1911522","19-1911522")</f>
        <v>0</v>
      </c>
      <c r="B770" t="s">
        <v>103</v>
      </c>
      <c r="C770" t="s">
        <v>248</v>
      </c>
      <c r="D770" t="s">
        <v>564</v>
      </c>
      <c r="F770" t="s">
        <v>1510</v>
      </c>
      <c r="G770" t="s">
        <v>3278</v>
      </c>
      <c r="H770" t="s">
        <v>5040</v>
      </c>
      <c r="I770" t="s">
        <v>6405</v>
      </c>
      <c r="J770" t="s">
        <v>7174</v>
      </c>
      <c r="K770">
        <v>11226</v>
      </c>
      <c r="N770" t="s">
        <v>7237</v>
      </c>
      <c r="O770" t="s">
        <v>7782</v>
      </c>
      <c r="P770">
        <v>1</v>
      </c>
      <c r="Q770">
        <v>0</v>
      </c>
      <c r="R770">
        <v>0</v>
      </c>
      <c r="U770">
        <v>0</v>
      </c>
      <c r="W770">
        <v>0</v>
      </c>
      <c r="Y770" t="s">
        <v>81</v>
      </c>
      <c r="AA770" t="s">
        <v>10974</v>
      </c>
      <c r="AB770" t="s">
        <v>601</v>
      </c>
      <c r="AC770" t="s">
        <v>11081</v>
      </c>
      <c r="AF770" t="s">
        <v>11118</v>
      </c>
      <c r="AG770" t="s">
        <v>11124</v>
      </c>
      <c r="AI770" t="s">
        <v>11126</v>
      </c>
      <c r="AK770" t="s">
        <v>7225</v>
      </c>
      <c r="AL770" t="s">
        <v>11150</v>
      </c>
      <c r="AM770">
        <v>0</v>
      </c>
      <c r="AO770">
        <v>16</v>
      </c>
      <c r="AP770" t="s">
        <v>11155</v>
      </c>
      <c r="AR770" t="s">
        <v>11172</v>
      </c>
      <c r="AT770" t="s">
        <v>11184</v>
      </c>
      <c r="AU770">
        <v>0</v>
      </c>
      <c r="AW770" t="s">
        <v>11187</v>
      </c>
      <c r="BA770" t="s">
        <v>11222</v>
      </c>
      <c r="BC770" t="s">
        <v>11279</v>
      </c>
      <c r="BE770" t="s">
        <v>12127</v>
      </c>
      <c r="BF770" t="s">
        <v>14364</v>
      </c>
      <c r="BM770" t="s">
        <v>15650</v>
      </c>
    </row>
    <row r="771" spans="1:67">
      <c r="A771" s="1">
        <f>HYPERLINK("https://lsnyc.legalserver.org/matter/dynamic-profile/view/1911773","19-1911773")</f>
        <v>0</v>
      </c>
      <c r="B771" t="s">
        <v>103</v>
      </c>
      <c r="C771" t="s">
        <v>248</v>
      </c>
      <c r="D771" t="s">
        <v>563</v>
      </c>
      <c r="F771" t="s">
        <v>1511</v>
      </c>
      <c r="G771" t="s">
        <v>3279</v>
      </c>
      <c r="H771" t="s">
        <v>5040</v>
      </c>
      <c r="I771" t="s">
        <v>6440</v>
      </c>
      <c r="J771" t="s">
        <v>7174</v>
      </c>
      <c r="K771">
        <v>11226</v>
      </c>
      <c r="N771" t="s">
        <v>7237</v>
      </c>
      <c r="O771" t="s">
        <v>7783</v>
      </c>
      <c r="P771">
        <v>2</v>
      </c>
      <c r="Q771">
        <v>0</v>
      </c>
      <c r="R771">
        <v>74.51000000000001</v>
      </c>
      <c r="U771">
        <v>12600</v>
      </c>
      <c r="W771">
        <v>0</v>
      </c>
      <c r="Y771" t="s">
        <v>81</v>
      </c>
      <c r="Z771" t="s">
        <v>10972</v>
      </c>
      <c r="AA771" t="s">
        <v>10975</v>
      </c>
      <c r="AC771" t="s">
        <v>11081</v>
      </c>
      <c r="AF771" t="s">
        <v>11118</v>
      </c>
      <c r="AG771" t="s">
        <v>11124</v>
      </c>
      <c r="AI771" t="s">
        <v>11126</v>
      </c>
      <c r="AK771" t="s">
        <v>7225</v>
      </c>
      <c r="AL771" t="s">
        <v>11150</v>
      </c>
      <c r="AM771">
        <v>0</v>
      </c>
      <c r="AO771">
        <v>16</v>
      </c>
      <c r="AP771" t="s">
        <v>11155</v>
      </c>
      <c r="AR771" t="s">
        <v>11172</v>
      </c>
      <c r="AT771" t="s">
        <v>11184</v>
      </c>
      <c r="AU771">
        <v>0</v>
      </c>
      <c r="AW771" t="s">
        <v>11187</v>
      </c>
      <c r="AX771" t="s">
        <v>11212</v>
      </c>
      <c r="AZ771" t="s">
        <v>11221</v>
      </c>
      <c r="BD771" t="s">
        <v>11667</v>
      </c>
      <c r="BF771" t="s">
        <v>14364</v>
      </c>
      <c r="BM771" t="s">
        <v>15650</v>
      </c>
    </row>
    <row r="772" spans="1:67">
      <c r="A772" s="1">
        <f>HYPERLINK("https://lsnyc.legalserver.org/matter/dynamic-profile/view/1884518","18-1884518")</f>
        <v>0</v>
      </c>
      <c r="B772" t="s">
        <v>103</v>
      </c>
      <c r="C772" t="s">
        <v>248</v>
      </c>
      <c r="D772" t="s">
        <v>542</v>
      </c>
      <c r="F772" t="s">
        <v>1093</v>
      </c>
      <c r="G772" t="s">
        <v>3262</v>
      </c>
      <c r="H772" t="s">
        <v>5039</v>
      </c>
      <c r="J772" t="s">
        <v>7174</v>
      </c>
      <c r="K772">
        <v>11217</v>
      </c>
      <c r="N772" t="s">
        <v>7237</v>
      </c>
      <c r="O772" t="s">
        <v>7756</v>
      </c>
      <c r="P772">
        <v>2</v>
      </c>
      <c r="Q772">
        <v>1</v>
      </c>
      <c r="R772">
        <v>92.70999999999999</v>
      </c>
      <c r="U772">
        <v>19266</v>
      </c>
      <c r="W772">
        <v>18.5</v>
      </c>
      <c r="X772" t="s">
        <v>536</v>
      </c>
      <c r="Y772" t="s">
        <v>81</v>
      </c>
      <c r="AA772" t="s">
        <v>10974</v>
      </c>
      <c r="AB772" t="s">
        <v>542</v>
      </c>
      <c r="AD772" t="s">
        <v>11082</v>
      </c>
      <c r="AF772" t="s">
        <v>11118</v>
      </c>
      <c r="AH772" t="s">
        <v>10975</v>
      </c>
      <c r="AJ772" t="s">
        <v>11104</v>
      </c>
      <c r="AK772" t="s">
        <v>7225</v>
      </c>
      <c r="AM772">
        <v>1104</v>
      </c>
      <c r="AO772">
        <v>303</v>
      </c>
      <c r="AQ772" t="s">
        <v>11157</v>
      </c>
      <c r="AS772" t="s">
        <v>11173</v>
      </c>
      <c r="AU772">
        <v>1</v>
      </c>
      <c r="AW772" t="s">
        <v>11187</v>
      </c>
      <c r="AY772" t="s">
        <v>11213</v>
      </c>
      <c r="AZ772" t="s">
        <v>11221</v>
      </c>
      <c r="BE772" t="s">
        <v>12110</v>
      </c>
      <c r="BG772" t="s">
        <v>14536</v>
      </c>
      <c r="BK772" t="s">
        <v>15622</v>
      </c>
      <c r="BM772" t="s">
        <v>15650</v>
      </c>
      <c r="BN772" t="s">
        <v>15652</v>
      </c>
      <c r="BO772" t="s">
        <v>15670</v>
      </c>
    </row>
    <row r="773" spans="1:67">
      <c r="A773" s="1">
        <f>HYPERLINK("https://lsnyc.legalserver.org/matter/dynamic-profile/view/1884677","18-1884677")</f>
        <v>0</v>
      </c>
      <c r="B773" t="s">
        <v>103</v>
      </c>
      <c r="C773" t="s">
        <v>248</v>
      </c>
      <c r="D773" t="s">
        <v>446</v>
      </c>
      <c r="F773" t="s">
        <v>1493</v>
      </c>
      <c r="G773" t="s">
        <v>3280</v>
      </c>
      <c r="H773" t="s">
        <v>5050</v>
      </c>
      <c r="I773" t="s">
        <v>6477</v>
      </c>
      <c r="J773" t="s">
        <v>7174</v>
      </c>
      <c r="K773">
        <v>11236</v>
      </c>
      <c r="N773" t="s">
        <v>7237</v>
      </c>
      <c r="O773" t="s">
        <v>7784</v>
      </c>
      <c r="P773">
        <v>1</v>
      </c>
      <c r="Q773">
        <v>0</v>
      </c>
      <c r="R773">
        <v>129.93</v>
      </c>
      <c r="U773">
        <v>15774</v>
      </c>
      <c r="W773">
        <v>17.2</v>
      </c>
      <c r="X773" t="s">
        <v>578</v>
      </c>
      <c r="Y773" t="s">
        <v>10912</v>
      </c>
      <c r="AA773" t="s">
        <v>10974</v>
      </c>
      <c r="AB773" t="s">
        <v>446</v>
      </c>
      <c r="AD773" t="s">
        <v>11095</v>
      </c>
      <c r="AF773" t="s">
        <v>11120</v>
      </c>
      <c r="AH773" t="s">
        <v>10975</v>
      </c>
      <c r="AJ773" t="s">
        <v>11129</v>
      </c>
      <c r="AK773" t="s">
        <v>7225</v>
      </c>
      <c r="AM773">
        <v>1289.69</v>
      </c>
      <c r="AO773">
        <v>37</v>
      </c>
      <c r="AQ773" t="s">
        <v>11157</v>
      </c>
      <c r="AS773" t="s">
        <v>11174</v>
      </c>
      <c r="AU773">
        <v>5</v>
      </c>
      <c r="AW773" t="s">
        <v>11187</v>
      </c>
      <c r="AZ773" t="s">
        <v>11221</v>
      </c>
      <c r="BC773" t="s">
        <v>11280</v>
      </c>
      <c r="BE773" t="s">
        <v>12128</v>
      </c>
      <c r="BF773" t="s">
        <v>14364</v>
      </c>
      <c r="BK773" t="s">
        <v>15623</v>
      </c>
      <c r="BM773" t="s">
        <v>15650</v>
      </c>
      <c r="BN773" t="s">
        <v>15652</v>
      </c>
      <c r="BO773" t="s">
        <v>15671</v>
      </c>
    </row>
    <row r="774" spans="1:67">
      <c r="A774" s="1">
        <f>HYPERLINK("https://lsnyc.legalserver.org/matter/dynamic-profile/view/1896321","19-1896321")</f>
        <v>0</v>
      </c>
      <c r="B774" t="s">
        <v>103</v>
      </c>
      <c r="C774" t="s">
        <v>248</v>
      </c>
      <c r="D774" t="s">
        <v>412</v>
      </c>
      <c r="F774" t="s">
        <v>1512</v>
      </c>
      <c r="G774" t="s">
        <v>3281</v>
      </c>
      <c r="H774" t="s">
        <v>5051</v>
      </c>
      <c r="I774">
        <v>3</v>
      </c>
      <c r="J774" t="s">
        <v>7174</v>
      </c>
      <c r="K774">
        <v>11203</v>
      </c>
      <c r="N774" t="s">
        <v>7237</v>
      </c>
      <c r="O774" t="s">
        <v>7785</v>
      </c>
      <c r="P774">
        <v>1</v>
      </c>
      <c r="Q774">
        <v>0</v>
      </c>
      <c r="R774">
        <v>67.06</v>
      </c>
      <c r="U774">
        <v>8376</v>
      </c>
      <c r="W774">
        <v>0.1</v>
      </c>
      <c r="X774" t="s">
        <v>519</v>
      </c>
      <c r="Y774" t="s">
        <v>81</v>
      </c>
      <c r="AA774" t="s">
        <v>10974</v>
      </c>
      <c r="AB774" t="s">
        <v>370</v>
      </c>
      <c r="AD774" t="s">
        <v>11086</v>
      </c>
      <c r="AF774" t="s">
        <v>11119</v>
      </c>
      <c r="AH774" t="s">
        <v>10975</v>
      </c>
      <c r="AJ774" t="s">
        <v>11141</v>
      </c>
      <c r="AK774" t="s">
        <v>7225</v>
      </c>
      <c r="AM774">
        <v>796.83</v>
      </c>
      <c r="AO774">
        <v>6</v>
      </c>
      <c r="AQ774" t="s">
        <v>11157</v>
      </c>
      <c r="AR774" t="s">
        <v>11172</v>
      </c>
      <c r="AU774">
        <v>42</v>
      </c>
      <c r="AW774" t="s">
        <v>11187</v>
      </c>
      <c r="AY774" t="s">
        <v>11213</v>
      </c>
      <c r="BA774" t="s">
        <v>11222</v>
      </c>
      <c r="BD774" t="s">
        <v>11667</v>
      </c>
      <c r="BF774" t="s">
        <v>14364</v>
      </c>
      <c r="BM774" t="s">
        <v>15650</v>
      </c>
    </row>
    <row r="775" spans="1:67">
      <c r="A775" s="1">
        <f>HYPERLINK("https://lsnyc.legalserver.org/matter/dynamic-profile/view/1905129","19-1905129")</f>
        <v>0</v>
      </c>
      <c r="B775" t="s">
        <v>103</v>
      </c>
      <c r="C775" t="s">
        <v>248</v>
      </c>
      <c r="D775" t="s">
        <v>332</v>
      </c>
      <c r="F775" t="s">
        <v>1513</v>
      </c>
      <c r="G775" t="s">
        <v>3282</v>
      </c>
      <c r="H775" t="s">
        <v>5052</v>
      </c>
      <c r="I775" t="s">
        <v>6634</v>
      </c>
      <c r="J775" t="s">
        <v>7174</v>
      </c>
      <c r="K775">
        <v>11218</v>
      </c>
      <c r="N775" t="s">
        <v>7237</v>
      </c>
      <c r="O775" t="s">
        <v>7786</v>
      </c>
      <c r="P775">
        <v>1</v>
      </c>
      <c r="Q775">
        <v>0</v>
      </c>
      <c r="R775">
        <v>93</v>
      </c>
      <c r="U775">
        <v>11616</v>
      </c>
      <c r="W775">
        <v>80.09999999999999</v>
      </c>
      <c r="X775" t="s">
        <v>548</v>
      </c>
      <c r="Y775" t="s">
        <v>10892</v>
      </c>
      <c r="AA775" t="s">
        <v>10974</v>
      </c>
      <c r="AB775" t="s">
        <v>10988</v>
      </c>
      <c r="AD775" t="s">
        <v>11083</v>
      </c>
      <c r="AF775" t="s">
        <v>11118</v>
      </c>
      <c r="AH775" t="s">
        <v>10975</v>
      </c>
      <c r="AJ775" t="s">
        <v>11129</v>
      </c>
      <c r="AK775" t="s">
        <v>7225</v>
      </c>
      <c r="AM775">
        <v>1627</v>
      </c>
      <c r="AO775">
        <v>6</v>
      </c>
      <c r="AQ775" t="s">
        <v>11156</v>
      </c>
      <c r="AR775" t="s">
        <v>11172</v>
      </c>
      <c r="AU775">
        <v>13</v>
      </c>
      <c r="AW775" t="s">
        <v>11187</v>
      </c>
      <c r="AY775" t="s">
        <v>11213</v>
      </c>
      <c r="BA775" t="s">
        <v>11222</v>
      </c>
      <c r="BE775" t="s">
        <v>12129</v>
      </c>
      <c r="BG775" t="s">
        <v>14537</v>
      </c>
      <c r="BM775" t="s">
        <v>15650</v>
      </c>
    </row>
    <row r="776" spans="1:67">
      <c r="A776" s="1">
        <f>HYPERLINK("https://lsnyc.legalserver.org/matter/dynamic-profile/view/1905687","19-1905687")</f>
        <v>0</v>
      </c>
      <c r="B776" t="s">
        <v>103</v>
      </c>
      <c r="C776" t="s">
        <v>248</v>
      </c>
      <c r="D776" t="s">
        <v>511</v>
      </c>
      <c r="F776" t="s">
        <v>1212</v>
      </c>
      <c r="G776" t="s">
        <v>3283</v>
      </c>
      <c r="H776" t="s">
        <v>5033</v>
      </c>
      <c r="I776" t="s">
        <v>6502</v>
      </c>
      <c r="J776" t="s">
        <v>7174</v>
      </c>
      <c r="K776">
        <v>11226</v>
      </c>
      <c r="N776" t="s">
        <v>7237</v>
      </c>
      <c r="O776" t="s">
        <v>7787</v>
      </c>
      <c r="P776">
        <v>3</v>
      </c>
      <c r="Q776">
        <v>1</v>
      </c>
      <c r="R776">
        <v>388.35</v>
      </c>
      <c r="U776">
        <v>100000</v>
      </c>
      <c r="W776">
        <v>0.2</v>
      </c>
      <c r="X776" t="s">
        <v>511</v>
      </c>
      <c r="Y776" t="s">
        <v>212</v>
      </c>
      <c r="AA776" t="s">
        <v>10974</v>
      </c>
      <c r="AB776" t="s">
        <v>511</v>
      </c>
      <c r="AD776" t="s">
        <v>11098</v>
      </c>
      <c r="AF776" t="s">
        <v>11122</v>
      </c>
      <c r="AH776" t="s">
        <v>10974</v>
      </c>
      <c r="AI776" t="s">
        <v>11126</v>
      </c>
      <c r="AK776" t="s">
        <v>7225</v>
      </c>
      <c r="AL776" t="s">
        <v>11150</v>
      </c>
      <c r="AM776">
        <v>0</v>
      </c>
      <c r="AO776">
        <v>36</v>
      </c>
      <c r="AP776" t="s">
        <v>11155</v>
      </c>
      <c r="AR776" t="s">
        <v>11172</v>
      </c>
      <c r="AT776" t="s">
        <v>11184</v>
      </c>
      <c r="AU776">
        <v>0</v>
      </c>
      <c r="AW776" t="s">
        <v>11187</v>
      </c>
      <c r="AZ776" t="s">
        <v>11221</v>
      </c>
      <c r="BD776" t="s">
        <v>11667</v>
      </c>
      <c r="BF776" t="s">
        <v>14364</v>
      </c>
      <c r="BM776" t="s">
        <v>15650</v>
      </c>
    </row>
    <row r="777" spans="1:67">
      <c r="A777" s="1">
        <f>HYPERLINK("https://lsnyc.legalserver.org/matter/dynamic-profile/view/1884673","18-1884673")</f>
        <v>0</v>
      </c>
      <c r="B777" t="s">
        <v>103</v>
      </c>
      <c r="C777" t="s">
        <v>248</v>
      </c>
      <c r="D777" t="s">
        <v>446</v>
      </c>
      <c r="F777" t="s">
        <v>1493</v>
      </c>
      <c r="G777" t="s">
        <v>3280</v>
      </c>
      <c r="H777" t="s">
        <v>5050</v>
      </c>
      <c r="I777" t="s">
        <v>6477</v>
      </c>
      <c r="J777" t="s">
        <v>7174</v>
      </c>
      <c r="K777">
        <v>11236</v>
      </c>
      <c r="N777" t="s">
        <v>7237</v>
      </c>
      <c r="O777" t="s">
        <v>7784</v>
      </c>
      <c r="P777">
        <v>1</v>
      </c>
      <c r="Q777">
        <v>0</v>
      </c>
      <c r="R777">
        <v>129.93</v>
      </c>
      <c r="U777">
        <v>15774</v>
      </c>
      <c r="W777">
        <v>77.2</v>
      </c>
      <c r="X777" t="s">
        <v>301</v>
      </c>
      <c r="Y777" t="s">
        <v>10912</v>
      </c>
      <c r="AA777" t="s">
        <v>10974</v>
      </c>
      <c r="AB777" t="s">
        <v>446</v>
      </c>
      <c r="AD777" t="s">
        <v>11106</v>
      </c>
      <c r="AF777" t="s">
        <v>11122</v>
      </c>
      <c r="AH777" t="s">
        <v>10975</v>
      </c>
      <c r="AJ777" t="s">
        <v>11129</v>
      </c>
      <c r="AK777" t="s">
        <v>7225</v>
      </c>
      <c r="AM777">
        <v>1289.69</v>
      </c>
      <c r="AO777">
        <v>37</v>
      </c>
      <c r="AQ777" t="s">
        <v>11157</v>
      </c>
      <c r="AS777" t="s">
        <v>11174</v>
      </c>
      <c r="AU777">
        <v>5</v>
      </c>
      <c r="AW777" t="s">
        <v>11187</v>
      </c>
      <c r="AZ777" t="s">
        <v>11221</v>
      </c>
      <c r="BC777" t="s">
        <v>11280</v>
      </c>
      <c r="BE777" t="s">
        <v>12128</v>
      </c>
      <c r="BF777" t="s">
        <v>14364</v>
      </c>
      <c r="BG777" t="s">
        <v>14538</v>
      </c>
      <c r="BM777" t="s">
        <v>15650</v>
      </c>
    </row>
    <row r="778" spans="1:67">
      <c r="A778" s="1">
        <f>HYPERLINK("https://lsnyc.legalserver.org/matter/dynamic-profile/view/1910619","19-1910619")</f>
        <v>0</v>
      </c>
      <c r="B778" t="s">
        <v>103</v>
      </c>
      <c r="C778" t="s">
        <v>248</v>
      </c>
      <c r="D778" t="s">
        <v>554</v>
      </c>
      <c r="F778" t="s">
        <v>1510</v>
      </c>
      <c r="G778" t="s">
        <v>3278</v>
      </c>
      <c r="H778" t="s">
        <v>5040</v>
      </c>
      <c r="I778" t="s">
        <v>6405</v>
      </c>
      <c r="J778" t="s">
        <v>7174</v>
      </c>
      <c r="K778">
        <v>11226</v>
      </c>
      <c r="N778" t="s">
        <v>7237</v>
      </c>
      <c r="O778" t="s">
        <v>7782</v>
      </c>
      <c r="P778">
        <v>1</v>
      </c>
      <c r="Q778">
        <v>0</v>
      </c>
      <c r="R778">
        <v>0</v>
      </c>
      <c r="U778">
        <v>0</v>
      </c>
      <c r="W778">
        <v>0.8</v>
      </c>
      <c r="X778" t="s">
        <v>735</v>
      </c>
      <c r="Y778" t="s">
        <v>212</v>
      </c>
      <c r="AA778" t="s">
        <v>10974</v>
      </c>
      <c r="AB778" t="s">
        <v>554</v>
      </c>
      <c r="AD778" t="s">
        <v>11101</v>
      </c>
      <c r="AF778" t="s">
        <v>11118</v>
      </c>
      <c r="AH778" t="s">
        <v>10974</v>
      </c>
      <c r="AJ778" t="s">
        <v>11141</v>
      </c>
      <c r="AK778" t="s">
        <v>7225</v>
      </c>
      <c r="AM778">
        <v>1375</v>
      </c>
      <c r="AO778">
        <v>16</v>
      </c>
      <c r="AQ778" t="s">
        <v>11157</v>
      </c>
      <c r="AS778" t="s">
        <v>11177</v>
      </c>
      <c r="AU778">
        <v>9</v>
      </c>
      <c r="AW778" t="s">
        <v>11187</v>
      </c>
      <c r="AY778" t="s">
        <v>11213</v>
      </c>
      <c r="AZ778" t="s">
        <v>11221</v>
      </c>
      <c r="BC778" t="s">
        <v>11279</v>
      </c>
      <c r="BE778" t="s">
        <v>12127</v>
      </c>
      <c r="BF778" t="s">
        <v>14364</v>
      </c>
      <c r="BM778" t="s">
        <v>15650</v>
      </c>
    </row>
    <row r="779" spans="1:67">
      <c r="A779" s="1">
        <f>HYPERLINK("https://lsnyc.legalserver.org/matter/dynamic-profile/view/1910624","19-1910624")</f>
        <v>0</v>
      </c>
      <c r="B779" t="s">
        <v>103</v>
      </c>
      <c r="C779" t="s">
        <v>248</v>
      </c>
      <c r="D779" t="s">
        <v>554</v>
      </c>
      <c r="F779" t="s">
        <v>1511</v>
      </c>
      <c r="G779" t="s">
        <v>3279</v>
      </c>
      <c r="H779" t="s">
        <v>5040</v>
      </c>
      <c r="I779" t="s">
        <v>6440</v>
      </c>
      <c r="J779" t="s">
        <v>7174</v>
      </c>
      <c r="K779">
        <v>11226</v>
      </c>
      <c r="N779" t="s">
        <v>7237</v>
      </c>
      <c r="O779" t="s">
        <v>7783</v>
      </c>
      <c r="P779">
        <v>2</v>
      </c>
      <c r="Q779">
        <v>0</v>
      </c>
      <c r="R779">
        <v>74.51000000000001</v>
      </c>
      <c r="U779">
        <v>12600</v>
      </c>
      <c r="W779">
        <v>0.2</v>
      </c>
      <c r="X779" t="s">
        <v>554</v>
      </c>
      <c r="Y779" t="s">
        <v>212</v>
      </c>
      <c r="AA779" t="s">
        <v>10974</v>
      </c>
      <c r="AB779" t="s">
        <v>660</v>
      </c>
      <c r="AD779" t="s">
        <v>11101</v>
      </c>
      <c r="AF779" t="s">
        <v>11118</v>
      </c>
      <c r="AH779" t="s">
        <v>10974</v>
      </c>
      <c r="AJ779" t="s">
        <v>11141</v>
      </c>
      <c r="AK779" t="s">
        <v>7225</v>
      </c>
      <c r="AM779">
        <v>582.34</v>
      </c>
      <c r="AO779">
        <v>16</v>
      </c>
      <c r="AQ779" t="s">
        <v>11157</v>
      </c>
      <c r="AR779" t="s">
        <v>11172</v>
      </c>
      <c r="AU779">
        <v>29</v>
      </c>
      <c r="AW779" t="s">
        <v>11187</v>
      </c>
      <c r="AY779" t="s">
        <v>11213</v>
      </c>
      <c r="AZ779" t="s">
        <v>11221</v>
      </c>
      <c r="BD779" t="s">
        <v>11667</v>
      </c>
      <c r="BF779" t="s">
        <v>14364</v>
      </c>
      <c r="BM779" t="s">
        <v>15650</v>
      </c>
    </row>
    <row r="780" spans="1:67">
      <c r="A780" s="1">
        <f>HYPERLINK("https://lsnyc.legalserver.org/matter/dynamic-profile/view/1905807","19-1905807")</f>
        <v>0</v>
      </c>
      <c r="B780" t="s">
        <v>104</v>
      </c>
      <c r="C780" t="s">
        <v>248</v>
      </c>
      <c r="D780" t="s">
        <v>337</v>
      </c>
      <c r="F780" t="s">
        <v>1277</v>
      </c>
      <c r="G780" t="s">
        <v>3284</v>
      </c>
      <c r="H780" t="s">
        <v>5053</v>
      </c>
      <c r="I780" t="s">
        <v>6410</v>
      </c>
      <c r="J780" t="s">
        <v>7174</v>
      </c>
      <c r="K780">
        <v>11212</v>
      </c>
      <c r="N780" t="s">
        <v>7241</v>
      </c>
      <c r="O780" t="s">
        <v>7788</v>
      </c>
      <c r="P780">
        <v>2</v>
      </c>
      <c r="Q780">
        <v>0</v>
      </c>
      <c r="R780">
        <v>45.98</v>
      </c>
      <c r="U780">
        <v>7776</v>
      </c>
      <c r="V780" t="s">
        <v>10322</v>
      </c>
      <c r="W780">
        <v>0</v>
      </c>
      <c r="Y780" t="s">
        <v>225</v>
      </c>
      <c r="AA780" t="s">
        <v>10974</v>
      </c>
      <c r="AB780" t="s">
        <v>569</v>
      </c>
      <c r="AD780" t="s">
        <v>11086</v>
      </c>
      <c r="AF780" t="s">
        <v>10384</v>
      </c>
      <c r="AH780" t="s">
        <v>10975</v>
      </c>
      <c r="AJ780" t="s">
        <v>11129</v>
      </c>
      <c r="AK780" t="s">
        <v>7225</v>
      </c>
      <c r="AM780">
        <v>1300</v>
      </c>
      <c r="AO780">
        <v>19</v>
      </c>
      <c r="AQ780" t="s">
        <v>11157</v>
      </c>
      <c r="AS780" t="s">
        <v>11174</v>
      </c>
      <c r="AU780">
        <v>15</v>
      </c>
      <c r="AW780" t="s">
        <v>11187</v>
      </c>
      <c r="AY780" t="s">
        <v>11213</v>
      </c>
      <c r="BA780" t="s">
        <v>11222</v>
      </c>
      <c r="BC780" t="s">
        <v>11230</v>
      </c>
      <c r="BE780" t="s">
        <v>12130</v>
      </c>
      <c r="BF780" t="s">
        <v>14364</v>
      </c>
      <c r="BG780" t="s">
        <v>11228</v>
      </c>
      <c r="BM780" t="s">
        <v>15650</v>
      </c>
    </row>
    <row r="781" spans="1:67">
      <c r="A781" s="1">
        <f>HYPERLINK("https://lsnyc.legalserver.org/matter/dynamic-profile/view/1905803","19-1905803")</f>
        <v>0</v>
      </c>
      <c r="B781" t="s">
        <v>104</v>
      </c>
      <c r="C781" t="s">
        <v>248</v>
      </c>
      <c r="D781" t="s">
        <v>337</v>
      </c>
      <c r="F781" t="s">
        <v>1277</v>
      </c>
      <c r="G781" t="s">
        <v>3284</v>
      </c>
      <c r="H781" t="s">
        <v>5053</v>
      </c>
      <c r="I781" t="s">
        <v>6410</v>
      </c>
      <c r="J781" t="s">
        <v>7174</v>
      </c>
      <c r="K781">
        <v>11212</v>
      </c>
      <c r="N781" t="s">
        <v>7237</v>
      </c>
      <c r="O781" t="s">
        <v>7788</v>
      </c>
      <c r="P781">
        <v>2</v>
      </c>
      <c r="Q781">
        <v>0</v>
      </c>
      <c r="R781">
        <v>45.98</v>
      </c>
      <c r="U781">
        <v>7776</v>
      </c>
      <c r="V781" t="s">
        <v>10323</v>
      </c>
      <c r="W781">
        <v>0</v>
      </c>
      <c r="Y781" t="s">
        <v>225</v>
      </c>
      <c r="AA781" t="s">
        <v>10974</v>
      </c>
      <c r="AB781" t="s">
        <v>370</v>
      </c>
      <c r="AD781" t="s">
        <v>11086</v>
      </c>
      <c r="AF781" t="s">
        <v>10384</v>
      </c>
      <c r="AH781" t="s">
        <v>10974</v>
      </c>
      <c r="AJ781" t="s">
        <v>11129</v>
      </c>
      <c r="AK781" t="s">
        <v>7225</v>
      </c>
      <c r="AM781">
        <v>1300</v>
      </c>
      <c r="AO781">
        <v>19</v>
      </c>
      <c r="AQ781" t="s">
        <v>11157</v>
      </c>
      <c r="AS781" t="s">
        <v>11174</v>
      </c>
      <c r="AU781">
        <v>15</v>
      </c>
      <c r="AW781" t="s">
        <v>11187</v>
      </c>
      <c r="AY781" t="s">
        <v>11213</v>
      </c>
      <c r="BA781" t="s">
        <v>11222</v>
      </c>
      <c r="BC781" t="s">
        <v>11230</v>
      </c>
      <c r="BE781" t="s">
        <v>12130</v>
      </c>
      <c r="BF781" t="s">
        <v>14364</v>
      </c>
      <c r="BG781" t="s">
        <v>11228</v>
      </c>
      <c r="BM781" t="s">
        <v>15650</v>
      </c>
    </row>
    <row r="782" spans="1:67">
      <c r="A782" s="1">
        <f>HYPERLINK("https://lsnyc.legalserver.org/matter/dynamic-profile/view/1908444","19-1908444")</f>
        <v>0</v>
      </c>
      <c r="B782" t="s">
        <v>104</v>
      </c>
      <c r="C782" t="s">
        <v>248</v>
      </c>
      <c r="D782" t="s">
        <v>565</v>
      </c>
      <c r="F782" t="s">
        <v>1142</v>
      </c>
      <c r="G782" t="s">
        <v>3184</v>
      </c>
      <c r="H782" t="s">
        <v>5054</v>
      </c>
      <c r="I782">
        <v>201</v>
      </c>
      <c r="J782" t="s">
        <v>7169</v>
      </c>
      <c r="K782">
        <v>10025</v>
      </c>
      <c r="N782" t="s">
        <v>7237</v>
      </c>
      <c r="O782" t="s">
        <v>7789</v>
      </c>
      <c r="P782">
        <v>2</v>
      </c>
      <c r="Q782">
        <v>0</v>
      </c>
      <c r="R782">
        <v>61.5</v>
      </c>
      <c r="U782">
        <v>10400</v>
      </c>
      <c r="V782" t="s">
        <v>10324</v>
      </c>
      <c r="W782">
        <v>16.5</v>
      </c>
      <c r="X782" t="s">
        <v>497</v>
      </c>
      <c r="Y782" t="s">
        <v>225</v>
      </c>
      <c r="AA782" t="s">
        <v>10974</v>
      </c>
      <c r="AB782" t="s">
        <v>565</v>
      </c>
      <c r="AD782" t="s">
        <v>11100</v>
      </c>
      <c r="AF782" t="s">
        <v>11120</v>
      </c>
      <c r="AH782" t="s">
        <v>10975</v>
      </c>
      <c r="AJ782" t="s">
        <v>11129</v>
      </c>
      <c r="AK782" t="s">
        <v>7225</v>
      </c>
      <c r="AM782">
        <v>900</v>
      </c>
      <c r="AO782">
        <v>10</v>
      </c>
      <c r="AQ782" t="s">
        <v>11157</v>
      </c>
      <c r="AS782" t="s">
        <v>11180</v>
      </c>
      <c r="AT782" t="s">
        <v>11184</v>
      </c>
      <c r="AU782">
        <v>0</v>
      </c>
      <c r="AW782" t="s">
        <v>11187</v>
      </c>
      <c r="AY782" t="s">
        <v>11213</v>
      </c>
      <c r="BA782" t="s">
        <v>11223</v>
      </c>
      <c r="BB782" t="s">
        <v>11224</v>
      </c>
      <c r="BC782">
        <v>10154731</v>
      </c>
      <c r="BE782" t="s">
        <v>12131</v>
      </c>
      <c r="BF782" t="s">
        <v>14364</v>
      </c>
      <c r="BG782" t="s">
        <v>11228</v>
      </c>
      <c r="BM782" t="s">
        <v>15650</v>
      </c>
    </row>
    <row r="783" spans="1:67">
      <c r="A783" s="1">
        <f>HYPERLINK("https://lsnyc.legalserver.org/matter/dynamic-profile/view/1885320","18-1885320")</f>
        <v>0</v>
      </c>
      <c r="B783" t="s">
        <v>104</v>
      </c>
      <c r="C783" t="s">
        <v>248</v>
      </c>
      <c r="D783" t="s">
        <v>566</v>
      </c>
      <c r="F783" t="s">
        <v>1514</v>
      </c>
      <c r="G783" t="s">
        <v>3285</v>
      </c>
      <c r="H783" t="s">
        <v>5055</v>
      </c>
      <c r="I783" t="s">
        <v>6437</v>
      </c>
      <c r="J783" t="s">
        <v>7174</v>
      </c>
      <c r="K783">
        <v>11212</v>
      </c>
      <c r="N783" t="s">
        <v>7237</v>
      </c>
      <c r="O783" t="s">
        <v>7790</v>
      </c>
      <c r="P783">
        <v>2</v>
      </c>
      <c r="Q783">
        <v>0</v>
      </c>
      <c r="R783">
        <v>85.73999999999999</v>
      </c>
      <c r="U783">
        <v>14112</v>
      </c>
      <c r="W783">
        <v>18.8</v>
      </c>
      <c r="X783" t="s">
        <v>449</v>
      </c>
      <c r="Y783" t="s">
        <v>225</v>
      </c>
      <c r="AA783" t="s">
        <v>10974</v>
      </c>
      <c r="AB783" t="s">
        <v>566</v>
      </c>
      <c r="AD783" t="s">
        <v>11106</v>
      </c>
      <c r="AF783" t="s">
        <v>11118</v>
      </c>
      <c r="AH783" t="s">
        <v>10974</v>
      </c>
      <c r="AI783" t="s">
        <v>11126</v>
      </c>
      <c r="AK783" t="s">
        <v>7225</v>
      </c>
      <c r="AL783" t="s">
        <v>11150</v>
      </c>
      <c r="AM783">
        <v>0</v>
      </c>
      <c r="AO783">
        <v>36</v>
      </c>
      <c r="AP783" t="s">
        <v>11155</v>
      </c>
      <c r="AR783" t="s">
        <v>11172</v>
      </c>
      <c r="AT783" t="s">
        <v>11184</v>
      </c>
      <c r="AU783">
        <v>0</v>
      </c>
      <c r="AW783" t="s">
        <v>11187</v>
      </c>
      <c r="AZ783" t="s">
        <v>11221</v>
      </c>
      <c r="BE783" t="s">
        <v>12132</v>
      </c>
      <c r="BG783" t="s">
        <v>14539</v>
      </c>
      <c r="BM783" t="s">
        <v>15650</v>
      </c>
    </row>
    <row r="784" spans="1:67">
      <c r="A784" s="1">
        <f>HYPERLINK("https://lsnyc.legalserver.org/matter/dynamic-profile/view/1896456","19-1896456")</f>
        <v>0</v>
      </c>
      <c r="B784" t="s">
        <v>104</v>
      </c>
      <c r="C784" t="s">
        <v>248</v>
      </c>
      <c r="D784" t="s">
        <v>412</v>
      </c>
      <c r="F784" t="s">
        <v>1142</v>
      </c>
      <c r="G784" t="s">
        <v>3184</v>
      </c>
      <c r="H784" t="s">
        <v>5054</v>
      </c>
      <c r="I784">
        <v>201</v>
      </c>
      <c r="J784" t="s">
        <v>7169</v>
      </c>
      <c r="K784">
        <v>10025</v>
      </c>
      <c r="N784" t="s">
        <v>7237</v>
      </c>
      <c r="O784" t="s">
        <v>7789</v>
      </c>
      <c r="P784">
        <v>2</v>
      </c>
      <c r="Q784">
        <v>0</v>
      </c>
      <c r="R784">
        <v>61.5</v>
      </c>
      <c r="U784">
        <v>10400</v>
      </c>
      <c r="V784" t="s">
        <v>10325</v>
      </c>
      <c r="W784">
        <v>0</v>
      </c>
      <c r="Y784" t="s">
        <v>225</v>
      </c>
      <c r="AA784" t="s">
        <v>10974</v>
      </c>
      <c r="AB784" t="s">
        <v>290</v>
      </c>
      <c r="AD784" t="s">
        <v>11085</v>
      </c>
      <c r="AF784" t="s">
        <v>11118</v>
      </c>
      <c r="AH784" t="s">
        <v>10975</v>
      </c>
      <c r="AI784" t="s">
        <v>11126</v>
      </c>
      <c r="AK784" t="s">
        <v>7225</v>
      </c>
      <c r="AL784" t="s">
        <v>11150</v>
      </c>
      <c r="AM784">
        <v>0</v>
      </c>
      <c r="AN784" t="s">
        <v>11151</v>
      </c>
      <c r="AO784" t="s">
        <v>11153</v>
      </c>
      <c r="AP784" t="s">
        <v>11155</v>
      </c>
      <c r="AR784" t="s">
        <v>11172</v>
      </c>
      <c r="AT784" t="s">
        <v>11184</v>
      </c>
      <c r="AU784">
        <v>0</v>
      </c>
      <c r="AW784" t="s">
        <v>11187</v>
      </c>
      <c r="AY784" t="s">
        <v>11213</v>
      </c>
      <c r="AZ784" t="s">
        <v>11221</v>
      </c>
      <c r="BE784" t="s">
        <v>12131</v>
      </c>
      <c r="BF784" t="s">
        <v>14364</v>
      </c>
      <c r="BM784" t="s">
        <v>15650</v>
      </c>
    </row>
    <row r="785" spans="1:65">
      <c r="A785" s="1">
        <f>HYPERLINK("https://lsnyc.legalserver.org/matter/dynamic-profile/view/1893447","19-1893447")</f>
        <v>0</v>
      </c>
      <c r="B785" t="s">
        <v>104</v>
      </c>
      <c r="C785" t="s">
        <v>248</v>
      </c>
      <c r="D785" t="s">
        <v>567</v>
      </c>
      <c r="F785" t="s">
        <v>1137</v>
      </c>
      <c r="G785" t="s">
        <v>2913</v>
      </c>
      <c r="H785" t="s">
        <v>5056</v>
      </c>
      <c r="I785" t="s">
        <v>6635</v>
      </c>
      <c r="J785" t="s">
        <v>7174</v>
      </c>
      <c r="K785">
        <v>11208</v>
      </c>
      <c r="N785" t="s">
        <v>7237</v>
      </c>
      <c r="O785" t="s">
        <v>7791</v>
      </c>
      <c r="P785">
        <v>1</v>
      </c>
      <c r="Q785">
        <v>0</v>
      </c>
      <c r="R785">
        <v>81.67</v>
      </c>
      <c r="U785">
        <v>10200</v>
      </c>
      <c r="W785">
        <v>6.4</v>
      </c>
      <c r="X785" t="s">
        <v>449</v>
      </c>
      <c r="Y785" t="s">
        <v>101</v>
      </c>
      <c r="AA785" t="s">
        <v>10974</v>
      </c>
      <c r="AB785" t="s">
        <v>400</v>
      </c>
      <c r="AD785" t="s">
        <v>11100</v>
      </c>
      <c r="AF785" t="s">
        <v>10384</v>
      </c>
      <c r="AH785" t="s">
        <v>10974</v>
      </c>
      <c r="AJ785" t="s">
        <v>11104</v>
      </c>
      <c r="AK785" t="s">
        <v>7225</v>
      </c>
      <c r="AM785">
        <v>400</v>
      </c>
      <c r="AO785">
        <v>9</v>
      </c>
      <c r="AP785" t="s">
        <v>11155</v>
      </c>
      <c r="AS785" t="s">
        <v>11173</v>
      </c>
      <c r="AT785" t="s">
        <v>11184</v>
      </c>
      <c r="AU785">
        <v>0</v>
      </c>
      <c r="AW785" t="s">
        <v>11187</v>
      </c>
      <c r="AZ785" t="s">
        <v>11221</v>
      </c>
      <c r="BE785" t="s">
        <v>12133</v>
      </c>
      <c r="BF785" t="s">
        <v>14364</v>
      </c>
      <c r="BM785" t="s">
        <v>15650</v>
      </c>
    </row>
    <row r="786" spans="1:65">
      <c r="A786" s="1">
        <f>HYPERLINK("https://lsnyc.legalserver.org/matter/dynamic-profile/view/1895191","19-1895191")</f>
        <v>0</v>
      </c>
      <c r="B786" t="s">
        <v>104</v>
      </c>
      <c r="C786" t="s">
        <v>248</v>
      </c>
      <c r="D786" t="s">
        <v>428</v>
      </c>
      <c r="F786" t="s">
        <v>1515</v>
      </c>
      <c r="G786" t="s">
        <v>3286</v>
      </c>
      <c r="H786" t="s">
        <v>5057</v>
      </c>
      <c r="I786" t="s">
        <v>6497</v>
      </c>
      <c r="J786" t="s">
        <v>7174</v>
      </c>
      <c r="K786">
        <v>11212</v>
      </c>
      <c r="N786" t="s">
        <v>7237</v>
      </c>
      <c r="O786" t="s">
        <v>7792</v>
      </c>
      <c r="P786">
        <v>1</v>
      </c>
      <c r="Q786">
        <v>0</v>
      </c>
      <c r="R786">
        <v>78.11</v>
      </c>
      <c r="U786">
        <v>9756</v>
      </c>
      <c r="W786">
        <v>28.4</v>
      </c>
      <c r="X786" t="s">
        <v>565</v>
      </c>
      <c r="Y786" t="s">
        <v>104</v>
      </c>
      <c r="AA786" t="s">
        <v>10974</v>
      </c>
      <c r="AB786" t="s">
        <v>428</v>
      </c>
      <c r="AD786" t="s">
        <v>11100</v>
      </c>
      <c r="AF786" t="s">
        <v>10384</v>
      </c>
      <c r="AH786" t="s">
        <v>10974</v>
      </c>
      <c r="AI786" t="s">
        <v>11126</v>
      </c>
      <c r="AK786" t="s">
        <v>7225</v>
      </c>
      <c r="AL786" t="s">
        <v>11150</v>
      </c>
      <c r="AM786">
        <v>0</v>
      </c>
      <c r="AN786" t="s">
        <v>11151</v>
      </c>
      <c r="AO786" t="s">
        <v>11153</v>
      </c>
      <c r="AP786" t="s">
        <v>11155</v>
      </c>
      <c r="AR786" t="s">
        <v>11172</v>
      </c>
      <c r="AT786" t="s">
        <v>11184</v>
      </c>
      <c r="AU786">
        <v>0</v>
      </c>
      <c r="AW786" t="s">
        <v>11187</v>
      </c>
      <c r="AZ786" t="s">
        <v>11221</v>
      </c>
      <c r="BE786" t="s">
        <v>12134</v>
      </c>
      <c r="BF786" t="s">
        <v>14364</v>
      </c>
      <c r="BM786" t="s">
        <v>15650</v>
      </c>
    </row>
    <row r="787" spans="1:65">
      <c r="A787" s="1">
        <f>HYPERLINK("https://lsnyc.legalserver.org/matter/dynamic-profile/view/1893451","19-1893451")</f>
        <v>0</v>
      </c>
      <c r="B787" t="s">
        <v>104</v>
      </c>
      <c r="C787" t="s">
        <v>248</v>
      </c>
      <c r="D787" t="s">
        <v>567</v>
      </c>
      <c r="E787" t="s">
        <v>449</v>
      </c>
      <c r="F787" t="s">
        <v>1516</v>
      </c>
      <c r="G787" t="s">
        <v>2885</v>
      </c>
      <c r="H787" t="s">
        <v>5058</v>
      </c>
      <c r="J787" t="s">
        <v>7174</v>
      </c>
      <c r="K787">
        <v>11208</v>
      </c>
      <c r="L787" t="s">
        <v>7217</v>
      </c>
      <c r="N787" t="s">
        <v>7237</v>
      </c>
      <c r="O787" t="s">
        <v>7793</v>
      </c>
      <c r="P787">
        <v>1</v>
      </c>
      <c r="Q787">
        <v>0</v>
      </c>
      <c r="R787">
        <v>81.67</v>
      </c>
      <c r="U787">
        <v>10200</v>
      </c>
      <c r="W787">
        <v>0.5</v>
      </c>
      <c r="X787" t="s">
        <v>332</v>
      </c>
      <c r="Y787" t="s">
        <v>101</v>
      </c>
      <c r="AA787" t="s">
        <v>10974</v>
      </c>
      <c r="AB787" t="s">
        <v>400</v>
      </c>
      <c r="AD787" t="s">
        <v>11100</v>
      </c>
      <c r="AF787" t="s">
        <v>10384</v>
      </c>
      <c r="AH787" t="s">
        <v>10974</v>
      </c>
      <c r="AI787" t="s">
        <v>11126</v>
      </c>
      <c r="AK787" t="s">
        <v>7225</v>
      </c>
      <c r="AL787" t="s">
        <v>11150</v>
      </c>
      <c r="AM787">
        <v>0</v>
      </c>
      <c r="AO787">
        <v>9</v>
      </c>
      <c r="AP787" t="s">
        <v>11155</v>
      </c>
      <c r="AR787" t="s">
        <v>11172</v>
      </c>
      <c r="AT787" t="s">
        <v>11184</v>
      </c>
      <c r="AU787">
        <v>0</v>
      </c>
      <c r="AW787" t="s">
        <v>11187</v>
      </c>
      <c r="AZ787" t="s">
        <v>11221</v>
      </c>
      <c r="BD787" t="s">
        <v>11667</v>
      </c>
      <c r="BF787" t="s">
        <v>14364</v>
      </c>
      <c r="BM787" t="s">
        <v>15651</v>
      </c>
    </row>
    <row r="788" spans="1:65">
      <c r="A788" s="1">
        <f>HYPERLINK("https://lsnyc.legalserver.org/matter/dynamic-profile/view/1909241","19-1909241")</f>
        <v>0</v>
      </c>
      <c r="B788" t="s">
        <v>104</v>
      </c>
      <c r="C788" t="s">
        <v>248</v>
      </c>
      <c r="D788" t="s">
        <v>568</v>
      </c>
      <c r="F788" t="s">
        <v>1517</v>
      </c>
      <c r="G788" t="s">
        <v>3287</v>
      </c>
      <c r="H788" t="s">
        <v>5057</v>
      </c>
      <c r="I788" t="s">
        <v>6499</v>
      </c>
      <c r="J788" t="s">
        <v>7174</v>
      </c>
      <c r="K788">
        <v>11212</v>
      </c>
      <c r="N788" t="s">
        <v>7237</v>
      </c>
      <c r="O788" t="s">
        <v>7794</v>
      </c>
      <c r="P788">
        <v>1</v>
      </c>
      <c r="Q788">
        <v>0</v>
      </c>
      <c r="R788">
        <v>56.2</v>
      </c>
      <c r="U788">
        <v>7020</v>
      </c>
      <c r="W788">
        <v>0</v>
      </c>
      <c r="Y788" t="s">
        <v>225</v>
      </c>
      <c r="AA788" t="s">
        <v>10974</v>
      </c>
      <c r="AB788" t="s">
        <v>10988</v>
      </c>
      <c r="AD788" t="s">
        <v>11086</v>
      </c>
      <c r="AF788" t="s">
        <v>10384</v>
      </c>
      <c r="AH788" t="s">
        <v>10975</v>
      </c>
      <c r="AJ788" t="s">
        <v>11141</v>
      </c>
      <c r="AK788" t="s">
        <v>7225</v>
      </c>
      <c r="AM788">
        <v>200</v>
      </c>
      <c r="AO788">
        <v>96</v>
      </c>
      <c r="AQ788" t="s">
        <v>11157</v>
      </c>
      <c r="AS788" t="s">
        <v>11173</v>
      </c>
      <c r="AU788">
        <v>4</v>
      </c>
      <c r="AW788" t="s">
        <v>11187</v>
      </c>
      <c r="AY788" t="s">
        <v>11213</v>
      </c>
      <c r="BA788" t="s">
        <v>11222</v>
      </c>
      <c r="BC788" t="s">
        <v>11230</v>
      </c>
      <c r="BE788" t="s">
        <v>12135</v>
      </c>
      <c r="BF788" t="s">
        <v>14364</v>
      </c>
      <c r="BG788" t="s">
        <v>11228</v>
      </c>
      <c r="BM788" t="s">
        <v>15650</v>
      </c>
    </row>
    <row r="789" spans="1:65">
      <c r="A789" s="1">
        <f>HYPERLINK("https://lsnyc.legalserver.org/matter/dynamic-profile/view/1882204","18-1882204")</f>
        <v>0</v>
      </c>
      <c r="B789" t="s">
        <v>104</v>
      </c>
      <c r="C789" t="s">
        <v>248</v>
      </c>
      <c r="D789" t="s">
        <v>569</v>
      </c>
      <c r="F789" t="s">
        <v>1473</v>
      </c>
      <c r="G789" t="s">
        <v>3288</v>
      </c>
      <c r="H789" t="s">
        <v>5059</v>
      </c>
      <c r="I789" t="s">
        <v>6430</v>
      </c>
      <c r="J789" t="s">
        <v>7174</v>
      </c>
      <c r="K789">
        <v>11233</v>
      </c>
      <c r="N789" t="s">
        <v>7237</v>
      </c>
      <c r="O789" t="s">
        <v>7795</v>
      </c>
      <c r="P789">
        <v>3</v>
      </c>
      <c r="Q789">
        <v>4</v>
      </c>
      <c r="R789">
        <v>81.98</v>
      </c>
      <c r="U789">
        <v>31200</v>
      </c>
      <c r="V789" t="s">
        <v>10326</v>
      </c>
      <c r="W789">
        <v>1.3</v>
      </c>
      <c r="X789" t="s">
        <v>426</v>
      </c>
      <c r="Y789" t="s">
        <v>225</v>
      </c>
      <c r="AA789" t="s">
        <v>10974</v>
      </c>
      <c r="AB789" t="s">
        <v>559</v>
      </c>
      <c r="AD789" t="s">
        <v>11100</v>
      </c>
      <c r="AF789" t="s">
        <v>10384</v>
      </c>
      <c r="AH789" t="s">
        <v>10974</v>
      </c>
      <c r="AJ789" t="s">
        <v>11129</v>
      </c>
      <c r="AK789" t="s">
        <v>7225</v>
      </c>
      <c r="AM789">
        <v>1290</v>
      </c>
      <c r="AO789">
        <v>6</v>
      </c>
      <c r="AQ789" t="s">
        <v>11157</v>
      </c>
      <c r="AS789" t="s">
        <v>11176</v>
      </c>
      <c r="AU789">
        <v>13</v>
      </c>
      <c r="AW789" t="s">
        <v>11187</v>
      </c>
      <c r="AY789" t="s">
        <v>11213</v>
      </c>
      <c r="BA789" t="s">
        <v>11222</v>
      </c>
      <c r="BC789" t="s">
        <v>11230</v>
      </c>
      <c r="BE789" t="s">
        <v>12136</v>
      </c>
      <c r="BF789" t="s">
        <v>14364</v>
      </c>
      <c r="BG789" t="s">
        <v>11086</v>
      </c>
      <c r="BM789" t="s">
        <v>15650</v>
      </c>
    </row>
    <row r="790" spans="1:65">
      <c r="A790" s="1">
        <f>HYPERLINK("https://lsnyc.legalserver.org/matter/dynamic-profile/view/1907759","19-1907759")</f>
        <v>0</v>
      </c>
      <c r="B790" t="s">
        <v>104</v>
      </c>
      <c r="C790" t="s">
        <v>248</v>
      </c>
      <c r="D790" t="s">
        <v>570</v>
      </c>
      <c r="F790" t="s">
        <v>1515</v>
      </c>
      <c r="G790" t="s">
        <v>3286</v>
      </c>
      <c r="H790" t="s">
        <v>5057</v>
      </c>
      <c r="I790" t="s">
        <v>6636</v>
      </c>
      <c r="J790" t="s">
        <v>7174</v>
      </c>
      <c r="K790">
        <v>11212</v>
      </c>
      <c r="N790" t="s">
        <v>7237</v>
      </c>
      <c r="O790" t="s">
        <v>7792</v>
      </c>
      <c r="P790">
        <v>1</v>
      </c>
      <c r="Q790">
        <v>0</v>
      </c>
      <c r="R790">
        <v>80.7</v>
      </c>
      <c r="U790">
        <v>10080</v>
      </c>
      <c r="W790">
        <v>119.7</v>
      </c>
      <c r="X790" t="s">
        <v>669</v>
      </c>
      <c r="Y790" t="s">
        <v>101</v>
      </c>
      <c r="AA790" t="s">
        <v>10974</v>
      </c>
      <c r="AB790" t="s">
        <v>349</v>
      </c>
      <c r="AD790" t="s">
        <v>11100</v>
      </c>
      <c r="AF790" t="s">
        <v>10384</v>
      </c>
      <c r="AH790" t="s">
        <v>10974</v>
      </c>
      <c r="AJ790" t="s">
        <v>11141</v>
      </c>
      <c r="AK790" t="s">
        <v>7225</v>
      </c>
      <c r="AM790">
        <v>594.1799999999999</v>
      </c>
      <c r="AO790">
        <v>96</v>
      </c>
      <c r="AQ790" t="s">
        <v>11157</v>
      </c>
      <c r="AS790" t="s">
        <v>11175</v>
      </c>
      <c r="AU790">
        <v>35</v>
      </c>
      <c r="AW790" t="s">
        <v>11187</v>
      </c>
      <c r="AY790" t="s">
        <v>11213</v>
      </c>
      <c r="BA790" t="s">
        <v>11222</v>
      </c>
      <c r="BE790" t="s">
        <v>12134</v>
      </c>
      <c r="BF790" t="s">
        <v>14364</v>
      </c>
      <c r="BG790" t="s">
        <v>11173</v>
      </c>
      <c r="BM790" t="s">
        <v>15650</v>
      </c>
    </row>
    <row r="791" spans="1:65">
      <c r="A791" s="1">
        <f>HYPERLINK("https://lsnyc.legalserver.org/matter/dynamic-profile/view/1882206","18-1882206")</f>
        <v>0</v>
      </c>
      <c r="B791" t="s">
        <v>104</v>
      </c>
      <c r="C791" t="s">
        <v>248</v>
      </c>
      <c r="D791" t="s">
        <v>569</v>
      </c>
      <c r="F791" t="s">
        <v>1392</v>
      </c>
      <c r="G791" t="s">
        <v>3289</v>
      </c>
      <c r="H791" t="s">
        <v>5059</v>
      </c>
      <c r="I791" t="s">
        <v>6637</v>
      </c>
      <c r="J791" t="s">
        <v>7174</v>
      </c>
      <c r="K791">
        <v>11233</v>
      </c>
      <c r="N791" t="s">
        <v>7237</v>
      </c>
      <c r="O791" t="s">
        <v>7796</v>
      </c>
      <c r="P791">
        <v>1</v>
      </c>
      <c r="Q791">
        <v>2</v>
      </c>
      <c r="R791">
        <v>90.84</v>
      </c>
      <c r="U791">
        <v>18876</v>
      </c>
      <c r="V791" t="s">
        <v>10327</v>
      </c>
      <c r="W791">
        <v>0</v>
      </c>
      <c r="Y791" t="s">
        <v>225</v>
      </c>
      <c r="AA791" t="s">
        <v>10974</v>
      </c>
      <c r="AB791" t="s">
        <v>11001</v>
      </c>
      <c r="AD791" t="s">
        <v>11100</v>
      </c>
      <c r="AF791" t="s">
        <v>11120</v>
      </c>
      <c r="AH791" t="s">
        <v>10974</v>
      </c>
      <c r="AJ791" t="s">
        <v>11129</v>
      </c>
      <c r="AK791" t="s">
        <v>7225</v>
      </c>
      <c r="AM791">
        <v>1300</v>
      </c>
      <c r="AO791">
        <v>6</v>
      </c>
      <c r="AQ791" t="s">
        <v>11157</v>
      </c>
      <c r="AS791" t="s">
        <v>11180</v>
      </c>
      <c r="AU791">
        <v>1</v>
      </c>
      <c r="AW791" t="s">
        <v>11104</v>
      </c>
      <c r="AY791" t="s">
        <v>11213</v>
      </c>
      <c r="AZ791" t="s">
        <v>11221</v>
      </c>
      <c r="BC791" t="s">
        <v>11230</v>
      </c>
      <c r="BE791" t="s">
        <v>12137</v>
      </c>
      <c r="BF791" t="s">
        <v>14364</v>
      </c>
      <c r="BG791" t="s">
        <v>11086</v>
      </c>
      <c r="BM791" t="s">
        <v>15650</v>
      </c>
    </row>
    <row r="792" spans="1:65">
      <c r="A792" s="1">
        <f>HYPERLINK("https://lsnyc.legalserver.org/matter/dynamic-profile/view/1887512","19-1887512")</f>
        <v>0</v>
      </c>
      <c r="B792" t="s">
        <v>104</v>
      </c>
      <c r="C792" t="s">
        <v>248</v>
      </c>
      <c r="D792" t="s">
        <v>290</v>
      </c>
      <c r="E792" t="s">
        <v>449</v>
      </c>
      <c r="F792" t="s">
        <v>1142</v>
      </c>
      <c r="G792" t="s">
        <v>3184</v>
      </c>
      <c r="H792" t="s">
        <v>5054</v>
      </c>
      <c r="I792">
        <v>201</v>
      </c>
      <c r="J792" t="s">
        <v>7169</v>
      </c>
      <c r="K792">
        <v>10025</v>
      </c>
      <c r="L792" t="s">
        <v>7217</v>
      </c>
      <c r="N792" t="s">
        <v>7244</v>
      </c>
      <c r="O792" t="s">
        <v>7789</v>
      </c>
      <c r="P792">
        <v>2</v>
      </c>
      <c r="Q792">
        <v>0</v>
      </c>
      <c r="R792">
        <v>63.18</v>
      </c>
      <c r="U792">
        <v>10400</v>
      </c>
      <c r="V792" t="s">
        <v>10328</v>
      </c>
      <c r="W792">
        <v>9.25</v>
      </c>
      <c r="X792" t="s">
        <v>423</v>
      </c>
      <c r="Y792" t="s">
        <v>104</v>
      </c>
      <c r="AA792" t="s">
        <v>10974</v>
      </c>
      <c r="AB792" t="s">
        <v>290</v>
      </c>
      <c r="AD792" t="s">
        <v>11100</v>
      </c>
      <c r="AF792" t="s">
        <v>10384</v>
      </c>
      <c r="AG792" t="s">
        <v>11124</v>
      </c>
      <c r="AI792" t="s">
        <v>11126</v>
      </c>
      <c r="AK792" t="s">
        <v>7225</v>
      </c>
      <c r="AL792" t="s">
        <v>11150</v>
      </c>
      <c r="AM792">
        <v>0</v>
      </c>
      <c r="AN792" t="s">
        <v>11151</v>
      </c>
      <c r="AO792" t="s">
        <v>11153</v>
      </c>
      <c r="AP792" t="s">
        <v>11155</v>
      </c>
      <c r="AR792" t="s">
        <v>11172</v>
      </c>
      <c r="AT792" t="s">
        <v>11184</v>
      </c>
      <c r="AU792">
        <v>0</v>
      </c>
      <c r="AW792" t="s">
        <v>11187</v>
      </c>
      <c r="AZ792" t="s">
        <v>11221</v>
      </c>
      <c r="BE792" t="s">
        <v>12131</v>
      </c>
      <c r="BF792" t="s">
        <v>14364</v>
      </c>
      <c r="BM792" t="s">
        <v>15651</v>
      </c>
    </row>
    <row r="793" spans="1:65">
      <c r="A793" s="1">
        <f>HYPERLINK("https://lsnyc.legalserver.org/matter/dynamic-profile/view/1886583","18-1886583")</f>
        <v>0</v>
      </c>
      <c r="B793" t="s">
        <v>104</v>
      </c>
      <c r="C793" t="s">
        <v>248</v>
      </c>
      <c r="D793" t="s">
        <v>300</v>
      </c>
      <c r="F793" t="s">
        <v>1518</v>
      </c>
      <c r="G793" t="s">
        <v>2877</v>
      </c>
      <c r="H793" t="s">
        <v>5060</v>
      </c>
      <c r="J793" t="s">
        <v>7170</v>
      </c>
      <c r="K793">
        <v>10453</v>
      </c>
      <c r="N793" t="s">
        <v>7237</v>
      </c>
      <c r="O793" t="s">
        <v>7695</v>
      </c>
      <c r="P793">
        <v>1</v>
      </c>
      <c r="Q793">
        <v>0</v>
      </c>
      <c r="R793">
        <v>82.64</v>
      </c>
      <c r="U793">
        <v>10032</v>
      </c>
      <c r="W793">
        <v>16.8</v>
      </c>
      <c r="X793" t="s">
        <v>362</v>
      </c>
      <c r="Y793" t="s">
        <v>101</v>
      </c>
      <c r="AA793" t="s">
        <v>10974</v>
      </c>
      <c r="AB793" t="s">
        <v>610</v>
      </c>
      <c r="AD793" t="s">
        <v>11106</v>
      </c>
      <c r="AF793" t="s">
        <v>11118</v>
      </c>
      <c r="AH793" t="s">
        <v>10975</v>
      </c>
      <c r="AJ793" t="s">
        <v>11104</v>
      </c>
      <c r="AK793" t="s">
        <v>7225</v>
      </c>
      <c r="AL793" t="s">
        <v>11150</v>
      </c>
      <c r="AM793">
        <v>0</v>
      </c>
      <c r="AO793">
        <v>28</v>
      </c>
      <c r="AP793" t="s">
        <v>11155</v>
      </c>
      <c r="AS793" t="s">
        <v>11178</v>
      </c>
      <c r="AT793" t="s">
        <v>11184</v>
      </c>
      <c r="AU793">
        <v>0</v>
      </c>
      <c r="AW793" t="s">
        <v>11187</v>
      </c>
      <c r="AZ793" t="s">
        <v>11221</v>
      </c>
      <c r="BE793" t="s">
        <v>12138</v>
      </c>
      <c r="BG793" t="s">
        <v>14540</v>
      </c>
      <c r="BM793" t="s">
        <v>15650</v>
      </c>
    </row>
    <row r="794" spans="1:65">
      <c r="A794" s="1">
        <f>HYPERLINK("https://lsnyc.legalserver.org/matter/dynamic-profile/view/1903231","19-1903231")</f>
        <v>0</v>
      </c>
      <c r="B794" t="s">
        <v>104</v>
      </c>
      <c r="C794" t="s">
        <v>248</v>
      </c>
      <c r="D794" t="s">
        <v>571</v>
      </c>
      <c r="F794" t="s">
        <v>1519</v>
      </c>
      <c r="G794" t="s">
        <v>3290</v>
      </c>
      <c r="H794" t="s">
        <v>5061</v>
      </c>
      <c r="I794" t="s">
        <v>6415</v>
      </c>
      <c r="J794" t="s">
        <v>7174</v>
      </c>
      <c r="K794">
        <v>11212</v>
      </c>
      <c r="N794" t="s">
        <v>7237</v>
      </c>
      <c r="O794" t="s">
        <v>7797</v>
      </c>
      <c r="P794">
        <v>1</v>
      </c>
      <c r="Q794">
        <v>0</v>
      </c>
      <c r="R794">
        <v>93.19</v>
      </c>
      <c r="U794">
        <v>11640</v>
      </c>
      <c r="W794">
        <v>6.2</v>
      </c>
      <c r="X794" t="s">
        <v>266</v>
      </c>
      <c r="Y794" t="s">
        <v>225</v>
      </c>
      <c r="AA794" t="s">
        <v>10974</v>
      </c>
      <c r="AB794" t="s">
        <v>322</v>
      </c>
      <c r="AD794" t="s">
        <v>11082</v>
      </c>
      <c r="AF794" t="s">
        <v>11118</v>
      </c>
      <c r="AH794" t="s">
        <v>10974</v>
      </c>
      <c r="AI794" t="s">
        <v>11126</v>
      </c>
      <c r="AK794" t="s">
        <v>7225</v>
      </c>
      <c r="AL794" t="s">
        <v>11150</v>
      </c>
      <c r="AM794">
        <v>0</v>
      </c>
      <c r="AN794" t="s">
        <v>11151</v>
      </c>
      <c r="AO794" t="s">
        <v>11153</v>
      </c>
      <c r="AQ794" t="s">
        <v>11157</v>
      </c>
      <c r="AS794" t="s">
        <v>11173</v>
      </c>
      <c r="AT794" t="s">
        <v>11184</v>
      </c>
      <c r="AU794">
        <v>0</v>
      </c>
      <c r="AW794" t="s">
        <v>11187</v>
      </c>
      <c r="AY794" t="s">
        <v>11213</v>
      </c>
      <c r="BA794" t="s">
        <v>11222</v>
      </c>
      <c r="BC794" t="s">
        <v>11173</v>
      </c>
      <c r="BE794" t="s">
        <v>12139</v>
      </c>
      <c r="BF794" t="s">
        <v>14364</v>
      </c>
      <c r="BG794" t="s">
        <v>14541</v>
      </c>
      <c r="BM794" t="s">
        <v>15650</v>
      </c>
    </row>
    <row r="795" spans="1:65">
      <c r="A795" s="1">
        <f>HYPERLINK("https://lsnyc.legalserver.org/matter/dynamic-profile/view/1846478","17-1846478")</f>
        <v>0</v>
      </c>
      <c r="B795" t="s">
        <v>104</v>
      </c>
      <c r="C795" t="s">
        <v>248</v>
      </c>
      <c r="D795" t="s">
        <v>572</v>
      </c>
      <c r="F795" t="s">
        <v>1520</v>
      </c>
      <c r="G795" t="s">
        <v>2913</v>
      </c>
      <c r="H795" t="s">
        <v>5062</v>
      </c>
      <c r="I795" t="s">
        <v>6482</v>
      </c>
      <c r="J795" t="s">
        <v>7174</v>
      </c>
      <c r="K795">
        <v>11207</v>
      </c>
      <c r="N795" t="s">
        <v>7237</v>
      </c>
      <c r="O795" t="s">
        <v>7798</v>
      </c>
      <c r="P795">
        <v>1</v>
      </c>
      <c r="Q795">
        <v>0</v>
      </c>
      <c r="R795">
        <v>129.35</v>
      </c>
      <c r="U795">
        <v>15600</v>
      </c>
      <c r="W795">
        <v>3.3</v>
      </c>
      <c r="X795" t="s">
        <v>449</v>
      </c>
      <c r="Y795" t="s">
        <v>225</v>
      </c>
      <c r="AA795" t="s">
        <v>10974</v>
      </c>
      <c r="AB795" t="s">
        <v>440</v>
      </c>
      <c r="AC795" t="s">
        <v>11081</v>
      </c>
      <c r="AF795" t="s">
        <v>11118</v>
      </c>
      <c r="AH795" t="s">
        <v>10974</v>
      </c>
      <c r="AJ795" t="s">
        <v>11129</v>
      </c>
      <c r="AK795" t="s">
        <v>7225</v>
      </c>
      <c r="AM795">
        <v>900</v>
      </c>
      <c r="AO795">
        <v>7</v>
      </c>
      <c r="AQ795" t="s">
        <v>11156</v>
      </c>
      <c r="AS795" t="s">
        <v>11177</v>
      </c>
      <c r="AT795" t="s">
        <v>11184</v>
      </c>
      <c r="AU795">
        <v>0</v>
      </c>
      <c r="AW795" t="s">
        <v>11187</v>
      </c>
      <c r="AZ795" t="s">
        <v>11221</v>
      </c>
      <c r="BB795" t="s">
        <v>11224</v>
      </c>
      <c r="BC795" t="s">
        <v>11281</v>
      </c>
      <c r="BE795" t="s">
        <v>12140</v>
      </c>
      <c r="BF795" t="s">
        <v>14364</v>
      </c>
      <c r="BM795" t="s">
        <v>15650</v>
      </c>
    </row>
    <row r="796" spans="1:65">
      <c r="A796" s="1">
        <f>HYPERLINK("https://lsnyc.legalserver.org/matter/dynamic-profile/view/1895346","19-1895346")</f>
        <v>0</v>
      </c>
      <c r="B796" t="s">
        <v>104</v>
      </c>
      <c r="C796" t="s">
        <v>248</v>
      </c>
      <c r="D796" t="s">
        <v>299</v>
      </c>
      <c r="F796" t="s">
        <v>1277</v>
      </c>
      <c r="G796" t="s">
        <v>3284</v>
      </c>
      <c r="H796" t="s">
        <v>5053</v>
      </c>
      <c r="I796" t="s">
        <v>6410</v>
      </c>
      <c r="J796" t="s">
        <v>7174</v>
      </c>
      <c r="K796">
        <v>11212</v>
      </c>
      <c r="N796" t="s">
        <v>7242</v>
      </c>
      <c r="O796" t="s">
        <v>7788</v>
      </c>
      <c r="P796">
        <v>2</v>
      </c>
      <c r="Q796">
        <v>0</v>
      </c>
      <c r="R796">
        <v>53.65</v>
      </c>
      <c r="U796">
        <v>9072</v>
      </c>
      <c r="V796" t="s">
        <v>10323</v>
      </c>
      <c r="W796">
        <v>0.5</v>
      </c>
      <c r="X796" t="s">
        <v>614</v>
      </c>
      <c r="Y796" t="s">
        <v>101</v>
      </c>
      <c r="AA796" t="s">
        <v>10974</v>
      </c>
      <c r="AB796" t="s">
        <v>299</v>
      </c>
      <c r="AD796" t="s">
        <v>11097</v>
      </c>
      <c r="AF796" t="s">
        <v>11123</v>
      </c>
      <c r="AH796" t="s">
        <v>10974</v>
      </c>
      <c r="AJ796" t="s">
        <v>11134</v>
      </c>
      <c r="AK796" t="s">
        <v>7225</v>
      </c>
      <c r="AM796">
        <v>1300</v>
      </c>
      <c r="AO796">
        <v>19</v>
      </c>
      <c r="AQ796" t="s">
        <v>11157</v>
      </c>
      <c r="AS796" t="s">
        <v>11174</v>
      </c>
      <c r="AU796">
        <v>15</v>
      </c>
      <c r="AW796" t="s">
        <v>11187</v>
      </c>
      <c r="BA796" t="s">
        <v>11222</v>
      </c>
      <c r="BE796" t="s">
        <v>12130</v>
      </c>
      <c r="BF796" t="s">
        <v>14364</v>
      </c>
      <c r="BM796" t="s">
        <v>15650</v>
      </c>
    </row>
    <row r="797" spans="1:65">
      <c r="A797" s="1">
        <f>HYPERLINK("https://lsnyc.legalserver.org/matter/dynamic-profile/view/1911874","19-1911874")</f>
        <v>0</v>
      </c>
      <c r="B797" t="s">
        <v>104</v>
      </c>
      <c r="C797" t="s">
        <v>248</v>
      </c>
      <c r="D797" t="s">
        <v>345</v>
      </c>
      <c r="F797" t="s">
        <v>1456</v>
      </c>
      <c r="G797" t="s">
        <v>3291</v>
      </c>
      <c r="H797" t="s">
        <v>5063</v>
      </c>
      <c r="I797" t="s">
        <v>6466</v>
      </c>
      <c r="J797" t="s">
        <v>7174</v>
      </c>
      <c r="K797">
        <v>11238</v>
      </c>
      <c r="N797" t="s">
        <v>7237</v>
      </c>
      <c r="O797" t="s">
        <v>7799</v>
      </c>
      <c r="P797">
        <v>2</v>
      </c>
      <c r="Q797">
        <v>0</v>
      </c>
      <c r="R797">
        <v>413.96</v>
      </c>
      <c r="U797">
        <v>70000</v>
      </c>
      <c r="V797" t="s">
        <v>10329</v>
      </c>
      <c r="W797">
        <v>5.4</v>
      </c>
      <c r="X797" t="s">
        <v>262</v>
      </c>
      <c r="Y797" t="s">
        <v>225</v>
      </c>
      <c r="AA797" t="s">
        <v>10974</v>
      </c>
      <c r="AB797" t="s">
        <v>563</v>
      </c>
      <c r="AD797" t="s">
        <v>11082</v>
      </c>
      <c r="AF797" t="s">
        <v>11118</v>
      </c>
      <c r="AH797" t="s">
        <v>10975</v>
      </c>
      <c r="AI797" t="s">
        <v>11126</v>
      </c>
      <c r="AK797" t="s">
        <v>7225</v>
      </c>
      <c r="AM797">
        <v>1048.29</v>
      </c>
      <c r="AO797">
        <v>16</v>
      </c>
      <c r="AQ797" t="s">
        <v>11157</v>
      </c>
      <c r="AS797" t="s">
        <v>11173</v>
      </c>
      <c r="AT797" t="s">
        <v>11184</v>
      </c>
      <c r="AU797">
        <v>0</v>
      </c>
      <c r="AW797" t="s">
        <v>11187</v>
      </c>
      <c r="AY797" t="s">
        <v>11213</v>
      </c>
      <c r="BA797" t="s">
        <v>11222</v>
      </c>
      <c r="BC797" t="s">
        <v>11173</v>
      </c>
      <c r="BE797" t="s">
        <v>12141</v>
      </c>
      <c r="BG797" t="s">
        <v>14542</v>
      </c>
      <c r="BM797" t="s">
        <v>15650</v>
      </c>
    </row>
    <row r="798" spans="1:65">
      <c r="A798" s="1">
        <f>HYPERLINK("https://lsnyc.legalserver.org/matter/dynamic-profile/view/1878374","18-1878374")</f>
        <v>0</v>
      </c>
      <c r="B798" t="s">
        <v>104</v>
      </c>
      <c r="C798" t="s">
        <v>248</v>
      </c>
      <c r="D798" t="s">
        <v>573</v>
      </c>
      <c r="F798" t="s">
        <v>1277</v>
      </c>
      <c r="G798" t="s">
        <v>3284</v>
      </c>
      <c r="H798" t="s">
        <v>5053</v>
      </c>
      <c r="I798" t="s">
        <v>6410</v>
      </c>
      <c r="J798" t="s">
        <v>7174</v>
      </c>
      <c r="K798">
        <v>11212</v>
      </c>
      <c r="N798" t="s">
        <v>7237</v>
      </c>
      <c r="O798" t="s">
        <v>7788</v>
      </c>
      <c r="P798">
        <v>2</v>
      </c>
      <c r="Q798">
        <v>0</v>
      </c>
      <c r="R798">
        <v>55.12</v>
      </c>
      <c r="U798">
        <v>9072</v>
      </c>
      <c r="V798" t="s">
        <v>10330</v>
      </c>
      <c r="W798">
        <v>7.55</v>
      </c>
      <c r="X798" t="s">
        <v>554</v>
      </c>
      <c r="Y798" t="s">
        <v>225</v>
      </c>
      <c r="AA798" t="s">
        <v>10974</v>
      </c>
      <c r="AB798" t="s">
        <v>10832</v>
      </c>
      <c r="AD798" t="s">
        <v>11100</v>
      </c>
      <c r="AF798" t="s">
        <v>10384</v>
      </c>
      <c r="AG798" t="s">
        <v>11124</v>
      </c>
      <c r="AJ798" t="s">
        <v>11134</v>
      </c>
      <c r="AK798" t="s">
        <v>7225</v>
      </c>
      <c r="AM798">
        <v>1300</v>
      </c>
      <c r="AO798">
        <v>19</v>
      </c>
      <c r="AQ798" t="s">
        <v>11157</v>
      </c>
      <c r="AS798" t="s">
        <v>11174</v>
      </c>
      <c r="AU798">
        <v>15</v>
      </c>
      <c r="AW798" t="s">
        <v>11187</v>
      </c>
      <c r="AZ798" t="s">
        <v>11221</v>
      </c>
      <c r="BE798" t="s">
        <v>12130</v>
      </c>
      <c r="BF798" t="s">
        <v>14364</v>
      </c>
      <c r="BM798" t="s">
        <v>15650</v>
      </c>
    </row>
    <row r="799" spans="1:65">
      <c r="A799" s="1">
        <f>HYPERLINK("https://lsnyc.legalserver.org/matter/dynamic-profile/view/1913595","19-1913595")</f>
        <v>0</v>
      </c>
      <c r="B799" t="s">
        <v>104</v>
      </c>
      <c r="C799" t="s">
        <v>248</v>
      </c>
      <c r="D799" t="s">
        <v>293</v>
      </c>
      <c r="F799" t="s">
        <v>1456</v>
      </c>
      <c r="G799" t="s">
        <v>3291</v>
      </c>
      <c r="H799" t="s">
        <v>5063</v>
      </c>
      <c r="I799" t="s">
        <v>6466</v>
      </c>
      <c r="J799" t="s">
        <v>7174</v>
      </c>
      <c r="K799">
        <v>11238</v>
      </c>
      <c r="N799" t="s">
        <v>7237</v>
      </c>
      <c r="O799" t="s">
        <v>7799</v>
      </c>
      <c r="P799">
        <v>2</v>
      </c>
      <c r="Q799">
        <v>0</v>
      </c>
      <c r="R799">
        <v>413.96</v>
      </c>
      <c r="U799">
        <v>70000</v>
      </c>
      <c r="V799" t="s">
        <v>10331</v>
      </c>
      <c r="W799">
        <v>0</v>
      </c>
      <c r="Y799" t="s">
        <v>101</v>
      </c>
      <c r="AA799" t="s">
        <v>10974</v>
      </c>
      <c r="AB799" t="s">
        <v>925</v>
      </c>
      <c r="AD799" t="s">
        <v>11100</v>
      </c>
      <c r="AF799" t="s">
        <v>10384</v>
      </c>
      <c r="AH799" t="s">
        <v>10974</v>
      </c>
      <c r="AJ799" t="s">
        <v>11104</v>
      </c>
      <c r="AK799" t="s">
        <v>7225</v>
      </c>
      <c r="AM799">
        <v>1048.29</v>
      </c>
      <c r="AO799">
        <v>16</v>
      </c>
      <c r="AQ799" t="s">
        <v>11157</v>
      </c>
      <c r="AS799" t="s">
        <v>11173</v>
      </c>
      <c r="AT799" t="s">
        <v>11184</v>
      </c>
      <c r="AU799">
        <v>0</v>
      </c>
      <c r="AW799" t="s">
        <v>11187</v>
      </c>
      <c r="AY799" t="s">
        <v>11213</v>
      </c>
      <c r="BA799" t="s">
        <v>11222</v>
      </c>
      <c r="BC799" t="s">
        <v>11173</v>
      </c>
      <c r="BE799" t="s">
        <v>12141</v>
      </c>
      <c r="BF799" t="s">
        <v>14364</v>
      </c>
      <c r="BG799" t="s">
        <v>11086</v>
      </c>
      <c r="BM799" t="s">
        <v>15650</v>
      </c>
    </row>
    <row r="800" spans="1:65">
      <c r="A800" s="1">
        <f>HYPERLINK("https://lsnyc.legalserver.org/matter/dynamic-profile/view/1839479","17-1839479")</f>
        <v>0</v>
      </c>
      <c r="B800" t="s">
        <v>104</v>
      </c>
      <c r="C800" t="s">
        <v>248</v>
      </c>
      <c r="D800" t="s">
        <v>574</v>
      </c>
      <c r="F800" t="s">
        <v>1424</v>
      </c>
      <c r="G800" t="s">
        <v>3190</v>
      </c>
      <c r="H800" t="s">
        <v>5062</v>
      </c>
      <c r="I800">
        <v>5</v>
      </c>
      <c r="J800" t="s">
        <v>7174</v>
      </c>
      <c r="K800">
        <v>11207</v>
      </c>
      <c r="N800" t="s">
        <v>7237</v>
      </c>
      <c r="O800" t="s">
        <v>7800</v>
      </c>
      <c r="P800">
        <v>3</v>
      </c>
      <c r="Q800">
        <v>0</v>
      </c>
      <c r="R800">
        <v>0</v>
      </c>
      <c r="U800">
        <v>0</v>
      </c>
      <c r="W800">
        <v>179.9</v>
      </c>
      <c r="X800" t="s">
        <v>262</v>
      </c>
      <c r="Y800" t="s">
        <v>10901</v>
      </c>
      <c r="AA800" t="s">
        <v>10974</v>
      </c>
      <c r="AB800" t="s">
        <v>440</v>
      </c>
      <c r="AD800" t="s">
        <v>11085</v>
      </c>
      <c r="AF800" t="s">
        <v>11118</v>
      </c>
      <c r="AH800" t="s">
        <v>10974</v>
      </c>
      <c r="AI800" t="s">
        <v>11126</v>
      </c>
      <c r="AK800" t="s">
        <v>7225</v>
      </c>
      <c r="AM800">
        <v>500</v>
      </c>
      <c r="AO800">
        <v>7</v>
      </c>
      <c r="AQ800" t="s">
        <v>11156</v>
      </c>
      <c r="AR800" t="s">
        <v>11172</v>
      </c>
      <c r="AU800">
        <v>46</v>
      </c>
      <c r="AW800" t="s">
        <v>11187</v>
      </c>
      <c r="AZ800" t="s">
        <v>11221</v>
      </c>
      <c r="BE800" t="s">
        <v>12142</v>
      </c>
      <c r="BF800" t="s">
        <v>14364</v>
      </c>
      <c r="BM800" t="s">
        <v>15650</v>
      </c>
    </row>
    <row r="801" spans="1:65">
      <c r="A801" s="1">
        <f>HYPERLINK("https://lsnyc.legalserver.org/matter/dynamic-profile/view/1911193","19-1911193")</f>
        <v>0</v>
      </c>
      <c r="B801" t="s">
        <v>104</v>
      </c>
      <c r="C801" t="s">
        <v>248</v>
      </c>
      <c r="D801" t="s">
        <v>306</v>
      </c>
      <c r="F801" t="s">
        <v>1521</v>
      </c>
      <c r="G801" t="s">
        <v>3292</v>
      </c>
      <c r="H801" t="s">
        <v>5063</v>
      </c>
      <c r="I801" t="s">
        <v>6413</v>
      </c>
      <c r="J801" t="s">
        <v>7174</v>
      </c>
      <c r="K801">
        <v>11238</v>
      </c>
      <c r="N801" t="s">
        <v>7237</v>
      </c>
      <c r="O801" t="s">
        <v>7801</v>
      </c>
      <c r="P801">
        <v>1</v>
      </c>
      <c r="Q801">
        <v>1</v>
      </c>
      <c r="R801">
        <v>40.73</v>
      </c>
      <c r="U801">
        <v>6888</v>
      </c>
      <c r="W801">
        <v>28.4</v>
      </c>
      <c r="X801" t="s">
        <v>539</v>
      </c>
      <c r="Y801" t="s">
        <v>225</v>
      </c>
      <c r="AA801" t="s">
        <v>10974</v>
      </c>
      <c r="AB801" t="s">
        <v>626</v>
      </c>
      <c r="AD801" t="s">
        <v>11100</v>
      </c>
      <c r="AF801" t="s">
        <v>10384</v>
      </c>
      <c r="AH801" t="s">
        <v>10974</v>
      </c>
      <c r="AJ801" t="s">
        <v>11129</v>
      </c>
      <c r="AK801" t="s">
        <v>7225</v>
      </c>
      <c r="AL801" t="s">
        <v>11150</v>
      </c>
      <c r="AM801">
        <v>0</v>
      </c>
      <c r="AO801">
        <v>16</v>
      </c>
      <c r="AQ801" t="s">
        <v>11157</v>
      </c>
      <c r="AS801" t="s">
        <v>11180</v>
      </c>
      <c r="AT801" t="s">
        <v>11184</v>
      </c>
      <c r="AU801">
        <v>0</v>
      </c>
      <c r="AW801" t="s">
        <v>11187</v>
      </c>
      <c r="AY801" t="s">
        <v>11213</v>
      </c>
      <c r="BA801" t="s">
        <v>11222</v>
      </c>
      <c r="BC801" t="s">
        <v>11282</v>
      </c>
      <c r="BE801" t="s">
        <v>12143</v>
      </c>
      <c r="BF801" t="s">
        <v>14364</v>
      </c>
      <c r="BG801" t="s">
        <v>11086</v>
      </c>
      <c r="BM801" t="s">
        <v>15650</v>
      </c>
    </row>
    <row r="802" spans="1:65">
      <c r="A802" s="1">
        <f>HYPERLINK("https://lsnyc.legalserver.org/matter/dynamic-profile/view/1906363","19-1906363")</f>
        <v>0</v>
      </c>
      <c r="B802" t="s">
        <v>104</v>
      </c>
      <c r="C802" t="s">
        <v>248</v>
      </c>
      <c r="D802" t="s">
        <v>575</v>
      </c>
      <c r="F802" t="s">
        <v>1522</v>
      </c>
      <c r="G802" t="s">
        <v>3293</v>
      </c>
      <c r="H802" t="s">
        <v>5064</v>
      </c>
      <c r="I802" t="s">
        <v>6409</v>
      </c>
      <c r="J802" t="s">
        <v>7174</v>
      </c>
      <c r="K802">
        <v>11216</v>
      </c>
      <c r="N802" t="s">
        <v>7237</v>
      </c>
      <c r="O802" t="s">
        <v>7802</v>
      </c>
      <c r="P802">
        <v>1</v>
      </c>
      <c r="Q802">
        <v>0</v>
      </c>
      <c r="R802">
        <v>792.63</v>
      </c>
      <c r="T802" t="s">
        <v>10276</v>
      </c>
      <c r="U802">
        <v>99000</v>
      </c>
      <c r="V802" t="s">
        <v>10332</v>
      </c>
      <c r="W802">
        <v>0</v>
      </c>
      <c r="Y802" t="s">
        <v>225</v>
      </c>
      <c r="AA802" t="s">
        <v>10974</v>
      </c>
      <c r="AB802" t="s">
        <v>362</v>
      </c>
      <c r="AD802" t="s">
        <v>11086</v>
      </c>
      <c r="AF802" t="s">
        <v>10384</v>
      </c>
      <c r="AH802" t="s">
        <v>10974</v>
      </c>
      <c r="AJ802" t="s">
        <v>11134</v>
      </c>
      <c r="AK802" t="s">
        <v>7225</v>
      </c>
      <c r="AM802">
        <v>1550</v>
      </c>
      <c r="AO802">
        <v>82</v>
      </c>
      <c r="AQ802" t="s">
        <v>11157</v>
      </c>
      <c r="AS802" t="s">
        <v>11173</v>
      </c>
      <c r="AU802">
        <v>8</v>
      </c>
      <c r="AW802" t="s">
        <v>11187</v>
      </c>
      <c r="AY802" t="s">
        <v>11213</v>
      </c>
      <c r="BA802" t="s">
        <v>11222</v>
      </c>
      <c r="BC802" t="s">
        <v>11228</v>
      </c>
      <c r="BE802" t="s">
        <v>12144</v>
      </c>
      <c r="BF802" t="s">
        <v>14364</v>
      </c>
      <c r="BG802" t="s">
        <v>11228</v>
      </c>
      <c r="BM802" t="s">
        <v>15650</v>
      </c>
    </row>
    <row r="803" spans="1:65">
      <c r="A803" s="1">
        <f>HYPERLINK("https://lsnyc.legalserver.org/matter/dynamic-profile/view/1893448","19-1893448")</f>
        <v>0</v>
      </c>
      <c r="B803" t="s">
        <v>104</v>
      </c>
      <c r="C803" t="s">
        <v>248</v>
      </c>
      <c r="D803" t="s">
        <v>567</v>
      </c>
      <c r="F803" t="s">
        <v>1523</v>
      </c>
      <c r="G803" t="s">
        <v>3294</v>
      </c>
      <c r="H803" t="s">
        <v>5056</v>
      </c>
      <c r="J803" t="s">
        <v>7174</v>
      </c>
      <c r="K803">
        <v>11208</v>
      </c>
      <c r="N803" t="s">
        <v>7237</v>
      </c>
      <c r="O803" t="s">
        <v>7803</v>
      </c>
      <c r="P803">
        <v>2</v>
      </c>
      <c r="Q803">
        <v>0</v>
      </c>
      <c r="R803">
        <v>215.26</v>
      </c>
      <c r="S803" t="s">
        <v>844</v>
      </c>
      <c r="T803" t="s">
        <v>10276</v>
      </c>
      <c r="U803">
        <v>36400</v>
      </c>
      <c r="V803" t="s">
        <v>10333</v>
      </c>
      <c r="W803">
        <v>0</v>
      </c>
      <c r="Y803" t="s">
        <v>225</v>
      </c>
      <c r="AA803" t="s">
        <v>10974</v>
      </c>
      <c r="AB803" t="s">
        <v>400</v>
      </c>
      <c r="AD803" t="s">
        <v>11100</v>
      </c>
      <c r="AF803" t="s">
        <v>10384</v>
      </c>
      <c r="AH803" t="s">
        <v>10974</v>
      </c>
      <c r="AI803" t="s">
        <v>11126</v>
      </c>
      <c r="AK803" t="s">
        <v>7225</v>
      </c>
      <c r="AL803" t="s">
        <v>11150</v>
      </c>
      <c r="AM803">
        <v>0</v>
      </c>
      <c r="AO803">
        <v>9</v>
      </c>
      <c r="AP803" t="s">
        <v>11155</v>
      </c>
      <c r="AR803" t="s">
        <v>11172</v>
      </c>
      <c r="AT803" t="s">
        <v>11184</v>
      </c>
      <c r="AU803">
        <v>0</v>
      </c>
      <c r="AW803" t="s">
        <v>11187</v>
      </c>
      <c r="AY803" t="s">
        <v>11213</v>
      </c>
      <c r="AZ803" t="s">
        <v>11221</v>
      </c>
      <c r="BE803" t="s">
        <v>12145</v>
      </c>
      <c r="BF803" t="s">
        <v>14364</v>
      </c>
      <c r="BM803" t="s">
        <v>15650</v>
      </c>
    </row>
    <row r="804" spans="1:65">
      <c r="A804" s="1">
        <f>HYPERLINK("https://lsnyc.legalserver.org/matter/dynamic-profile/view/1881667","18-1881667")</f>
        <v>0</v>
      </c>
      <c r="B804" t="s">
        <v>104</v>
      </c>
      <c r="C804" t="s">
        <v>248</v>
      </c>
      <c r="D804" t="s">
        <v>576</v>
      </c>
      <c r="F804" t="s">
        <v>1142</v>
      </c>
      <c r="G804" t="s">
        <v>3184</v>
      </c>
      <c r="H804" t="s">
        <v>5054</v>
      </c>
      <c r="I804">
        <v>201</v>
      </c>
      <c r="J804" t="s">
        <v>7169</v>
      </c>
      <c r="K804">
        <v>10025</v>
      </c>
      <c r="N804" t="s">
        <v>7237</v>
      </c>
      <c r="O804" t="s">
        <v>7789</v>
      </c>
      <c r="P804">
        <v>2</v>
      </c>
      <c r="Q804">
        <v>0</v>
      </c>
      <c r="R804">
        <v>187.96</v>
      </c>
      <c r="T804" t="s">
        <v>10278</v>
      </c>
      <c r="U804">
        <v>30938</v>
      </c>
      <c r="V804" t="s">
        <v>10334</v>
      </c>
      <c r="W804">
        <v>68.8</v>
      </c>
      <c r="X804" t="s">
        <v>301</v>
      </c>
      <c r="Y804" t="s">
        <v>225</v>
      </c>
      <c r="AA804" t="s">
        <v>10974</v>
      </c>
      <c r="AB804" t="s">
        <v>892</v>
      </c>
      <c r="AD804" t="s">
        <v>11106</v>
      </c>
      <c r="AF804" t="s">
        <v>11118</v>
      </c>
      <c r="AH804" t="s">
        <v>10974</v>
      </c>
      <c r="AJ804" t="s">
        <v>11137</v>
      </c>
      <c r="AK804" t="s">
        <v>7225</v>
      </c>
      <c r="AL804" t="s">
        <v>11150</v>
      </c>
      <c r="AM804">
        <v>0</v>
      </c>
      <c r="AO804">
        <v>24</v>
      </c>
      <c r="AQ804" t="s">
        <v>11157</v>
      </c>
      <c r="AS804" t="s">
        <v>11178</v>
      </c>
      <c r="AT804" t="s">
        <v>11184</v>
      </c>
      <c r="AU804">
        <v>0</v>
      </c>
      <c r="AW804" t="s">
        <v>11187</v>
      </c>
      <c r="AY804" t="s">
        <v>11213</v>
      </c>
      <c r="AZ804" t="s">
        <v>11221</v>
      </c>
      <c r="BE804" t="s">
        <v>12131</v>
      </c>
      <c r="BG804" t="s">
        <v>14543</v>
      </c>
      <c r="BM804" t="s">
        <v>15650</v>
      </c>
    </row>
    <row r="805" spans="1:65">
      <c r="A805" s="1">
        <f>HYPERLINK("https://lsnyc.legalserver.org/matter/dynamic-profile/view/1875383","18-1875383")</f>
        <v>0</v>
      </c>
      <c r="B805" t="s">
        <v>104</v>
      </c>
      <c r="C805" t="s">
        <v>248</v>
      </c>
      <c r="D805" t="s">
        <v>577</v>
      </c>
      <c r="E805" t="s">
        <v>449</v>
      </c>
      <c r="F805" t="s">
        <v>1524</v>
      </c>
      <c r="G805" t="s">
        <v>3295</v>
      </c>
      <c r="H805" t="s">
        <v>5059</v>
      </c>
      <c r="I805" t="s">
        <v>6482</v>
      </c>
      <c r="J805" t="s">
        <v>7174</v>
      </c>
      <c r="K805">
        <v>11233</v>
      </c>
      <c r="L805" t="s">
        <v>7219</v>
      </c>
      <c r="N805" t="s">
        <v>7237</v>
      </c>
      <c r="O805" t="s">
        <v>7804</v>
      </c>
      <c r="P805">
        <v>1</v>
      </c>
      <c r="Q805">
        <v>0</v>
      </c>
      <c r="R805">
        <v>234.3</v>
      </c>
      <c r="U805">
        <v>28444</v>
      </c>
      <c r="W805">
        <v>7.3</v>
      </c>
      <c r="X805" t="s">
        <v>300</v>
      </c>
      <c r="Y805" t="s">
        <v>225</v>
      </c>
      <c r="AA805" t="s">
        <v>10974</v>
      </c>
      <c r="AB805" t="s">
        <v>320</v>
      </c>
      <c r="AD805" t="s">
        <v>11083</v>
      </c>
      <c r="AF805" t="s">
        <v>11118</v>
      </c>
      <c r="AH805" t="s">
        <v>10974</v>
      </c>
      <c r="AJ805" t="s">
        <v>11135</v>
      </c>
      <c r="AK805" t="s">
        <v>7225</v>
      </c>
      <c r="AM805">
        <v>1328</v>
      </c>
      <c r="AO805">
        <v>6</v>
      </c>
      <c r="AQ805" t="s">
        <v>11157</v>
      </c>
      <c r="AS805" t="s">
        <v>11173</v>
      </c>
      <c r="AU805">
        <v>5</v>
      </c>
      <c r="AW805" t="s">
        <v>11187</v>
      </c>
      <c r="AY805" t="s">
        <v>11213</v>
      </c>
      <c r="BA805" t="s">
        <v>11222</v>
      </c>
      <c r="BE805" t="s">
        <v>12146</v>
      </c>
      <c r="BG805" t="s">
        <v>14544</v>
      </c>
      <c r="BH805" t="s">
        <v>15605</v>
      </c>
      <c r="BJ805" t="s">
        <v>15615</v>
      </c>
      <c r="BL805" t="s">
        <v>15648</v>
      </c>
      <c r="BM805" t="s">
        <v>15651</v>
      </c>
    </row>
    <row r="806" spans="1:65">
      <c r="A806" s="1">
        <f>HYPERLINK("https://lsnyc.legalserver.org/matter/dynamic-profile/view/1882211","18-1882211")</f>
        <v>0</v>
      </c>
      <c r="B806" t="s">
        <v>104</v>
      </c>
      <c r="C806" t="s">
        <v>248</v>
      </c>
      <c r="D806" t="s">
        <v>569</v>
      </c>
      <c r="F806" t="s">
        <v>1524</v>
      </c>
      <c r="G806" t="s">
        <v>3295</v>
      </c>
      <c r="H806" t="s">
        <v>5059</v>
      </c>
      <c r="I806" t="s">
        <v>6482</v>
      </c>
      <c r="J806" t="s">
        <v>7174</v>
      </c>
      <c r="K806">
        <v>11233</v>
      </c>
      <c r="N806" t="s">
        <v>7237</v>
      </c>
      <c r="O806" t="s">
        <v>7804</v>
      </c>
      <c r="P806">
        <v>1</v>
      </c>
      <c r="Q806">
        <v>0</v>
      </c>
      <c r="R806">
        <v>234.3</v>
      </c>
      <c r="U806">
        <v>28444</v>
      </c>
      <c r="V806" t="s">
        <v>10335</v>
      </c>
      <c r="W806">
        <v>0</v>
      </c>
      <c r="Y806" t="s">
        <v>225</v>
      </c>
      <c r="AA806" t="s">
        <v>10974</v>
      </c>
      <c r="AB806" t="s">
        <v>11002</v>
      </c>
      <c r="AD806" t="s">
        <v>11100</v>
      </c>
      <c r="AF806" t="s">
        <v>10384</v>
      </c>
      <c r="AH806" t="s">
        <v>10974</v>
      </c>
      <c r="AJ806" t="s">
        <v>11129</v>
      </c>
      <c r="AK806" t="s">
        <v>7225</v>
      </c>
      <c r="AM806">
        <v>1328</v>
      </c>
      <c r="AO806">
        <v>6</v>
      </c>
      <c r="AQ806" t="s">
        <v>11157</v>
      </c>
      <c r="AS806" t="s">
        <v>11173</v>
      </c>
      <c r="AU806">
        <v>5</v>
      </c>
      <c r="AW806" t="s">
        <v>11187</v>
      </c>
      <c r="AY806" t="s">
        <v>11213</v>
      </c>
      <c r="AZ806" t="s">
        <v>11221</v>
      </c>
      <c r="BC806" t="s">
        <v>11173</v>
      </c>
      <c r="BE806" t="s">
        <v>12146</v>
      </c>
      <c r="BF806" t="s">
        <v>14364</v>
      </c>
      <c r="BM806" t="s">
        <v>15650</v>
      </c>
    </row>
    <row r="807" spans="1:65">
      <c r="A807" s="1">
        <f>HYPERLINK("https://lsnyc.legalserver.org/matter/dynamic-profile/view/1908325","19-1908325")</f>
        <v>0</v>
      </c>
      <c r="B807" t="s">
        <v>104</v>
      </c>
      <c r="C807" t="s">
        <v>248</v>
      </c>
      <c r="D807" t="s">
        <v>578</v>
      </c>
      <c r="F807" t="s">
        <v>1525</v>
      </c>
      <c r="G807" t="s">
        <v>3296</v>
      </c>
      <c r="H807" t="s">
        <v>5016</v>
      </c>
      <c r="I807" t="s">
        <v>6414</v>
      </c>
      <c r="J807" t="s">
        <v>7174</v>
      </c>
      <c r="K807">
        <v>11213</v>
      </c>
      <c r="N807" t="s">
        <v>7237</v>
      </c>
      <c r="O807" t="s">
        <v>7805</v>
      </c>
      <c r="P807">
        <v>1</v>
      </c>
      <c r="Q807">
        <v>0</v>
      </c>
      <c r="R807">
        <v>8.789999999999999</v>
      </c>
      <c r="U807">
        <v>1098</v>
      </c>
      <c r="W807">
        <v>0</v>
      </c>
      <c r="Y807" t="s">
        <v>225</v>
      </c>
      <c r="AA807" t="s">
        <v>10974</v>
      </c>
      <c r="AB807" t="s">
        <v>570</v>
      </c>
      <c r="AD807" t="s">
        <v>11086</v>
      </c>
      <c r="AF807" t="s">
        <v>10384</v>
      </c>
      <c r="AH807" t="s">
        <v>10974</v>
      </c>
      <c r="AJ807" t="s">
        <v>11141</v>
      </c>
      <c r="AK807" t="s">
        <v>7225</v>
      </c>
      <c r="AL807" t="s">
        <v>11150</v>
      </c>
      <c r="AM807">
        <v>0</v>
      </c>
      <c r="AO807">
        <v>107</v>
      </c>
      <c r="AQ807" t="s">
        <v>11157</v>
      </c>
      <c r="AR807" t="s">
        <v>11172</v>
      </c>
      <c r="AU807">
        <v>4</v>
      </c>
      <c r="AW807" t="s">
        <v>11187</v>
      </c>
      <c r="AY807" t="s">
        <v>11213</v>
      </c>
      <c r="BA807" t="s">
        <v>11222</v>
      </c>
      <c r="BC807" t="s">
        <v>11283</v>
      </c>
      <c r="BE807" t="s">
        <v>12147</v>
      </c>
      <c r="BF807" t="s">
        <v>14364</v>
      </c>
      <c r="BG807" t="s">
        <v>11173</v>
      </c>
      <c r="BM807" t="s">
        <v>15650</v>
      </c>
    </row>
    <row r="808" spans="1:65">
      <c r="A808" s="1">
        <f>HYPERLINK("https://lsnyc.legalserver.org/matter/dynamic-profile/view/1905783","19-1905783")</f>
        <v>0</v>
      </c>
      <c r="B808" t="s">
        <v>104</v>
      </c>
      <c r="C808" t="s">
        <v>248</v>
      </c>
      <c r="D808" t="s">
        <v>511</v>
      </c>
      <c r="F808" t="s">
        <v>1093</v>
      </c>
      <c r="G808" t="s">
        <v>3297</v>
      </c>
      <c r="H808" t="s">
        <v>5065</v>
      </c>
      <c r="I808" t="s">
        <v>6433</v>
      </c>
      <c r="J808" t="s">
        <v>7174</v>
      </c>
      <c r="K808">
        <v>11212</v>
      </c>
      <c r="N808" t="s">
        <v>7242</v>
      </c>
      <c r="O808" t="s">
        <v>7806</v>
      </c>
      <c r="P808">
        <v>2</v>
      </c>
      <c r="Q808">
        <v>0</v>
      </c>
      <c r="R808">
        <v>165.58</v>
      </c>
      <c r="U808">
        <v>28000</v>
      </c>
      <c r="V808" t="s">
        <v>10336</v>
      </c>
      <c r="W808">
        <v>0</v>
      </c>
      <c r="Y808" t="s">
        <v>225</v>
      </c>
      <c r="AA808" t="s">
        <v>10974</v>
      </c>
      <c r="AB808" t="s">
        <v>299</v>
      </c>
      <c r="AD808" t="s">
        <v>11097</v>
      </c>
      <c r="AF808" t="s">
        <v>11118</v>
      </c>
      <c r="AH808" t="s">
        <v>10974</v>
      </c>
      <c r="AJ808" t="s">
        <v>11129</v>
      </c>
      <c r="AK808" t="s">
        <v>7225</v>
      </c>
      <c r="AM808">
        <v>625.95</v>
      </c>
      <c r="AO808">
        <v>8</v>
      </c>
      <c r="AQ808" t="s">
        <v>11157</v>
      </c>
      <c r="AS808" t="s">
        <v>11173</v>
      </c>
      <c r="AU808">
        <v>22</v>
      </c>
      <c r="AW808" t="s">
        <v>11187</v>
      </c>
      <c r="AY808" t="s">
        <v>11213</v>
      </c>
      <c r="BA808" t="s">
        <v>11222</v>
      </c>
      <c r="BC808" t="s">
        <v>11228</v>
      </c>
      <c r="BE808" t="s">
        <v>12148</v>
      </c>
      <c r="BF808" t="s">
        <v>14364</v>
      </c>
      <c r="BG808" t="s">
        <v>14516</v>
      </c>
      <c r="BM808" t="s">
        <v>15650</v>
      </c>
    </row>
    <row r="809" spans="1:65">
      <c r="A809" s="1">
        <f>HYPERLINK("https://lsnyc.legalserver.org/matter/dynamic-profile/view/1875686","18-1875686")</f>
        <v>0</v>
      </c>
      <c r="B809" t="s">
        <v>104</v>
      </c>
      <c r="C809" t="s">
        <v>248</v>
      </c>
      <c r="D809" t="s">
        <v>518</v>
      </c>
      <c r="F809" t="s">
        <v>1370</v>
      </c>
      <c r="G809" t="s">
        <v>3125</v>
      </c>
      <c r="H809" t="s">
        <v>5065</v>
      </c>
      <c r="I809" t="s">
        <v>6419</v>
      </c>
      <c r="J809" t="s">
        <v>7174</v>
      </c>
      <c r="K809">
        <v>11212</v>
      </c>
      <c r="N809" t="s">
        <v>7237</v>
      </c>
      <c r="O809" t="s">
        <v>7807</v>
      </c>
      <c r="P809">
        <v>1</v>
      </c>
      <c r="Q809">
        <v>0</v>
      </c>
      <c r="R809">
        <v>255.63</v>
      </c>
      <c r="U809">
        <v>31033.6</v>
      </c>
      <c r="W809">
        <v>22.75</v>
      </c>
      <c r="X809" t="s">
        <v>449</v>
      </c>
      <c r="Y809" t="s">
        <v>10910</v>
      </c>
      <c r="AA809" t="s">
        <v>10974</v>
      </c>
      <c r="AB809" t="s">
        <v>518</v>
      </c>
      <c r="AD809" t="s">
        <v>11086</v>
      </c>
      <c r="AF809" t="s">
        <v>10384</v>
      </c>
      <c r="AH809" t="s">
        <v>10974</v>
      </c>
      <c r="AJ809" t="s">
        <v>11134</v>
      </c>
      <c r="AK809" t="s">
        <v>7225</v>
      </c>
      <c r="AM809">
        <v>839.77</v>
      </c>
      <c r="AO809">
        <v>8</v>
      </c>
      <c r="AQ809" t="s">
        <v>11157</v>
      </c>
      <c r="AS809" t="s">
        <v>11173</v>
      </c>
      <c r="AU809">
        <v>24</v>
      </c>
      <c r="AW809" t="s">
        <v>11187</v>
      </c>
      <c r="AZ809" t="s">
        <v>11221</v>
      </c>
      <c r="BE809" t="s">
        <v>12149</v>
      </c>
      <c r="BF809" t="s">
        <v>14364</v>
      </c>
      <c r="BM809" t="s">
        <v>15650</v>
      </c>
    </row>
    <row r="810" spans="1:65">
      <c r="A810" s="1">
        <f>HYPERLINK("https://lsnyc.legalserver.org/matter/dynamic-profile/view/1895312","19-1895312")</f>
        <v>0</v>
      </c>
      <c r="B810" t="s">
        <v>104</v>
      </c>
      <c r="C810" t="s">
        <v>248</v>
      </c>
      <c r="D810" t="s">
        <v>299</v>
      </c>
      <c r="F810" t="s">
        <v>1093</v>
      </c>
      <c r="G810" t="s">
        <v>3297</v>
      </c>
      <c r="H810" t="s">
        <v>5065</v>
      </c>
      <c r="I810" t="s">
        <v>6433</v>
      </c>
      <c r="J810" t="s">
        <v>7174</v>
      </c>
      <c r="K810">
        <v>11212</v>
      </c>
      <c r="N810" t="s">
        <v>7237</v>
      </c>
      <c r="O810" t="s">
        <v>7806</v>
      </c>
      <c r="P810">
        <v>2</v>
      </c>
      <c r="Q810">
        <v>0</v>
      </c>
      <c r="R810">
        <v>165.58</v>
      </c>
      <c r="U810">
        <v>28000</v>
      </c>
      <c r="V810" t="s">
        <v>10337</v>
      </c>
      <c r="W810">
        <v>0</v>
      </c>
      <c r="Y810" t="s">
        <v>225</v>
      </c>
      <c r="AA810" t="s">
        <v>10974</v>
      </c>
      <c r="AB810" t="s">
        <v>299</v>
      </c>
      <c r="AD810" t="s">
        <v>11097</v>
      </c>
      <c r="AF810" t="s">
        <v>11118</v>
      </c>
      <c r="AH810" t="s">
        <v>10974</v>
      </c>
      <c r="AJ810" t="s">
        <v>11134</v>
      </c>
      <c r="AK810" t="s">
        <v>7225</v>
      </c>
      <c r="AM810">
        <v>625.95</v>
      </c>
      <c r="AO810">
        <v>8</v>
      </c>
      <c r="AQ810" t="s">
        <v>11157</v>
      </c>
      <c r="AS810" t="s">
        <v>11173</v>
      </c>
      <c r="AU810">
        <v>22</v>
      </c>
      <c r="AW810" t="s">
        <v>11187</v>
      </c>
      <c r="AZ810" t="s">
        <v>11221</v>
      </c>
      <c r="BC810" t="s">
        <v>11228</v>
      </c>
      <c r="BE810" t="s">
        <v>12148</v>
      </c>
      <c r="BG810" t="s">
        <v>14393</v>
      </c>
      <c r="BM810" t="s">
        <v>15650</v>
      </c>
    </row>
    <row r="811" spans="1:65">
      <c r="A811" s="1">
        <f>HYPERLINK("https://lsnyc.legalserver.org/matter/dynamic-profile/view/1913635","19-1913635")</f>
        <v>0</v>
      </c>
      <c r="B811" t="s">
        <v>104</v>
      </c>
      <c r="C811" t="s">
        <v>248</v>
      </c>
      <c r="D811" t="s">
        <v>293</v>
      </c>
      <c r="F811" t="s">
        <v>1526</v>
      </c>
      <c r="G811" t="s">
        <v>2913</v>
      </c>
      <c r="H811" t="s">
        <v>5063</v>
      </c>
      <c r="I811" t="s">
        <v>6419</v>
      </c>
      <c r="J811" t="s">
        <v>7174</v>
      </c>
      <c r="K811">
        <v>11238</v>
      </c>
      <c r="N811" t="s">
        <v>7237</v>
      </c>
      <c r="O811" t="s">
        <v>7808</v>
      </c>
      <c r="P811">
        <v>2</v>
      </c>
      <c r="Q811">
        <v>2</v>
      </c>
      <c r="R811">
        <v>205.59</v>
      </c>
      <c r="U811">
        <v>52940</v>
      </c>
      <c r="V811" t="s">
        <v>10338</v>
      </c>
      <c r="W811">
        <v>0</v>
      </c>
      <c r="Y811" t="s">
        <v>101</v>
      </c>
      <c r="AA811" t="s">
        <v>10974</v>
      </c>
      <c r="AB811" t="s">
        <v>11003</v>
      </c>
      <c r="AD811" t="s">
        <v>11101</v>
      </c>
      <c r="AF811" t="s">
        <v>11118</v>
      </c>
      <c r="AH811" t="s">
        <v>10974</v>
      </c>
      <c r="AJ811" t="s">
        <v>11104</v>
      </c>
      <c r="AK811" t="s">
        <v>7225</v>
      </c>
      <c r="AM811">
        <v>983.4400000000001</v>
      </c>
      <c r="AO811">
        <v>16</v>
      </c>
      <c r="AQ811" t="s">
        <v>11157</v>
      </c>
      <c r="AS811" t="s">
        <v>11173</v>
      </c>
      <c r="AU811">
        <v>13</v>
      </c>
      <c r="AW811" t="s">
        <v>11187</v>
      </c>
      <c r="AY811" t="s">
        <v>11213</v>
      </c>
      <c r="BA811" t="s">
        <v>11222</v>
      </c>
      <c r="BC811" t="s">
        <v>11173</v>
      </c>
      <c r="BE811" t="s">
        <v>12150</v>
      </c>
      <c r="BF811" t="s">
        <v>14364</v>
      </c>
      <c r="BM811" t="s">
        <v>15650</v>
      </c>
    </row>
    <row r="812" spans="1:65">
      <c r="A812" s="1">
        <f>HYPERLINK("https://lsnyc.legalserver.org/matter/dynamic-profile/view/1882194","18-1882194")</f>
        <v>0</v>
      </c>
      <c r="B812" t="s">
        <v>104</v>
      </c>
      <c r="C812" t="s">
        <v>248</v>
      </c>
      <c r="D812" t="s">
        <v>569</v>
      </c>
      <c r="F812" t="s">
        <v>1527</v>
      </c>
      <c r="G812" t="s">
        <v>3298</v>
      </c>
      <c r="H812" t="s">
        <v>5059</v>
      </c>
      <c r="I812" t="s">
        <v>6438</v>
      </c>
      <c r="J812" t="s">
        <v>7174</v>
      </c>
      <c r="K812">
        <v>11233</v>
      </c>
      <c r="N812" t="s">
        <v>7237</v>
      </c>
      <c r="O812" t="s">
        <v>7809</v>
      </c>
      <c r="P812">
        <v>1</v>
      </c>
      <c r="Q812">
        <v>0</v>
      </c>
      <c r="R812">
        <v>304.78</v>
      </c>
      <c r="S812" t="s">
        <v>465</v>
      </c>
      <c r="T812" t="s">
        <v>10276</v>
      </c>
      <c r="U812">
        <v>37000</v>
      </c>
      <c r="V812" t="s">
        <v>10339</v>
      </c>
      <c r="W812">
        <v>92.59999999999999</v>
      </c>
      <c r="X812" t="s">
        <v>426</v>
      </c>
      <c r="Y812" t="s">
        <v>225</v>
      </c>
      <c r="AA812" t="s">
        <v>10974</v>
      </c>
      <c r="AB812" t="s">
        <v>11004</v>
      </c>
      <c r="AD812" t="s">
        <v>11100</v>
      </c>
      <c r="AF812" t="s">
        <v>10384</v>
      </c>
      <c r="AH812" t="s">
        <v>10974</v>
      </c>
      <c r="AJ812" t="s">
        <v>11129</v>
      </c>
      <c r="AK812" t="s">
        <v>7225</v>
      </c>
      <c r="AM812">
        <v>623</v>
      </c>
      <c r="AO812">
        <v>6</v>
      </c>
      <c r="AQ812" t="s">
        <v>11157</v>
      </c>
      <c r="AS812" t="s">
        <v>11173</v>
      </c>
      <c r="AU812">
        <v>38</v>
      </c>
      <c r="AW812" t="s">
        <v>11187</v>
      </c>
      <c r="AY812" t="s">
        <v>11213</v>
      </c>
      <c r="AZ812" t="s">
        <v>11221</v>
      </c>
      <c r="BC812" t="s">
        <v>11173</v>
      </c>
      <c r="BE812" t="s">
        <v>12151</v>
      </c>
      <c r="BF812" t="s">
        <v>14364</v>
      </c>
      <c r="BG812" t="s">
        <v>11086</v>
      </c>
      <c r="BM812" t="s">
        <v>15650</v>
      </c>
    </row>
    <row r="813" spans="1:65">
      <c r="A813" s="1">
        <f>HYPERLINK("https://lsnyc.legalserver.org/matter/dynamic-profile/view/1915073","19-1915073")</f>
        <v>0</v>
      </c>
      <c r="B813" t="s">
        <v>104</v>
      </c>
      <c r="C813" t="s">
        <v>248</v>
      </c>
      <c r="D813" t="s">
        <v>264</v>
      </c>
      <c r="F813" t="s">
        <v>1493</v>
      </c>
      <c r="G813" t="s">
        <v>1937</v>
      </c>
      <c r="H813" t="s">
        <v>5053</v>
      </c>
      <c r="I813" t="s">
        <v>6495</v>
      </c>
      <c r="J813" t="s">
        <v>7174</v>
      </c>
      <c r="K813">
        <v>11212</v>
      </c>
      <c r="N813" t="s">
        <v>7237</v>
      </c>
      <c r="O813" t="s">
        <v>7810</v>
      </c>
      <c r="P813">
        <v>1</v>
      </c>
      <c r="Q813">
        <v>0</v>
      </c>
      <c r="R813">
        <v>520.42</v>
      </c>
      <c r="U813">
        <v>65000</v>
      </c>
      <c r="V813" t="s">
        <v>10340</v>
      </c>
      <c r="W813">
        <v>0</v>
      </c>
      <c r="Y813" t="s">
        <v>225</v>
      </c>
      <c r="AA813" t="s">
        <v>10974</v>
      </c>
      <c r="AB813" t="s">
        <v>262</v>
      </c>
      <c r="AD813" t="s">
        <v>11100</v>
      </c>
      <c r="AF813" t="s">
        <v>10384</v>
      </c>
      <c r="AH813" t="s">
        <v>10974</v>
      </c>
      <c r="AJ813" t="s">
        <v>11134</v>
      </c>
      <c r="AK813" t="s">
        <v>7225</v>
      </c>
      <c r="AM813">
        <v>789.73</v>
      </c>
      <c r="AO813">
        <v>19</v>
      </c>
      <c r="AQ813" t="s">
        <v>11157</v>
      </c>
      <c r="AS813" t="s">
        <v>11173</v>
      </c>
      <c r="AT813" t="s">
        <v>11184</v>
      </c>
      <c r="AU813">
        <v>0</v>
      </c>
      <c r="AW813" t="s">
        <v>11187</v>
      </c>
      <c r="AY813" t="s">
        <v>11213</v>
      </c>
      <c r="BA813" t="s">
        <v>11222</v>
      </c>
      <c r="BC813" t="s">
        <v>11228</v>
      </c>
      <c r="BE813" t="s">
        <v>12152</v>
      </c>
      <c r="BF813" t="s">
        <v>14364</v>
      </c>
      <c r="BG813" t="s">
        <v>14410</v>
      </c>
      <c r="BM813" t="s">
        <v>15650</v>
      </c>
    </row>
    <row r="814" spans="1:65">
      <c r="A814" s="1">
        <f>HYPERLINK("https://lsnyc.legalserver.org/matter/dynamic-profile/view/1885771","18-1885771")</f>
        <v>0</v>
      </c>
      <c r="B814" t="s">
        <v>104</v>
      </c>
      <c r="C814" t="s">
        <v>248</v>
      </c>
      <c r="D814" t="s">
        <v>579</v>
      </c>
      <c r="F814" t="s">
        <v>1521</v>
      </c>
      <c r="G814" t="s">
        <v>3292</v>
      </c>
      <c r="H814" t="s">
        <v>5063</v>
      </c>
      <c r="I814" t="s">
        <v>6413</v>
      </c>
      <c r="J814" t="s">
        <v>7174</v>
      </c>
      <c r="K814">
        <v>11238</v>
      </c>
      <c r="N814" t="s">
        <v>7237</v>
      </c>
      <c r="O814" t="s">
        <v>7801</v>
      </c>
      <c r="P814">
        <v>1</v>
      </c>
      <c r="Q814">
        <v>1</v>
      </c>
      <c r="R814">
        <v>41.85</v>
      </c>
      <c r="U814">
        <v>6888</v>
      </c>
      <c r="W814">
        <v>41.25</v>
      </c>
      <c r="X814" t="s">
        <v>377</v>
      </c>
      <c r="Y814" t="s">
        <v>225</v>
      </c>
      <c r="AA814" t="s">
        <v>10974</v>
      </c>
      <c r="AB814" t="s">
        <v>946</v>
      </c>
      <c r="AD814" t="s">
        <v>11106</v>
      </c>
      <c r="AF814" t="s">
        <v>11122</v>
      </c>
      <c r="AH814" t="s">
        <v>10974</v>
      </c>
      <c r="AI814" t="s">
        <v>11126</v>
      </c>
      <c r="AK814" t="s">
        <v>7225</v>
      </c>
      <c r="AL814" t="s">
        <v>11150</v>
      </c>
      <c r="AM814">
        <v>0</v>
      </c>
      <c r="AN814" t="s">
        <v>11151</v>
      </c>
      <c r="AO814" t="s">
        <v>11153</v>
      </c>
      <c r="AQ814" t="s">
        <v>11157</v>
      </c>
      <c r="AS814" t="s">
        <v>11180</v>
      </c>
      <c r="AT814" t="s">
        <v>11184</v>
      </c>
      <c r="AU814">
        <v>0</v>
      </c>
      <c r="AW814" t="s">
        <v>11187</v>
      </c>
      <c r="AY814" t="s">
        <v>11213</v>
      </c>
      <c r="BA814" t="s">
        <v>11222</v>
      </c>
      <c r="BC814" t="s">
        <v>11282</v>
      </c>
      <c r="BE814" t="s">
        <v>12143</v>
      </c>
      <c r="BF814" t="s">
        <v>14364</v>
      </c>
      <c r="BG814" t="s">
        <v>11086</v>
      </c>
      <c r="BM814" t="s">
        <v>15650</v>
      </c>
    </row>
    <row r="815" spans="1:65">
      <c r="A815" s="1">
        <f>HYPERLINK("https://lsnyc.legalserver.org/matter/dynamic-profile/view/1882200","18-1882200")</f>
        <v>0</v>
      </c>
      <c r="B815" t="s">
        <v>104</v>
      </c>
      <c r="C815" t="s">
        <v>248</v>
      </c>
      <c r="D815" t="s">
        <v>569</v>
      </c>
      <c r="F815" t="s">
        <v>1528</v>
      </c>
      <c r="G815" t="s">
        <v>3299</v>
      </c>
      <c r="H815" t="s">
        <v>5059</v>
      </c>
      <c r="I815" t="s">
        <v>6638</v>
      </c>
      <c r="J815" t="s">
        <v>7174</v>
      </c>
      <c r="K815">
        <v>11233</v>
      </c>
      <c r="N815" t="s">
        <v>7237</v>
      </c>
      <c r="O815" t="s">
        <v>7811</v>
      </c>
      <c r="P815">
        <v>2</v>
      </c>
      <c r="Q815">
        <v>1</v>
      </c>
      <c r="R815">
        <v>241.83</v>
      </c>
      <c r="T815" t="s">
        <v>10276</v>
      </c>
      <c r="U815">
        <v>50252.28</v>
      </c>
      <c r="V815" t="s">
        <v>10341</v>
      </c>
      <c r="W815">
        <v>1</v>
      </c>
      <c r="X815" t="s">
        <v>449</v>
      </c>
      <c r="Y815" t="s">
        <v>225</v>
      </c>
      <c r="AA815" t="s">
        <v>10974</v>
      </c>
      <c r="AB815" t="s">
        <v>11005</v>
      </c>
      <c r="AD815" t="s">
        <v>11100</v>
      </c>
      <c r="AF815" t="s">
        <v>10384</v>
      </c>
      <c r="AH815" t="s">
        <v>10974</v>
      </c>
      <c r="AJ815" t="s">
        <v>11129</v>
      </c>
      <c r="AK815" t="s">
        <v>7225</v>
      </c>
      <c r="AM815">
        <v>594.33</v>
      </c>
      <c r="AO815">
        <v>6</v>
      </c>
      <c r="AQ815" t="s">
        <v>11157</v>
      </c>
      <c r="AS815" t="s">
        <v>11173</v>
      </c>
      <c r="AU815">
        <v>42</v>
      </c>
      <c r="AW815" t="s">
        <v>11187</v>
      </c>
      <c r="AY815" t="s">
        <v>11213</v>
      </c>
      <c r="AZ815" t="s">
        <v>11221</v>
      </c>
      <c r="BE815" t="s">
        <v>12153</v>
      </c>
      <c r="BF815" t="s">
        <v>14364</v>
      </c>
      <c r="BG815" t="s">
        <v>11086</v>
      </c>
      <c r="BM815" t="s">
        <v>15650</v>
      </c>
    </row>
    <row r="816" spans="1:65">
      <c r="A816" s="1">
        <f>HYPERLINK("https://lsnyc.legalserver.org/matter/dynamic-profile/view/1905837","19-1905837")</f>
        <v>0</v>
      </c>
      <c r="B816" t="s">
        <v>104</v>
      </c>
      <c r="C816" t="s">
        <v>248</v>
      </c>
      <c r="D816" t="s">
        <v>337</v>
      </c>
      <c r="F816" t="s">
        <v>1278</v>
      </c>
      <c r="G816" t="s">
        <v>3300</v>
      </c>
      <c r="H816" t="s">
        <v>5065</v>
      </c>
      <c r="I816" t="s">
        <v>6424</v>
      </c>
      <c r="J816" t="s">
        <v>7174</v>
      </c>
      <c r="K816">
        <v>11212</v>
      </c>
      <c r="N816" t="s">
        <v>7245</v>
      </c>
      <c r="O816" t="s">
        <v>7812</v>
      </c>
      <c r="P816">
        <v>3</v>
      </c>
      <c r="Q816">
        <v>2</v>
      </c>
      <c r="R816">
        <v>34.47</v>
      </c>
      <c r="U816">
        <v>10400</v>
      </c>
      <c r="W816">
        <v>0</v>
      </c>
      <c r="Y816" t="s">
        <v>225</v>
      </c>
      <c r="AA816" t="s">
        <v>10974</v>
      </c>
      <c r="AB816" t="s">
        <v>370</v>
      </c>
      <c r="AD816" t="s">
        <v>11085</v>
      </c>
      <c r="AF816" t="s">
        <v>10384</v>
      </c>
      <c r="AH816" t="s">
        <v>10974</v>
      </c>
      <c r="AJ816" t="s">
        <v>11129</v>
      </c>
      <c r="AK816" t="s">
        <v>7225</v>
      </c>
      <c r="AL816" t="s">
        <v>11150</v>
      </c>
      <c r="AM816">
        <v>0</v>
      </c>
      <c r="AO816">
        <v>8</v>
      </c>
      <c r="AQ816" t="s">
        <v>11157</v>
      </c>
      <c r="AS816" t="s">
        <v>11173</v>
      </c>
      <c r="AT816" t="s">
        <v>11184</v>
      </c>
      <c r="AU816">
        <v>0</v>
      </c>
      <c r="AW816" t="s">
        <v>3528</v>
      </c>
      <c r="AY816" t="s">
        <v>11213</v>
      </c>
      <c r="BA816" t="s">
        <v>11222</v>
      </c>
      <c r="BC816" t="s">
        <v>11228</v>
      </c>
      <c r="BD816" t="s">
        <v>11667</v>
      </c>
      <c r="BG816" t="s">
        <v>14545</v>
      </c>
      <c r="BM816" t="s">
        <v>15650</v>
      </c>
    </row>
    <row r="817" spans="1:65">
      <c r="A817" s="1">
        <f>HYPERLINK("https://lsnyc.legalserver.org/matter/dynamic-profile/view/1903936","19-1903936")</f>
        <v>0</v>
      </c>
      <c r="B817" t="s">
        <v>104</v>
      </c>
      <c r="C817" t="s">
        <v>248</v>
      </c>
      <c r="D817" t="s">
        <v>260</v>
      </c>
      <c r="F817" t="s">
        <v>1278</v>
      </c>
      <c r="G817" t="s">
        <v>3300</v>
      </c>
      <c r="H817" t="s">
        <v>5065</v>
      </c>
      <c r="I817" t="s">
        <v>6424</v>
      </c>
      <c r="J817" t="s">
        <v>7174</v>
      </c>
      <c r="K817">
        <v>11212</v>
      </c>
      <c r="N817" t="s">
        <v>7237</v>
      </c>
      <c r="O817" t="s">
        <v>7812</v>
      </c>
      <c r="P817">
        <v>3</v>
      </c>
      <c r="Q817">
        <v>2</v>
      </c>
      <c r="R817">
        <v>34.47</v>
      </c>
      <c r="U817">
        <v>10400</v>
      </c>
      <c r="W817">
        <v>49.8</v>
      </c>
      <c r="X817" t="s">
        <v>528</v>
      </c>
      <c r="Y817" t="s">
        <v>225</v>
      </c>
      <c r="AA817" t="s">
        <v>10974</v>
      </c>
      <c r="AB817" t="s">
        <v>880</v>
      </c>
      <c r="AD817" t="s">
        <v>11082</v>
      </c>
      <c r="AF817" t="s">
        <v>11118</v>
      </c>
      <c r="AH817" t="s">
        <v>10975</v>
      </c>
      <c r="AI817" t="s">
        <v>11126</v>
      </c>
      <c r="AK817" t="s">
        <v>7225</v>
      </c>
      <c r="AL817" t="s">
        <v>11150</v>
      </c>
      <c r="AM817">
        <v>0</v>
      </c>
      <c r="AN817" t="s">
        <v>11151</v>
      </c>
      <c r="AO817" t="s">
        <v>11153</v>
      </c>
      <c r="AQ817" t="s">
        <v>11157</v>
      </c>
      <c r="AS817" t="s">
        <v>11173</v>
      </c>
      <c r="AT817" t="s">
        <v>11184</v>
      </c>
      <c r="AU817">
        <v>0</v>
      </c>
      <c r="AW817" t="s">
        <v>3528</v>
      </c>
      <c r="AY817" t="s">
        <v>11213</v>
      </c>
      <c r="BA817" t="s">
        <v>11222</v>
      </c>
      <c r="BC817" t="s">
        <v>11164</v>
      </c>
      <c r="BD817" t="s">
        <v>11667</v>
      </c>
      <c r="BG817" t="s">
        <v>14546</v>
      </c>
      <c r="BM817" t="s">
        <v>15650</v>
      </c>
    </row>
    <row r="818" spans="1:65">
      <c r="A818" s="1">
        <f>HYPERLINK("https://lsnyc.legalserver.org/matter/dynamic-profile/view/1903977","19-1903977")</f>
        <v>0</v>
      </c>
      <c r="B818" t="s">
        <v>104</v>
      </c>
      <c r="C818" t="s">
        <v>248</v>
      </c>
      <c r="D818" t="s">
        <v>406</v>
      </c>
      <c r="F818" t="s">
        <v>1278</v>
      </c>
      <c r="G818" t="s">
        <v>3300</v>
      </c>
      <c r="H818" t="s">
        <v>5065</v>
      </c>
      <c r="I818" t="s">
        <v>6424</v>
      </c>
      <c r="J818" t="s">
        <v>7174</v>
      </c>
      <c r="K818">
        <v>11212</v>
      </c>
      <c r="N818" t="s">
        <v>7242</v>
      </c>
      <c r="O818" t="s">
        <v>7812</v>
      </c>
      <c r="P818">
        <v>3</v>
      </c>
      <c r="Q818">
        <v>2</v>
      </c>
      <c r="R818">
        <v>34.47</v>
      </c>
      <c r="U818">
        <v>10400</v>
      </c>
      <c r="W818">
        <v>18.5</v>
      </c>
      <c r="X818" t="s">
        <v>669</v>
      </c>
      <c r="Y818" t="s">
        <v>225</v>
      </c>
      <c r="AA818" t="s">
        <v>10974</v>
      </c>
      <c r="AB818" t="s">
        <v>575</v>
      </c>
      <c r="AD818" t="s">
        <v>11090</v>
      </c>
      <c r="AF818" t="s">
        <v>11123</v>
      </c>
      <c r="AH818" t="s">
        <v>10974</v>
      </c>
      <c r="AJ818" t="s">
        <v>11134</v>
      </c>
      <c r="AK818" t="s">
        <v>7225</v>
      </c>
      <c r="AM818">
        <v>588.1799999999999</v>
      </c>
      <c r="AO818">
        <v>8</v>
      </c>
      <c r="AQ818" t="s">
        <v>11157</v>
      </c>
      <c r="AS818" t="s">
        <v>11173</v>
      </c>
      <c r="AU818">
        <v>15</v>
      </c>
      <c r="AW818" t="s">
        <v>3528</v>
      </c>
      <c r="AY818" t="s">
        <v>11213</v>
      </c>
      <c r="BA818" t="s">
        <v>11222</v>
      </c>
      <c r="BC818" t="s">
        <v>11164</v>
      </c>
      <c r="BD818" t="s">
        <v>11667</v>
      </c>
      <c r="BF818" t="s">
        <v>14364</v>
      </c>
      <c r="BG818" t="s">
        <v>14547</v>
      </c>
      <c r="BM818" t="s">
        <v>15650</v>
      </c>
    </row>
    <row r="819" spans="1:65">
      <c r="A819" s="1">
        <f>HYPERLINK("https://lsnyc.legalserver.org/matter/dynamic-profile/view/1893454","19-1893454")</f>
        <v>0</v>
      </c>
      <c r="B819" t="s">
        <v>104</v>
      </c>
      <c r="C819" t="s">
        <v>248</v>
      </c>
      <c r="D819" t="s">
        <v>567</v>
      </c>
      <c r="F819" t="s">
        <v>1347</v>
      </c>
      <c r="G819" t="s">
        <v>3301</v>
      </c>
      <c r="H819" t="s">
        <v>5056</v>
      </c>
      <c r="J819" t="s">
        <v>7174</v>
      </c>
      <c r="K819">
        <v>11208</v>
      </c>
      <c r="N819" t="s">
        <v>7237</v>
      </c>
      <c r="O819" t="s">
        <v>7813</v>
      </c>
      <c r="P819">
        <v>1</v>
      </c>
      <c r="Q819">
        <v>0</v>
      </c>
      <c r="R819">
        <v>280.22</v>
      </c>
      <c r="S819" t="s">
        <v>844</v>
      </c>
      <c r="T819" t="s">
        <v>10276</v>
      </c>
      <c r="U819">
        <v>35000</v>
      </c>
      <c r="V819" t="s">
        <v>10342</v>
      </c>
      <c r="W819">
        <v>0</v>
      </c>
      <c r="Y819" t="s">
        <v>225</v>
      </c>
      <c r="AA819" t="s">
        <v>10974</v>
      </c>
      <c r="AB819" t="s">
        <v>400</v>
      </c>
      <c r="AD819" t="s">
        <v>11100</v>
      </c>
      <c r="AF819" t="s">
        <v>10384</v>
      </c>
      <c r="AH819" t="s">
        <v>10974</v>
      </c>
      <c r="AI819" t="s">
        <v>11126</v>
      </c>
      <c r="AK819" t="s">
        <v>7225</v>
      </c>
      <c r="AM819">
        <v>400</v>
      </c>
      <c r="AN819" t="s">
        <v>11151</v>
      </c>
      <c r="AO819" t="s">
        <v>11153</v>
      </c>
      <c r="AP819" t="s">
        <v>11155</v>
      </c>
      <c r="AR819" t="s">
        <v>11172</v>
      </c>
      <c r="AU819">
        <v>3</v>
      </c>
      <c r="AV819" t="s">
        <v>11186</v>
      </c>
      <c r="AY819" t="s">
        <v>11213</v>
      </c>
      <c r="AZ819" t="s">
        <v>11221</v>
      </c>
      <c r="BD819" t="s">
        <v>11667</v>
      </c>
      <c r="BF819" t="s">
        <v>14364</v>
      </c>
      <c r="BM819" t="s">
        <v>15650</v>
      </c>
    </row>
    <row r="820" spans="1:65">
      <c r="A820" s="1">
        <f>HYPERLINK("https://lsnyc.legalserver.org/matter/dynamic-profile/view/1833344","17-1833344")</f>
        <v>0</v>
      </c>
      <c r="B820" t="s">
        <v>104</v>
      </c>
      <c r="C820" t="s">
        <v>248</v>
      </c>
      <c r="D820" t="s">
        <v>580</v>
      </c>
      <c r="F820" t="s">
        <v>1529</v>
      </c>
      <c r="G820" t="s">
        <v>3302</v>
      </c>
      <c r="H820" t="s">
        <v>5062</v>
      </c>
      <c r="I820">
        <v>4</v>
      </c>
      <c r="J820" t="s">
        <v>7174</v>
      </c>
      <c r="K820">
        <v>11207</v>
      </c>
      <c r="N820" t="s">
        <v>7237</v>
      </c>
      <c r="O820" t="s">
        <v>7814</v>
      </c>
      <c r="P820">
        <v>3</v>
      </c>
      <c r="Q820">
        <v>1</v>
      </c>
      <c r="R820">
        <v>43.9</v>
      </c>
      <c r="U820">
        <v>10800</v>
      </c>
      <c r="W820">
        <v>2.2</v>
      </c>
      <c r="X820" t="s">
        <v>449</v>
      </c>
      <c r="Y820" t="s">
        <v>176</v>
      </c>
      <c r="AA820" t="s">
        <v>10974</v>
      </c>
      <c r="AB820" t="s">
        <v>348</v>
      </c>
      <c r="AC820" t="s">
        <v>11081</v>
      </c>
      <c r="AF820" t="s">
        <v>11118</v>
      </c>
      <c r="AH820" t="s">
        <v>10974</v>
      </c>
      <c r="AJ820" t="s">
        <v>11134</v>
      </c>
      <c r="AK820" t="s">
        <v>7225</v>
      </c>
      <c r="AM820">
        <v>1100</v>
      </c>
      <c r="AO820">
        <v>7</v>
      </c>
      <c r="AQ820" t="s">
        <v>11156</v>
      </c>
      <c r="AR820" t="s">
        <v>11172</v>
      </c>
      <c r="AU820">
        <v>3</v>
      </c>
      <c r="AW820" t="s">
        <v>11187</v>
      </c>
      <c r="AZ820" t="s">
        <v>11221</v>
      </c>
      <c r="BE820" t="s">
        <v>12154</v>
      </c>
      <c r="BF820" t="s">
        <v>14364</v>
      </c>
      <c r="BM820" t="s">
        <v>15650</v>
      </c>
    </row>
    <row r="821" spans="1:65">
      <c r="A821" s="1">
        <f>HYPERLINK("https://lsnyc.legalserver.org/matter/dynamic-profile/view/1915071","19-1915071")</f>
        <v>0</v>
      </c>
      <c r="B821" t="s">
        <v>104</v>
      </c>
      <c r="C821" t="s">
        <v>248</v>
      </c>
      <c r="D821" t="s">
        <v>264</v>
      </c>
      <c r="F821" t="s">
        <v>1493</v>
      </c>
      <c r="G821" t="s">
        <v>1937</v>
      </c>
      <c r="H821" t="s">
        <v>5053</v>
      </c>
      <c r="I821" t="s">
        <v>6495</v>
      </c>
      <c r="J821" t="s">
        <v>7174</v>
      </c>
      <c r="K821">
        <v>11212</v>
      </c>
      <c r="N821" t="s">
        <v>7237</v>
      </c>
      <c r="O821" t="s">
        <v>7810</v>
      </c>
      <c r="P821">
        <v>1</v>
      </c>
      <c r="Q821">
        <v>0</v>
      </c>
      <c r="R821">
        <v>520.42</v>
      </c>
      <c r="U821">
        <v>65000</v>
      </c>
      <c r="V821" t="s">
        <v>10343</v>
      </c>
      <c r="W821">
        <v>0</v>
      </c>
      <c r="Y821" t="s">
        <v>225</v>
      </c>
      <c r="AA821" t="s">
        <v>10974</v>
      </c>
      <c r="AB821" t="s">
        <v>297</v>
      </c>
      <c r="AD821" t="s">
        <v>11090</v>
      </c>
      <c r="AF821" t="s">
        <v>11123</v>
      </c>
      <c r="AH821" t="s">
        <v>10974</v>
      </c>
      <c r="AJ821" t="s">
        <v>11134</v>
      </c>
      <c r="AK821" t="s">
        <v>7225</v>
      </c>
      <c r="AM821">
        <v>789.73</v>
      </c>
      <c r="AO821">
        <v>19</v>
      </c>
      <c r="AQ821" t="s">
        <v>11157</v>
      </c>
      <c r="AS821" t="s">
        <v>11173</v>
      </c>
      <c r="AT821" t="s">
        <v>11184</v>
      </c>
      <c r="AU821">
        <v>0</v>
      </c>
      <c r="AW821" t="s">
        <v>11187</v>
      </c>
      <c r="AY821" t="s">
        <v>11213</v>
      </c>
      <c r="BA821" t="s">
        <v>11222</v>
      </c>
      <c r="BC821" t="s">
        <v>11228</v>
      </c>
      <c r="BE821" t="s">
        <v>12152</v>
      </c>
      <c r="BF821" t="s">
        <v>14364</v>
      </c>
      <c r="BG821" t="s">
        <v>14547</v>
      </c>
      <c r="BM821" t="s">
        <v>15650</v>
      </c>
    </row>
    <row r="822" spans="1:65">
      <c r="A822" s="1">
        <f>HYPERLINK("https://lsnyc.legalserver.org/matter/dynamic-profile/view/1913598","19-1913598")</f>
        <v>0</v>
      </c>
      <c r="B822" t="s">
        <v>104</v>
      </c>
      <c r="C822" t="s">
        <v>248</v>
      </c>
      <c r="D822" t="s">
        <v>293</v>
      </c>
      <c r="F822" t="s">
        <v>1456</v>
      </c>
      <c r="G822" t="s">
        <v>3291</v>
      </c>
      <c r="H822" t="s">
        <v>5063</v>
      </c>
      <c r="I822" t="s">
        <v>6466</v>
      </c>
      <c r="J822" t="s">
        <v>7174</v>
      </c>
      <c r="K822">
        <v>11238</v>
      </c>
      <c r="N822" t="s">
        <v>7237</v>
      </c>
      <c r="O822" t="s">
        <v>7799</v>
      </c>
      <c r="P822">
        <v>2</v>
      </c>
      <c r="Q822">
        <v>0</v>
      </c>
      <c r="R822">
        <v>4967.47</v>
      </c>
      <c r="U822">
        <v>840000</v>
      </c>
      <c r="W822">
        <v>0</v>
      </c>
      <c r="Y822" t="s">
        <v>101</v>
      </c>
      <c r="AA822" t="s">
        <v>10974</v>
      </c>
      <c r="AB822" t="s">
        <v>11003</v>
      </c>
      <c r="AD822" t="s">
        <v>11098</v>
      </c>
      <c r="AF822" t="s">
        <v>11122</v>
      </c>
      <c r="AH822" t="s">
        <v>10974</v>
      </c>
      <c r="AJ822" t="s">
        <v>11104</v>
      </c>
      <c r="AK822" t="s">
        <v>7225</v>
      </c>
      <c r="AM822">
        <v>1048.29</v>
      </c>
      <c r="AO822">
        <v>16</v>
      </c>
      <c r="AQ822" t="s">
        <v>11157</v>
      </c>
      <c r="AS822" t="s">
        <v>11173</v>
      </c>
      <c r="AT822" t="s">
        <v>11184</v>
      </c>
      <c r="AU822">
        <v>0</v>
      </c>
      <c r="AW822" t="s">
        <v>11187</v>
      </c>
      <c r="AY822" t="s">
        <v>11213</v>
      </c>
      <c r="BA822" t="s">
        <v>11222</v>
      </c>
      <c r="BC822" t="s">
        <v>11173</v>
      </c>
      <c r="BE822" t="s">
        <v>12141</v>
      </c>
      <c r="BF822" t="s">
        <v>14364</v>
      </c>
      <c r="BM822" t="s">
        <v>15650</v>
      </c>
    </row>
    <row r="823" spans="1:65">
      <c r="A823" s="1">
        <f>HYPERLINK("https://lsnyc.legalserver.org/matter/dynamic-profile/view/1907709","19-1907709")</f>
        <v>0</v>
      </c>
      <c r="B823" t="s">
        <v>104</v>
      </c>
      <c r="C823" t="s">
        <v>248</v>
      </c>
      <c r="D823" t="s">
        <v>544</v>
      </c>
      <c r="F823" t="s">
        <v>1521</v>
      </c>
      <c r="G823" t="s">
        <v>3292</v>
      </c>
      <c r="H823" t="s">
        <v>5063</v>
      </c>
      <c r="I823" t="s">
        <v>6413</v>
      </c>
      <c r="J823" t="s">
        <v>7174</v>
      </c>
      <c r="K823">
        <v>11238</v>
      </c>
      <c r="N823" t="s">
        <v>7237</v>
      </c>
      <c r="O823" t="s">
        <v>7801</v>
      </c>
      <c r="P823">
        <v>1</v>
      </c>
      <c r="Q823">
        <v>1</v>
      </c>
      <c r="R823">
        <v>40.73</v>
      </c>
      <c r="U823">
        <v>6888</v>
      </c>
      <c r="W823">
        <v>2.5</v>
      </c>
      <c r="X823" t="s">
        <v>384</v>
      </c>
      <c r="Y823" t="s">
        <v>225</v>
      </c>
      <c r="AA823" t="s">
        <v>10974</v>
      </c>
      <c r="AB823" t="s">
        <v>544</v>
      </c>
      <c r="AD823" t="s">
        <v>11100</v>
      </c>
      <c r="AF823" t="s">
        <v>10384</v>
      </c>
      <c r="AH823" t="s">
        <v>10975</v>
      </c>
      <c r="AJ823" t="s">
        <v>11129</v>
      </c>
      <c r="AK823" t="s">
        <v>7225</v>
      </c>
      <c r="AM823">
        <v>1266.98</v>
      </c>
      <c r="AO823">
        <v>16</v>
      </c>
      <c r="AQ823" t="s">
        <v>11157</v>
      </c>
      <c r="AS823" t="s">
        <v>11180</v>
      </c>
      <c r="AT823" t="s">
        <v>11184</v>
      </c>
      <c r="AU823">
        <v>0</v>
      </c>
      <c r="AW823" t="s">
        <v>11187</v>
      </c>
      <c r="AY823" t="s">
        <v>11213</v>
      </c>
      <c r="BA823" t="s">
        <v>11223</v>
      </c>
      <c r="BC823" t="s">
        <v>11282</v>
      </c>
      <c r="BE823" t="s">
        <v>12143</v>
      </c>
      <c r="BF823" t="s">
        <v>14364</v>
      </c>
      <c r="BG823" t="s">
        <v>11173</v>
      </c>
      <c r="BM823" t="s">
        <v>15650</v>
      </c>
    </row>
    <row r="824" spans="1:65">
      <c r="A824" s="1">
        <f>HYPERLINK("https://lsnyc.legalserver.org/matter/dynamic-profile/view/1913614","19-1913614")</f>
        <v>0</v>
      </c>
      <c r="B824" t="s">
        <v>104</v>
      </c>
      <c r="C824" t="s">
        <v>248</v>
      </c>
      <c r="D824" t="s">
        <v>293</v>
      </c>
      <c r="F824" t="s">
        <v>1456</v>
      </c>
      <c r="G824" t="s">
        <v>3291</v>
      </c>
      <c r="H824" t="s">
        <v>5063</v>
      </c>
      <c r="I824" t="s">
        <v>6466</v>
      </c>
      <c r="J824" t="s">
        <v>7174</v>
      </c>
      <c r="K824">
        <v>11238</v>
      </c>
      <c r="N824" t="s">
        <v>7237</v>
      </c>
      <c r="O824" t="s">
        <v>7799</v>
      </c>
      <c r="P824">
        <v>2</v>
      </c>
      <c r="Q824">
        <v>0</v>
      </c>
      <c r="R824">
        <v>4967.47</v>
      </c>
      <c r="U824">
        <v>840000</v>
      </c>
      <c r="V824" t="s">
        <v>10338</v>
      </c>
      <c r="W824">
        <v>0</v>
      </c>
      <c r="Y824" t="s">
        <v>101</v>
      </c>
      <c r="AA824" t="s">
        <v>10974</v>
      </c>
      <c r="AB824" t="s">
        <v>11006</v>
      </c>
      <c r="AD824" t="s">
        <v>11101</v>
      </c>
      <c r="AF824" t="s">
        <v>11118</v>
      </c>
      <c r="AH824" t="s">
        <v>10974</v>
      </c>
      <c r="AJ824" t="s">
        <v>11104</v>
      </c>
      <c r="AK824" t="s">
        <v>7225</v>
      </c>
      <c r="AM824">
        <v>1048.29</v>
      </c>
      <c r="AO824">
        <v>16</v>
      </c>
      <c r="AQ824" t="s">
        <v>11157</v>
      </c>
      <c r="AS824" t="s">
        <v>11173</v>
      </c>
      <c r="AT824" t="s">
        <v>11184</v>
      </c>
      <c r="AU824">
        <v>0</v>
      </c>
      <c r="AW824" t="s">
        <v>11187</v>
      </c>
      <c r="AY824" t="s">
        <v>11213</v>
      </c>
      <c r="BA824" t="s">
        <v>11222</v>
      </c>
      <c r="BC824" t="s">
        <v>11173</v>
      </c>
      <c r="BE824" t="s">
        <v>12141</v>
      </c>
      <c r="BF824" t="s">
        <v>14364</v>
      </c>
      <c r="BM824" t="s">
        <v>15650</v>
      </c>
    </row>
    <row r="825" spans="1:65">
      <c r="A825" s="1">
        <f>HYPERLINK("https://lsnyc.legalserver.org/matter/dynamic-profile/view/1848024","17-1848024")</f>
        <v>0</v>
      </c>
      <c r="B825" t="s">
        <v>104</v>
      </c>
      <c r="C825" t="s">
        <v>248</v>
      </c>
      <c r="D825" t="s">
        <v>581</v>
      </c>
      <c r="F825" t="s">
        <v>1424</v>
      </c>
      <c r="G825" t="s">
        <v>3190</v>
      </c>
      <c r="H825" t="s">
        <v>5062</v>
      </c>
      <c r="I825">
        <v>5</v>
      </c>
      <c r="J825" t="s">
        <v>7174</v>
      </c>
      <c r="K825">
        <v>11207</v>
      </c>
      <c r="N825" t="s">
        <v>7237</v>
      </c>
      <c r="O825" t="s">
        <v>7316</v>
      </c>
      <c r="P825">
        <v>3</v>
      </c>
      <c r="Q825">
        <v>0</v>
      </c>
      <c r="R825">
        <v>0</v>
      </c>
      <c r="U825">
        <v>0</v>
      </c>
      <c r="W825">
        <v>0.7</v>
      </c>
      <c r="X825" t="s">
        <v>449</v>
      </c>
      <c r="Y825" t="s">
        <v>225</v>
      </c>
      <c r="AA825" t="s">
        <v>10974</v>
      </c>
      <c r="AB825" t="s">
        <v>1011</v>
      </c>
      <c r="AD825" t="s">
        <v>11100</v>
      </c>
      <c r="AF825" t="s">
        <v>10384</v>
      </c>
      <c r="AH825" t="s">
        <v>10974</v>
      </c>
      <c r="AJ825" t="s">
        <v>11131</v>
      </c>
      <c r="AK825" t="s">
        <v>7225</v>
      </c>
      <c r="AM825">
        <v>500</v>
      </c>
      <c r="AO825">
        <v>7</v>
      </c>
      <c r="AQ825" t="s">
        <v>11156</v>
      </c>
      <c r="AS825" t="s">
        <v>11173</v>
      </c>
      <c r="AT825" t="s">
        <v>11184</v>
      </c>
      <c r="AU825">
        <v>0</v>
      </c>
      <c r="AV825" t="s">
        <v>11186</v>
      </c>
      <c r="AZ825" t="s">
        <v>11221</v>
      </c>
      <c r="BD825" t="s">
        <v>11667</v>
      </c>
      <c r="BF825" t="s">
        <v>14364</v>
      </c>
      <c r="BM825" t="s">
        <v>15650</v>
      </c>
    </row>
    <row r="826" spans="1:65">
      <c r="A826" s="1">
        <f>HYPERLINK("https://lsnyc.legalserver.org/matter/dynamic-profile/view/1913594","19-1913594")</f>
        <v>0</v>
      </c>
      <c r="B826" t="s">
        <v>104</v>
      </c>
      <c r="C826" t="s">
        <v>248</v>
      </c>
      <c r="D826" t="s">
        <v>293</v>
      </c>
      <c r="F826" t="s">
        <v>1521</v>
      </c>
      <c r="G826" t="s">
        <v>3292</v>
      </c>
      <c r="H826" t="s">
        <v>5063</v>
      </c>
      <c r="I826" t="s">
        <v>6413</v>
      </c>
      <c r="J826" t="s">
        <v>7174</v>
      </c>
      <c r="K826">
        <v>11238</v>
      </c>
      <c r="N826" t="s">
        <v>7237</v>
      </c>
      <c r="O826" t="s">
        <v>7801</v>
      </c>
      <c r="P826">
        <v>1</v>
      </c>
      <c r="Q826">
        <v>1</v>
      </c>
      <c r="R826">
        <v>40.73</v>
      </c>
      <c r="U826">
        <v>6888</v>
      </c>
      <c r="V826" t="s">
        <v>10338</v>
      </c>
      <c r="W826">
        <v>0</v>
      </c>
      <c r="Y826" t="s">
        <v>101</v>
      </c>
      <c r="AA826" t="s">
        <v>10974</v>
      </c>
      <c r="AB826" t="s">
        <v>11003</v>
      </c>
      <c r="AD826" t="s">
        <v>11101</v>
      </c>
      <c r="AF826" t="s">
        <v>11118</v>
      </c>
      <c r="AH826" t="s">
        <v>10974</v>
      </c>
      <c r="AJ826" t="s">
        <v>11129</v>
      </c>
      <c r="AK826" t="s">
        <v>7225</v>
      </c>
      <c r="AL826" t="s">
        <v>11150</v>
      </c>
      <c r="AM826">
        <v>0</v>
      </c>
      <c r="AO826">
        <v>16</v>
      </c>
      <c r="AQ826" t="s">
        <v>11157</v>
      </c>
      <c r="AS826" t="s">
        <v>11180</v>
      </c>
      <c r="AT826" t="s">
        <v>11184</v>
      </c>
      <c r="AU826">
        <v>0</v>
      </c>
      <c r="AW826" t="s">
        <v>11187</v>
      </c>
      <c r="AY826" t="s">
        <v>11213</v>
      </c>
      <c r="BA826" t="s">
        <v>11222</v>
      </c>
      <c r="BC826" t="s">
        <v>11282</v>
      </c>
      <c r="BE826" t="s">
        <v>12143</v>
      </c>
      <c r="BF826" t="s">
        <v>14364</v>
      </c>
      <c r="BM826" t="s">
        <v>15650</v>
      </c>
    </row>
    <row r="827" spans="1:65">
      <c r="A827" s="1">
        <f>HYPERLINK("https://lsnyc.legalserver.org/matter/dynamic-profile/view/1913589","19-1913589")</f>
        <v>0</v>
      </c>
      <c r="B827" t="s">
        <v>104</v>
      </c>
      <c r="C827" t="s">
        <v>248</v>
      </c>
      <c r="D827" t="s">
        <v>293</v>
      </c>
      <c r="F827" t="s">
        <v>1521</v>
      </c>
      <c r="G827" t="s">
        <v>3292</v>
      </c>
      <c r="H827" t="s">
        <v>5063</v>
      </c>
      <c r="I827" t="s">
        <v>6413</v>
      </c>
      <c r="J827" t="s">
        <v>7174</v>
      </c>
      <c r="K827">
        <v>11238</v>
      </c>
      <c r="N827" t="s">
        <v>7237</v>
      </c>
      <c r="O827" t="s">
        <v>7801</v>
      </c>
      <c r="P827">
        <v>1</v>
      </c>
      <c r="Q827">
        <v>1</v>
      </c>
      <c r="R827">
        <v>40.73</v>
      </c>
      <c r="U827">
        <v>6888</v>
      </c>
      <c r="V827" t="s">
        <v>10344</v>
      </c>
      <c r="W827">
        <v>0</v>
      </c>
      <c r="Y827" t="s">
        <v>101</v>
      </c>
      <c r="AA827" t="s">
        <v>10974</v>
      </c>
      <c r="AB827" t="s">
        <v>11003</v>
      </c>
      <c r="AD827" t="s">
        <v>11098</v>
      </c>
      <c r="AF827" t="s">
        <v>11122</v>
      </c>
      <c r="AH827" t="s">
        <v>10974</v>
      </c>
      <c r="AJ827" t="s">
        <v>11129</v>
      </c>
      <c r="AK827" t="s">
        <v>7225</v>
      </c>
      <c r="AL827" t="s">
        <v>11150</v>
      </c>
      <c r="AM827">
        <v>0</v>
      </c>
      <c r="AO827">
        <v>16</v>
      </c>
      <c r="AQ827" t="s">
        <v>11157</v>
      </c>
      <c r="AS827" t="s">
        <v>11180</v>
      </c>
      <c r="AT827" t="s">
        <v>11184</v>
      </c>
      <c r="AU827">
        <v>0</v>
      </c>
      <c r="AW827" t="s">
        <v>11187</v>
      </c>
      <c r="AY827" t="s">
        <v>11213</v>
      </c>
      <c r="BA827" t="s">
        <v>11222</v>
      </c>
      <c r="BC827" t="s">
        <v>11282</v>
      </c>
      <c r="BE827" t="s">
        <v>12143</v>
      </c>
      <c r="BF827" t="s">
        <v>14364</v>
      </c>
      <c r="BG827" t="s">
        <v>11228</v>
      </c>
      <c r="BM827" t="s">
        <v>15650</v>
      </c>
    </row>
    <row r="828" spans="1:65">
      <c r="A828" s="1">
        <f>HYPERLINK("https://lsnyc.legalserver.org/matter/dynamic-profile/view/1913622","19-1913622")</f>
        <v>0</v>
      </c>
      <c r="B828" t="s">
        <v>104</v>
      </c>
      <c r="C828" t="s">
        <v>248</v>
      </c>
      <c r="D828" t="s">
        <v>293</v>
      </c>
      <c r="F828" t="s">
        <v>1526</v>
      </c>
      <c r="G828" t="s">
        <v>2913</v>
      </c>
      <c r="H828" t="s">
        <v>5063</v>
      </c>
      <c r="I828" t="s">
        <v>6419</v>
      </c>
      <c r="J828" t="s">
        <v>7174</v>
      </c>
      <c r="K828">
        <v>11238</v>
      </c>
      <c r="N828" t="s">
        <v>7237</v>
      </c>
      <c r="O828" t="s">
        <v>7808</v>
      </c>
      <c r="P828">
        <v>2</v>
      </c>
      <c r="Q828">
        <v>2</v>
      </c>
      <c r="R828">
        <v>182.52</v>
      </c>
      <c r="U828">
        <v>47000</v>
      </c>
      <c r="V828" t="s">
        <v>10331</v>
      </c>
      <c r="W828">
        <v>0</v>
      </c>
      <c r="Y828" t="s">
        <v>101</v>
      </c>
      <c r="AA828" t="s">
        <v>10974</v>
      </c>
      <c r="AB828" t="s">
        <v>293</v>
      </c>
      <c r="AD828" t="s">
        <v>11100</v>
      </c>
      <c r="AF828" t="s">
        <v>10384</v>
      </c>
      <c r="AH828" t="s">
        <v>10974</v>
      </c>
      <c r="AJ828" t="s">
        <v>11104</v>
      </c>
      <c r="AK828" t="s">
        <v>7225</v>
      </c>
      <c r="AM828">
        <v>983.4400000000001</v>
      </c>
      <c r="AO828">
        <v>16</v>
      </c>
      <c r="AQ828" t="s">
        <v>11157</v>
      </c>
      <c r="AS828" t="s">
        <v>11173</v>
      </c>
      <c r="AU828">
        <v>13</v>
      </c>
      <c r="AW828" t="s">
        <v>11187</v>
      </c>
      <c r="AY828" t="s">
        <v>11213</v>
      </c>
      <c r="BA828" t="s">
        <v>11222</v>
      </c>
      <c r="BC828" t="s">
        <v>11173</v>
      </c>
      <c r="BE828" t="s">
        <v>12150</v>
      </c>
      <c r="BF828" t="s">
        <v>14364</v>
      </c>
      <c r="BG828" t="s">
        <v>11086</v>
      </c>
      <c r="BM828" t="s">
        <v>15650</v>
      </c>
    </row>
    <row r="829" spans="1:65">
      <c r="A829" s="1">
        <f>HYPERLINK("https://lsnyc.legalserver.org/matter/dynamic-profile/view/1913628","19-1913628")</f>
        <v>0</v>
      </c>
      <c r="B829" t="s">
        <v>104</v>
      </c>
      <c r="C829" t="s">
        <v>248</v>
      </c>
      <c r="D829" t="s">
        <v>293</v>
      </c>
      <c r="F829" t="s">
        <v>1526</v>
      </c>
      <c r="G829" t="s">
        <v>2913</v>
      </c>
      <c r="H829" t="s">
        <v>5063</v>
      </c>
      <c r="I829" t="s">
        <v>6419</v>
      </c>
      <c r="J829" t="s">
        <v>7174</v>
      </c>
      <c r="K829">
        <v>11238</v>
      </c>
      <c r="N829" t="s">
        <v>7237</v>
      </c>
      <c r="O829" t="s">
        <v>7808</v>
      </c>
      <c r="P829">
        <v>2</v>
      </c>
      <c r="Q829">
        <v>2</v>
      </c>
      <c r="R829">
        <v>182.52</v>
      </c>
      <c r="U829">
        <v>47000</v>
      </c>
      <c r="V829" t="s">
        <v>10344</v>
      </c>
      <c r="W829">
        <v>0</v>
      </c>
      <c r="Y829" t="s">
        <v>101</v>
      </c>
      <c r="AA829" t="s">
        <v>10974</v>
      </c>
      <c r="AB829" t="s">
        <v>11003</v>
      </c>
      <c r="AD829" t="s">
        <v>11098</v>
      </c>
      <c r="AF829" t="s">
        <v>11122</v>
      </c>
      <c r="AH829" t="s">
        <v>10974</v>
      </c>
      <c r="AJ829" t="s">
        <v>11104</v>
      </c>
      <c r="AK829" t="s">
        <v>7225</v>
      </c>
      <c r="AM829">
        <v>983.4400000000001</v>
      </c>
      <c r="AO829">
        <v>16</v>
      </c>
      <c r="AQ829" t="s">
        <v>11157</v>
      </c>
      <c r="AS829" t="s">
        <v>11173</v>
      </c>
      <c r="AU829">
        <v>13</v>
      </c>
      <c r="AW829" t="s">
        <v>11187</v>
      </c>
      <c r="AY829" t="s">
        <v>11213</v>
      </c>
      <c r="BA829" t="s">
        <v>11222</v>
      </c>
      <c r="BC829" t="s">
        <v>11173</v>
      </c>
      <c r="BE829" t="s">
        <v>12150</v>
      </c>
      <c r="BF829" t="s">
        <v>14364</v>
      </c>
      <c r="BM829" t="s">
        <v>15650</v>
      </c>
    </row>
    <row r="830" spans="1:65">
      <c r="A830" s="1">
        <f>HYPERLINK("https://lsnyc.legalserver.org/matter/dynamic-profile/view/1882209","18-1882209")</f>
        <v>0</v>
      </c>
      <c r="B830" t="s">
        <v>104</v>
      </c>
      <c r="C830" t="s">
        <v>248</v>
      </c>
      <c r="D830" t="s">
        <v>569</v>
      </c>
      <c r="F830" t="s">
        <v>1530</v>
      </c>
      <c r="G830" t="s">
        <v>3295</v>
      </c>
      <c r="H830" t="s">
        <v>5059</v>
      </c>
      <c r="I830" t="s">
        <v>6426</v>
      </c>
      <c r="J830" t="s">
        <v>7174</v>
      </c>
      <c r="K830">
        <v>11233</v>
      </c>
      <c r="N830" t="s">
        <v>7237</v>
      </c>
      <c r="O830" t="s">
        <v>7815</v>
      </c>
      <c r="P830">
        <v>1</v>
      </c>
      <c r="Q830">
        <v>1</v>
      </c>
      <c r="R830">
        <v>172.67</v>
      </c>
      <c r="U830">
        <v>28422.12</v>
      </c>
      <c r="V830" t="s">
        <v>10345</v>
      </c>
      <c r="W830">
        <v>1</v>
      </c>
      <c r="X830" t="s">
        <v>312</v>
      </c>
      <c r="Y830" t="s">
        <v>225</v>
      </c>
      <c r="AA830" t="s">
        <v>10974</v>
      </c>
      <c r="AB830" t="s">
        <v>10827</v>
      </c>
      <c r="AD830" t="s">
        <v>11100</v>
      </c>
      <c r="AF830" t="s">
        <v>10384</v>
      </c>
      <c r="AH830" t="s">
        <v>10974</v>
      </c>
      <c r="AJ830" t="s">
        <v>11129</v>
      </c>
      <c r="AK830" t="s">
        <v>7225</v>
      </c>
      <c r="AM830">
        <v>1500</v>
      </c>
      <c r="AO830">
        <v>6</v>
      </c>
      <c r="AQ830" t="s">
        <v>11157</v>
      </c>
      <c r="AR830" t="s">
        <v>11172</v>
      </c>
      <c r="AU830">
        <v>1</v>
      </c>
      <c r="AW830" t="s">
        <v>11187</v>
      </c>
      <c r="AY830" t="s">
        <v>11213</v>
      </c>
      <c r="AZ830" t="s">
        <v>11221</v>
      </c>
      <c r="BE830" t="s">
        <v>12155</v>
      </c>
      <c r="BF830" t="s">
        <v>14364</v>
      </c>
      <c r="BM830" t="s">
        <v>15650</v>
      </c>
    </row>
    <row r="831" spans="1:65">
      <c r="A831" s="1">
        <f>HYPERLINK("https://lsnyc.legalserver.org/matter/dynamic-profile/view/1901259","19-1901259")</f>
        <v>0</v>
      </c>
      <c r="B831" t="s">
        <v>105</v>
      </c>
      <c r="C831" t="s">
        <v>248</v>
      </c>
      <c r="D831" t="s">
        <v>287</v>
      </c>
      <c r="F831" t="s">
        <v>1519</v>
      </c>
      <c r="G831" t="s">
        <v>3303</v>
      </c>
      <c r="H831" t="s">
        <v>5066</v>
      </c>
      <c r="I831" t="s">
        <v>6433</v>
      </c>
      <c r="J831" t="s">
        <v>7174</v>
      </c>
      <c r="K831">
        <v>11226</v>
      </c>
      <c r="N831" t="s">
        <v>7237</v>
      </c>
      <c r="O831" t="s">
        <v>7816</v>
      </c>
      <c r="P831">
        <v>2</v>
      </c>
      <c r="Q831">
        <v>0</v>
      </c>
      <c r="R831">
        <v>236.55</v>
      </c>
      <c r="U831">
        <v>40000</v>
      </c>
      <c r="W831">
        <v>4.9</v>
      </c>
      <c r="X831" t="s">
        <v>635</v>
      </c>
      <c r="Y831" t="s">
        <v>81</v>
      </c>
      <c r="AA831" t="s">
        <v>10974</v>
      </c>
      <c r="AB831" t="s">
        <v>287</v>
      </c>
      <c r="AC831" t="s">
        <v>11081</v>
      </c>
      <c r="AF831" t="s">
        <v>11120</v>
      </c>
      <c r="AH831" t="s">
        <v>10974</v>
      </c>
      <c r="AI831" t="s">
        <v>11126</v>
      </c>
      <c r="AK831" t="s">
        <v>7225</v>
      </c>
      <c r="AM831">
        <v>916</v>
      </c>
      <c r="AN831" t="s">
        <v>11151</v>
      </c>
      <c r="AO831" t="s">
        <v>11153</v>
      </c>
      <c r="AP831" t="s">
        <v>11155</v>
      </c>
      <c r="AR831" t="s">
        <v>11172</v>
      </c>
      <c r="AT831" t="s">
        <v>11184</v>
      </c>
      <c r="AU831">
        <v>0</v>
      </c>
      <c r="AW831" t="s">
        <v>11187</v>
      </c>
      <c r="BA831" t="s">
        <v>11222</v>
      </c>
      <c r="BD831" t="s">
        <v>11667</v>
      </c>
      <c r="BF831" t="s">
        <v>14364</v>
      </c>
      <c r="BM831" t="s">
        <v>15650</v>
      </c>
    </row>
    <row r="832" spans="1:65">
      <c r="A832" s="1">
        <f>HYPERLINK("https://lsnyc.legalserver.org/matter/dynamic-profile/view/1896213","19-1896213")</f>
        <v>0</v>
      </c>
      <c r="B832" t="s">
        <v>105</v>
      </c>
      <c r="C832" t="s">
        <v>248</v>
      </c>
      <c r="D832" t="s">
        <v>445</v>
      </c>
      <c r="F832" t="s">
        <v>1157</v>
      </c>
      <c r="G832" t="s">
        <v>3304</v>
      </c>
      <c r="H832" t="s">
        <v>5067</v>
      </c>
      <c r="I832" t="s">
        <v>6491</v>
      </c>
      <c r="J832" t="s">
        <v>7174</v>
      </c>
      <c r="K832">
        <v>11217</v>
      </c>
      <c r="N832" t="s">
        <v>7237</v>
      </c>
      <c r="O832" t="s">
        <v>7817</v>
      </c>
      <c r="P832">
        <v>1</v>
      </c>
      <c r="Q832">
        <v>0</v>
      </c>
      <c r="R832">
        <v>0</v>
      </c>
      <c r="U832">
        <v>0</v>
      </c>
      <c r="V832" t="s">
        <v>10346</v>
      </c>
      <c r="W832">
        <v>28.8</v>
      </c>
      <c r="X832" t="s">
        <v>1010</v>
      </c>
      <c r="Y832" t="s">
        <v>212</v>
      </c>
      <c r="AA832" t="s">
        <v>10974</v>
      </c>
      <c r="AB832" t="s">
        <v>445</v>
      </c>
      <c r="AD832" t="s">
        <v>11082</v>
      </c>
      <c r="AF832" t="s">
        <v>11118</v>
      </c>
      <c r="AG832" t="s">
        <v>11124</v>
      </c>
      <c r="AI832" t="s">
        <v>11126</v>
      </c>
      <c r="AK832" t="s">
        <v>7225</v>
      </c>
      <c r="AL832" t="s">
        <v>11150</v>
      </c>
      <c r="AM832">
        <v>0</v>
      </c>
      <c r="AN832" t="s">
        <v>11151</v>
      </c>
      <c r="AO832" t="s">
        <v>11153</v>
      </c>
      <c r="AQ832" t="s">
        <v>11157</v>
      </c>
      <c r="AS832" t="s">
        <v>11174</v>
      </c>
      <c r="AT832" t="s">
        <v>11184</v>
      </c>
      <c r="AU832">
        <v>0</v>
      </c>
      <c r="AW832" t="s">
        <v>11187</v>
      </c>
      <c r="BA832" t="s">
        <v>11223</v>
      </c>
      <c r="BB832" t="s">
        <v>11224</v>
      </c>
      <c r="BC832" t="s">
        <v>11284</v>
      </c>
      <c r="BE832" t="s">
        <v>12156</v>
      </c>
      <c r="BF832" t="s">
        <v>14364</v>
      </c>
      <c r="BM832" t="s">
        <v>15650</v>
      </c>
    </row>
    <row r="833" spans="1:65">
      <c r="A833" s="1">
        <f>HYPERLINK("https://lsnyc.legalserver.org/matter/dynamic-profile/view/1906258","19-1906258")</f>
        <v>0</v>
      </c>
      <c r="B833" t="s">
        <v>105</v>
      </c>
      <c r="C833" t="s">
        <v>248</v>
      </c>
      <c r="D833" t="s">
        <v>560</v>
      </c>
      <c r="F833" t="s">
        <v>1531</v>
      </c>
      <c r="G833" t="s">
        <v>3305</v>
      </c>
      <c r="H833" t="s">
        <v>5068</v>
      </c>
      <c r="I833">
        <v>6</v>
      </c>
      <c r="J833" t="s">
        <v>7174</v>
      </c>
      <c r="K833">
        <v>11230</v>
      </c>
      <c r="N833" t="s">
        <v>7237</v>
      </c>
      <c r="O833" t="s">
        <v>7818</v>
      </c>
      <c r="P833">
        <v>2</v>
      </c>
      <c r="Q833">
        <v>1</v>
      </c>
      <c r="R833">
        <v>216.6</v>
      </c>
      <c r="S833" t="s">
        <v>568</v>
      </c>
      <c r="T833" t="s">
        <v>10276</v>
      </c>
      <c r="U833">
        <v>46200</v>
      </c>
      <c r="W833">
        <v>15.2</v>
      </c>
      <c r="X833" t="s">
        <v>345</v>
      </c>
      <c r="Y833" t="s">
        <v>81</v>
      </c>
      <c r="AA833" t="s">
        <v>10974</v>
      </c>
      <c r="AB833" t="s">
        <v>560</v>
      </c>
      <c r="AD833" t="s">
        <v>11101</v>
      </c>
      <c r="AF833" t="s">
        <v>11118</v>
      </c>
      <c r="AH833" t="s">
        <v>10975</v>
      </c>
      <c r="AI833" t="s">
        <v>11126</v>
      </c>
      <c r="AK833" t="s">
        <v>7225</v>
      </c>
      <c r="AL833" t="s">
        <v>11150</v>
      </c>
      <c r="AM833">
        <v>0</v>
      </c>
      <c r="AO833">
        <v>6</v>
      </c>
      <c r="AQ833" t="s">
        <v>11157</v>
      </c>
      <c r="AR833" t="s">
        <v>11172</v>
      </c>
      <c r="AT833" t="s">
        <v>11184</v>
      </c>
      <c r="AU833">
        <v>0</v>
      </c>
      <c r="AW833" t="s">
        <v>11189</v>
      </c>
      <c r="BA833" t="s">
        <v>11222</v>
      </c>
      <c r="BE833" t="s">
        <v>12157</v>
      </c>
      <c r="BF833" t="s">
        <v>14364</v>
      </c>
      <c r="BM833" t="s">
        <v>15650</v>
      </c>
    </row>
    <row r="834" spans="1:65">
      <c r="A834" s="1">
        <f>HYPERLINK("https://lsnyc.legalserver.org/matter/dynamic-profile/view/1896393","19-1896393")</f>
        <v>0</v>
      </c>
      <c r="B834" t="s">
        <v>105</v>
      </c>
      <c r="C834" t="s">
        <v>248</v>
      </c>
      <c r="D834" t="s">
        <v>412</v>
      </c>
      <c r="F834" t="s">
        <v>1532</v>
      </c>
      <c r="G834" t="s">
        <v>3306</v>
      </c>
      <c r="H834" t="s">
        <v>5069</v>
      </c>
      <c r="I834">
        <v>2</v>
      </c>
      <c r="J834" t="s">
        <v>7174</v>
      </c>
      <c r="K834">
        <v>11226</v>
      </c>
      <c r="N834" t="s">
        <v>7237</v>
      </c>
      <c r="O834" t="s">
        <v>7819</v>
      </c>
      <c r="P834">
        <v>1</v>
      </c>
      <c r="Q834">
        <v>0</v>
      </c>
      <c r="R834">
        <v>72.06</v>
      </c>
      <c r="U834">
        <v>9000</v>
      </c>
      <c r="W834">
        <v>0.6</v>
      </c>
      <c r="X834" t="s">
        <v>447</v>
      </c>
      <c r="Y834" t="s">
        <v>212</v>
      </c>
      <c r="AA834" t="s">
        <v>10974</v>
      </c>
      <c r="AB834" t="s">
        <v>412</v>
      </c>
      <c r="AD834" t="s">
        <v>11101</v>
      </c>
      <c r="AF834" t="s">
        <v>11119</v>
      </c>
      <c r="AH834" t="s">
        <v>10974</v>
      </c>
      <c r="AI834" t="s">
        <v>11126</v>
      </c>
      <c r="AK834" t="s">
        <v>7225</v>
      </c>
      <c r="AL834" t="s">
        <v>11150</v>
      </c>
      <c r="AM834">
        <v>0</v>
      </c>
      <c r="AN834" t="s">
        <v>11151</v>
      </c>
      <c r="AO834" t="s">
        <v>11153</v>
      </c>
      <c r="AP834" t="s">
        <v>11155</v>
      </c>
      <c r="AR834" t="s">
        <v>11172</v>
      </c>
      <c r="AT834" t="s">
        <v>11184</v>
      </c>
      <c r="AU834">
        <v>0</v>
      </c>
      <c r="AW834" t="s">
        <v>11187</v>
      </c>
      <c r="AZ834" t="s">
        <v>11221</v>
      </c>
      <c r="BD834" t="s">
        <v>11667</v>
      </c>
      <c r="BF834" t="s">
        <v>14364</v>
      </c>
      <c r="BM834" t="s">
        <v>15650</v>
      </c>
    </row>
    <row r="835" spans="1:65">
      <c r="A835" s="1">
        <f>HYPERLINK("https://lsnyc.legalserver.org/matter/dynamic-profile/view/1896386","19-1896386")</f>
        <v>0</v>
      </c>
      <c r="B835" t="s">
        <v>105</v>
      </c>
      <c r="C835" t="s">
        <v>248</v>
      </c>
      <c r="D835" t="s">
        <v>412</v>
      </c>
      <c r="F835" t="s">
        <v>1533</v>
      </c>
      <c r="G835" t="s">
        <v>2443</v>
      </c>
      <c r="H835" t="s">
        <v>5069</v>
      </c>
      <c r="I835">
        <v>8</v>
      </c>
      <c r="J835" t="s">
        <v>7174</v>
      </c>
      <c r="K835">
        <v>11226</v>
      </c>
      <c r="N835" t="s">
        <v>7237</v>
      </c>
      <c r="O835" t="s">
        <v>7772</v>
      </c>
      <c r="P835">
        <v>2</v>
      </c>
      <c r="Q835">
        <v>1</v>
      </c>
      <c r="R835">
        <v>0</v>
      </c>
      <c r="U835">
        <v>0</v>
      </c>
      <c r="W835">
        <v>0.7</v>
      </c>
      <c r="X835" t="s">
        <v>447</v>
      </c>
      <c r="Y835" t="s">
        <v>212</v>
      </c>
      <c r="AA835" t="s">
        <v>10974</v>
      </c>
      <c r="AB835" t="s">
        <v>295</v>
      </c>
      <c r="AD835" t="s">
        <v>11101</v>
      </c>
      <c r="AF835" t="s">
        <v>10384</v>
      </c>
      <c r="AH835" t="s">
        <v>10974</v>
      </c>
      <c r="AI835" t="s">
        <v>11126</v>
      </c>
      <c r="AK835" t="s">
        <v>7225</v>
      </c>
      <c r="AL835" t="s">
        <v>11150</v>
      </c>
      <c r="AM835">
        <v>0</v>
      </c>
      <c r="AN835" t="s">
        <v>11151</v>
      </c>
      <c r="AO835" t="s">
        <v>11153</v>
      </c>
      <c r="AP835" t="s">
        <v>11155</v>
      </c>
      <c r="AR835" t="s">
        <v>11172</v>
      </c>
      <c r="AT835" t="s">
        <v>11184</v>
      </c>
      <c r="AU835">
        <v>0</v>
      </c>
      <c r="AW835" t="s">
        <v>11187</v>
      </c>
      <c r="AZ835" t="s">
        <v>11221</v>
      </c>
      <c r="BD835" t="s">
        <v>11667</v>
      </c>
      <c r="BF835" t="s">
        <v>14364</v>
      </c>
      <c r="BM835" t="s">
        <v>15650</v>
      </c>
    </row>
    <row r="836" spans="1:65">
      <c r="A836" s="1">
        <f>HYPERLINK("https://lsnyc.legalserver.org/matter/dynamic-profile/view/1895830","19-1895830")</f>
        <v>0</v>
      </c>
      <c r="B836" t="s">
        <v>105</v>
      </c>
      <c r="C836" t="s">
        <v>248</v>
      </c>
      <c r="D836" t="s">
        <v>557</v>
      </c>
      <c r="F836" t="s">
        <v>1534</v>
      </c>
      <c r="G836" t="s">
        <v>3307</v>
      </c>
      <c r="H836" t="s">
        <v>5067</v>
      </c>
      <c r="I836" t="s">
        <v>6414</v>
      </c>
      <c r="J836" t="s">
        <v>7174</v>
      </c>
      <c r="K836">
        <v>11217</v>
      </c>
      <c r="M836" t="s">
        <v>7227</v>
      </c>
      <c r="N836" t="s">
        <v>7237</v>
      </c>
      <c r="O836" t="s">
        <v>7820</v>
      </c>
      <c r="P836">
        <v>1</v>
      </c>
      <c r="Q836">
        <v>0</v>
      </c>
      <c r="R836">
        <v>0</v>
      </c>
      <c r="U836">
        <v>0</v>
      </c>
      <c r="W836">
        <v>3.7</v>
      </c>
      <c r="X836" t="s">
        <v>976</v>
      </c>
      <c r="Y836" t="s">
        <v>212</v>
      </c>
      <c r="AA836" t="s">
        <v>10974</v>
      </c>
      <c r="AB836" t="s">
        <v>373</v>
      </c>
      <c r="AD836" t="s">
        <v>11101</v>
      </c>
      <c r="AF836" t="s">
        <v>11118</v>
      </c>
      <c r="AH836" t="s">
        <v>10974</v>
      </c>
      <c r="AI836" t="s">
        <v>11126</v>
      </c>
      <c r="AK836" t="s">
        <v>7225</v>
      </c>
      <c r="AM836">
        <v>1133.28</v>
      </c>
      <c r="AN836" t="s">
        <v>11151</v>
      </c>
      <c r="AO836" t="s">
        <v>11153</v>
      </c>
      <c r="AP836" t="s">
        <v>11155</v>
      </c>
      <c r="AR836" t="s">
        <v>11172</v>
      </c>
      <c r="AU836">
        <v>4</v>
      </c>
      <c r="AW836" t="s">
        <v>11187</v>
      </c>
      <c r="BA836" t="s">
        <v>11222</v>
      </c>
      <c r="BE836" t="s">
        <v>12158</v>
      </c>
      <c r="BG836" t="s">
        <v>14548</v>
      </c>
      <c r="BM836" t="s">
        <v>15650</v>
      </c>
    </row>
    <row r="837" spans="1:65">
      <c r="A837" s="1">
        <f>HYPERLINK("https://lsnyc.legalserver.org/matter/dynamic-profile/view/1911968","19-1911968")</f>
        <v>0</v>
      </c>
      <c r="B837" t="s">
        <v>105</v>
      </c>
      <c r="C837" t="s">
        <v>248</v>
      </c>
      <c r="D837" t="s">
        <v>341</v>
      </c>
      <c r="F837" t="s">
        <v>1535</v>
      </c>
      <c r="G837" t="s">
        <v>3162</v>
      </c>
      <c r="H837" t="s">
        <v>5070</v>
      </c>
      <c r="I837" t="s">
        <v>6442</v>
      </c>
      <c r="J837" t="s">
        <v>7174</v>
      </c>
      <c r="K837">
        <v>11219</v>
      </c>
      <c r="N837" t="s">
        <v>7237</v>
      </c>
      <c r="O837" t="s">
        <v>7821</v>
      </c>
      <c r="P837">
        <v>4</v>
      </c>
      <c r="Q837">
        <v>0</v>
      </c>
      <c r="R837">
        <v>152.89</v>
      </c>
      <c r="U837">
        <v>39368</v>
      </c>
      <c r="W837">
        <v>0</v>
      </c>
      <c r="Y837" t="s">
        <v>81</v>
      </c>
      <c r="AA837" t="s">
        <v>10974</v>
      </c>
      <c r="AB837" t="s">
        <v>10264</v>
      </c>
      <c r="AD837" t="s">
        <v>11101</v>
      </c>
      <c r="AF837" t="s">
        <v>11118</v>
      </c>
      <c r="AH837" t="s">
        <v>10974</v>
      </c>
      <c r="AI837" t="s">
        <v>11126</v>
      </c>
      <c r="AK837" t="s">
        <v>7225</v>
      </c>
      <c r="AL837" t="s">
        <v>11150</v>
      </c>
      <c r="AM837">
        <v>0</v>
      </c>
      <c r="AO837">
        <v>20</v>
      </c>
      <c r="AP837" t="s">
        <v>11155</v>
      </c>
      <c r="AR837" t="s">
        <v>11172</v>
      </c>
      <c r="AU837">
        <v>22</v>
      </c>
      <c r="AW837" t="s">
        <v>11187</v>
      </c>
      <c r="BA837" t="s">
        <v>11222</v>
      </c>
      <c r="BE837" t="s">
        <v>12159</v>
      </c>
      <c r="BF837" t="s">
        <v>14364</v>
      </c>
      <c r="BM837" t="s">
        <v>15650</v>
      </c>
    </row>
    <row r="838" spans="1:65">
      <c r="A838" s="1">
        <f>HYPERLINK("https://lsnyc.legalserver.org/matter/dynamic-profile/view/1902306","19-1902306")</f>
        <v>0</v>
      </c>
      <c r="B838" t="s">
        <v>105</v>
      </c>
      <c r="C838" t="s">
        <v>248</v>
      </c>
      <c r="D838" t="s">
        <v>447</v>
      </c>
      <c r="F838" t="s">
        <v>1137</v>
      </c>
      <c r="G838" t="s">
        <v>3308</v>
      </c>
      <c r="H838" t="s">
        <v>5071</v>
      </c>
      <c r="I838">
        <v>6</v>
      </c>
      <c r="J838" t="s">
        <v>7174</v>
      </c>
      <c r="K838">
        <v>11231</v>
      </c>
      <c r="N838" t="s">
        <v>7237</v>
      </c>
      <c r="O838" t="s">
        <v>7822</v>
      </c>
      <c r="P838">
        <v>1</v>
      </c>
      <c r="Q838">
        <v>0</v>
      </c>
      <c r="R838">
        <v>72.06</v>
      </c>
      <c r="U838">
        <v>9000</v>
      </c>
      <c r="W838">
        <v>20.4</v>
      </c>
      <c r="X838" t="s">
        <v>345</v>
      </c>
      <c r="Y838" t="s">
        <v>81</v>
      </c>
      <c r="AA838" t="s">
        <v>10974</v>
      </c>
      <c r="AB838" t="s">
        <v>447</v>
      </c>
      <c r="AD838" t="s">
        <v>11082</v>
      </c>
      <c r="AF838" t="s">
        <v>11118</v>
      </c>
      <c r="AH838" t="s">
        <v>10975</v>
      </c>
      <c r="AI838" t="s">
        <v>11126</v>
      </c>
      <c r="AK838" t="s">
        <v>7225</v>
      </c>
      <c r="AL838" t="s">
        <v>11150</v>
      </c>
      <c r="AM838">
        <v>0</v>
      </c>
      <c r="AN838" t="s">
        <v>11151</v>
      </c>
      <c r="AO838" t="s">
        <v>11153</v>
      </c>
      <c r="AP838" t="s">
        <v>11155</v>
      </c>
      <c r="AR838" t="s">
        <v>11172</v>
      </c>
      <c r="AU838">
        <v>37</v>
      </c>
      <c r="AW838" t="s">
        <v>11187</v>
      </c>
      <c r="BA838" t="s">
        <v>11222</v>
      </c>
      <c r="BE838" t="s">
        <v>12160</v>
      </c>
      <c r="BF838" t="s">
        <v>14364</v>
      </c>
      <c r="BM838" t="s">
        <v>15650</v>
      </c>
    </row>
    <row r="839" spans="1:65">
      <c r="A839" s="1">
        <f>HYPERLINK("https://lsnyc.legalserver.org/matter/dynamic-profile/view/1915056","19-1915056")</f>
        <v>0</v>
      </c>
      <c r="B839" t="s">
        <v>105</v>
      </c>
      <c r="C839" t="s">
        <v>248</v>
      </c>
      <c r="D839" t="s">
        <v>264</v>
      </c>
      <c r="F839" t="s">
        <v>1536</v>
      </c>
      <c r="G839" t="s">
        <v>3309</v>
      </c>
      <c r="H839" t="s">
        <v>5072</v>
      </c>
      <c r="I839" t="s">
        <v>6432</v>
      </c>
      <c r="J839" t="s">
        <v>7174</v>
      </c>
      <c r="K839">
        <v>11217</v>
      </c>
      <c r="N839" t="s">
        <v>7237</v>
      </c>
      <c r="O839" t="s">
        <v>7823</v>
      </c>
      <c r="P839">
        <v>2</v>
      </c>
      <c r="Q839">
        <v>1</v>
      </c>
      <c r="R839">
        <v>0</v>
      </c>
      <c r="U839">
        <v>0</v>
      </c>
      <c r="W839">
        <v>0.4</v>
      </c>
      <c r="X839" t="s">
        <v>264</v>
      </c>
      <c r="Y839" t="s">
        <v>212</v>
      </c>
      <c r="AA839" t="s">
        <v>10974</v>
      </c>
      <c r="AB839" t="s">
        <v>262</v>
      </c>
      <c r="AC839" t="s">
        <v>11081</v>
      </c>
      <c r="AE839" t="s">
        <v>11117</v>
      </c>
      <c r="AG839" t="s">
        <v>11124</v>
      </c>
      <c r="AI839" t="s">
        <v>11126</v>
      </c>
      <c r="AK839" t="s">
        <v>7225</v>
      </c>
      <c r="AL839" t="s">
        <v>11150</v>
      </c>
      <c r="AM839">
        <v>0</v>
      </c>
      <c r="AN839" t="s">
        <v>11151</v>
      </c>
      <c r="AO839" t="s">
        <v>11153</v>
      </c>
      <c r="AP839" t="s">
        <v>11155</v>
      </c>
      <c r="AR839" t="s">
        <v>11172</v>
      </c>
      <c r="AT839" t="s">
        <v>11184</v>
      </c>
      <c r="AU839">
        <v>0</v>
      </c>
      <c r="AW839" t="s">
        <v>11187</v>
      </c>
      <c r="AZ839" t="s">
        <v>11221</v>
      </c>
      <c r="BD839" t="s">
        <v>11667</v>
      </c>
      <c r="BF839" t="s">
        <v>14364</v>
      </c>
      <c r="BM839" t="s">
        <v>15650</v>
      </c>
    </row>
    <row r="840" spans="1:65">
      <c r="A840" s="1">
        <f>HYPERLINK("https://lsnyc.legalserver.org/matter/dynamic-profile/view/1915095","19-1915095")</f>
        <v>0</v>
      </c>
      <c r="B840" t="s">
        <v>105</v>
      </c>
      <c r="C840" t="s">
        <v>248</v>
      </c>
      <c r="D840" t="s">
        <v>264</v>
      </c>
      <c r="F840" t="s">
        <v>1137</v>
      </c>
      <c r="G840" t="s">
        <v>3310</v>
      </c>
      <c r="H840" t="s">
        <v>5072</v>
      </c>
      <c r="I840" t="s">
        <v>6491</v>
      </c>
      <c r="J840" t="s">
        <v>7174</v>
      </c>
      <c r="K840">
        <v>11217</v>
      </c>
      <c r="N840" t="s">
        <v>7237</v>
      </c>
      <c r="O840" t="s">
        <v>7824</v>
      </c>
      <c r="P840">
        <v>1</v>
      </c>
      <c r="Q840">
        <v>0</v>
      </c>
      <c r="R840">
        <v>0</v>
      </c>
      <c r="U840">
        <v>0</v>
      </c>
      <c r="W840">
        <v>0.3</v>
      </c>
      <c r="X840" t="s">
        <v>264</v>
      </c>
      <c r="Y840" t="s">
        <v>212</v>
      </c>
      <c r="AA840" t="s">
        <v>10974</v>
      </c>
      <c r="AB840" t="s">
        <v>333</v>
      </c>
      <c r="AC840" t="s">
        <v>11081</v>
      </c>
      <c r="AE840" t="s">
        <v>11117</v>
      </c>
      <c r="AG840" t="s">
        <v>11124</v>
      </c>
      <c r="AI840" t="s">
        <v>11126</v>
      </c>
      <c r="AK840" t="s">
        <v>7225</v>
      </c>
      <c r="AL840" t="s">
        <v>11150</v>
      </c>
      <c r="AM840">
        <v>0</v>
      </c>
      <c r="AN840" t="s">
        <v>11151</v>
      </c>
      <c r="AO840" t="s">
        <v>11153</v>
      </c>
      <c r="AP840" t="s">
        <v>11155</v>
      </c>
      <c r="AR840" t="s">
        <v>11172</v>
      </c>
      <c r="AT840" t="s">
        <v>11184</v>
      </c>
      <c r="AU840">
        <v>0</v>
      </c>
      <c r="AW840" t="s">
        <v>11187</v>
      </c>
      <c r="AZ840" t="s">
        <v>11221</v>
      </c>
      <c r="BE840" t="s">
        <v>12161</v>
      </c>
      <c r="BF840" t="s">
        <v>14364</v>
      </c>
      <c r="BM840" t="s">
        <v>15650</v>
      </c>
    </row>
    <row r="841" spans="1:65">
      <c r="A841" s="1">
        <f>HYPERLINK("https://lsnyc.legalserver.org/matter/dynamic-profile/view/1892385","19-1892385")</f>
        <v>0</v>
      </c>
      <c r="B841" t="s">
        <v>105</v>
      </c>
      <c r="C841" t="s">
        <v>248</v>
      </c>
      <c r="D841" t="s">
        <v>483</v>
      </c>
      <c r="F841" t="s">
        <v>1128</v>
      </c>
      <c r="G841" t="s">
        <v>1813</v>
      </c>
      <c r="H841" t="s">
        <v>5073</v>
      </c>
      <c r="I841" t="s">
        <v>6639</v>
      </c>
      <c r="J841" t="s">
        <v>7174</v>
      </c>
      <c r="K841">
        <v>11203</v>
      </c>
      <c r="N841" t="s">
        <v>7237</v>
      </c>
      <c r="O841" t="s">
        <v>7825</v>
      </c>
      <c r="P841">
        <v>1</v>
      </c>
      <c r="Q841">
        <v>0</v>
      </c>
      <c r="R841">
        <v>71.87</v>
      </c>
      <c r="U841">
        <v>8976</v>
      </c>
      <c r="W841">
        <v>36.3</v>
      </c>
      <c r="X841" t="s">
        <v>306</v>
      </c>
      <c r="Y841" t="s">
        <v>212</v>
      </c>
      <c r="AA841" t="s">
        <v>10974</v>
      </c>
      <c r="AB841" t="s">
        <v>483</v>
      </c>
      <c r="AD841" t="s">
        <v>11083</v>
      </c>
      <c r="AF841" t="s">
        <v>11118</v>
      </c>
      <c r="AH841" t="s">
        <v>10975</v>
      </c>
      <c r="AI841" t="s">
        <v>11126</v>
      </c>
      <c r="AK841" t="s">
        <v>7225</v>
      </c>
      <c r="AM841">
        <v>838</v>
      </c>
      <c r="AN841" t="s">
        <v>11151</v>
      </c>
      <c r="AO841" t="s">
        <v>11153</v>
      </c>
      <c r="AQ841" t="s">
        <v>11157</v>
      </c>
      <c r="AR841" t="s">
        <v>11172</v>
      </c>
      <c r="AT841" t="s">
        <v>11184</v>
      </c>
      <c r="AU841">
        <v>0</v>
      </c>
      <c r="AW841" t="s">
        <v>11187</v>
      </c>
      <c r="AZ841" t="s">
        <v>11221</v>
      </c>
      <c r="BE841" t="s">
        <v>12162</v>
      </c>
      <c r="BG841" t="s">
        <v>14549</v>
      </c>
      <c r="BM841" t="s">
        <v>15650</v>
      </c>
    </row>
    <row r="842" spans="1:65">
      <c r="A842" s="1">
        <f>HYPERLINK("https://lsnyc.legalserver.org/matter/dynamic-profile/view/1907589","19-1907589")</f>
        <v>0</v>
      </c>
      <c r="B842" t="s">
        <v>105</v>
      </c>
      <c r="C842" t="s">
        <v>248</v>
      </c>
      <c r="D842" t="s">
        <v>377</v>
      </c>
      <c r="F842" t="s">
        <v>1537</v>
      </c>
      <c r="G842" t="s">
        <v>3311</v>
      </c>
      <c r="H842" t="s">
        <v>5074</v>
      </c>
      <c r="I842" t="s">
        <v>6404</v>
      </c>
      <c r="J842" t="s">
        <v>7174</v>
      </c>
      <c r="K842">
        <v>11210</v>
      </c>
      <c r="N842" t="s">
        <v>7237</v>
      </c>
      <c r="O842" t="s">
        <v>7826</v>
      </c>
      <c r="P842">
        <v>6</v>
      </c>
      <c r="Q842">
        <v>2</v>
      </c>
      <c r="R842">
        <v>71.84</v>
      </c>
      <c r="U842">
        <v>31200</v>
      </c>
      <c r="W842">
        <v>4</v>
      </c>
      <c r="X842" t="s">
        <v>737</v>
      </c>
      <c r="Y842" t="s">
        <v>81</v>
      </c>
      <c r="AA842" t="s">
        <v>10974</v>
      </c>
      <c r="AB842" t="s">
        <v>377</v>
      </c>
      <c r="AD842" t="s">
        <v>11082</v>
      </c>
      <c r="AF842" t="s">
        <v>11118</v>
      </c>
      <c r="AH842" t="s">
        <v>10975</v>
      </c>
      <c r="AI842" t="s">
        <v>11126</v>
      </c>
      <c r="AK842" t="s">
        <v>7225</v>
      </c>
      <c r="AM842">
        <v>1725</v>
      </c>
      <c r="AO842">
        <v>65</v>
      </c>
      <c r="AP842" t="s">
        <v>11155</v>
      </c>
      <c r="AR842" t="s">
        <v>11172</v>
      </c>
      <c r="AU842">
        <v>20</v>
      </c>
      <c r="AW842" t="s">
        <v>11199</v>
      </c>
      <c r="BA842" t="s">
        <v>11222</v>
      </c>
      <c r="BD842" t="s">
        <v>11667</v>
      </c>
      <c r="BG842" t="s">
        <v>14550</v>
      </c>
      <c r="BM842" t="s">
        <v>15650</v>
      </c>
    </row>
    <row r="843" spans="1:65">
      <c r="A843" s="1">
        <f>HYPERLINK("https://lsnyc.legalserver.org/matter/dynamic-profile/view/1907609","19-1907609")</f>
        <v>0</v>
      </c>
      <c r="B843" t="s">
        <v>105</v>
      </c>
      <c r="C843" t="s">
        <v>248</v>
      </c>
      <c r="D843" t="s">
        <v>377</v>
      </c>
      <c r="F843" t="s">
        <v>1537</v>
      </c>
      <c r="G843" t="s">
        <v>3311</v>
      </c>
      <c r="H843" t="s">
        <v>5074</v>
      </c>
      <c r="I843" t="s">
        <v>6404</v>
      </c>
      <c r="J843" t="s">
        <v>7174</v>
      </c>
      <c r="K843">
        <v>11210</v>
      </c>
      <c r="N843" t="s">
        <v>7237</v>
      </c>
      <c r="O843" t="s">
        <v>7826</v>
      </c>
      <c r="P843">
        <v>6</v>
      </c>
      <c r="Q843">
        <v>2</v>
      </c>
      <c r="R843">
        <v>71.84</v>
      </c>
      <c r="U843">
        <v>31200</v>
      </c>
      <c r="W843">
        <v>0</v>
      </c>
      <c r="Y843" t="s">
        <v>81</v>
      </c>
      <c r="AA843" t="s">
        <v>10974</v>
      </c>
      <c r="AB843" t="s">
        <v>362</v>
      </c>
      <c r="AD843" t="s">
        <v>11100</v>
      </c>
      <c r="AF843" t="s">
        <v>11120</v>
      </c>
      <c r="AH843" t="s">
        <v>10975</v>
      </c>
      <c r="AI843" t="s">
        <v>11126</v>
      </c>
      <c r="AK843" t="s">
        <v>7225</v>
      </c>
      <c r="AM843">
        <v>1725</v>
      </c>
      <c r="AO843">
        <v>65</v>
      </c>
      <c r="AP843" t="s">
        <v>11155</v>
      </c>
      <c r="AR843" t="s">
        <v>11172</v>
      </c>
      <c r="AU843">
        <v>20</v>
      </c>
      <c r="AW843" t="s">
        <v>11199</v>
      </c>
      <c r="BA843" t="s">
        <v>11222</v>
      </c>
      <c r="BD843" t="s">
        <v>11667</v>
      </c>
      <c r="BF843" t="s">
        <v>14364</v>
      </c>
      <c r="BM843" t="s">
        <v>15650</v>
      </c>
    </row>
    <row r="844" spans="1:65">
      <c r="A844" s="1">
        <f>HYPERLINK("https://lsnyc.legalserver.org/matter/dynamic-profile/view/1896389","19-1896389")</f>
        <v>0</v>
      </c>
      <c r="B844" t="s">
        <v>105</v>
      </c>
      <c r="C844" t="s">
        <v>248</v>
      </c>
      <c r="D844" t="s">
        <v>412</v>
      </c>
      <c r="F844" t="s">
        <v>1538</v>
      </c>
      <c r="G844" t="s">
        <v>3312</v>
      </c>
      <c r="H844" t="s">
        <v>5069</v>
      </c>
      <c r="I844">
        <v>12</v>
      </c>
      <c r="J844" t="s">
        <v>7174</v>
      </c>
      <c r="K844">
        <v>11226</v>
      </c>
      <c r="N844" t="s">
        <v>7237</v>
      </c>
      <c r="O844" t="s">
        <v>7827</v>
      </c>
      <c r="P844">
        <v>2</v>
      </c>
      <c r="Q844">
        <v>0</v>
      </c>
      <c r="R844">
        <v>220.78</v>
      </c>
      <c r="U844">
        <v>37333.92</v>
      </c>
      <c r="W844">
        <v>0.7</v>
      </c>
      <c r="X844" t="s">
        <v>447</v>
      </c>
      <c r="Y844" t="s">
        <v>212</v>
      </c>
      <c r="AA844" t="s">
        <v>10974</v>
      </c>
      <c r="AB844" t="s">
        <v>412</v>
      </c>
      <c r="AD844" t="s">
        <v>11100</v>
      </c>
      <c r="AF844" t="s">
        <v>10384</v>
      </c>
      <c r="AG844" t="s">
        <v>11124</v>
      </c>
      <c r="AI844" t="s">
        <v>11126</v>
      </c>
      <c r="AK844" t="s">
        <v>7225</v>
      </c>
      <c r="AL844" t="s">
        <v>11150</v>
      </c>
      <c r="AM844">
        <v>0</v>
      </c>
      <c r="AN844" t="s">
        <v>11151</v>
      </c>
      <c r="AO844" t="s">
        <v>11153</v>
      </c>
      <c r="AP844" t="s">
        <v>11155</v>
      </c>
      <c r="AR844" t="s">
        <v>11172</v>
      </c>
      <c r="AT844" t="s">
        <v>11184</v>
      </c>
      <c r="AU844">
        <v>0</v>
      </c>
      <c r="AW844" t="s">
        <v>11199</v>
      </c>
      <c r="BA844" t="s">
        <v>11222</v>
      </c>
      <c r="BD844" t="s">
        <v>11667</v>
      </c>
      <c r="BF844" t="s">
        <v>14364</v>
      </c>
      <c r="BM844" t="s">
        <v>15650</v>
      </c>
    </row>
    <row r="845" spans="1:65">
      <c r="A845" s="1">
        <f>HYPERLINK("https://lsnyc.legalserver.org/matter/dynamic-profile/view/1895823","19-1895823")</f>
        <v>0</v>
      </c>
      <c r="B845" t="s">
        <v>105</v>
      </c>
      <c r="C845" t="s">
        <v>248</v>
      </c>
      <c r="D845" t="s">
        <v>557</v>
      </c>
      <c r="F845" t="s">
        <v>1157</v>
      </c>
      <c r="G845" t="s">
        <v>3304</v>
      </c>
      <c r="H845" t="s">
        <v>5067</v>
      </c>
      <c r="I845" t="s">
        <v>6491</v>
      </c>
      <c r="J845" t="s">
        <v>7174</v>
      </c>
      <c r="K845">
        <v>11217</v>
      </c>
      <c r="M845" t="s">
        <v>7227</v>
      </c>
      <c r="N845" t="s">
        <v>7237</v>
      </c>
      <c r="O845" t="s">
        <v>7817</v>
      </c>
      <c r="P845">
        <v>1</v>
      </c>
      <c r="Q845">
        <v>0</v>
      </c>
      <c r="R845">
        <v>0</v>
      </c>
      <c r="U845">
        <v>0</v>
      </c>
      <c r="W845">
        <v>27</v>
      </c>
      <c r="X845" t="s">
        <v>345</v>
      </c>
      <c r="Y845" t="s">
        <v>212</v>
      </c>
      <c r="AA845" t="s">
        <v>10974</v>
      </c>
      <c r="AB845" t="s">
        <v>557</v>
      </c>
      <c r="AC845" t="s">
        <v>11081</v>
      </c>
      <c r="AF845" t="s">
        <v>11118</v>
      </c>
      <c r="AH845" t="s">
        <v>10974</v>
      </c>
      <c r="AI845" t="s">
        <v>11126</v>
      </c>
      <c r="AK845" t="s">
        <v>7225</v>
      </c>
      <c r="AM845">
        <v>869.85</v>
      </c>
      <c r="AN845" t="s">
        <v>11151</v>
      </c>
      <c r="AO845" t="s">
        <v>11153</v>
      </c>
      <c r="AP845" t="s">
        <v>11155</v>
      </c>
      <c r="AR845" t="s">
        <v>11172</v>
      </c>
      <c r="AU845">
        <v>10</v>
      </c>
      <c r="AW845" t="s">
        <v>11187</v>
      </c>
      <c r="BA845" t="s">
        <v>11223</v>
      </c>
      <c r="BC845" t="s">
        <v>11285</v>
      </c>
      <c r="BE845" t="s">
        <v>12156</v>
      </c>
      <c r="BF845" t="s">
        <v>14364</v>
      </c>
      <c r="BM845" t="s">
        <v>15650</v>
      </c>
    </row>
    <row r="846" spans="1:65">
      <c r="A846" s="1">
        <f>HYPERLINK("https://lsnyc.legalserver.org/matter/dynamic-profile/view/1900745","19-1900745")</f>
        <v>0</v>
      </c>
      <c r="B846" t="s">
        <v>105</v>
      </c>
      <c r="C846" t="s">
        <v>248</v>
      </c>
      <c r="D846" t="s">
        <v>582</v>
      </c>
      <c r="F846" t="s">
        <v>1519</v>
      </c>
      <c r="G846" t="s">
        <v>3303</v>
      </c>
      <c r="H846" t="s">
        <v>5066</v>
      </c>
      <c r="I846" t="s">
        <v>6433</v>
      </c>
      <c r="J846" t="s">
        <v>7174</v>
      </c>
      <c r="K846">
        <v>11226</v>
      </c>
      <c r="N846" t="s">
        <v>7237</v>
      </c>
      <c r="O846" t="s">
        <v>7816</v>
      </c>
      <c r="P846">
        <v>2</v>
      </c>
      <c r="Q846">
        <v>0</v>
      </c>
      <c r="R846">
        <v>236.55</v>
      </c>
      <c r="U846">
        <v>40000</v>
      </c>
      <c r="W846">
        <v>24.4</v>
      </c>
      <c r="X846" t="s">
        <v>322</v>
      </c>
      <c r="Y846" t="s">
        <v>81</v>
      </c>
      <c r="AA846" t="s">
        <v>10974</v>
      </c>
      <c r="AB846" t="s">
        <v>582</v>
      </c>
      <c r="AC846" t="s">
        <v>11081</v>
      </c>
      <c r="AF846" t="s">
        <v>11118</v>
      </c>
      <c r="AH846" t="s">
        <v>10974</v>
      </c>
      <c r="AI846" t="s">
        <v>11126</v>
      </c>
      <c r="AK846" t="s">
        <v>7225</v>
      </c>
      <c r="AL846" t="s">
        <v>11150</v>
      </c>
      <c r="AM846">
        <v>0</v>
      </c>
      <c r="AN846" t="s">
        <v>11151</v>
      </c>
      <c r="AO846" t="s">
        <v>11153</v>
      </c>
      <c r="AP846" t="s">
        <v>11155</v>
      </c>
      <c r="AR846" t="s">
        <v>11172</v>
      </c>
      <c r="AT846" t="s">
        <v>11184</v>
      </c>
      <c r="AU846">
        <v>0</v>
      </c>
      <c r="AW846" t="s">
        <v>11187</v>
      </c>
      <c r="BA846" t="s">
        <v>11222</v>
      </c>
      <c r="BD846" t="s">
        <v>11667</v>
      </c>
      <c r="BF846" t="s">
        <v>14364</v>
      </c>
      <c r="BM846" t="s">
        <v>15650</v>
      </c>
    </row>
    <row r="847" spans="1:65">
      <c r="A847" s="1">
        <f>HYPERLINK("https://lsnyc.legalserver.org/matter/dynamic-profile/view/1897366","19-1897366")</f>
        <v>0</v>
      </c>
      <c r="B847" t="s">
        <v>105</v>
      </c>
      <c r="C847" t="s">
        <v>248</v>
      </c>
      <c r="D847" t="s">
        <v>583</v>
      </c>
      <c r="F847" t="s">
        <v>1519</v>
      </c>
      <c r="G847" t="s">
        <v>3303</v>
      </c>
      <c r="H847" t="s">
        <v>5066</v>
      </c>
      <c r="I847" t="s">
        <v>6433</v>
      </c>
      <c r="J847" t="s">
        <v>7174</v>
      </c>
      <c r="K847">
        <v>11226</v>
      </c>
      <c r="N847" t="s">
        <v>7237</v>
      </c>
      <c r="O847" t="s">
        <v>7816</v>
      </c>
      <c r="P847">
        <v>2</v>
      </c>
      <c r="Q847">
        <v>0</v>
      </c>
      <c r="R847">
        <v>236.55</v>
      </c>
      <c r="U847">
        <v>40000</v>
      </c>
      <c r="W847">
        <v>35.7</v>
      </c>
      <c r="X847" t="s">
        <v>896</v>
      </c>
      <c r="Y847" t="s">
        <v>81</v>
      </c>
      <c r="AA847" t="s">
        <v>10974</v>
      </c>
      <c r="AB847" t="s">
        <v>444</v>
      </c>
      <c r="AD847" t="s">
        <v>11100</v>
      </c>
      <c r="AF847" t="s">
        <v>11120</v>
      </c>
      <c r="AH847" t="s">
        <v>10974</v>
      </c>
      <c r="AI847" t="s">
        <v>11126</v>
      </c>
      <c r="AK847" t="s">
        <v>7225</v>
      </c>
      <c r="AM847">
        <v>916</v>
      </c>
      <c r="AN847" t="s">
        <v>11151</v>
      </c>
      <c r="AO847" t="s">
        <v>11153</v>
      </c>
      <c r="AP847" t="s">
        <v>11155</v>
      </c>
      <c r="AR847" t="s">
        <v>11172</v>
      </c>
      <c r="AU847">
        <v>20</v>
      </c>
      <c r="AW847" t="s">
        <v>11187</v>
      </c>
      <c r="AZ847" t="s">
        <v>11221</v>
      </c>
      <c r="BD847" t="s">
        <v>11667</v>
      </c>
      <c r="BF847" t="s">
        <v>14364</v>
      </c>
      <c r="BM847" t="s">
        <v>15650</v>
      </c>
    </row>
    <row r="848" spans="1:65">
      <c r="A848" s="1">
        <f>HYPERLINK("https://lsnyc.legalserver.org/matter/dynamic-profile/view/1893268","19-1893268")</f>
        <v>0</v>
      </c>
      <c r="B848" t="s">
        <v>105</v>
      </c>
      <c r="C848" t="s">
        <v>248</v>
      </c>
      <c r="D848" t="s">
        <v>567</v>
      </c>
      <c r="F848" t="s">
        <v>1539</v>
      </c>
      <c r="G848" t="s">
        <v>1192</v>
      </c>
      <c r="H848" t="s">
        <v>5067</v>
      </c>
      <c r="I848" t="s">
        <v>6430</v>
      </c>
      <c r="J848" t="s">
        <v>7174</v>
      </c>
      <c r="K848">
        <v>11217</v>
      </c>
      <c r="M848" t="s">
        <v>7227</v>
      </c>
      <c r="N848" t="s">
        <v>7237</v>
      </c>
      <c r="O848" t="s">
        <v>7828</v>
      </c>
      <c r="P848">
        <v>1</v>
      </c>
      <c r="Q848">
        <v>0</v>
      </c>
      <c r="R848">
        <v>0</v>
      </c>
      <c r="U848">
        <v>0</v>
      </c>
      <c r="W848">
        <v>88.09999999999999</v>
      </c>
      <c r="X848" t="s">
        <v>10812</v>
      </c>
      <c r="Y848" t="s">
        <v>81</v>
      </c>
      <c r="AA848" t="s">
        <v>10974</v>
      </c>
      <c r="AB848" t="s">
        <v>693</v>
      </c>
      <c r="AD848" t="s">
        <v>11101</v>
      </c>
      <c r="AF848" t="s">
        <v>11118</v>
      </c>
      <c r="AH848" t="s">
        <v>10974</v>
      </c>
      <c r="AI848" t="s">
        <v>11126</v>
      </c>
      <c r="AK848" t="s">
        <v>7225</v>
      </c>
      <c r="AM848">
        <v>626.29</v>
      </c>
      <c r="AN848" t="s">
        <v>11151</v>
      </c>
      <c r="AO848" t="s">
        <v>11153</v>
      </c>
      <c r="AP848" t="s">
        <v>11155</v>
      </c>
      <c r="AR848" t="s">
        <v>11172</v>
      </c>
      <c r="AT848" t="s">
        <v>11184</v>
      </c>
      <c r="AU848">
        <v>0</v>
      </c>
      <c r="AW848" t="s">
        <v>11187</v>
      </c>
      <c r="AZ848" t="s">
        <v>11221</v>
      </c>
      <c r="BE848" t="s">
        <v>12163</v>
      </c>
      <c r="BF848" t="s">
        <v>14364</v>
      </c>
      <c r="BM848" t="s">
        <v>15650</v>
      </c>
    </row>
    <row r="849" spans="1:66">
      <c r="A849" s="1">
        <f>HYPERLINK("https://lsnyc.legalserver.org/matter/dynamic-profile/view/1899775","19-1899775")</f>
        <v>0</v>
      </c>
      <c r="B849" t="s">
        <v>105</v>
      </c>
      <c r="C849" t="s">
        <v>248</v>
      </c>
      <c r="D849" t="s">
        <v>560</v>
      </c>
      <c r="F849" t="s">
        <v>1534</v>
      </c>
      <c r="G849" t="s">
        <v>3307</v>
      </c>
      <c r="H849" t="s">
        <v>5067</v>
      </c>
      <c r="I849" t="s">
        <v>6414</v>
      </c>
      <c r="J849" t="s">
        <v>7174</v>
      </c>
      <c r="K849">
        <v>11217</v>
      </c>
      <c r="N849" t="s">
        <v>7237</v>
      </c>
      <c r="O849" t="s">
        <v>7820</v>
      </c>
      <c r="P849">
        <v>1</v>
      </c>
      <c r="Q849">
        <v>0</v>
      </c>
      <c r="R849">
        <v>0</v>
      </c>
      <c r="U849">
        <v>0</v>
      </c>
      <c r="W849">
        <v>6.8</v>
      </c>
      <c r="X849" t="s">
        <v>624</v>
      </c>
      <c r="Y849" t="s">
        <v>81</v>
      </c>
      <c r="AA849" t="s">
        <v>10974</v>
      </c>
      <c r="AB849" t="s">
        <v>584</v>
      </c>
      <c r="AD849" t="s">
        <v>11101</v>
      </c>
      <c r="AF849" t="s">
        <v>11118</v>
      </c>
      <c r="AG849" t="s">
        <v>11124</v>
      </c>
      <c r="AI849" t="s">
        <v>11126</v>
      </c>
      <c r="AK849" t="s">
        <v>7225</v>
      </c>
      <c r="AM849">
        <v>1133.28</v>
      </c>
      <c r="AN849" t="s">
        <v>11151</v>
      </c>
      <c r="AO849" t="s">
        <v>11153</v>
      </c>
      <c r="AP849" t="s">
        <v>11155</v>
      </c>
      <c r="AR849" t="s">
        <v>11172</v>
      </c>
      <c r="AU849">
        <v>4</v>
      </c>
      <c r="AW849" t="s">
        <v>11187</v>
      </c>
      <c r="AZ849" t="s">
        <v>11221</v>
      </c>
      <c r="BE849" t="s">
        <v>12158</v>
      </c>
      <c r="BF849" t="s">
        <v>14364</v>
      </c>
      <c r="BM849" t="s">
        <v>15650</v>
      </c>
    </row>
    <row r="850" spans="1:66">
      <c r="A850" s="1">
        <f>HYPERLINK("https://lsnyc.legalserver.org/matter/dynamic-profile/view/1899861","19-1899861")</f>
        <v>0</v>
      </c>
      <c r="B850" t="s">
        <v>105</v>
      </c>
      <c r="C850" t="s">
        <v>248</v>
      </c>
      <c r="D850" t="s">
        <v>560</v>
      </c>
      <c r="F850" t="s">
        <v>1157</v>
      </c>
      <c r="G850" t="s">
        <v>3304</v>
      </c>
      <c r="H850" t="s">
        <v>5067</v>
      </c>
      <c r="I850" t="s">
        <v>6491</v>
      </c>
      <c r="J850" t="s">
        <v>7174</v>
      </c>
      <c r="K850">
        <v>11217</v>
      </c>
      <c r="N850" t="s">
        <v>7237</v>
      </c>
      <c r="O850" t="s">
        <v>7817</v>
      </c>
      <c r="P850">
        <v>1</v>
      </c>
      <c r="Q850">
        <v>0</v>
      </c>
      <c r="R850">
        <v>0</v>
      </c>
      <c r="U850">
        <v>0</v>
      </c>
      <c r="W850">
        <v>0</v>
      </c>
      <c r="Y850" t="s">
        <v>81</v>
      </c>
      <c r="AA850" t="s">
        <v>10974</v>
      </c>
      <c r="AB850" t="s">
        <v>382</v>
      </c>
      <c r="AD850" t="s">
        <v>11098</v>
      </c>
      <c r="AF850" t="s">
        <v>11122</v>
      </c>
      <c r="AH850" t="s">
        <v>10974</v>
      </c>
      <c r="AI850" t="s">
        <v>11126</v>
      </c>
      <c r="AK850" t="s">
        <v>7225</v>
      </c>
      <c r="AM850">
        <v>869.85</v>
      </c>
      <c r="AN850" t="s">
        <v>11151</v>
      </c>
      <c r="AO850" t="s">
        <v>11153</v>
      </c>
      <c r="AP850" t="s">
        <v>11155</v>
      </c>
      <c r="AR850" t="s">
        <v>11172</v>
      </c>
      <c r="AU850">
        <v>10</v>
      </c>
      <c r="AW850" t="s">
        <v>11187</v>
      </c>
      <c r="AZ850" t="s">
        <v>11221</v>
      </c>
      <c r="BE850" t="s">
        <v>12156</v>
      </c>
      <c r="BF850" t="s">
        <v>14364</v>
      </c>
      <c r="BM850" t="s">
        <v>15650</v>
      </c>
    </row>
    <row r="851" spans="1:66">
      <c r="A851" s="1">
        <f>HYPERLINK("https://lsnyc.legalserver.org/matter/dynamic-profile/view/1898066","19-1898066")</f>
        <v>0</v>
      </c>
      <c r="B851" t="s">
        <v>105</v>
      </c>
      <c r="C851" t="s">
        <v>248</v>
      </c>
      <c r="D851" t="s">
        <v>524</v>
      </c>
      <c r="F851" t="s">
        <v>1540</v>
      </c>
      <c r="G851" t="s">
        <v>1656</v>
      </c>
      <c r="H851" t="s">
        <v>5075</v>
      </c>
      <c r="I851">
        <v>15</v>
      </c>
      <c r="J851" t="s">
        <v>7174</v>
      </c>
      <c r="K851">
        <v>11226</v>
      </c>
      <c r="N851" t="s">
        <v>7237</v>
      </c>
      <c r="O851" t="s">
        <v>7829</v>
      </c>
      <c r="P851">
        <v>3</v>
      </c>
      <c r="Q851">
        <v>0</v>
      </c>
      <c r="R851">
        <v>328.18</v>
      </c>
      <c r="S851" t="s">
        <v>271</v>
      </c>
      <c r="T851" t="s">
        <v>10276</v>
      </c>
      <c r="U851">
        <v>70000</v>
      </c>
      <c r="W851">
        <v>0</v>
      </c>
      <c r="Y851" t="s">
        <v>81</v>
      </c>
      <c r="AA851" t="s">
        <v>10974</v>
      </c>
      <c r="AB851" t="s">
        <v>524</v>
      </c>
      <c r="AD851" t="s">
        <v>11101</v>
      </c>
      <c r="AF851" t="s">
        <v>11118</v>
      </c>
      <c r="AH851" t="s">
        <v>10974</v>
      </c>
      <c r="AI851" t="s">
        <v>11126</v>
      </c>
      <c r="AK851" t="s">
        <v>7225</v>
      </c>
      <c r="AM851">
        <v>717</v>
      </c>
      <c r="AO851">
        <v>16</v>
      </c>
      <c r="AP851" t="s">
        <v>11155</v>
      </c>
      <c r="AR851" t="s">
        <v>11172</v>
      </c>
      <c r="AU851">
        <v>14</v>
      </c>
      <c r="AW851" t="s">
        <v>11187</v>
      </c>
      <c r="BA851" t="s">
        <v>11222</v>
      </c>
      <c r="BE851" t="s">
        <v>12164</v>
      </c>
      <c r="BF851" t="s">
        <v>14364</v>
      </c>
      <c r="BM851" t="s">
        <v>15650</v>
      </c>
    </row>
    <row r="852" spans="1:66">
      <c r="A852" s="1">
        <f>HYPERLINK("https://lsnyc.legalserver.org/matter/dynamic-profile/view/1899785","19-1899785")</f>
        <v>0</v>
      </c>
      <c r="B852" t="s">
        <v>105</v>
      </c>
      <c r="C852" t="s">
        <v>248</v>
      </c>
      <c r="D852" t="s">
        <v>584</v>
      </c>
      <c r="F852" t="s">
        <v>1539</v>
      </c>
      <c r="G852" t="s">
        <v>1192</v>
      </c>
      <c r="H852" t="s">
        <v>5067</v>
      </c>
      <c r="I852" t="s">
        <v>6430</v>
      </c>
      <c r="J852" t="s">
        <v>7174</v>
      </c>
      <c r="K852">
        <v>11217</v>
      </c>
      <c r="N852" t="s">
        <v>7237</v>
      </c>
      <c r="O852" t="s">
        <v>7828</v>
      </c>
      <c r="P852">
        <v>1</v>
      </c>
      <c r="Q852">
        <v>0</v>
      </c>
      <c r="R852">
        <v>0</v>
      </c>
      <c r="U852">
        <v>0</v>
      </c>
      <c r="W852">
        <v>1</v>
      </c>
      <c r="X852" t="s">
        <v>430</v>
      </c>
      <c r="Y852" t="s">
        <v>81</v>
      </c>
      <c r="AA852" t="s">
        <v>10974</v>
      </c>
      <c r="AB852" t="s">
        <v>584</v>
      </c>
      <c r="AD852" t="s">
        <v>11098</v>
      </c>
      <c r="AF852" t="s">
        <v>11122</v>
      </c>
      <c r="AH852" t="s">
        <v>10974</v>
      </c>
      <c r="AI852" t="s">
        <v>11126</v>
      </c>
      <c r="AK852" t="s">
        <v>7225</v>
      </c>
      <c r="AM852">
        <v>626.29</v>
      </c>
      <c r="AN852" t="s">
        <v>11151</v>
      </c>
      <c r="AO852" t="s">
        <v>11153</v>
      </c>
      <c r="AP852" t="s">
        <v>11155</v>
      </c>
      <c r="AR852" t="s">
        <v>11172</v>
      </c>
      <c r="AT852" t="s">
        <v>11184</v>
      </c>
      <c r="AU852">
        <v>0</v>
      </c>
      <c r="AW852" t="s">
        <v>11187</v>
      </c>
      <c r="AZ852" t="s">
        <v>11221</v>
      </c>
      <c r="BE852" t="s">
        <v>12163</v>
      </c>
      <c r="BG852" t="s">
        <v>14551</v>
      </c>
      <c r="BM852" t="s">
        <v>15650</v>
      </c>
    </row>
    <row r="853" spans="1:66">
      <c r="A853" s="1">
        <f>HYPERLINK("https://lsnyc.legalserver.org/matter/dynamic-profile/view/1899781","19-1899781")</f>
        <v>0</v>
      </c>
      <c r="B853" t="s">
        <v>105</v>
      </c>
      <c r="C853" t="s">
        <v>248</v>
      </c>
      <c r="D853" t="s">
        <v>560</v>
      </c>
      <c r="F853" t="s">
        <v>1534</v>
      </c>
      <c r="G853" t="s">
        <v>3307</v>
      </c>
      <c r="H853" t="s">
        <v>5067</v>
      </c>
      <c r="I853" t="s">
        <v>6414</v>
      </c>
      <c r="J853" t="s">
        <v>7174</v>
      </c>
      <c r="K853">
        <v>11217</v>
      </c>
      <c r="N853" t="s">
        <v>7237</v>
      </c>
      <c r="O853" t="s">
        <v>7820</v>
      </c>
      <c r="P853">
        <v>1</v>
      </c>
      <c r="Q853">
        <v>0</v>
      </c>
      <c r="R853">
        <v>0</v>
      </c>
      <c r="U853">
        <v>0</v>
      </c>
      <c r="W853">
        <v>0</v>
      </c>
      <c r="Y853" t="s">
        <v>81</v>
      </c>
      <c r="AA853" t="s">
        <v>10974</v>
      </c>
      <c r="AB853" t="s">
        <v>584</v>
      </c>
      <c r="AD853" t="s">
        <v>11098</v>
      </c>
      <c r="AF853" t="s">
        <v>11122</v>
      </c>
      <c r="AH853" t="s">
        <v>10974</v>
      </c>
      <c r="AI853" t="s">
        <v>11126</v>
      </c>
      <c r="AK853" t="s">
        <v>7225</v>
      </c>
      <c r="AM853">
        <v>1133.28</v>
      </c>
      <c r="AN853" t="s">
        <v>11151</v>
      </c>
      <c r="AO853" t="s">
        <v>11153</v>
      </c>
      <c r="AP853" t="s">
        <v>11155</v>
      </c>
      <c r="AR853" t="s">
        <v>11172</v>
      </c>
      <c r="AU853">
        <v>4</v>
      </c>
      <c r="AW853" t="s">
        <v>11187</v>
      </c>
      <c r="AZ853" t="s">
        <v>11221</v>
      </c>
      <c r="BE853" t="s">
        <v>12158</v>
      </c>
      <c r="BF853" t="s">
        <v>14364</v>
      </c>
      <c r="BM853" t="s">
        <v>15650</v>
      </c>
    </row>
    <row r="854" spans="1:66">
      <c r="A854" s="1">
        <f>HYPERLINK("https://lsnyc.legalserver.org/matter/dynamic-profile/view/1895818","19-1895818")</f>
        <v>0</v>
      </c>
      <c r="B854" t="s">
        <v>105</v>
      </c>
      <c r="C854" t="s">
        <v>248</v>
      </c>
      <c r="D854" t="s">
        <v>557</v>
      </c>
      <c r="F854" t="s">
        <v>1541</v>
      </c>
      <c r="G854" t="s">
        <v>3313</v>
      </c>
      <c r="H854" t="s">
        <v>5067</v>
      </c>
      <c r="I854" t="s">
        <v>6640</v>
      </c>
      <c r="J854" t="s">
        <v>7174</v>
      </c>
      <c r="K854">
        <v>11217</v>
      </c>
      <c r="N854" t="s">
        <v>7237</v>
      </c>
      <c r="O854" t="s">
        <v>7830</v>
      </c>
      <c r="P854">
        <v>2</v>
      </c>
      <c r="Q854">
        <v>0</v>
      </c>
      <c r="R854">
        <v>330.73</v>
      </c>
      <c r="T854" t="s">
        <v>10276</v>
      </c>
      <c r="U854">
        <v>55927</v>
      </c>
      <c r="W854">
        <v>3</v>
      </c>
      <c r="X854" t="s">
        <v>10264</v>
      </c>
      <c r="Y854" t="s">
        <v>212</v>
      </c>
      <c r="AA854" t="s">
        <v>10974</v>
      </c>
      <c r="AB854" t="s">
        <v>557</v>
      </c>
      <c r="AD854" t="s">
        <v>11090</v>
      </c>
      <c r="AF854" t="s">
        <v>10384</v>
      </c>
      <c r="AG854" t="s">
        <v>11124</v>
      </c>
      <c r="AI854" t="s">
        <v>11126</v>
      </c>
      <c r="AK854" t="s">
        <v>7225</v>
      </c>
      <c r="AM854">
        <v>880.58</v>
      </c>
      <c r="AN854" t="s">
        <v>11151</v>
      </c>
      <c r="AO854" t="s">
        <v>11153</v>
      </c>
      <c r="AP854" t="s">
        <v>11155</v>
      </c>
      <c r="AR854" t="s">
        <v>11172</v>
      </c>
      <c r="AU854">
        <v>7</v>
      </c>
      <c r="AW854" t="s">
        <v>11187</v>
      </c>
      <c r="BA854" t="s">
        <v>11222</v>
      </c>
      <c r="BE854" t="s">
        <v>12165</v>
      </c>
      <c r="BF854" t="s">
        <v>14364</v>
      </c>
      <c r="BM854" t="s">
        <v>15650</v>
      </c>
    </row>
    <row r="855" spans="1:66">
      <c r="A855" s="1">
        <f>HYPERLINK("https://lsnyc.legalserver.org/matter/dynamic-profile/view/1896713","19-1896713")</f>
        <v>0</v>
      </c>
      <c r="B855" t="s">
        <v>105</v>
      </c>
      <c r="C855" t="s">
        <v>248</v>
      </c>
      <c r="D855" t="s">
        <v>585</v>
      </c>
      <c r="F855" t="s">
        <v>1542</v>
      </c>
      <c r="G855" t="s">
        <v>3314</v>
      </c>
      <c r="H855" t="s">
        <v>5076</v>
      </c>
      <c r="I855" t="s">
        <v>6641</v>
      </c>
      <c r="J855" t="s">
        <v>7174</v>
      </c>
      <c r="K855">
        <v>11220</v>
      </c>
      <c r="N855" t="s">
        <v>7237</v>
      </c>
      <c r="O855" t="s">
        <v>7831</v>
      </c>
      <c r="P855">
        <v>3</v>
      </c>
      <c r="Q855">
        <v>0</v>
      </c>
      <c r="R855">
        <v>135.96</v>
      </c>
      <c r="U855">
        <v>29000</v>
      </c>
      <c r="W855">
        <v>4.4</v>
      </c>
      <c r="X855" t="s">
        <v>336</v>
      </c>
      <c r="Y855" t="s">
        <v>212</v>
      </c>
      <c r="AA855" t="s">
        <v>10974</v>
      </c>
      <c r="AB855" t="s">
        <v>585</v>
      </c>
      <c r="AD855" t="s">
        <v>11101</v>
      </c>
      <c r="AF855" t="s">
        <v>11118</v>
      </c>
      <c r="AG855" t="s">
        <v>11124</v>
      </c>
      <c r="AI855" t="s">
        <v>11126</v>
      </c>
      <c r="AK855" t="s">
        <v>7225</v>
      </c>
      <c r="AM855">
        <v>995</v>
      </c>
      <c r="AN855" t="s">
        <v>11151</v>
      </c>
      <c r="AO855" t="s">
        <v>11153</v>
      </c>
      <c r="AQ855" t="s">
        <v>11157</v>
      </c>
      <c r="AR855" t="s">
        <v>11172</v>
      </c>
      <c r="AU855">
        <v>25</v>
      </c>
      <c r="AW855" t="s">
        <v>11187</v>
      </c>
      <c r="AZ855" t="s">
        <v>11221</v>
      </c>
      <c r="BD855" t="s">
        <v>11667</v>
      </c>
      <c r="BF855" t="s">
        <v>14364</v>
      </c>
      <c r="BM855" t="s">
        <v>15650</v>
      </c>
    </row>
    <row r="856" spans="1:66">
      <c r="A856" s="1">
        <f>HYPERLINK("https://lsnyc.legalserver.org/matter/dynamic-profile/view/1892507","19-1892507")</f>
        <v>0</v>
      </c>
      <c r="B856" t="s">
        <v>105</v>
      </c>
      <c r="C856" t="s">
        <v>248</v>
      </c>
      <c r="D856" t="s">
        <v>403</v>
      </c>
      <c r="F856" t="s">
        <v>1506</v>
      </c>
      <c r="G856" t="s">
        <v>3315</v>
      </c>
      <c r="H856" t="s">
        <v>5077</v>
      </c>
      <c r="I856" t="s">
        <v>6422</v>
      </c>
      <c r="J856" t="s">
        <v>7174</v>
      </c>
      <c r="K856">
        <v>11238</v>
      </c>
      <c r="N856" t="s">
        <v>7237</v>
      </c>
      <c r="O856" t="s">
        <v>7832</v>
      </c>
      <c r="P856">
        <v>1</v>
      </c>
      <c r="Q856">
        <v>0</v>
      </c>
      <c r="R856">
        <v>73.11</v>
      </c>
      <c r="U856">
        <v>9132</v>
      </c>
      <c r="W856">
        <v>22</v>
      </c>
      <c r="X856" t="s">
        <v>10264</v>
      </c>
      <c r="Y856" t="s">
        <v>81</v>
      </c>
      <c r="AA856" t="s">
        <v>10974</v>
      </c>
      <c r="AB856" t="s">
        <v>403</v>
      </c>
      <c r="AD856" t="s">
        <v>11082</v>
      </c>
      <c r="AF856" t="s">
        <v>11118</v>
      </c>
      <c r="AH856" t="s">
        <v>10975</v>
      </c>
      <c r="AI856" t="s">
        <v>11126</v>
      </c>
      <c r="AK856" t="s">
        <v>7225</v>
      </c>
      <c r="AM856">
        <v>230.29</v>
      </c>
      <c r="AN856" t="s">
        <v>11151</v>
      </c>
      <c r="AO856" t="s">
        <v>11153</v>
      </c>
      <c r="AQ856" t="s">
        <v>11160</v>
      </c>
      <c r="AR856" t="s">
        <v>11172</v>
      </c>
      <c r="AU856">
        <v>63</v>
      </c>
      <c r="AW856" t="s">
        <v>11187</v>
      </c>
      <c r="AZ856" t="s">
        <v>11221</v>
      </c>
      <c r="BE856" t="s">
        <v>12166</v>
      </c>
      <c r="BG856" t="s">
        <v>14552</v>
      </c>
      <c r="BM856" t="s">
        <v>15650</v>
      </c>
    </row>
    <row r="857" spans="1:66">
      <c r="A857" s="1">
        <f>HYPERLINK("https://lsnyc.legalserver.org/matter/dynamic-profile/view/1898867","19-1898867")</f>
        <v>0</v>
      </c>
      <c r="B857" t="s">
        <v>105</v>
      </c>
      <c r="C857" t="s">
        <v>248</v>
      </c>
      <c r="D857" t="s">
        <v>347</v>
      </c>
      <c r="F857" t="s">
        <v>1187</v>
      </c>
      <c r="G857" t="s">
        <v>3316</v>
      </c>
      <c r="H857" t="s">
        <v>5078</v>
      </c>
      <c r="I857">
        <v>4</v>
      </c>
      <c r="J857" t="s">
        <v>7174</v>
      </c>
      <c r="K857">
        <v>11232</v>
      </c>
      <c r="N857" t="s">
        <v>7237</v>
      </c>
      <c r="O857" t="s">
        <v>7833</v>
      </c>
      <c r="P857">
        <v>1</v>
      </c>
      <c r="Q857">
        <v>0</v>
      </c>
      <c r="R857">
        <v>73.02</v>
      </c>
      <c r="U857">
        <v>9120</v>
      </c>
      <c r="W857">
        <v>1.4</v>
      </c>
      <c r="X857" t="s">
        <v>322</v>
      </c>
      <c r="Y857" t="s">
        <v>81</v>
      </c>
      <c r="AA857" t="s">
        <v>10974</v>
      </c>
      <c r="AB857" t="s">
        <v>347</v>
      </c>
      <c r="AC857" t="s">
        <v>11081</v>
      </c>
      <c r="AF857" t="s">
        <v>11120</v>
      </c>
      <c r="AH857" t="s">
        <v>10975</v>
      </c>
      <c r="AI857" t="s">
        <v>11126</v>
      </c>
      <c r="AK857" t="s">
        <v>7225</v>
      </c>
      <c r="AL857" t="s">
        <v>11150</v>
      </c>
      <c r="AM857">
        <v>0</v>
      </c>
      <c r="AN857" t="s">
        <v>11151</v>
      </c>
      <c r="AO857" t="s">
        <v>11153</v>
      </c>
      <c r="AP857" t="s">
        <v>11155</v>
      </c>
      <c r="AR857" t="s">
        <v>11172</v>
      </c>
      <c r="AT857" t="s">
        <v>11184</v>
      </c>
      <c r="AU857">
        <v>0</v>
      </c>
      <c r="AW857" t="s">
        <v>11187</v>
      </c>
      <c r="AZ857" t="s">
        <v>11221</v>
      </c>
      <c r="BE857" t="s">
        <v>12167</v>
      </c>
      <c r="BF857" t="s">
        <v>14364</v>
      </c>
      <c r="BM857" t="s">
        <v>15650</v>
      </c>
    </row>
    <row r="858" spans="1:66">
      <c r="A858" s="1">
        <f>HYPERLINK("https://lsnyc.legalserver.org/matter/dynamic-profile/view/1909273","19-1909273")</f>
        <v>0</v>
      </c>
      <c r="B858" t="s">
        <v>105</v>
      </c>
      <c r="C858" t="s">
        <v>248</v>
      </c>
      <c r="D858" t="s">
        <v>375</v>
      </c>
      <c r="F858" t="s">
        <v>1497</v>
      </c>
      <c r="G858" t="s">
        <v>3317</v>
      </c>
      <c r="H858" t="s">
        <v>5079</v>
      </c>
      <c r="J858" t="s">
        <v>7174</v>
      </c>
      <c r="K858">
        <v>11217</v>
      </c>
      <c r="N858" t="s">
        <v>7237</v>
      </c>
      <c r="O858" t="s">
        <v>7834</v>
      </c>
      <c r="P858">
        <v>2</v>
      </c>
      <c r="Q858">
        <v>1</v>
      </c>
      <c r="R858">
        <v>93.76000000000001</v>
      </c>
      <c r="U858">
        <v>20000</v>
      </c>
      <c r="W858">
        <v>2.1</v>
      </c>
      <c r="X858" t="s">
        <v>305</v>
      </c>
      <c r="Y858" t="s">
        <v>81</v>
      </c>
      <c r="AA858" t="s">
        <v>10974</v>
      </c>
      <c r="AB858" t="s">
        <v>375</v>
      </c>
      <c r="AD858" t="s">
        <v>11100</v>
      </c>
      <c r="AF858" t="s">
        <v>11120</v>
      </c>
      <c r="AG858" t="s">
        <v>11124</v>
      </c>
      <c r="AI858" t="s">
        <v>11126</v>
      </c>
      <c r="AK858" t="s">
        <v>7225</v>
      </c>
      <c r="AL858" t="s">
        <v>11150</v>
      </c>
      <c r="AM858">
        <v>0</v>
      </c>
      <c r="AO858">
        <v>20</v>
      </c>
      <c r="AP858" t="s">
        <v>11155</v>
      </c>
      <c r="AR858" t="s">
        <v>11172</v>
      </c>
      <c r="AT858" t="s">
        <v>11184</v>
      </c>
      <c r="AU858">
        <v>0</v>
      </c>
      <c r="AW858" t="s">
        <v>11200</v>
      </c>
      <c r="BA858" t="s">
        <v>11222</v>
      </c>
      <c r="BE858" t="s">
        <v>12168</v>
      </c>
      <c r="BF858" t="s">
        <v>14364</v>
      </c>
      <c r="BM858" t="s">
        <v>15650</v>
      </c>
    </row>
    <row r="859" spans="1:66">
      <c r="A859" s="1">
        <f>HYPERLINK("https://lsnyc.legalserver.org/matter/dynamic-profile/view/1891206","19-1891206")</f>
        <v>0</v>
      </c>
      <c r="B859" t="s">
        <v>105</v>
      </c>
      <c r="C859" t="s">
        <v>248</v>
      </c>
      <c r="D859" t="s">
        <v>586</v>
      </c>
      <c r="F859" t="s">
        <v>1187</v>
      </c>
      <c r="G859" t="s">
        <v>3316</v>
      </c>
      <c r="H859" t="s">
        <v>5078</v>
      </c>
      <c r="I859">
        <v>4</v>
      </c>
      <c r="J859" t="s">
        <v>7174</v>
      </c>
      <c r="K859">
        <v>11232</v>
      </c>
      <c r="N859" t="s">
        <v>7237</v>
      </c>
      <c r="O859" t="s">
        <v>7833</v>
      </c>
      <c r="P859">
        <v>1</v>
      </c>
      <c r="Q859">
        <v>0</v>
      </c>
      <c r="R859">
        <v>73.02</v>
      </c>
      <c r="U859">
        <v>9120</v>
      </c>
      <c r="W859">
        <v>12.2</v>
      </c>
      <c r="X859" t="s">
        <v>373</v>
      </c>
      <c r="Y859" t="s">
        <v>81</v>
      </c>
      <c r="AA859" t="s">
        <v>10974</v>
      </c>
      <c r="AB859" t="s">
        <v>586</v>
      </c>
      <c r="AD859" t="s">
        <v>11082</v>
      </c>
      <c r="AF859" t="s">
        <v>11118</v>
      </c>
      <c r="AG859" t="s">
        <v>11124</v>
      </c>
      <c r="AJ859" t="s">
        <v>11141</v>
      </c>
      <c r="AK859" t="s">
        <v>7225</v>
      </c>
      <c r="AM859">
        <v>1147.63</v>
      </c>
      <c r="AN859" t="s">
        <v>11151</v>
      </c>
      <c r="AO859" t="s">
        <v>11153</v>
      </c>
      <c r="AQ859" t="s">
        <v>11157</v>
      </c>
      <c r="AS859" t="s">
        <v>11174</v>
      </c>
      <c r="AU859">
        <v>23</v>
      </c>
      <c r="AW859" t="s">
        <v>11187</v>
      </c>
      <c r="AZ859" t="s">
        <v>11221</v>
      </c>
      <c r="BE859" t="s">
        <v>12167</v>
      </c>
      <c r="BG859" t="s">
        <v>14553</v>
      </c>
      <c r="BI859" t="s">
        <v>15609</v>
      </c>
      <c r="BM859" t="s">
        <v>15650</v>
      </c>
      <c r="BN859" t="s">
        <v>15652</v>
      </c>
    </row>
    <row r="860" spans="1:66">
      <c r="A860" s="1">
        <f>HYPERLINK("https://lsnyc.legalserver.org/matter/dynamic-profile/view/1900735","19-1900735")</f>
        <v>0</v>
      </c>
      <c r="B860" t="s">
        <v>105</v>
      </c>
      <c r="C860" t="s">
        <v>248</v>
      </c>
      <c r="D860" t="s">
        <v>582</v>
      </c>
      <c r="F860" t="s">
        <v>1543</v>
      </c>
      <c r="G860" t="s">
        <v>3318</v>
      </c>
      <c r="H860" t="s">
        <v>5075</v>
      </c>
      <c r="I860">
        <v>8</v>
      </c>
      <c r="J860" t="s">
        <v>7174</v>
      </c>
      <c r="K860">
        <v>11226</v>
      </c>
      <c r="N860" t="s">
        <v>7237</v>
      </c>
      <c r="O860" t="s">
        <v>7835</v>
      </c>
      <c r="P860">
        <v>3</v>
      </c>
      <c r="Q860">
        <v>1</v>
      </c>
      <c r="R860">
        <v>153.48</v>
      </c>
      <c r="U860">
        <v>39520</v>
      </c>
      <c r="W860">
        <v>0</v>
      </c>
      <c r="Y860" t="s">
        <v>81</v>
      </c>
      <c r="AA860" t="s">
        <v>10974</v>
      </c>
      <c r="AB860" t="s">
        <v>582</v>
      </c>
      <c r="AC860" t="s">
        <v>11081</v>
      </c>
      <c r="AF860" t="s">
        <v>11118</v>
      </c>
      <c r="AH860" t="s">
        <v>10974</v>
      </c>
      <c r="AI860" t="s">
        <v>11126</v>
      </c>
      <c r="AK860" t="s">
        <v>7225</v>
      </c>
      <c r="AM860">
        <v>763.86</v>
      </c>
      <c r="AN860" t="s">
        <v>11151</v>
      </c>
      <c r="AO860" t="s">
        <v>11153</v>
      </c>
      <c r="AP860" t="s">
        <v>11155</v>
      </c>
      <c r="AR860" t="s">
        <v>11172</v>
      </c>
      <c r="AU860">
        <v>18</v>
      </c>
      <c r="AW860" t="s">
        <v>11187</v>
      </c>
      <c r="AZ860" t="s">
        <v>11221</v>
      </c>
      <c r="BE860" t="s">
        <v>12169</v>
      </c>
      <c r="BF860" t="s">
        <v>14364</v>
      </c>
      <c r="BM860" t="s">
        <v>15650</v>
      </c>
    </row>
    <row r="861" spans="1:66">
      <c r="A861" s="1">
        <f>HYPERLINK("https://lsnyc.legalserver.org/matter/dynamic-profile/view/1908391","19-1908391")</f>
        <v>0</v>
      </c>
      <c r="B861" t="s">
        <v>105</v>
      </c>
      <c r="C861" t="s">
        <v>248</v>
      </c>
      <c r="D861" t="s">
        <v>565</v>
      </c>
      <c r="F861" t="s">
        <v>1544</v>
      </c>
      <c r="G861" t="s">
        <v>3319</v>
      </c>
      <c r="H861" t="s">
        <v>5070</v>
      </c>
      <c r="I861" t="s">
        <v>6642</v>
      </c>
      <c r="J861" t="s">
        <v>7174</v>
      </c>
      <c r="K861">
        <v>11219</v>
      </c>
      <c r="N861" t="s">
        <v>7237</v>
      </c>
      <c r="O861" t="s">
        <v>7836</v>
      </c>
      <c r="P861">
        <v>3</v>
      </c>
      <c r="Q861">
        <v>0</v>
      </c>
      <c r="R861">
        <v>234.6</v>
      </c>
      <c r="U861">
        <v>50040</v>
      </c>
      <c r="W861">
        <v>10.4</v>
      </c>
      <c r="X861" t="s">
        <v>565</v>
      </c>
      <c r="Y861" t="s">
        <v>212</v>
      </c>
      <c r="AA861" t="s">
        <v>10974</v>
      </c>
      <c r="AB861" t="s">
        <v>565</v>
      </c>
      <c r="AD861" t="s">
        <v>11100</v>
      </c>
      <c r="AF861" t="s">
        <v>11120</v>
      </c>
      <c r="AH861" t="s">
        <v>10974</v>
      </c>
      <c r="AI861" t="s">
        <v>11126</v>
      </c>
      <c r="AK861" t="s">
        <v>7225</v>
      </c>
      <c r="AL861" t="s">
        <v>11150</v>
      </c>
      <c r="AM861">
        <v>0</v>
      </c>
      <c r="AO861">
        <v>20</v>
      </c>
      <c r="AP861" t="s">
        <v>11155</v>
      </c>
      <c r="AR861" t="s">
        <v>11172</v>
      </c>
      <c r="AT861" t="s">
        <v>11184</v>
      </c>
      <c r="AU861">
        <v>0</v>
      </c>
      <c r="AW861" t="s">
        <v>11201</v>
      </c>
      <c r="AZ861" t="s">
        <v>11221</v>
      </c>
      <c r="BE861" t="s">
        <v>12170</v>
      </c>
      <c r="BF861" t="s">
        <v>14364</v>
      </c>
      <c r="BM861" t="s">
        <v>15650</v>
      </c>
    </row>
    <row r="862" spans="1:66">
      <c r="A862" s="1">
        <f>HYPERLINK("https://lsnyc.legalserver.org/matter/dynamic-profile/view/1899784","19-1899784")</f>
        <v>0</v>
      </c>
      <c r="B862" t="s">
        <v>105</v>
      </c>
      <c r="C862" t="s">
        <v>248</v>
      </c>
      <c r="D862" t="s">
        <v>560</v>
      </c>
      <c r="F862" t="s">
        <v>1539</v>
      </c>
      <c r="G862" t="s">
        <v>1192</v>
      </c>
      <c r="H862" t="s">
        <v>5067</v>
      </c>
      <c r="I862" t="s">
        <v>6430</v>
      </c>
      <c r="J862" t="s">
        <v>7174</v>
      </c>
      <c r="K862">
        <v>11217</v>
      </c>
      <c r="N862" t="s">
        <v>7237</v>
      </c>
      <c r="O862" t="s">
        <v>7828</v>
      </c>
      <c r="P862">
        <v>1</v>
      </c>
      <c r="Q862">
        <v>0</v>
      </c>
      <c r="R862">
        <v>0</v>
      </c>
      <c r="U862">
        <v>0</v>
      </c>
      <c r="W862">
        <v>51.7</v>
      </c>
      <c r="X862" t="s">
        <v>976</v>
      </c>
      <c r="Y862" t="s">
        <v>81</v>
      </c>
      <c r="AA862" t="s">
        <v>10974</v>
      </c>
      <c r="AB862" t="s">
        <v>584</v>
      </c>
      <c r="AD862" t="s">
        <v>11101</v>
      </c>
      <c r="AF862" t="s">
        <v>11122</v>
      </c>
      <c r="AG862" t="s">
        <v>11124</v>
      </c>
      <c r="AI862" t="s">
        <v>11126</v>
      </c>
      <c r="AK862" t="s">
        <v>7225</v>
      </c>
      <c r="AM862">
        <v>626.29</v>
      </c>
      <c r="AN862" t="s">
        <v>11151</v>
      </c>
      <c r="AO862" t="s">
        <v>11153</v>
      </c>
      <c r="AP862" t="s">
        <v>11155</v>
      </c>
      <c r="AR862" t="s">
        <v>11172</v>
      </c>
      <c r="AT862" t="s">
        <v>11184</v>
      </c>
      <c r="AU862">
        <v>0</v>
      </c>
      <c r="AW862" t="s">
        <v>11187</v>
      </c>
      <c r="AZ862" t="s">
        <v>11221</v>
      </c>
      <c r="BE862" t="s">
        <v>12163</v>
      </c>
      <c r="BF862" t="s">
        <v>14364</v>
      </c>
      <c r="BM862" t="s">
        <v>15650</v>
      </c>
    </row>
    <row r="863" spans="1:66">
      <c r="A863" s="1">
        <f>HYPERLINK("https://lsnyc.legalserver.org/matter/dynamic-profile/view/1899835","19-1899835")</f>
        <v>0</v>
      </c>
      <c r="B863" t="s">
        <v>105</v>
      </c>
      <c r="C863" t="s">
        <v>248</v>
      </c>
      <c r="D863" t="s">
        <v>560</v>
      </c>
      <c r="F863" t="s">
        <v>1157</v>
      </c>
      <c r="G863" t="s">
        <v>3304</v>
      </c>
      <c r="H863" t="s">
        <v>5067</v>
      </c>
      <c r="I863" t="s">
        <v>6491</v>
      </c>
      <c r="J863" t="s">
        <v>7174</v>
      </c>
      <c r="K863">
        <v>11217</v>
      </c>
      <c r="N863" t="s">
        <v>7237</v>
      </c>
      <c r="O863" t="s">
        <v>7817</v>
      </c>
      <c r="P863">
        <v>1</v>
      </c>
      <c r="Q863">
        <v>0</v>
      </c>
      <c r="R863">
        <v>0</v>
      </c>
      <c r="U863">
        <v>0</v>
      </c>
      <c r="W863">
        <v>8.199999999999999</v>
      </c>
      <c r="X863" t="s">
        <v>269</v>
      </c>
      <c r="Y863" t="s">
        <v>81</v>
      </c>
      <c r="AA863" t="s">
        <v>10974</v>
      </c>
      <c r="AB863" t="s">
        <v>382</v>
      </c>
      <c r="AD863" t="s">
        <v>11101</v>
      </c>
      <c r="AF863" t="s">
        <v>11118</v>
      </c>
      <c r="AH863" t="s">
        <v>10974</v>
      </c>
      <c r="AI863" t="s">
        <v>11126</v>
      </c>
      <c r="AK863" t="s">
        <v>7225</v>
      </c>
      <c r="AM863">
        <v>869.85</v>
      </c>
      <c r="AN863" t="s">
        <v>11151</v>
      </c>
      <c r="AO863" t="s">
        <v>11153</v>
      </c>
      <c r="AP863" t="s">
        <v>11155</v>
      </c>
      <c r="AR863" t="s">
        <v>11172</v>
      </c>
      <c r="AU863">
        <v>10</v>
      </c>
      <c r="AW863" t="s">
        <v>11187</v>
      </c>
      <c r="AZ863" t="s">
        <v>11221</v>
      </c>
      <c r="BE863" t="s">
        <v>12156</v>
      </c>
      <c r="BF863" t="s">
        <v>14364</v>
      </c>
      <c r="BM863" t="s">
        <v>15650</v>
      </c>
    </row>
    <row r="864" spans="1:66">
      <c r="A864" s="1">
        <f>HYPERLINK("https://lsnyc.legalserver.org/matter/dynamic-profile/view/1896717","19-1896717")</f>
        <v>0</v>
      </c>
      <c r="B864" t="s">
        <v>105</v>
      </c>
      <c r="C864" t="s">
        <v>248</v>
      </c>
      <c r="D864" t="s">
        <v>585</v>
      </c>
      <c r="F864" t="s">
        <v>1542</v>
      </c>
      <c r="G864" t="s">
        <v>3314</v>
      </c>
      <c r="H864" t="s">
        <v>5076</v>
      </c>
      <c r="I864" t="s">
        <v>6641</v>
      </c>
      <c r="J864" t="s">
        <v>7174</v>
      </c>
      <c r="K864">
        <v>11220</v>
      </c>
      <c r="N864" t="s">
        <v>7237</v>
      </c>
      <c r="O864" t="s">
        <v>7831</v>
      </c>
      <c r="P864">
        <v>3</v>
      </c>
      <c r="Q864">
        <v>0</v>
      </c>
      <c r="R864">
        <v>135.96</v>
      </c>
      <c r="U864">
        <v>29000</v>
      </c>
      <c r="W864">
        <v>17.3</v>
      </c>
      <c r="X864" t="s">
        <v>345</v>
      </c>
      <c r="Y864" t="s">
        <v>212</v>
      </c>
      <c r="Z864" t="s">
        <v>10972</v>
      </c>
      <c r="AA864" t="s">
        <v>10975</v>
      </c>
      <c r="AD864" t="s">
        <v>11083</v>
      </c>
      <c r="AF864" t="s">
        <v>11121</v>
      </c>
      <c r="AG864" t="s">
        <v>11124</v>
      </c>
      <c r="AI864" t="s">
        <v>11126</v>
      </c>
      <c r="AK864" t="s">
        <v>7225</v>
      </c>
      <c r="AM864">
        <v>995</v>
      </c>
      <c r="AN864" t="s">
        <v>11151</v>
      </c>
      <c r="AO864" t="s">
        <v>11153</v>
      </c>
      <c r="AQ864" t="s">
        <v>11157</v>
      </c>
      <c r="AR864" t="s">
        <v>11172</v>
      </c>
      <c r="AU864">
        <v>25</v>
      </c>
      <c r="AW864" t="s">
        <v>11187</v>
      </c>
      <c r="AX864" t="s">
        <v>11212</v>
      </c>
      <c r="AZ864" t="s">
        <v>11221</v>
      </c>
      <c r="BD864" t="s">
        <v>11667</v>
      </c>
      <c r="BF864" t="s">
        <v>14364</v>
      </c>
      <c r="BM864" t="s">
        <v>15650</v>
      </c>
    </row>
    <row r="865" spans="1:65">
      <c r="A865" s="1">
        <f>HYPERLINK("https://lsnyc.legalserver.org/matter/dynamic-profile/view/1896710","19-1896710")</f>
        <v>0</v>
      </c>
      <c r="B865" t="s">
        <v>105</v>
      </c>
      <c r="C865" t="s">
        <v>248</v>
      </c>
      <c r="D865" t="s">
        <v>585</v>
      </c>
      <c r="F865" t="s">
        <v>1540</v>
      </c>
      <c r="G865" t="s">
        <v>1656</v>
      </c>
      <c r="H865" t="s">
        <v>5075</v>
      </c>
      <c r="I865">
        <v>15</v>
      </c>
      <c r="J865" t="s">
        <v>7174</v>
      </c>
      <c r="K865">
        <v>11226</v>
      </c>
      <c r="N865" t="s">
        <v>7237</v>
      </c>
      <c r="O865" t="s">
        <v>7829</v>
      </c>
      <c r="P865">
        <v>3</v>
      </c>
      <c r="Q865">
        <v>0</v>
      </c>
      <c r="R865">
        <v>328.18</v>
      </c>
      <c r="U865">
        <v>70000</v>
      </c>
      <c r="V865" t="s">
        <v>10347</v>
      </c>
      <c r="W865">
        <v>0.1</v>
      </c>
      <c r="X865" t="s">
        <v>447</v>
      </c>
      <c r="Y865" t="s">
        <v>81</v>
      </c>
      <c r="AA865" t="s">
        <v>10974</v>
      </c>
      <c r="AB865" t="s">
        <v>472</v>
      </c>
      <c r="AD865" t="s">
        <v>11101</v>
      </c>
      <c r="AF865" t="s">
        <v>11118</v>
      </c>
      <c r="AH865" t="s">
        <v>10974</v>
      </c>
      <c r="AI865" t="s">
        <v>11126</v>
      </c>
      <c r="AK865" t="s">
        <v>7225</v>
      </c>
      <c r="AM865">
        <v>717</v>
      </c>
      <c r="AN865" t="s">
        <v>11151</v>
      </c>
      <c r="AO865" t="s">
        <v>11153</v>
      </c>
      <c r="AP865" t="s">
        <v>11155</v>
      </c>
      <c r="AR865" t="s">
        <v>11172</v>
      </c>
      <c r="AU865">
        <v>14</v>
      </c>
      <c r="AW865" t="s">
        <v>11187</v>
      </c>
      <c r="AZ865" t="s">
        <v>11221</v>
      </c>
      <c r="BE865" t="s">
        <v>12164</v>
      </c>
      <c r="BF865" t="s">
        <v>14364</v>
      </c>
      <c r="BM865" t="s">
        <v>15650</v>
      </c>
    </row>
    <row r="866" spans="1:65">
      <c r="A866" s="1">
        <f>HYPERLINK("https://lsnyc.legalserver.org/matter/dynamic-profile/view/1888825","19-1888825")</f>
        <v>0</v>
      </c>
      <c r="B866" t="s">
        <v>105</v>
      </c>
      <c r="C866" t="s">
        <v>248</v>
      </c>
      <c r="D866" t="s">
        <v>587</v>
      </c>
      <c r="F866" t="s">
        <v>1545</v>
      </c>
      <c r="G866" t="s">
        <v>3320</v>
      </c>
      <c r="H866" t="s">
        <v>5080</v>
      </c>
      <c r="J866" t="s">
        <v>7174</v>
      </c>
      <c r="K866">
        <v>11215</v>
      </c>
      <c r="N866" t="s">
        <v>7237</v>
      </c>
      <c r="O866" t="s">
        <v>7837</v>
      </c>
      <c r="P866">
        <v>1</v>
      </c>
      <c r="Q866">
        <v>0</v>
      </c>
      <c r="R866">
        <v>139.6</v>
      </c>
      <c r="U866">
        <v>17436</v>
      </c>
      <c r="W866">
        <v>4.8</v>
      </c>
      <c r="X866" t="s">
        <v>896</v>
      </c>
      <c r="Y866" t="s">
        <v>81</v>
      </c>
      <c r="AA866" t="s">
        <v>10974</v>
      </c>
      <c r="AB866" t="s">
        <v>558</v>
      </c>
      <c r="AD866" t="s">
        <v>11082</v>
      </c>
      <c r="AF866" t="s">
        <v>11118</v>
      </c>
      <c r="AH866" t="s">
        <v>10975</v>
      </c>
      <c r="AI866" t="s">
        <v>11126</v>
      </c>
      <c r="AK866" t="s">
        <v>7225</v>
      </c>
      <c r="AM866">
        <v>1252.83</v>
      </c>
      <c r="AN866" t="s">
        <v>11151</v>
      </c>
      <c r="AO866" t="s">
        <v>11153</v>
      </c>
      <c r="AP866" t="s">
        <v>11155</v>
      </c>
      <c r="AR866" t="s">
        <v>11172</v>
      </c>
      <c r="AU866">
        <v>23</v>
      </c>
      <c r="AW866" t="s">
        <v>11187</v>
      </c>
      <c r="AZ866" t="s">
        <v>11221</v>
      </c>
      <c r="BE866" t="s">
        <v>12171</v>
      </c>
      <c r="BG866" t="s">
        <v>14554</v>
      </c>
      <c r="BM866" t="s">
        <v>15650</v>
      </c>
    </row>
    <row r="867" spans="1:65">
      <c r="A867" s="1">
        <f>HYPERLINK("https://lsnyc.legalserver.org/matter/dynamic-profile/view/1909425","19-1909425")</f>
        <v>0</v>
      </c>
      <c r="B867" t="s">
        <v>105</v>
      </c>
      <c r="C867" t="s">
        <v>248</v>
      </c>
      <c r="D867" t="s">
        <v>270</v>
      </c>
      <c r="F867" t="s">
        <v>1546</v>
      </c>
      <c r="G867" t="s">
        <v>3321</v>
      </c>
      <c r="H867" t="s">
        <v>5070</v>
      </c>
      <c r="I867" t="s">
        <v>6418</v>
      </c>
      <c r="J867" t="s">
        <v>7174</v>
      </c>
      <c r="K867">
        <v>11219</v>
      </c>
      <c r="N867" t="s">
        <v>7237</v>
      </c>
      <c r="O867" t="s">
        <v>7700</v>
      </c>
      <c r="P867">
        <v>2</v>
      </c>
      <c r="Q867">
        <v>0</v>
      </c>
      <c r="R867">
        <v>626.85</v>
      </c>
      <c r="U867">
        <v>106000</v>
      </c>
      <c r="W867">
        <v>0.2</v>
      </c>
      <c r="X867" t="s">
        <v>270</v>
      </c>
      <c r="Y867" t="s">
        <v>212</v>
      </c>
      <c r="AA867" t="s">
        <v>10974</v>
      </c>
      <c r="AB867" t="s">
        <v>270</v>
      </c>
      <c r="AC867" t="s">
        <v>11081</v>
      </c>
      <c r="AF867" t="s">
        <v>11120</v>
      </c>
      <c r="AH867" t="s">
        <v>10974</v>
      </c>
      <c r="AI867" t="s">
        <v>11126</v>
      </c>
      <c r="AK867" t="s">
        <v>7225</v>
      </c>
      <c r="AL867" t="s">
        <v>11150</v>
      </c>
      <c r="AM867">
        <v>0</v>
      </c>
      <c r="AO867">
        <v>20</v>
      </c>
      <c r="AP867" t="s">
        <v>11155</v>
      </c>
      <c r="AR867" t="s">
        <v>11172</v>
      </c>
      <c r="AT867" t="s">
        <v>11184</v>
      </c>
      <c r="AU867">
        <v>0</v>
      </c>
      <c r="AW867" t="s">
        <v>11202</v>
      </c>
      <c r="BA867" t="s">
        <v>11222</v>
      </c>
      <c r="BE867" t="s">
        <v>12172</v>
      </c>
      <c r="BF867" t="s">
        <v>14364</v>
      </c>
      <c r="BM867" t="s">
        <v>15650</v>
      </c>
    </row>
    <row r="868" spans="1:65">
      <c r="A868" s="1">
        <f>HYPERLINK("https://lsnyc.legalserver.org/matter/dynamic-profile/view/1888138","19-1888138")</f>
        <v>0</v>
      </c>
      <c r="B868" t="s">
        <v>105</v>
      </c>
      <c r="C868" t="s">
        <v>248</v>
      </c>
      <c r="D868" t="s">
        <v>588</v>
      </c>
      <c r="F868" t="s">
        <v>1459</v>
      </c>
      <c r="G868" t="s">
        <v>1279</v>
      </c>
      <c r="H868" t="s">
        <v>5081</v>
      </c>
      <c r="I868" t="s">
        <v>6449</v>
      </c>
      <c r="J868" t="s">
        <v>7174</v>
      </c>
      <c r="K868">
        <v>11226</v>
      </c>
      <c r="N868" t="s">
        <v>7237</v>
      </c>
      <c r="O868" t="s">
        <v>7838</v>
      </c>
      <c r="P868">
        <v>1</v>
      </c>
      <c r="Q868">
        <v>0</v>
      </c>
      <c r="R868">
        <v>107.08</v>
      </c>
      <c r="U868">
        <v>13000</v>
      </c>
      <c r="W868">
        <v>16</v>
      </c>
      <c r="X868" t="s">
        <v>1008</v>
      </c>
      <c r="Y868" t="s">
        <v>81</v>
      </c>
      <c r="AA868" t="s">
        <v>10974</v>
      </c>
      <c r="AB868" t="s">
        <v>329</v>
      </c>
      <c r="AD868" t="s">
        <v>11083</v>
      </c>
      <c r="AF868" t="s">
        <v>11118</v>
      </c>
      <c r="AG868" t="s">
        <v>11124</v>
      </c>
      <c r="AI868" t="s">
        <v>11126</v>
      </c>
      <c r="AK868" t="s">
        <v>7225</v>
      </c>
      <c r="AM868">
        <v>1428.11</v>
      </c>
      <c r="AN868" t="s">
        <v>11151</v>
      </c>
      <c r="AO868" t="s">
        <v>11153</v>
      </c>
      <c r="AP868" t="s">
        <v>11155</v>
      </c>
      <c r="AR868" t="s">
        <v>11172</v>
      </c>
      <c r="AU868">
        <v>12</v>
      </c>
      <c r="AW868" t="s">
        <v>11199</v>
      </c>
      <c r="AZ868" t="s">
        <v>11221</v>
      </c>
      <c r="BE868" t="s">
        <v>12173</v>
      </c>
      <c r="BG868" t="s">
        <v>14555</v>
      </c>
      <c r="BM868" t="s">
        <v>15650</v>
      </c>
    </row>
    <row r="869" spans="1:65">
      <c r="A869" s="1">
        <f>HYPERLINK("https://lsnyc.legalserver.org/matter/dynamic-profile/view/1907798","19-1907798")</f>
        <v>0</v>
      </c>
      <c r="B869" t="s">
        <v>105</v>
      </c>
      <c r="C869" t="s">
        <v>248</v>
      </c>
      <c r="D869" t="s">
        <v>570</v>
      </c>
      <c r="F869" t="s">
        <v>1472</v>
      </c>
      <c r="G869" t="s">
        <v>3322</v>
      </c>
      <c r="H869" t="s">
        <v>5072</v>
      </c>
      <c r="I869" t="s">
        <v>6643</v>
      </c>
      <c r="J869" t="s">
        <v>7174</v>
      </c>
      <c r="K869">
        <v>11217</v>
      </c>
      <c r="N869" t="s">
        <v>7237</v>
      </c>
      <c r="O869" t="s">
        <v>7839</v>
      </c>
      <c r="P869">
        <v>1</v>
      </c>
      <c r="Q869">
        <v>2</v>
      </c>
      <c r="R869">
        <v>59.24</v>
      </c>
      <c r="U869">
        <v>12636</v>
      </c>
      <c r="W869">
        <v>9.949999999999999</v>
      </c>
      <c r="X869" t="s">
        <v>426</v>
      </c>
      <c r="Y869" t="s">
        <v>10892</v>
      </c>
      <c r="AA869" t="s">
        <v>10974</v>
      </c>
      <c r="AB869" t="s">
        <v>443</v>
      </c>
      <c r="AD869" t="s">
        <v>11085</v>
      </c>
      <c r="AF869" t="s">
        <v>11118</v>
      </c>
      <c r="AG869" t="s">
        <v>11124</v>
      </c>
      <c r="AJ869" t="s">
        <v>11104</v>
      </c>
      <c r="AK869" t="s">
        <v>7225</v>
      </c>
      <c r="AM869">
        <v>1900</v>
      </c>
      <c r="AO869">
        <v>8</v>
      </c>
      <c r="AP869" t="s">
        <v>11155</v>
      </c>
      <c r="AR869" t="s">
        <v>11172</v>
      </c>
      <c r="AU869">
        <v>18</v>
      </c>
      <c r="AW869" t="s">
        <v>11189</v>
      </c>
      <c r="BA869" t="s">
        <v>11222</v>
      </c>
      <c r="BE869" t="s">
        <v>12174</v>
      </c>
      <c r="BF869" t="s">
        <v>14364</v>
      </c>
      <c r="BM869" t="s">
        <v>15650</v>
      </c>
    </row>
    <row r="870" spans="1:65">
      <c r="A870" s="1">
        <f>HYPERLINK("https://lsnyc.legalserver.org/matter/dynamic-profile/view/1901330","19-1901330")</f>
        <v>0</v>
      </c>
      <c r="B870" t="s">
        <v>105</v>
      </c>
      <c r="C870" t="s">
        <v>248</v>
      </c>
      <c r="D870" t="s">
        <v>589</v>
      </c>
      <c r="F870" t="s">
        <v>1547</v>
      </c>
      <c r="G870" t="s">
        <v>3323</v>
      </c>
      <c r="H870" t="s">
        <v>5066</v>
      </c>
      <c r="I870" t="s">
        <v>6437</v>
      </c>
      <c r="J870" t="s">
        <v>7174</v>
      </c>
      <c r="K870">
        <v>11226</v>
      </c>
      <c r="N870" t="s">
        <v>7237</v>
      </c>
      <c r="O870" t="s">
        <v>7840</v>
      </c>
      <c r="P870">
        <v>4</v>
      </c>
      <c r="Q870">
        <v>0</v>
      </c>
      <c r="R870">
        <v>248.54</v>
      </c>
      <c r="U870">
        <v>64000</v>
      </c>
      <c r="W870">
        <v>0.1</v>
      </c>
      <c r="X870" t="s">
        <v>447</v>
      </c>
      <c r="Y870" t="s">
        <v>81</v>
      </c>
      <c r="AA870" t="s">
        <v>10974</v>
      </c>
      <c r="AB870" t="s">
        <v>589</v>
      </c>
      <c r="AC870" t="s">
        <v>11081</v>
      </c>
      <c r="AF870" t="s">
        <v>11118</v>
      </c>
      <c r="AH870" t="s">
        <v>10974</v>
      </c>
      <c r="AI870" t="s">
        <v>11126</v>
      </c>
      <c r="AK870" t="s">
        <v>7225</v>
      </c>
      <c r="AM870">
        <v>988.01</v>
      </c>
      <c r="AN870" t="s">
        <v>11151</v>
      </c>
      <c r="AO870" t="s">
        <v>11153</v>
      </c>
      <c r="AP870" t="s">
        <v>11155</v>
      </c>
      <c r="AR870" t="s">
        <v>11172</v>
      </c>
      <c r="AU870">
        <v>30</v>
      </c>
      <c r="AW870" t="s">
        <v>11187</v>
      </c>
      <c r="BA870" t="s">
        <v>11222</v>
      </c>
      <c r="BD870" t="s">
        <v>11667</v>
      </c>
      <c r="BF870" t="s">
        <v>14364</v>
      </c>
      <c r="BM870" t="s">
        <v>15650</v>
      </c>
    </row>
    <row r="871" spans="1:65">
      <c r="A871" s="1">
        <f>HYPERLINK("https://lsnyc.legalserver.org/matter/dynamic-profile/view/1901285","19-1901285")</f>
        <v>0</v>
      </c>
      <c r="B871" t="s">
        <v>105</v>
      </c>
      <c r="C871" t="s">
        <v>248</v>
      </c>
      <c r="D871" t="s">
        <v>590</v>
      </c>
      <c r="F871" t="s">
        <v>1547</v>
      </c>
      <c r="G871" t="s">
        <v>3323</v>
      </c>
      <c r="H871" t="s">
        <v>5066</v>
      </c>
      <c r="I871" t="s">
        <v>6437</v>
      </c>
      <c r="J871" t="s">
        <v>7174</v>
      </c>
      <c r="K871">
        <v>11226</v>
      </c>
      <c r="N871" t="s">
        <v>7237</v>
      </c>
      <c r="O871" t="s">
        <v>7840</v>
      </c>
      <c r="P871">
        <v>4</v>
      </c>
      <c r="Q871">
        <v>0</v>
      </c>
      <c r="R871">
        <v>248.54</v>
      </c>
      <c r="U871">
        <v>64000</v>
      </c>
      <c r="W871">
        <v>0</v>
      </c>
      <c r="Y871" t="s">
        <v>81</v>
      </c>
      <c r="AA871" t="s">
        <v>10974</v>
      </c>
      <c r="AB871" t="s">
        <v>590</v>
      </c>
      <c r="AC871" t="s">
        <v>11081</v>
      </c>
      <c r="AF871" t="s">
        <v>11118</v>
      </c>
      <c r="AH871" t="s">
        <v>10974</v>
      </c>
      <c r="AI871" t="s">
        <v>11126</v>
      </c>
      <c r="AK871" t="s">
        <v>7225</v>
      </c>
      <c r="AM871">
        <v>988.01</v>
      </c>
      <c r="AN871" t="s">
        <v>11151</v>
      </c>
      <c r="AO871" t="s">
        <v>11153</v>
      </c>
      <c r="AP871" t="s">
        <v>11155</v>
      </c>
      <c r="AR871" t="s">
        <v>11172</v>
      </c>
      <c r="AU871">
        <v>30</v>
      </c>
      <c r="AW871" t="s">
        <v>11187</v>
      </c>
      <c r="BA871" t="s">
        <v>11222</v>
      </c>
      <c r="BD871" t="s">
        <v>11667</v>
      </c>
      <c r="BF871" t="s">
        <v>14364</v>
      </c>
      <c r="BM871" t="s">
        <v>15650</v>
      </c>
    </row>
    <row r="872" spans="1:65">
      <c r="A872" s="1">
        <f>HYPERLINK("https://lsnyc.legalserver.org/matter/dynamic-profile/view/1898323","19-1898323")</f>
        <v>0</v>
      </c>
      <c r="B872" t="s">
        <v>105</v>
      </c>
      <c r="C872" t="s">
        <v>248</v>
      </c>
      <c r="D872" t="s">
        <v>591</v>
      </c>
      <c r="F872" t="s">
        <v>1547</v>
      </c>
      <c r="G872" t="s">
        <v>3323</v>
      </c>
      <c r="H872" t="s">
        <v>5066</v>
      </c>
      <c r="I872" t="s">
        <v>6437</v>
      </c>
      <c r="J872" t="s">
        <v>7174</v>
      </c>
      <c r="K872">
        <v>11226</v>
      </c>
      <c r="N872" t="s">
        <v>7237</v>
      </c>
      <c r="O872" t="s">
        <v>7840</v>
      </c>
      <c r="P872">
        <v>4</v>
      </c>
      <c r="Q872">
        <v>0</v>
      </c>
      <c r="R872">
        <v>248.54</v>
      </c>
      <c r="U872">
        <v>64000</v>
      </c>
      <c r="W872">
        <v>1.5</v>
      </c>
      <c r="X872" t="s">
        <v>519</v>
      </c>
      <c r="Y872" t="s">
        <v>81</v>
      </c>
      <c r="AA872" t="s">
        <v>10974</v>
      </c>
      <c r="AB872" t="s">
        <v>274</v>
      </c>
      <c r="AD872" t="s">
        <v>11100</v>
      </c>
      <c r="AF872" t="s">
        <v>11120</v>
      </c>
      <c r="AH872" t="s">
        <v>10974</v>
      </c>
      <c r="AI872" t="s">
        <v>11126</v>
      </c>
      <c r="AK872" t="s">
        <v>7225</v>
      </c>
      <c r="AM872">
        <v>988.01</v>
      </c>
      <c r="AN872" t="s">
        <v>11151</v>
      </c>
      <c r="AO872" t="s">
        <v>11153</v>
      </c>
      <c r="AP872" t="s">
        <v>11155</v>
      </c>
      <c r="AR872" t="s">
        <v>11172</v>
      </c>
      <c r="AU872">
        <v>30</v>
      </c>
      <c r="AW872" t="s">
        <v>11187</v>
      </c>
      <c r="BA872" t="s">
        <v>11222</v>
      </c>
      <c r="BD872" t="s">
        <v>11667</v>
      </c>
      <c r="BF872" t="s">
        <v>14364</v>
      </c>
      <c r="BM872" t="s">
        <v>15650</v>
      </c>
    </row>
    <row r="873" spans="1:65">
      <c r="A873" s="1">
        <f>HYPERLINK("https://lsnyc.legalserver.org/matter/dynamic-profile/view/1913062","19-1913062")</f>
        <v>0</v>
      </c>
      <c r="B873" t="s">
        <v>105</v>
      </c>
      <c r="C873" t="s">
        <v>248</v>
      </c>
      <c r="D873" t="s">
        <v>336</v>
      </c>
      <c r="F873" t="s">
        <v>1456</v>
      </c>
      <c r="G873" t="s">
        <v>3324</v>
      </c>
      <c r="H873" t="s">
        <v>5082</v>
      </c>
      <c r="I873">
        <v>12</v>
      </c>
      <c r="J873" t="s">
        <v>7174</v>
      </c>
      <c r="K873">
        <v>11217</v>
      </c>
      <c r="N873" t="s">
        <v>7237</v>
      </c>
      <c r="O873" t="s">
        <v>7841</v>
      </c>
      <c r="P873">
        <v>1</v>
      </c>
      <c r="Q873">
        <v>0</v>
      </c>
      <c r="R873">
        <v>191.35</v>
      </c>
      <c r="U873">
        <v>23900</v>
      </c>
      <c r="W873">
        <v>0.5</v>
      </c>
      <c r="X873" t="s">
        <v>336</v>
      </c>
      <c r="Y873" t="s">
        <v>10911</v>
      </c>
      <c r="AA873" t="s">
        <v>10974</v>
      </c>
      <c r="AB873" t="s">
        <v>336</v>
      </c>
      <c r="AD873" t="s">
        <v>11082</v>
      </c>
      <c r="AF873" t="s">
        <v>11118</v>
      </c>
      <c r="AH873" t="s">
        <v>10975</v>
      </c>
      <c r="AJ873" t="s">
        <v>11104</v>
      </c>
      <c r="AK873" t="s">
        <v>7225</v>
      </c>
      <c r="AM873">
        <v>740</v>
      </c>
      <c r="AO873">
        <v>12</v>
      </c>
      <c r="AQ873" t="s">
        <v>11160</v>
      </c>
      <c r="AR873" t="s">
        <v>11172</v>
      </c>
      <c r="AU873">
        <v>11</v>
      </c>
      <c r="AW873" t="s">
        <v>11187</v>
      </c>
      <c r="BA873" t="s">
        <v>11222</v>
      </c>
      <c r="BE873" t="s">
        <v>12175</v>
      </c>
      <c r="BF873" t="s">
        <v>14364</v>
      </c>
      <c r="BG873" t="s">
        <v>14556</v>
      </c>
      <c r="BM873" t="s">
        <v>15650</v>
      </c>
    </row>
    <row r="874" spans="1:65">
      <c r="A874" s="1">
        <f>HYPERLINK("https://lsnyc.legalserver.org/matter/dynamic-profile/view/1882883","18-1882883")</f>
        <v>0</v>
      </c>
      <c r="B874" t="s">
        <v>105</v>
      </c>
      <c r="C874" t="s">
        <v>248</v>
      </c>
      <c r="D874" t="s">
        <v>592</v>
      </c>
      <c r="F874" t="s">
        <v>1548</v>
      </c>
      <c r="G874" t="s">
        <v>3325</v>
      </c>
      <c r="H874" t="s">
        <v>5083</v>
      </c>
      <c r="I874">
        <v>224</v>
      </c>
      <c r="J874" t="s">
        <v>7174</v>
      </c>
      <c r="K874">
        <v>11217</v>
      </c>
      <c r="N874" t="s">
        <v>7237</v>
      </c>
      <c r="O874" t="s">
        <v>7842</v>
      </c>
      <c r="P874">
        <v>1</v>
      </c>
      <c r="Q874">
        <v>0</v>
      </c>
      <c r="R874">
        <v>83.23</v>
      </c>
      <c r="U874">
        <v>10104</v>
      </c>
      <c r="W874">
        <v>114.55</v>
      </c>
      <c r="X874" t="s">
        <v>422</v>
      </c>
      <c r="Y874" t="s">
        <v>212</v>
      </c>
      <c r="AA874" t="s">
        <v>10974</v>
      </c>
      <c r="AB874" t="s">
        <v>11000</v>
      </c>
      <c r="AD874" t="s">
        <v>11083</v>
      </c>
      <c r="AF874" t="s">
        <v>11118</v>
      </c>
      <c r="AH874" t="s">
        <v>10975</v>
      </c>
      <c r="AI874" t="s">
        <v>11126</v>
      </c>
      <c r="AK874" t="s">
        <v>7225</v>
      </c>
      <c r="AL874" t="s">
        <v>11150</v>
      </c>
      <c r="AM874">
        <v>0</v>
      </c>
      <c r="AN874" t="s">
        <v>11151</v>
      </c>
      <c r="AO874" t="s">
        <v>11153</v>
      </c>
      <c r="AP874" t="s">
        <v>11155</v>
      </c>
      <c r="AR874" t="s">
        <v>11172</v>
      </c>
      <c r="AT874" t="s">
        <v>11184</v>
      </c>
      <c r="AU874">
        <v>0</v>
      </c>
      <c r="AW874" t="s">
        <v>11187</v>
      </c>
      <c r="AZ874" t="s">
        <v>11221</v>
      </c>
      <c r="BE874" t="s">
        <v>12176</v>
      </c>
      <c r="BG874" t="s">
        <v>14557</v>
      </c>
      <c r="BM874" t="s">
        <v>15650</v>
      </c>
    </row>
    <row r="875" spans="1:65">
      <c r="A875" s="1">
        <f>HYPERLINK("https://lsnyc.legalserver.org/matter/dynamic-profile/view/1909245","19-1909245")</f>
        <v>0</v>
      </c>
      <c r="B875" t="s">
        <v>105</v>
      </c>
      <c r="C875" t="s">
        <v>248</v>
      </c>
      <c r="D875" t="s">
        <v>568</v>
      </c>
      <c r="F875" t="s">
        <v>1549</v>
      </c>
      <c r="G875" t="s">
        <v>3326</v>
      </c>
      <c r="H875" t="s">
        <v>5070</v>
      </c>
      <c r="I875" t="s">
        <v>6429</v>
      </c>
      <c r="J875" t="s">
        <v>7174</v>
      </c>
      <c r="K875">
        <v>11219</v>
      </c>
      <c r="N875" t="s">
        <v>7237</v>
      </c>
      <c r="O875" t="s">
        <v>7843</v>
      </c>
      <c r="P875">
        <v>2</v>
      </c>
      <c r="Q875">
        <v>1</v>
      </c>
      <c r="R875">
        <v>191.84</v>
      </c>
      <c r="U875">
        <v>40920</v>
      </c>
      <c r="W875">
        <v>0</v>
      </c>
      <c r="Y875" t="s">
        <v>81</v>
      </c>
      <c r="AA875" t="s">
        <v>10974</v>
      </c>
      <c r="AB875" t="s">
        <v>568</v>
      </c>
      <c r="AC875" t="s">
        <v>11081</v>
      </c>
      <c r="AF875" t="s">
        <v>11118</v>
      </c>
      <c r="AH875" t="s">
        <v>10975</v>
      </c>
      <c r="AI875" t="s">
        <v>11126</v>
      </c>
      <c r="AK875" t="s">
        <v>7225</v>
      </c>
      <c r="AM875">
        <v>1737.44</v>
      </c>
      <c r="AO875">
        <v>20</v>
      </c>
      <c r="AP875" t="s">
        <v>11155</v>
      </c>
      <c r="AR875" t="s">
        <v>11172</v>
      </c>
      <c r="AU875">
        <v>8</v>
      </c>
      <c r="AW875" t="s">
        <v>11187</v>
      </c>
      <c r="BA875" t="s">
        <v>11222</v>
      </c>
      <c r="BE875" t="s">
        <v>12177</v>
      </c>
      <c r="BF875" t="s">
        <v>14364</v>
      </c>
      <c r="BM875" t="s">
        <v>15650</v>
      </c>
    </row>
    <row r="876" spans="1:65">
      <c r="A876" s="1">
        <f>HYPERLINK("https://lsnyc.legalserver.org/matter/dynamic-profile/view/1892407","19-1892407")</f>
        <v>0</v>
      </c>
      <c r="B876" t="s">
        <v>105</v>
      </c>
      <c r="C876" t="s">
        <v>248</v>
      </c>
      <c r="D876" t="s">
        <v>483</v>
      </c>
      <c r="F876" t="s">
        <v>1550</v>
      </c>
      <c r="G876" t="s">
        <v>3327</v>
      </c>
      <c r="H876" t="s">
        <v>5084</v>
      </c>
      <c r="I876" t="s">
        <v>6644</v>
      </c>
      <c r="J876" t="s">
        <v>7174</v>
      </c>
      <c r="K876">
        <v>11203</v>
      </c>
      <c r="N876" t="s">
        <v>7237</v>
      </c>
      <c r="O876" t="s">
        <v>7844</v>
      </c>
      <c r="P876">
        <v>1</v>
      </c>
      <c r="Q876">
        <v>0</v>
      </c>
      <c r="R876">
        <v>28.82</v>
      </c>
      <c r="U876">
        <v>3600</v>
      </c>
      <c r="W876">
        <v>19.1</v>
      </c>
      <c r="X876" t="s">
        <v>380</v>
      </c>
      <c r="Y876" t="s">
        <v>81</v>
      </c>
      <c r="AA876" t="s">
        <v>10974</v>
      </c>
      <c r="AB876" t="s">
        <v>483</v>
      </c>
      <c r="AD876" t="s">
        <v>11101</v>
      </c>
      <c r="AF876" t="s">
        <v>11118</v>
      </c>
      <c r="AG876" t="s">
        <v>11124</v>
      </c>
      <c r="AI876" t="s">
        <v>11126</v>
      </c>
      <c r="AK876" t="s">
        <v>7225</v>
      </c>
      <c r="AL876" t="s">
        <v>11150</v>
      </c>
      <c r="AM876">
        <v>0</v>
      </c>
      <c r="AN876" t="s">
        <v>11151</v>
      </c>
      <c r="AO876" t="s">
        <v>11153</v>
      </c>
      <c r="AP876" t="s">
        <v>11155</v>
      </c>
      <c r="AR876" t="s">
        <v>11172</v>
      </c>
      <c r="AT876" t="s">
        <v>11184</v>
      </c>
      <c r="AU876">
        <v>0</v>
      </c>
      <c r="AW876" t="s">
        <v>11187</v>
      </c>
      <c r="AZ876" t="s">
        <v>11221</v>
      </c>
      <c r="BE876" t="s">
        <v>12178</v>
      </c>
      <c r="BG876" t="s">
        <v>14558</v>
      </c>
      <c r="BM876" t="s">
        <v>15650</v>
      </c>
    </row>
    <row r="877" spans="1:65">
      <c r="A877" s="1">
        <f>HYPERLINK("https://lsnyc.legalserver.org/matter/dynamic-profile/view/1888987","19-1888987")</f>
        <v>0</v>
      </c>
      <c r="B877" t="s">
        <v>105</v>
      </c>
      <c r="C877" t="s">
        <v>248</v>
      </c>
      <c r="D877" t="s">
        <v>593</v>
      </c>
      <c r="F877" t="s">
        <v>1551</v>
      </c>
      <c r="G877" t="s">
        <v>3308</v>
      </c>
      <c r="H877" t="s">
        <v>5085</v>
      </c>
      <c r="I877" t="s">
        <v>6436</v>
      </c>
      <c r="J877" t="s">
        <v>7174</v>
      </c>
      <c r="K877">
        <v>11206</v>
      </c>
      <c r="N877" t="s">
        <v>7237</v>
      </c>
      <c r="O877" t="s">
        <v>7845</v>
      </c>
      <c r="P877">
        <v>1</v>
      </c>
      <c r="Q877">
        <v>0</v>
      </c>
      <c r="R877">
        <v>146.52</v>
      </c>
      <c r="U877">
        <v>18300</v>
      </c>
      <c r="W877">
        <v>66</v>
      </c>
      <c r="X877" t="s">
        <v>345</v>
      </c>
      <c r="Y877" t="s">
        <v>81</v>
      </c>
      <c r="AA877" t="s">
        <v>10974</v>
      </c>
      <c r="AB877" t="s">
        <v>379</v>
      </c>
      <c r="AD877" t="s">
        <v>11082</v>
      </c>
      <c r="AF877" t="s">
        <v>11118</v>
      </c>
      <c r="AH877" t="s">
        <v>10975</v>
      </c>
      <c r="AI877" t="s">
        <v>11126</v>
      </c>
      <c r="AK877" t="s">
        <v>7225</v>
      </c>
      <c r="AM877">
        <v>1575</v>
      </c>
      <c r="AN877" t="s">
        <v>11151</v>
      </c>
      <c r="AO877" t="s">
        <v>11153</v>
      </c>
      <c r="AP877" t="s">
        <v>11155</v>
      </c>
      <c r="AR877" t="s">
        <v>11172</v>
      </c>
      <c r="AU877">
        <v>5</v>
      </c>
      <c r="AW877" t="s">
        <v>11187</v>
      </c>
      <c r="AZ877" t="s">
        <v>11221</v>
      </c>
      <c r="BE877" t="s">
        <v>12179</v>
      </c>
      <c r="BG877" t="s">
        <v>14559</v>
      </c>
      <c r="BM877" t="s">
        <v>15650</v>
      </c>
    </row>
    <row r="878" spans="1:65">
      <c r="A878" s="1">
        <f>HYPERLINK("https://lsnyc.legalserver.org/matter/dynamic-profile/view/1914128","19-1914128")</f>
        <v>0</v>
      </c>
      <c r="B878" t="s">
        <v>105</v>
      </c>
      <c r="C878" t="s">
        <v>248</v>
      </c>
      <c r="D878" t="s">
        <v>301</v>
      </c>
      <c r="F878" t="s">
        <v>1456</v>
      </c>
      <c r="G878" t="s">
        <v>2144</v>
      </c>
      <c r="H878" t="s">
        <v>5086</v>
      </c>
      <c r="I878" t="s">
        <v>6451</v>
      </c>
      <c r="J878" t="s">
        <v>7174</v>
      </c>
      <c r="K878">
        <v>11203</v>
      </c>
      <c r="N878" t="s">
        <v>7237</v>
      </c>
      <c r="O878" t="s">
        <v>7846</v>
      </c>
      <c r="P878">
        <v>2</v>
      </c>
      <c r="Q878">
        <v>0</v>
      </c>
      <c r="R878">
        <v>19.22</v>
      </c>
      <c r="U878">
        <v>3250</v>
      </c>
      <c r="W878">
        <v>0.2</v>
      </c>
      <c r="X878" t="s">
        <v>264</v>
      </c>
      <c r="Y878" t="s">
        <v>81</v>
      </c>
      <c r="AA878" t="s">
        <v>10974</v>
      </c>
      <c r="AB878" t="s">
        <v>273</v>
      </c>
      <c r="AC878" t="s">
        <v>11081</v>
      </c>
      <c r="AF878" t="s">
        <v>11118</v>
      </c>
      <c r="AH878" t="s">
        <v>10975</v>
      </c>
      <c r="AI878" t="s">
        <v>11126</v>
      </c>
      <c r="AK878" t="s">
        <v>7225</v>
      </c>
      <c r="AM878">
        <v>1690</v>
      </c>
      <c r="AN878" t="s">
        <v>11151</v>
      </c>
      <c r="AO878" t="s">
        <v>11153</v>
      </c>
      <c r="AQ878" t="s">
        <v>11161</v>
      </c>
      <c r="AR878" t="s">
        <v>11172</v>
      </c>
      <c r="AU878">
        <v>5</v>
      </c>
      <c r="AW878" t="s">
        <v>11187</v>
      </c>
      <c r="BA878" t="s">
        <v>11222</v>
      </c>
      <c r="BE878" t="s">
        <v>12180</v>
      </c>
      <c r="BF878" t="s">
        <v>14364</v>
      </c>
      <c r="BM878" t="s">
        <v>15650</v>
      </c>
    </row>
    <row r="879" spans="1:65">
      <c r="A879" s="1">
        <f>HYPERLINK("https://lsnyc.legalserver.org/matter/dynamic-profile/view/1897390","19-1897390")</f>
        <v>0</v>
      </c>
      <c r="B879" t="s">
        <v>105</v>
      </c>
      <c r="C879" t="s">
        <v>248</v>
      </c>
      <c r="D879" t="s">
        <v>594</v>
      </c>
      <c r="F879" t="s">
        <v>1106</v>
      </c>
      <c r="G879" t="s">
        <v>3323</v>
      </c>
      <c r="H879" t="s">
        <v>5075</v>
      </c>
      <c r="J879" t="s">
        <v>7174</v>
      </c>
      <c r="K879">
        <v>11226</v>
      </c>
      <c r="N879" t="s">
        <v>7237</v>
      </c>
      <c r="O879" t="s">
        <v>7847</v>
      </c>
      <c r="P879">
        <v>2</v>
      </c>
      <c r="Q879">
        <v>0</v>
      </c>
      <c r="R879">
        <v>407.45</v>
      </c>
      <c r="U879">
        <v>68900</v>
      </c>
      <c r="W879">
        <v>2.5</v>
      </c>
      <c r="X879" t="s">
        <v>447</v>
      </c>
      <c r="Y879" t="s">
        <v>81</v>
      </c>
      <c r="AA879" t="s">
        <v>10974</v>
      </c>
      <c r="AB879" t="s">
        <v>583</v>
      </c>
      <c r="AD879" t="s">
        <v>11101</v>
      </c>
      <c r="AF879" t="s">
        <v>11118</v>
      </c>
      <c r="AH879" t="s">
        <v>10974</v>
      </c>
      <c r="AI879" t="s">
        <v>11126</v>
      </c>
      <c r="AK879" t="s">
        <v>7225</v>
      </c>
      <c r="AM879">
        <v>1230</v>
      </c>
      <c r="AN879" t="s">
        <v>11151</v>
      </c>
      <c r="AO879" t="s">
        <v>11153</v>
      </c>
      <c r="AP879" t="s">
        <v>11155</v>
      </c>
      <c r="AR879" t="s">
        <v>11172</v>
      </c>
      <c r="AU879">
        <v>7</v>
      </c>
      <c r="AW879" t="s">
        <v>11187</v>
      </c>
      <c r="AZ879" t="s">
        <v>11221</v>
      </c>
      <c r="BD879" t="s">
        <v>11667</v>
      </c>
      <c r="BF879" t="s">
        <v>14364</v>
      </c>
      <c r="BM879" t="s">
        <v>15650</v>
      </c>
    </row>
    <row r="880" spans="1:65">
      <c r="A880" s="1">
        <f>HYPERLINK("https://lsnyc.legalserver.org/matter/dynamic-profile/view/1914674","19-1914674")</f>
        <v>0</v>
      </c>
      <c r="B880" t="s">
        <v>105</v>
      </c>
      <c r="C880" t="s">
        <v>248</v>
      </c>
      <c r="D880" t="s">
        <v>297</v>
      </c>
      <c r="F880" t="s">
        <v>1137</v>
      </c>
      <c r="G880" t="s">
        <v>3328</v>
      </c>
      <c r="H880" t="s">
        <v>5087</v>
      </c>
      <c r="I880">
        <v>24</v>
      </c>
      <c r="J880" t="s">
        <v>7174</v>
      </c>
      <c r="K880">
        <v>11230</v>
      </c>
      <c r="N880" t="s">
        <v>7237</v>
      </c>
      <c r="O880" t="s">
        <v>7848</v>
      </c>
      <c r="P880">
        <v>2</v>
      </c>
      <c r="Q880">
        <v>0</v>
      </c>
      <c r="R880">
        <v>146.19</v>
      </c>
      <c r="U880">
        <v>24720</v>
      </c>
      <c r="W880">
        <v>0</v>
      </c>
      <c r="Y880" t="s">
        <v>81</v>
      </c>
      <c r="AA880" t="s">
        <v>10974</v>
      </c>
      <c r="AB880" t="s">
        <v>297</v>
      </c>
      <c r="AC880" t="s">
        <v>11081</v>
      </c>
      <c r="AF880" t="s">
        <v>11118</v>
      </c>
      <c r="AG880" t="s">
        <v>11124</v>
      </c>
      <c r="AI880" t="s">
        <v>11126</v>
      </c>
      <c r="AK880" t="s">
        <v>7225</v>
      </c>
      <c r="AM880">
        <v>830</v>
      </c>
      <c r="AN880" t="s">
        <v>11151</v>
      </c>
      <c r="AO880" t="s">
        <v>11153</v>
      </c>
      <c r="AP880" t="s">
        <v>11155</v>
      </c>
      <c r="AR880" t="s">
        <v>11172</v>
      </c>
      <c r="AU880">
        <v>40</v>
      </c>
      <c r="AW880" t="s">
        <v>11187</v>
      </c>
      <c r="BA880" t="s">
        <v>11222</v>
      </c>
      <c r="BE880" t="s">
        <v>12181</v>
      </c>
      <c r="BF880" t="s">
        <v>14364</v>
      </c>
      <c r="BM880" t="s">
        <v>15650</v>
      </c>
    </row>
    <row r="881" spans="1:65">
      <c r="A881" s="1">
        <f>HYPERLINK("https://lsnyc.legalserver.org/matter/dynamic-profile/view/1908397","19-1908397")</f>
        <v>0</v>
      </c>
      <c r="B881" t="s">
        <v>105</v>
      </c>
      <c r="C881" t="s">
        <v>248</v>
      </c>
      <c r="D881" t="s">
        <v>565</v>
      </c>
      <c r="F881" t="s">
        <v>1252</v>
      </c>
      <c r="G881" t="s">
        <v>3026</v>
      </c>
      <c r="H881" t="s">
        <v>5067</v>
      </c>
      <c r="I881" t="s">
        <v>6408</v>
      </c>
      <c r="J881" t="s">
        <v>7174</v>
      </c>
      <c r="K881">
        <v>11217</v>
      </c>
      <c r="N881" t="s">
        <v>7237</v>
      </c>
      <c r="O881" t="s">
        <v>7849</v>
      </c>
      <c r="P881">
        <v>1</v>
      </c>
      <c r="Q881">
        <v>0</v>
      </c>
      <c r="R881">
        <v>114.49</v>
      </c>
      <c r="U881">
        <v>14300</v>
      </c>
      <c r="W881">
        <v>11.4</v>
      </c>
      <c r="X881" t="s">
        <v>345</v>
      </c>
      <c r="Y881" t="s">
        <v>212</v>
      </c>
      <c r="AA881" t="s">
        <v>10974</v>
      </c>
      <c r="AB881" t="s">
        <v>565</v>
      </c>
      <c r="AC881" t="s">
        <v>11081</v>
      </c>
      <c r="AF881" t="s">
        <v>11120</v>
      </c>
      <c r="AG881" t="s">
        <v>11124</v>
      </c>
      <c r="AI881" t="s">
        <v>11126</v>
      </c>
      <c r="AK881" t="s">
        <v>7225</v>
      </c>
      <c r="AL881" t="s">
        <v>11150</v>
      </c>
      <c r="AM881">
        <v>0</v>
      </c>
      <c r="AO881">
        <v>8</v>
      </c>
      <c r="AP881" t="s">
        <v>11155</v>
      </c>
      <c r="AR881" t="s">
        <v>11172</v>
      </c>
      <c r="AT881" t="s">
        <v>11184</v>
      </c>
      <c r="AU881">
        <v>0</v>
      </c>
      <c r="AW881" t="s">
        <v>11187</v>
      </c>
      <c r="AZ881" t="s">
        <v>11221</v>
      </c>
      <c r="BE881" t="s">
        <v>12182</v>
      </c>
      <c r="BF881" t="s">
        <v>14364</v>
      </c>
      <c r="BM881" t="s">
        <v>15650</v>
      </c>
    </row>
    <row r="882" spans="1:65">
      <c r="A882" s="1">
        <f>HYPERLINK("https://lsnyc.legalserver.org/matter/dynamic-profile/view/1910539","19-1910539")</f>
        <v>0</v>
      </c>
      <c r="B882" t="s">
        <v>105</v>
      </c>
      <c r="C882" t="s">
        <v>248</v>
      </c>
      <c r="D882" t="s">
        <v>561</v>
      </c>
      <c r="F882" t="s">
        <v>1140</v>
      </c>
      <c r="G882" t="s">
        <v>1099</v>
      </c>
      <c r="H882" t="s">
        <v>5088</v>
      </c>
      <c r="I882" t="s">
        <v>6432</v>
      </c>
      <c r="J882" t="s">
        <v>7174</v>
      </c>
      <c r="K882">
        <v>11203</v>
      </c>
      <c r="N882" t="s">
        <v>7237</v>
      </c>
      <c r="O882" t="s">
        <v>7404</v>
      </c>
      <c r="P882">
        <v>2</v>
      </c>
      <c r="Q882">
        <v>0</v>
      </c>
      <c r="R882">
        <v>279.53</v>
      </c>
      <c r="U882">
        <v>47268</v>
      </c>
      <c r="W882">
        <v>2.5</v>
      </c>
      <c r="X882" t="s">
        <v>737</v>
      </c>
      <c r="Y882" t="s">
        <v>10871</v>
      </c>
      <c r="Z882" t="s">
        <v>10972</v>
      </c>
      <c r="AA882" t="s">
        <v>10976</v>
      </c>
      <c r="AD882" t="s">
        <v>11083</v>
      </c>
      <c r="AF882" t="s">
        <v>11121</v>
      </c>
      <c r="AH882" t="s">
        <v>10974</v>
      </c>
      <c r="AI882" t="s">
        <v>11126</v>
      </c>
      <c r="AK882" t="s">
        <v>7225</v>
      </c>
      <c r="AM882">
        <v>1269</v>
      </c>
      <c r="AO882">
        <v>6</v>
      </c>
      <c r="AP882" t="s">
        <v>11155</v>
      </c>
      <c r="AR882" t="s">
        <v>11172</v>
      </c>
      <c r="AU882">
        <v>8</v>
      </c>
      <c r="AW882" t="s">
        <v>11187</v>
      </c>
      <c r="AX882" t="s">
        <v>11212</v>
      </c>
      <c r="AZ882" t="s">
        <v>11221</v>
      </c>
      <c r="BE882" t="s">
        <v>12183</v>
      </c>
      <c r="BF882" t="s">
        <v>14364</v>
      </c>
      <c r="BG882" t="s">
        <v>14560</v>
      </c>
      <c r="BM882" t="s">
        <v>15650</v>
      </c>
    </row>
    <row r="883" spans="1:65">
      <c r="A883" s="1">
        <f>HYPERLINK("https://lsnyc.legalserver.org/matter/dynamic-profile/view/1900727","19-1900727")</f>
        <v>0</v>
      </c>
      <c r="B883" t="s">
        <v>105</v>
      </c>
      <c r="C883" t="s">
        <v>248</v>
      </c>
      <c r="D883" t="s">
        <v>582</v>
      </c>
      <c r="F883" t="s">
        <v>1106</v>
      </c>
      <c r="G883" t="s">
        <v>3323</v>
      </c>
      <c r="H883" t="s">
        <v>5075</v>
      </c>
      <c r="I883">
        <v>10</v>
      </c>
      <c r="J883" t="s">
        <v>7174</v>
      </c>
      <c r="K883">
        <v>11226</v>
      </c>
      <c r="N883" t="s">
        <v>7237</v>
      </c>
      <c r="O883" t="s">
        <v>7847</v>
      </c>
      <c r="P883">
        <v>2</v>
      </c>
      <c r="Q883">
        <v>0</v>
      </c>
      <c r="R883">
        <v>407.45</v>
      </c>
      <c r="U883">
        <v>68900</v>
      </c>
      <c r="W883">
        <v>0</v>
      </c>
      <c r="Y883" t="s">
        <v>81</v>
      </c>
      <c r="AA883" t="s">
        <v>10974</v>
      </c>
      <c r="AB883" t="s">
        <v>582</v>
      </c>
      <c r="AC883" t="s">
        <v>11081</v>
      </c>
      <c r="AF883" t="s">
        <v>11118</v>
      </c>
      <c r="AH883" t="s">
        <v>10974</v>
      </c>
      <c r="AI883" t="s">
        <v>11126</v>
      </c>
      <c r="AK883" t="s">
        <v>7225</v>
      </c>
      <c r="AM883">
        <v>1230</v>
      </c>
      <c r="AN883" t="s">
        <v>11151</v>
      </c>
      <c r="AO883" t="s">
        <v>11153</v>
      </c>
      <c r="AP883" t="s">
        <v>11155</v>
      </c>
      <c r="AR883" t="s">
        <v>11172</v>
      </c>
      <c r="AU883">
        <v>7</v>
      </c>
      <c r="AW883" t="s">
        <v>11187</v>
      </c>
      <c r="AZ883" t="s">
        <v>11221</v>
      </c>
      <c r="BD883" t="s">
        <v>11667</v>
      </c>
      <c r="BF883" t="s">
        <v>14364</v>
      </c>
      <c r="BM883" t="s">
        <v>15650</v>
      </c>
    </row>
    <row r="884" spans="1:65">
      <c r="A884" s="1">
        <f>HYPERLINK("https://lsnyc.legalserver.org/matter/dynamic-profile/view/1886104","18-1886104")</f>
        <v>0</v>
      </c>
      <c r="B884" t="s">
        <v>105</v>
      </c>
      <c r="C884" t="s">
        <v>248</v>
      </c>
      <c r="D884" t="s">
        <v>405</v>
      </c>
      <c r="F884" t="s">
        <v>1406</v>
      </c>
      <c r="G884" t="s">
        <v>3329</v>
      </c>
      <c r="H884" t="s">
        <v>5089</v>
      </c>
      <c r="J884" t="s">
        <v>7174</v>
      </c>
      <c r="K884">
        <v>11210</v>
      </c>
      <c r="N884" t="s">
        <v>7237</v>
      </c>
      <c r="O884" t="s">
        <v>7850</v>
      </c>
      <c r="P884">
        <v>1</v>
      </c>
      <c r="Q884">
        <v>1</v>
      </c>
      <c r="R884">
        <v>0</v>
      </c>
      <c r="U884">
        <v>0</v>
      </c>
      <c r="W884">
        <v>61</v>
      </c>
      <c r="X884" t="s">
        <v>1030</v>
      </c>
      <c r="Y884" t="s">
        <v>81</v>
      </c>
      <c r="AA884" t="s">
        <v>10974</v>
      </c>
      <c r="AB884" t="s">
        <v>405</v>
      </c>
      <c r="AD884" t="s">
        <v>11082</v>
      </c>
      <c r="AF884" t="s">
        <v>11118</v>
      </c>
      <c r="AH884" t="s">
        <v>10975</v>
      </c>
      <c r="AI884" t="s">
        <v>11126</v>
      </c>
      <c r="AK884" t="s">
        <v>7225</v>
      </c>
      <c r="AL884" t="s">
        <v>11150</v>
      </c>
      <c r="AM884">
        <v>0</v>
      </c>
      <c r="AN884" t="s">
        <v>11151</v>
      </c>
      <c r="AO884" t="s">
        <v>11153</v>
      </c>
      <c r="AQ884" t="s">
        <v>11156</v>
      </c>
      <c r="AR884" t="s">
        <v>11172</v>
      </c>
      <c r="AU884">
        <v>6</v>
      </c>
      <c r="AV884" t="s">
        <v>11186</v>
      </c>
      <c r="AZ884" t="s">
        <v>11221</v>
      </c>
      <c r="BE884" t="s">
        <v>12184</v>
      </c>
      <c r="BG884" t="s">
        <v>14561</v>
      </c>
      <c r="BM884" t="s">
        <v>15650</v>
      </c>
    </row>
    <row r="885" spans="1:65">
      <c r="A885" s="1">
        <f>HYPERLINK("https://lsnyc.legalserver.org/matter/dynamic-profile/view/1896004","19-1896004")</f>
        <v>0</v>
      </c>
      <c r="B885" t="s">
        <v>106</v>
      </c>
      <c r="C885" t="s">
        <v>248</v>
      </c>
      <c r="D885" t="s">
        <v>295</v>
      </c>
      <c r="F885" t="s">
        <v>1552</v>
      </c>
      <c r="G885" t="s">
        <v>3330</v>
      </c>
      <c r="H885" t="s">
        <v>5090</v>
      </c>
      <c r="I885" t="s">
        <v>6473</v>
      </c>
      <c r="J885" t="s">
        <v>7174</v>
      </c>
      <c r="K885">
        <v>11208</v>
      </c>
      <c r="N885" t="s">
        <v>7237</v>
      </c>
      <c r="O885" t="s">
        <v>7851</v>
      </c>
      <c r="P885">
        <v>1</v>
      </c>
      <c r="Q885">
        <v>0</v>
      </c>
      <c r="R885">
        <v>17.07</v>
      </c>
      <c r="U885">
        <v>2132</v>
      </c>
      <c r="W885">
        <v>22.4</v>
      </c>
      <c r="X885" t="s">
        <v>976</v>
      </c>
      <c r="Y885" t="s">
        <v>10912</v>
      </c>
      <c r="AA885" t="s">
        <v>10974</v>
      </c>
      <c r="AB885" t="s">
        <v>557</v>
      </c>
      <c r="AD885" t="s">
        <v>11082</v>
      </c>
      <c r="AF885" t="s">
        <v>11118</v>
      </c>
      <c r="AH885" t="s">
        <v>10975</v>
      </c>
      <c r="AJ885" t="s">
        <v>11138</v>
      </c>
      <c r="AK885" t="s">
        <v>7225</v>
      </c>
      <c r="AM885">
        <v>150</v>
      </c>
      <c r="AO885">
        <v>6</v>
      </c>
      <c r="AQ885" t="s">
        <v>11157</v>
      </c>
      <c r="AS885" t="s">
        <v>11173</v>
      </c>
      <c r="AU885">
        <v>5</v>
      </c>
      <c r="AW885" t="s">
        <v>11187</v>
      </c>
      <c r="AY885" t="s">
        <v>11214</v>
      </c>
      <c r="BA885" t="s">
        <v>11222</v>
      </c>
      <c r="BB885" t="s">
        <v>11224</v>
      </c>
      <c r="BC885" t="s">
        <v>11286</v>
      </c>
      <c r="BE885" t="s">
        <v>12185</v>
      </c>
      <c r="BG885" t="s">
        <v>14562</v>
      </c>
      <c r="BM885" t="s">
        <v>15650</v>
      </c>
    </row>
    <row r="886" spans="1:65">
      <c r="A886" s="1">
        <f>HYPERLINK("https://lsnyc.legalserver.org/matter/dynamic-profile/view/1896120","19-1896120")</f>
        <v>0</v>
      </c>
      <c r="B886" t="s">
        <v>106</v>
      </c>
      <c r="C886" t="s">
        <v>248</v>
      </c>
      <c r="D886" t="s">
        <v>438</v>
      </c>
      <c r="E886" t="s">
        <v>536</v>
      </c>
      <c r="F886" t="s">
        <v>1553</v>
      </c>
      <c r="G886" t="s">
        <v>3331</v>
      </c>
      <c r="H886" t="s">
        <v>5091</v>
      </c>
      <c r="I886" t="s">
        <v>6645</v>
      </c>
      <c r="J886" t="s">
        <v>7174</v>
      </c>
      <c r="K886">
        <v>11208</v>
      </c>
      <c r="L886" t="s">
        <v>7219</v>
      </c>
      <c r="N886" t="s">
        <v>7237</v>
      </c>
      <c r="O886" t="s">
        <v>7852</v>
      </c>
      <c r="P886">
        <v>1</v>
      </c>
      <c r="Q886">
        <v>0</v>
      </c>
      <c r="R886">
        <v>176.11</v>
      </c>
      <c r="U886">
        <v>21996</v>
      </c>
      <c r="W886">
        <v>5.65</v>
      </c>
      <c r="X886" t="s">
        <v>582</v>
      </c>
      <c r="Y886" t="s">
        <v>101</v>
      </c>
      <c r="AA886" t="s">
        <v>10974</v>
      </c>
      <c r="AB886" t="s">
        <v>343</v>
      </c>
      <c r="AD886" t="s">
        <v>11082</v>
      </c>
      <c r="AF886" t="s">
        <v>11118</v>
      </c>
      <c r="AH886" t="s">
        <v>10975</v>
      </c>
      <c r="AJ886" t="s">
        <v>11137</v>
      </c>
      <c r="AK886" t="s">
        <v>7225</v>
      </c>
      <c r="AM886">
        <v>859</v>
      </c>
      <c r="AO886">
        <v>1276</v>
      </c>
      <c r="AQ886" t="s">
        <v>11157</v>
      </c>
      <c r="AS886" t="s">
        <v>11174</v>
      </c>
      <c r="AU886">
        <v>2</v>
      </c>
      <c r="AW886" t="s">
        <v>11187</v>
      </c>
      <c r="AY886" t="s">
        <v>11213</v>
      </c>
      <c r="BA886" t="s">
        <v>11222</v>
      </c>
      <c r="BE886" t="s">
        <v>12186</v>
      </c>
      <c r="BG886" t="s">
        <v>14563</v>
      </c>
      <c r="BH886" t="s">
        <v>15605</v>
      </c>
      <c r="BJ886" t="s">
        <v>15615</v>
      </c>
      <c r="BL886" t="s">
        <v>15648</v>
      </c>
      <c r="BM886" t="s">
        <v>15651</v>
      </c>
    </row>
    <row r="887" spans="1:65">
      <c r="A887" s="1">
        <f>HYPERLINK("https://lsnyc.legalserver.org/matter/dynamic-profile/view/1879864","18-1879864")</f>
        <v>0</v>
      </c>
      <c r="B887" t="s">
        <v>106</v>
      </c>
      <c r="C887" t="s">
        <v>248</v>
      </c>
      <c r="D887" t="s">
        <v>595</v>
      </c>
      <c r="F887" t="s">
        <v>1554</v>
      </c>
      <c r="G887" t="s">
        <v>2913</v>
      </c>
      <c r="H887" t="s">
        <v>5092</v>
      </c>
      <c r="I887" t="s">
        <v>6493</v>
      </c>
      <c r="J887" t="s">
        <v>7174</v>
      </c>
      <c r="K887">
        <v>11212</v>
      </c>
      <c r="N887" t="s">
        <v>7237</v>
      </c>
      <c r="O887" t="s">
        <v>7525</v>
      </c>
      <c r="P887">
        <v>1</v>
      </c>
      <c r="Q887">
        <v>0</v>
      </c>
      <c r="R887">
        <v>17.45</v>
      </c>
      <c r="U887">
        <v>2119</v>
      </c>
      <c r="W887">
        <v>7.3</v>
      </c>
      <c r="X887" t="s">
        <v>995</v>
      </c>
      <c r="Y887" t="s">
        <v>10902</v>
      </c>
      <c r="AA887" t="s">
        <v>10974</v>
      </c>
      <c r="AB887" t="s">
        <v>339</v>
      </c>
      <c r="AD887" t="s">
        <v>11082</v>
      </c>
      <c r="AF887" t="s">
        <v>11118</v>
      </c>
      <c r="AG887" t="s">
        <v>11124</v>
      </c>
      <c r="AJ887" t="s">
        <v>11138</v>
      </c>
      <c r="AK887" t="s">
        <v>7225</v>
      </c>
      <c r="AM887">
        <v>2100</v>
      </c>
      <c r="AO887">
        <v>6</v>
      </c>
      <c r="AQ887" t="s">
        <v>11161</v>
      </c>
      <c r="AS887" t="s">
        <v>11174</v>
      </c>
      <c r="AT887" t="s">
        <v>11184</v>
      </c>
      <c r="AU887">
        <v>0</v>
      </c>
      <c r="AW887" t="s">
        <v>11187</v>
      </c>
      <c r="AY887" t="s">
        <v>11213</v>
      </c>
      <c r="AZ887" t="s">
        <v>11221</v>
      </c>
      <c r="BC887" t="s">
        <v>11287</v>
      </c>
      <c r="BE887" t="s">
        <v>12187</v>
      </c>
      <c r="BG887" t="s">
        <v>14564</v>
      </c>
      <c r="BM887" t="s">
        <v>15650</v>
      </c>
    </row>
    <row r="888" spans="1:65">
      <c r="A888" s="1">
        <f>HYPERLINK("https://lsnyc.legalserver.org/matter/dynamic-profile/view/1915667","19-1915667")</f>
        <v>0</v>
      </c>
      <c r="B888" t="s">
        <v>106</v>
      </c>
      <c r="C888" t="s">
        <v>248</v>
      </c>
      <c r="D888" t="s">
        <v>528</v>
      </c>
      <c r="F888" t="s">
        <v>1555</v>
      </c>
      <c r="G888" t="s">
        <v>2913</v>
      </c>
      <c r="H888" t="s">
        <v>5093</v>
      </c>
      <c r="I888" t="s">
        <v>6646</v>
      </c>
      <c r="J888" t="s">
        <v>7174</v>
      </c>
      <c r="K888">
        <v>11233</v>
      </c>
      <c r="N888" t="s">
        <v>7237</v>
      </c>
      <c r="O888" t="s">
        <v>7853</v>
      </c>
      <c r="P888">
        <v>2</v>
      </c>
      <c r="Q888">
        <v>2</v>
      </c>
      <c r="R888">
        <v>837.53</v>
      </c>
      <c r="U888">
        <v>215664</v>
      </c>
      <c r="W888">
        <v>0</v>
      </c>
      <c r="Y888" t="s">
        <v>101</v>
      </c>
      <c r="Z888" t="s">
        <v>10972</v>
      </c>
      <c r="AA888" t="s">
        <v>10976</v>
      </c>
      <c r="AD888" t="s">
        <v>11082</v>
      </c>
      <c r="AE888" t="s">
        <v>11117</v>
      </c>
      <c r="AH888" t="s">
        <v>10975</v>
      </c>
      <c r="AJ888" t="s">
        <v>11129</v>
      </c>
      <c r="AK888" t="s">
        <v>7225</v>
      </c>
      <c r="AM888">
        <v>1000</v>
      </c>
      <c r="AO888">
        <v>3</v>
      </c>
      <c r="AQ888" t="s">
        <v>11160</v>
      </c>
      <c r="AS888" t="s">
        <v>11173</v>
      </c>
      <c r="AU888">
        <v>7</v>
      </c>
      <c r="AW888" t="s">
        <v>11187</v>
      </c>
      <c r="AX888" t="s">
        <v>11212</v>
      </c>
      <c r="AZ888" t="s">
        <v>11221</v>
      </c>
      <c r="BC888" t="s">
        <v>11173</v>
      </c>
      <c r="BE888" t="s">
        <v>12188</v>
      </c>
      <c r="BG888" t="s">
        <v>14565</v>
      </c>
      <c r="BM888" t="s">
        <v>15650</v>
      </c>
    </row>
    <row r="889" spans="1:65">
      <c r="A889" s="1">
        <f>HYPERLINK("https://lsnyc.legalserver.org/matter/dynamic-profile/view/1887398","19-1887398")</f>
        <v>0</v>
      </c>
      <c r="B889" t="s">
        <v>106</v>
      </c>
      <c r="C889" t="s">
        <v>248</v>
      </c>
      <c r="D889" t="s">
        <v>596</v>
      </c>
      <c r="E889" t="s">
        <v>536</v>
      </c>
      <c r="F889" t="s">
        <v>1556</v>
      </c>
      <c r="G889" t="s">
        <v>3245</v>
      </c>
      <c r="H889" t="s">
        <v>5094</v>
      </c>
      <c r="I889">
        <v>2</v>
      </c>
      <c r="J889" t="s">
        <v>7174</v>
      </c>
      <c r="K889">
        <v>11233</v>
      </c>
      <c r="L889" t="s">
        <v>7219</v>
      </c>
      <c r="N889" t="s">
        <v>7237</v>
      </c>
      <c r="O889" t="s">
        <v>7854</v>
      </c>
      <c r="P889">
        <v>1</v>
      </c>
      <c r="Q889">
        <v>0</v>
      </c>
      <c r="R889">
        <v>17.56</v>
      </c>
      <c r="U889">
        <v>2132</v>
      </c>
      <c r="V889" t="s">
        <v>10348</v>
      </c>
      <c r="W889">
        <v>30.7</v>
      </c>
      <c r="X889" t="s">
        <v>923</v>
      </c>
      <c r="Y889" t="s">
        <v>225</v>
      </c>
      <c r="AA889" t="s">
        <v>10974</v>
      </c>
      <c r="AB889" t="s">
        <v>483</v>
      </c>
      <c r="AD889" t="s">
        <v>11083</v>
      </c>
      <c r="AF889" t="s">
        <v>11118</v>
      </c>
      <c r="AH889" t="s">
        <v>10975</v>
      </c>
      <c r="AJ889" t="s">
        <v>11130</v>
      </c>
      <c r="AK889" t="s">
        <v>7225</v>
      </c>
      <c r="AM889">
        <v>1187</v>
      </c>
      <c r="AO889">
        <v>6</v>
      </c>
      <c r="AQ889" t="s">
        <v>11164</v>
      </c>
      <c r="AS889" t="s">
        <v>11178</v>
      </c>
      <c r="AU889">
        <v>3</v>
      </c>
      <c r="AW889" t="s">
        <v>11187</v>
      </c>
      <c r="AY889" t="s">
        <v>11213</v>
      </c>
      <c r="AZ889" t="s">
        <v>11221</v>
      </c>
      <c r="BB889" t="s">
        <v>11224</v>
      </c>
      <c r="BC889">
        <v>805135</v>
      </c>
      <c r="BE889" t="s">
        <v>12189</v>
      </c>
      <c r="BG889" t="s">
        <v>14566</v>
      </c>
      <c r="BH889" t="s">
        <v>15605</v>
      </c>
      <c r="BJ889" t="s">
        <v>15615</v>
      </c>
      <c r="BL889" t="s">
        <v>15648</v>
      </c>
      <c r="BM889" t="s">
        <v>15651</v>
      </c>
    </row>
    <row r="890" spans="1:65">
      <c r="A890" s="1">
        <f>HYPERLINK("https://lsnyc.legalserver.org/matter/dynamic-profile/view/1886767","18-1886767")</f>
        <v>0</v>
      </c>
      <c r="B890" t="s">
        <v>106</v>
      </c>
      <c r="C890" t="s">
        <v>248</v>
      </c>
      <c r="D890" t="s">
        <v>597</v>
      </c>
      <c r="F890" t="s">
        <v>1557</v>
      </c>
      <c r="G890" t="s">
        <v>2923</v>
      </c>
      <c r="H890" t="s">
        <v>5095</v>
      </c>
      <c r="I890" t="s">
        <v>6647</v>
      </c>
      <c r="J890" t="s">
        <v>7174</v>
      </c>
      <c r="K890">
        <v>11206</v>
      </c>
      <c r="N890" t="s">
        <v>7237</v>
      </c>
      <c r="O890" t="s">
        <v>7855</v>
      </c>
      <c r="P890">
        <v>1</v>
      </c>
      <c r="Q890">
        <v>0</v>
      </c>
      <c r="R890">
        <v>128.5</v>
      </c>
      <c r="U890">
        <v>15600</v>
      </c>
      <c r="V890" t="s">
        <v>10349</v>
      </c>
      <c r="W890">
        <v>28.8</v>
      </c>
      <c r="X890" t="s">
        <v>426</v>
      </c>
      <c r="Y890" t="s">
        <v>101</v>
      </c>
      <c r="AA890" t="s">
        <v>10974</v>
      </c>
      <c r="AB890" t="s">
        <v>597</v>
      </c>
      <c r="AD890" t="s">
        <v>11082</v>
      </c>
      <c r="AF890" t="s">
        <v>11118</v>
      </c>
      <c r="AH890" t="s">
        <v>10975</v>
      </c>
      <c r="AJ890" t="s">
        <v>11129</v>
      </c>
      <c r="AK890" t="s">
        <v>7225</v>
      </c>
      <c r="AM890">
        <v>296</v>
      </c>
      <c r="AO890">
        <v>272</v>
      </c>
      <c r="AQ890" t="s">
        <v>11157</v>
      </c>
      <c r="AS890" t="s">
        <v>11174</v>
      </c>
      <c r="AU890">
        <v>8</v>
      </c>
      <c r="AW890" t="s">
        <v>11187</v>
      </c>
      <c r="AZ890" t="s">
        <v>11221</v>
      </c>
      <c r="BE890" t="s">
        <v>12190</v>
      </c>
      <c r="BG890" t="s">
        <v>14567</v>
      </c>
      <c r="BM890" t="s">
        <v>15650</v>
      </c>
    </row>
    <row r="891" spans="1:65">
      <c r="A891" s="1">
        <f>HYPERLINK("https://lsnyc.legalserver.org/matter/dynamic-profile/view/1908695","19-1908695")</f>
        <v>0</v>
      </c>
      <c r="B891" t="s">
        <v>106</v>
      </c>
      <c r="C891" t="s">
        <v>248</v>
      </c>
      <c r="D891" t="s">
        <v>598</v>
      </c>
      <c r="F891" t="s">
        <v>1281</v>
      </c>
      <c r="G891" t="s">
        <v>2423</v>
      </c>
      <c r="H891" t="s">
        <v>5096</v>
      </c>
      <c r="I891">
        <v>50</v>
      </c>
      <c r="J891" t="s">
        <v>7174</v>
      </c>
      <c r="K891">
        <v>11207</v>
      </c>
      <c r="N891" t="s">
        <v>7237</v>
      </c>
      <c r="O891" t="s">
        <v>7856</v>
      </c>
      <c r="P891">
        <v>3</v>
      </c>
      <c r="Q891">
        <v>0</v>
      </c>
      <c r="R891">
        <v>173.46</v>
      </c>
      <c r="U891">
        <v>37000</v>
      </c>
      <c r="W891">
        <v>0</v>
      </c>
      <c r="Y891" t="s">
        <v>225</v>
      </c>
      <c r="Z891" t="s">
        <v>10972</v>
      </c>
      <c r="AA891" t="s">
        <v>10975</v>
      </c>
      <c r="AD891" t="s">
        <v>11082</v>
      </c>
      <c r="AE891" t="s">
        <v>11117</v>
      </c>
      <c r="AH891" t="s">
        <v>10975</v>
      </c>
      <c r="AJ891" t="s">
        <v>11129</v>
      </c>
      <c r="AK891" t="s">
        <v>7225</v>
      </c>
      <c r="AM891">
        <v>1300</v>
      </c>
      <c r="AO891">
        <v>83</v>
      </c>
      <c r="AQ891" t="s">
        <v>11161</v>
      </c>
      <c r="AS891" t="s">
        <v>11173</v>
      </c>
      <c r="AU891">
        <v>31</v>
      </c>
      <c r="AW891" t="s">
        <v>11187</v>
      </c>
      <c r="AY891" t="s">
        <v>11213</v>
      </c>
      <c r="AZ891" t="s">
        <v>11221</v>
      </c>
      <c r="BA891" t="s">
        <v>11173</v>
      </c>
      <c r="BC891" t="s">
        <v>11283</v>
      </c>
      <c r="BE891" t="s">
        <v>12191</v>
      </c>
      <c r="BG891" t="s">
        <v>14568</v>
      </c>
      <c r="BM891" t="s">
        <v>15650</v>
      </c>
    </row>
    <row r="892" spans="1:65">
      <c r="A892" s="1">
        <f>HYPERLINK("https://lsnyc.legalserver.org/matter/dynamic-profile/view/1902901","19-1902901")</f>
        <v>0</v>
      </c>
      <c r="B892" t="s">
        <v>106</v>
      </c>
      <c r="C892" t="s">
        <v>248</v>
      </c>
      <c r="D892" t="s">
        <v>322</v>
      </c>
      <c r="E892" t="s">
        <v>536</v>
      </c>
      <c r="F892" t="s">
        <v>1093</v>
      </c>
      <c r="G892" t="s">
        <v>3152</v>
      </c>
      <c r="H892" t="s">
        <v>5097</v>
      </c>
      <c r="I892" t="s">
        <v>6648</v>
      </c>
      <c r="J892" t="s">
        <v>7174</v>
      </c>
      <c r="K892">
        <v>11208</v>
      </c>
      <c r="L892" t="s">
        <v>7217</v>
      </c>
      <c r="N892" t="s">
        <v>7237</v>
      </c>
      <c r="O892" t="s">
        <v>7857</v>
      </c>
      <c r="P892">
        <v>1</v>
      </c>
      <c r="Q892">
        <v>0</v>
      </c>
      <c r="R892">
        <v>176.97</v>
      </c>
      <c r="U892">
        <v>22104</v>
      </c>
      <c r="W892">
        <v>3</v>
      </c>
      <c r="X892" t="s">
        <v>267</v>
      </c>
      <c r="Y892" t="s">
        <v>10877</v>
      </c>
      <c r="AA892" t="s">
        <v>10974</v>
      </c>
      <c r="AB892" t="s">
        <v>267</v>
      </c>
      <c r="AD892" t="s">
        <v>11083</v>
      </c>
      <c r="AF892" t="s">
        <v>11119</v>
      </c>
      <c r="AH892" t="s">
        <v>10975</v>
      </c>
      <c r="AJ892" t="s">
        <v>11137</v>
      </c>
      <c r="AK892" t="s">
        <v>7225</v>
      </c>
      <c r="AM892">
        <v>1300</v>
      </c>
      <c r="AO892">
        <v>2</v>
      </c>
      <c r="AQ892" t="s">
        <v>11156</v>
      </c>
      <c r="AS892" t="s">
        <v>11104</v>
      </c>
      <c r="AU892">
        <v>14</v>
      </c>
      <c r="AW892" t="s">
        <v>11187</v>
      </c>
      <c r="AY892" t="s">
        <v>11213</v>
      </c>
      <c r="BA892" t="s">
        <v>11222</v>
      </c>
      <c r="BB892" t="s">
        <v>11224</v>
      </c>
      <c r="BC892" t="s">
        <v>11288</v>
      </c>
      <c r="BE892" t="s">
        <v>12192</v>
      </c>
      <c r="BG892" t="s">
        <v>14569</v>
      </c>
      <c r="BM892" t="s">
        <v>15651</v>
      </c>
    </row>
    <row r="893" spans="1:65">
      <c r="A893" s="1">
        <f>HYPERLINK("https://lsnyc.legalserver.org/matter/dynamic-profile/view/1889349","19-1889349")</f>
        <v>0</v>
      </c>
      <c r="B893" t="s">
        <v>106</v>
      </c>
      <c r="C893" t="s">
        <v>248</v>
      </c>
      <c r="D893" t="s">
        <v>318</v>
      </c>
      <c r="E893" t="s">
        <v>536</v>
      </c>
      <c r="F893" t="s">
        <v>1558</v>
      </c>
      <c r="G893" t="s">
        <v>1099</v>
      </c>
      <c r="H893" t="s">
        <v>5098</v>
      </c>
      <c r="I893" t="s">
        <v>6646</v>
      </c>
      <c r="J893" t="s">
        <v>7174</v>
      </c>
      <c r="K893">
        <v>11203</v>
      </c>
      <c r="L893" t="s">
        <v>7216</v>
      </c>
      <c r="N893" t="s">
        <v>7237</v>
      </c>
      <c r="O893" t="s">
        <v>7858</v>
      </c>
      <c r="P893">
        <v>3</v>
      </c>
      <c r="Q893">
        <v>0</v>
      </c>
      <c r="R893">
        <v>0</v>
      </c>
      <c r="U893">
        <v>0</v>
      </c>
      <c r="V893" t="s">
        <v>10350</v>
      </c>
      <c r="W893">
        <v>0.5</v>
      </c>
      <c r="X893" t="s">
        <v>536</v>
      </c>
      <c r="Y893" t="s">
        <v>225</v>
      </c>
      <c r="AA893" t="s">
        <v>10974</v>
      </c>
      <c r="AB893" t="s">
        <v>320</v>
      </c>
      <c r="AD893" t="s">
        <v>11083</v>
      </c>
      <c r="AF893" t="s">
        <v>11119</v>
      </c>
      <c r="AH893" t="s">
        <v>10975</v>
      </c>
      <c r="AJ893" t="s">
        <v>11139</v>
      </c>
      <c r="AK893" t="s">
        <v>7225</v>
      </c>
      <c r="AM893">
        <v>2500</v>
      </c>
      <c r="AO893">
        <v>2</v>
      </c>
      <c r="AQ893" t="s">
        <v>11156</v>
      </c>
      <c r="AS893" t="s">
        <v>11173</v>
      </c>
      <c r="AU893">
        <v>1</v>
      </c>
      <c r="AW893" t="s">
        <v>11187</v>
      </c>
      <c r="AY893" t="s">
        <v>11213</v>
      </c>
      <c r="AZ893" t="s">
        <v>11221</v>
      </c>
      <c r="BC893" t="s">
        <v>11173</v>
      </c>
      <c r="BE893" t="s">
        <v>12193</v>
      </c>
      <c r="BG893" t="s">
        <v>14570</v>
      </c>
      <c r="BM893" t="s">
        <v>15651</v>
      </c>
    </row>
    <row r="894" spans="1:65">
      <c r="A894" s="1">
        <f>HYPERLINK("https://lsnyc.legalserver.org/matter/dynamic-profile/view/1913760","19-1913760")</f>
        <v>0</v>
      </c>
      <c r="B894" t="s">
        <v>106</v>
      </c>
      <c r="C894" t="s">
        <v>248</v>
      </c>
      <c r="D894" t="s">
        <v>272</v>
      </c>
      <c r="F894" t="s">
        <v>1553</v>
      </c>
      <c r="G894" t="s">
        <v>3331</v>
      </c>
      <c r="H894" t="s">
        <v>5091</v>
      </c>
      <c r="I894" t="s">
        <v>6645</v>
      </c>
      <c r="J894" t="s">
        <v>7174</v>
      </c>
      <c r="K894">
        <v>11208</v>
      </c>
      <c r="N894" t="s">
        <v>7237</v>
      </c>
      <c r="O894" t="s">
        <v>7852</v>
      </c>
      <c r="P894">
        <v>1</v>
      </c>
      <c r="Q894">
        <v>0</v>
      </c>
      <c r="R894">
        <v>176.11</v>
      </c>
      <c r="U894">
        <v>21996</v>
      </c>
      <c r="W894">
        <v>0</v>
      </c>
      <c r="Y894" t="s">
        <v>101</v>
      </c>
      <c r="Z894" t="s">
        <v>10972</v>
      </c>
      <c r="AA894" t="s">
        <v>10976</v>
      </c>
      <c r="AD894" t="s">
        <v>11082</v>
      </c>
      <c r="AF894" t="s">
        <v>11121</v>
      </c>
      <c r="AH894" t="s">
        <v>10975</v>
      </c>
      <c r="AJ894" t="s">
        <v>11129</v>
      </c>
      <c r="AK894" t="s">
        <v>7225</v>
      </c>
      <c r="AM894">
        <v>859</v>
      </c>
      <c r="AO894">
        <v>1276</v>
      </c>
      <c r="AQ894" t="s">
        <v>11157</v>
      </c>
      <c r="AS894" t="s">
        <v>11174</v>
      </c>
      <c r="AU894">
        <v>2</v>
      </c>
      <c r="AW894" t="s">
        <v>11187</v>
      </c>
      <c r="AX894" t="s">
        <v>11212</v>
      </c>
      <c r="AZ894" t="s">
        <v>11221</v>
      </c>
      <c r="BE894" t="s">
        <v>12186</v>
      </c>
      <c r="BG894" t="s">
        <v>14571</v>
      </c>
      <c r="BM894" t="s">
        <v>15650</v>
      </c>
    </row>
    <row r="895" spans="1:65">
      <c r="A895" s="1">
        <f>HYPERLINK("https://lsnyc.legalserver.org/matter/dynamic-profile/view/1912555","19-1912555")</f>
        <v>0</v>
      </c>
      <c r="B895" t="s">
        <v>106</v>
      </c>
      <c r="C895" t="s">
        <v>248</v>
      </c>
      <c r="D895" t="s">
        <v>599</v>
      </c>
      <c r="F895" t="s">
        <v>1559</v>
      </c>
      <c r="G895" t="s">
        <v>3150</v>
      </c>
      <c r="H895" t="s">
        <v>5099</v>
      </c>
      <c r="I895">
        <v>2</v>
      </c>
      <c r="J895" t="s">
        <v>7174</v>
      </c>
      <c r="K895">
        <v>11233</v>
      </c>
      <c r="N895" t="s">
        <v>7237</v>
      </c>
      <c r="O895" t="s">
        <v>7859</v>
      </c>
      <c r="P895">
        <v>2</v>
      </c>
      <c r="Q895">
        <v>2</v>
      </c>
      <c r="R895">
        <v>159.22</v>
      </c>
      <c r="U895">
        <v>41000</v>
      </c>
      <c r="W895">
        <v>3.8</v>
      </c>
      <c r="X895" t="s">
        <v>614</v>
      </c>
      <c r="Y895" t="s">
        <v>101</v>
      </c>
      <c r="AA895" t="s">
        <v>10974</v>
      </c>
      <c r="AB895" t="s">
        <v>265</v>
      </c>
      <c r="AD895" t="s">
        <v>11082</v>
      </c>
      <c r="AF895" t="s">
        <v>11121</v>
      </c>
      <c r="AH895" t="s">
        <v>10975</v>
      </c>
      <c r="AJ895" t="s">
        <v>11135</v>
      </c>
      <c r="AK895" t="s">
        <v>7225</v>
      </c>
      <c r="AM895">
        <v>2400</v>
      </c>
      <c r="AO895">
        <v>2</v>
      </c>
      <c r="AQ895" t="s">
        <v>11156</v>
      </c>
      <c r="AS895" t="s">
        <v>11173</v>
      </c>
      <c r="AT895" t="s">
        <v>11184</v>
      </c>
      <c r="AU895">
        <v>0</v>
      </c>
      <c r="AW895" t="s">
        <v>11187</v>
      </c>
      <c r="BA895" t="s">
        <v>11222</v>
      </c>
      <c r="BB895" t="s">
        <v>11224</v>
      </c>
      <c r="BC895" t="s">
        <v>11289</v>
      </c>
      <c r="BE895" t="s">
        <v>12194</v>
      </c>
      <c r="BG895" t="s">
        <v>14572</v>
      </c>
      <c r="BM895" t="s">
        <v>15650</v>
      </c>
    </row>
    <row r="896" spans="1:65">
      <c r="A896" s="1">
        <f>HYPERLINK("https://lsnyc.legalserver.org/matter/dynamic-profile/view/1879944","18-1879944")</f>
        <v>0</v>
      </c>
      <c r="B896" t="s">
        <v>106</v>
      </c>
      <c r="C896" t="s">
        <v>248</v>
      </c>
      <c r="D896" t="s">
        <v>600</v>
      </c>
      <c r="F896" t="s">
        <v>1560</v>
      </c>
      <c r="G896" t="s">
        <v>3332</v>
      </c>
      <c r="H896" t="s">
        <v>5100</v>
      </c>
      <c r="I896" t="s">
        <v>6413</v>
      </c>
      <c r="J896" t="s">
        <v>7174</v>
      </c>
      <c r="K896">
        <v>11213</v>
      </c>
      <c r="N896" t="s">
        <v>7237</v>
      </c>
      <c r="O896" t="s">
        <v>7860</v>
      </c>
      <c r="P896">
        <v>1</v>
      </c>
      <c r="Q896">
        <v>0</v>
      </c>
      <c r="R896">
        <v>172.59</v>
      </c>
      <c r="U896">
        <v>20952</v>
      </c>
      <c r="W896">
        <v>50.2</v>
      </c>
      <c r="X896" t="s">
        <v>297</v>
      </c>
      <c r="Y896" t="s">
        <v>106</v>
      </c>
      <c r="AA896" t="s">
        <v>10974</v>
      </c>
      <c r="AB896" t="s">
        <v>600</v>
      </c>
      <c r="AD896" t="s">
        <v>11090</v>
      </c>
      <c r="AF896" t="s">
        <v>11118</v>
      </c>
      <c r="AH896" t="s">
        <v>10974</v>
      </c>
      <c r="AJ896" t="s">
        <v>11104</v>
      </c>
      <c r="AK896" t="s">
        <v>7225</v>
      </c>
      <c r="AM896">
        <v>575</v>
      </c>
      <c r="AO896">
        <v>6</v>
      </c>
      <c r="AQ896" t="s">
        <v>11157</v>
      </c>
      <c r="AS896" t="s">
        <v>11173</v>
      </c>
      <c r="AU896">
        <v>22</v>
      </c>
      <c r="AW896" t="s">
        <v>11187</v>
      </c>
      <c r="AY896" t="s">
        <v>11213</v>
      </c>
      <c r="AZ896" t="s">
        <v>11221</v>
      </c>
      <c r="BD896" t="s">
        <v>11667</v>
      </c>
      <c r="BG896" t="s">
        <v>14573</v>
      </c>
      <c r="BM896" t="s">
        <v>15650</v>
      </c>
    </row>
    <row r="897" spans="1:65">
      <c r="A897" s="1">
        <f>HYPERLINK("https://lsnyc.legalserver.org/matter/dynamic-profile/view/1911733","19-1911733")</f>
        <v>0</v>
      </c>
      <c r="B897" t="s">
        <v>106</v>
      </c>
      <c r="C897" t="s">
        <v>248</v>
      </c>
      <c r="D897" t="s">
        <v>563</v>
      </c>
      <c r="F897" t="s">
        <v>1561</v>
      </c>
      <c r="G897" t="s">
        <v>3115</v>
      </c>
      <c r="H897" t="s">
        <v>5101</v>
      </c>
      <c r="I897" t="s">
        <v>6433</v>
      </c>
      <c r="J897" t="s">
        <v>7174</v>
      </c>
      <c r="K897">
        <v>11206</v>
      </c>
      <c r="N897" t="s">
        <v>7237</v>
      </c>
      <c r="O897" t="s">
        <v>7861</v>
      </c>
      <c r="P897">
        <v>1</v>
      </c>
      <c r="Q897">
        <v>4</v>
      </c>
      <c r="R897">
        <v>112.03</v>
      </c>
      <c r="U897">
        <v>33800</v>
      </c>
      <c r="W897">
        <v>0</v>
      </c>
      <c r="Y897" t="s">
        <v>10913</v>
      </c>
      <c r="AA897" t="s">
        <v>10974</v>
      </c>
      <c r="AB897" t="s">
        <v>563</v>
      </c>
      <c r="AD897" t="s">
        <v>11083</v>
      </c>
      <c r="AE897" t="s">
        <v>11117</v>
      </c>
      <c r="AH897" t="s">
        <v>10975</v>
      </c>
      <c r="AJ897" t="s">
        <v>11104</v>
      </c>
      <c r="AK897" t="s">
        <v>7225</v>
      </c>
      <c r="AM897">
        <v>711</v>
      </c>
      <c r="AO897">
        <v>82</v>
      </c>
      <c r="AQ897" t="s">
        <v>11157</v>
      </c>
      <c r="AS897" t="s">
        <v>11173</v>
      </c>
      <c r="AU897">
        <v>8</v>
      </c>
      <c r="AW897" t="s">
        <v>11187</v>
      </c>
      <c r="AY897" t="s">
        <v>11213</v>
      </c>
      <c r="BA897" t="s">
        <v>11222</v>
      </c>
      <c r="BB897" t="s">
        <v>11224</v>
      </c>
      <c r="BC897" t="s">
        <v>11290</v>
      </c>
      <c r="BE897" t="s">
        <v>12195</v>
      </c>
      <c r="BF897" t="s">
        <v>14364</v>
      </c>
      <c r="BG897" t="s">
        <v>14574</v>
      </c>
      <c r="BM897" t="s">
        <v>15650</v>
      </c>
    </row>
    <row r="898" spans="1:65">
      <c r="A898" s="1">
        <f>HYPERLINK("https://lsnyc.legalserver.org/matter/dynamic-profile/view/1901836","19-1901836")</f>
        <v>0</v>
      </c>
      <c r="B898" t="s">
        <v>106</v>
      </c>
      <c r="C898" t="s">
        <v>248</v>
      </c>
      <c r="D898" t="s">
        <v>280</v>
      </c>
      <c r="E898" t="s">
        <v>536</v>
      </c>
      <c r="F898" t="s">
        <v>1562</v>
      </c>
      <c r="G898" t="s">
        <v>3333</v>
      </c>
      <c r="H898" t="s">
        <v>5102</v>
      </c>
      <c r="I898" t="s">
        <v>6649</v>
      </c>
      <c r="J898" t="s">
        <v>7174</v>
      </c>
      <c r="K898">
        <v>11233</v>
      </c>
      <c r="L898" t="s">
        <v>7219</v>
      </c>
      <c r="N898" t="s">
        <v>7237</v>
      </c>
      <c r="O898" t="s">
        <v>7862</v>
      </c>
      <c r="P898">
        <v>2</v>
      </c>
      <c r="Q898">
        <v>0</v>
      </c>
      <c r="R898">
        <v>64.87</v>
      </c>
      <c r="U898">
        <v>10970.16</v>
      </c>
      <c r="W898">
        <v>21.5</v>
      </c>
      <c r="X898" t="s">
        <v>601</v>
      </c>
      <c r="Y898" t="s">
        <v>10872</v>
      </c>
      <c r="AA898" t="s">
        <v>10974</v>
      </c>
      <c r="AB898" t="s">
        <v>575</v>
      </c>
      <c r="AD898" t="s">
        <v>11082</v>
      </c>
      <c r="AF898" t="s">
        <v>11118</v>
      </c>
      <c r="AH898" t="s">
        <v>10975</v>
      </c>
      <c r="AJ898" t="s">
        <v>11144</v>
      </c>
      <c r="AK898" t="s">
        <v>7225</v>
      </c>
      <c r="AM898">
        <v>146</v>
      </c>
      <c r="AO898">
        <v>36</v>
      </c>
      <c r="AQ898" t="s">
        <v>11157</v>
      </c>
      <c r="AS898" t="s">
        <v>11174</v>
      </c>
      <c r="AU898">
        <v>15</v>
      </c>
      <c r="AW898" t="s">
        <v>11187</v>
      </c>
      <c r="AY898" t="s">
        <v>11214</v>
      </c>
      <c r="BA898" t="s">
        <v>11223</v>
      </c>
      <c r="BB898" t="s">
        <v>11224</v>
      </c>
      <c r="BC898" t="s">
        <v>11291</v>
      </c>
      <c r="BE898" t="s">
        <v>12196</v>
      </c>
      <c r="BG898" t="s">
        <v>14575</v>
      </c>
      <c r="BH898" t="s">
        <v>15605</v>
      </c>
      <c r="BJ898" t="s">
        <v>15615</v>
      </c>
      <c r="BL898" t="s">
        <v>15648</v>
      </c>
      <c r="BM898" t="s">
        <v>15651</v>
      </c>
    </row>
    <row r="899" spans="1:65">
      <c r="A899" s="1">
        <f>HYPERLINK("https://lsnyc.legalserver.org/matter/dynamic-profile/view/1915541","19-1915541")</f>
        <v>0</v>
      </c>
      <c r="B899" t="s">
        <v>106</v>
      </c>
      <c r="C899" t="s">
        <v>248</v>
      </c>
      <c r="D899" t="s">
        <v>548</v>
      </c>
      <c r="F899" t="s">
        <v>1489</v>
      </c>
      <c r="G899" t="s">
        <v>3147</v>
      </c>
      <c r="H899" t="s">
        <v>4798</v>
      </c>
      <c r="I899" t="s">
        <v>6415</v>
      </c>
      <c r="J899" t="s">
        <v>7174</v>
      </c>
      <c r="K899">
        <v>11233</v>
      </c>
      <c r="N899" t="s">
        <v>7237</v>
      </c>
      <c r="O899" t="s">
        <v>7863</v>
      </c>
      <c r="P899">
        <v>2</v>
      </c>
      <c r="Q899">
        <v>1</v>
      </c>
      <c r="R899">
        <v>124.17</v>
      </c>
      <c r="U899">
        <v>26485</v>
      </c>
      <c r="W899">
        <v>0</v>
      </c>
      <c r="Y899" t="s">
        <v>101</v>
      </c>
      <c r="Z899" t="s">
        <v>10972</v>
      </c>
      <c r="AA899" t="s">
        <v>10976</v>
      </c>
      <c r="AD899" t="s">
        <v>11082</v>
      </c>
      <c r="AF899" t="s">
        <v>11121</v>
      </c>
      <c r="AH899" t="s">
        <v>10975</v>
      </c>
      <c r="AJ899" t="s">
        <v>11130</v>
      </c>
      <c r="AK899" t="s">
        <v>7225</v>
      </c>
      <c r="AM899">
        <v>981</v>
      </c>
      <c r="AO899">
        <v>357</v>
      </c>
      <c r="AQ899" t="s">
        <v>11167</v>
      </c>
      <c r="AS899" t="s">
        <v>11180</v>
      </c>
      <c r="AU899">
        <v>1</v>
      </c>
      <c r="AW899" t="s">
        <v>11187</v>
      </c>
      <c r="AX899" t="s">
        <v>11212</v>
      </c>
      <c r="AZ899" t="s">
        <v>11221</v>
      </c>
      <c r="BE899" t="s">
        <v>12197</v>
      </c>
      <c r="BG899" t="s">
        <v>14576</v>
      </c>
      <c r="BM899" t="s">
        <v>15650</v>
      </c>
    </row>
    <row r="900" spans="1:65">
      <c r="A900" s="1">
        <f>HYPERLINK("https://lsnyc.legalserver.org/matter/dynamic-profile/view/1914262","19-1914262")</f>
        <v>0</v>
      </c>
      <c r="B900" t="s">
        <v>106</v>
      </c>
      <c r="C900" t="s">
        <v>248</v>
      </c>
      <c r="D900" t="s">
        <v>266</v>
      </c>
      <c r="F900" t="s">
        <v>1563</v>
      </c>
      <c r="G900" t="s">
        <v>3206</v>
      </c>
      <c r="H900" t="s">
        <v>5103</v>
      </c>
      <c r="I900" t="s">
        <v>6611</v>
      </c>
      <c r="J900" t="s">
        <v>7174</v>
      </c>
      <c r="K900">
        <v>11212</v>
      </c>
      <c r="N900" t="s">
        <v>7237</v>
      </c>
      <c r="O900" t="s">
        <v>7864</v>
      </c>
      <c r="P900">
        <v>1</v>
      </c>
      <c r="Q900">
        <v>0</v>
      </c>
      <c r="R900">
        <v>29.3</v>
      </c>
      <c r="U900">
        <v>3660</v>
      </c>
      <c r="W900">
        <v>2</v>
      </c>
      <c r="X900" t="s">
        <v>449</v>
      </c>
      <c r="Y900" t="s">
        <v>10914</v>
      </c>
      <c r="Z900" t="s">
        <v>10972</v>
      </c>
      <c r="AA900" t="s">
        <v>10975</v>
      </c>
      <c r="AD900" t="s">
        <v>11083</v>
      </c>
      <c r="AF900" t="s">
        <v>11121</v>
      </c>
      <c r="AH900" t="s">
        <v>10975</v>
      </c>
      <c r="AJ900" t="s">
        <v>11129</v>
      </c>
      <c r="AK900" t="s">
        <v>7225</v>
      </c>
      <c r="AM900">
        <v>947</v>
      </c>
      <c r="AO900">
        <v>54</v>
      </c>
      <c r="AQ900" t="s">
        <v>11157</v>
      </c>
      <c r="AR900" t="s">
        <v>11172</v>
      </c>
      <c r="AU900">
        <v>6</v>
      </c>
      <c r="AW900" t="s">
        <v>11187</v>
      </c>
      <c r="AY900" t="s">
        <v>11215</v>
      </c>
      <c r="AZ900" t="s">
        <v>11221</v>
      </c>
      <c r="BA900" t="s">
        <v>11173</v>
      </c>
      <c r="BC900" t="s">
        <v>11230</v>
      </c>
      <c r="BE900" t="s">
        <v>12198</v>
      </c>
      <c r="BG900" t="s">
        <v>14577</v>
      </c>
      <c r="BM900" t="s">
        <v>15650</v>
      </c>
    </row>
    <row r="901" spans="1:65">
      <c r="A901" s="1">
        <f>HYPERLINK("https://lsnyc.legalserver.org/matter/dynamic-profile/view/1911428","19-1911428")</f>
        <v>0</v>
      </c>
      <c r="B901" t="s">
        <v>106</v>
      </c>
      <c r="C901" t="s">
        <v>248</v>
      </c>
      <c r="D901" t="s">
        <v>601</v>
      </c>
      <c r="F901" t="s">
        <v>1564</v>
      </c>
      <c r="G901" t="s">
        <v>2954</v>
      </c>
      <c r="H901" t="s">
        <v>5104</v>
      </c>
      <c r="J901" t="s">
        <v>7174</v>
      </c>
      <c r="K901">
        <v>11233</v>
      </c>
      <c r="N901" t="s">
        <v>7237</v>
      </c>
      <c r="O901" t="s">
        <v>7865</v>
      </c>
      <c r="P901">
        <v>3</v>
      </c>
      <c r="Q901">
        <v>1</v>
      </c>
      <c r="R901">
        <v>124.85</v>
      </c>
      <c r="U901">
        <v>32150</v>
      </c>
      <c r="W901">
        <v>2</v>
      </c>
      <c r="X901" t="s">
        <v>316</v>
      </c>
      <c r="Y901" t="s">
        <v>225</v>
      </c>
      <c r="AA901" t="s">
        <v>10974</v>
      </c>
      <c r="AB901" t="s">
        <v>316</v>
      </c>
      <c r="AD901" t="s">
        <v>11083</v>
      </c>
      <c r="AF901" t="s">
        <v>10384</v>
      </c>
      <c r="AH901" t="s">
        <v>10975</v>
      </c>
      <c r="AJ901" t="s">
        <v>11135</v>
      </c>
      <c r="AK901" t="s">
        <v>7225</v>
      </c>
      <c r="AM901">
        <v>2100</v>
      </c>
      <c r="AO901">
        <v>4</v>
      </c>
      <c r="AQ901" t="s">
        <v>11156</v>
      </c>
      <c r="AS901" t="s">
        <v>11174</v>
      </c>
      <c r="AU901">
        <v>3</v>
      </c>
      <c r="AW901" t="s">
        <v>11187</v>
      </c>
      <c r="AY901" t="s">
        <v>11213</v>
      </c>
      <c r="BA901" t="s">
        <v>11222</v>
      </c>
      <c r="BB901" t="s">
        <v>11224</v>
      </c>
      <c r="BC901" t="s">
        <v>11292</v>
      </c>
      <c r="BE901" t="s">
        <v>12199</v>
      </c>
      <c r="BG901" t="s">
        <v>14578</v>
      </c>
      <c r="BM901" t="s">
        <v>15650</v>
      </c>
    </row>
    <row r="902" spans="1:65">
      <c r="A902" s="1">
        <f>HYPERLINK("https://lsnyc.legalserver.org/matter/dynamic-profile/view/1895582","19-1895582")</f>
        <v>0</v>
      </c>
      <c r="B902" t="s">
        <v>106</v>
      </c>
      <c r="C902" t="s">
        <v>248</v>
      </c>
      <c r="D902" t="s">
        <v>602</v>
      </c>
      <c r="E902" t="s">
        <v>536</v>
      </c>
      <c r="F902" t="s">
        <v>1565</v>
      </c>
      <c r="G902" t="s">
        <v>2913</v>
      </c>
      <c r="H902" t="s">
        <v>5105</v>
      </c>
      <c r="J902" t="s">
        <v>7174</v>
      </c>
      <c r="K902">
        <v>11233</v>
      </c>
      <c r="L902" t="s">
        <v>7217</v>
      </c>
      <c r="N902" t="s">
        <v>7237</v>
      </c>
      <c r="O902" t="s">
        <v>7866</v>
      </c>
      <c r="P902">
        <v>1</v>
      </c>
      <c r="Q902">
        <v>0</v>
      </c>
      <c r="R902">
        <v>124.11</v>
      </c>
      <c r="U902">
        <v>15501.6</v>
      </c>
      <c r="W902">
        <v>4.25</v>
      </c>
      <c r="X902" t="s">
        <v>267</v>
      </c>
      <c r="Y902" t="s">
        <v>10911</v>
      </c>
      <c r="AA902" t="s">
        <v>10974</v>
      </c>
      <c r="AB902" t="s">
        <v>267</v>
      </c>
      <c r="AD902" t="s">
        <v>11083</v>
      </c>
      <c r="AF902" t="s">
        <v>11119</v>
      </c>
      <c r="AH902" t="s">
        <v>10975</v>
      </c>
      <c r="AJ902" t="s">
        <v>11135</v>
      </c>
      <c r="AK902" t="s">
        <v>7225</v>
      </c>
      <c r="AM902">
        <v>750</v>
      </c>
      <c r="AO902">
        <v>2</v>
      </c>
      <c r="AQ902" t="s">
        <v>11156</v>
      </c>
      <c r="AS902" t="s">
        <v>11173</v>
      </c>
      <c r="AU902">
        <v>2</v>
      </c>
      <c r="AW902" t="s">
        <v>11187</v>
      </c>
      <c r="AY902" t="s">
        <v>11213</v>
      </c>
      <c r="BA902" t="s">
        <v>11223</v>
      </c>
      <c r="BB902" t="s">
        <v>11224</v>
      </c>
      <c r="BC902" t="s">
        <v>11293</v>
      </c>
      <c r="BE902" t="s">
        <v>12200</v>
      </c>
      <c r="BG902" t="s">
        <v>14579</v>
      </c>
      <c r="BM902" t="s">
        <v>15651</v>
      </c>
    </row>
    <row r="903" spans="1:65">
      <c r="A903" s="1">
        <f>HYPERLINK("https://lsnyc.legalserver.org/matter/dynamic-profile/view/1906165","19-1906165")</f>
        <v>0</v>
      </c>
      <c r="B903" t="s">
        <v>106</v>
      </c>
      <c r="C903" t="s">
        <v>248</v>
      </c>
      <c r="D903" t="s">
        <v>524</v>
      </c>
      <c r="F903" t="s">
        <v>1566</v>
      </c>
      <c r="G903" t="s">
        <v>3334</v>
      </c>
      <c r="H903" t="s">
        <v>5106</v>
      </c>
      <c r="I903" t="s">
        <v>6650</v>
      </c>
      <c r="J903" t="s">
        <v>7174</v>
      </c>
      <c r="K903">
        <v>11233</v>
      </c>
      <c r="N903" t="s">
        <v>7237</v>
      </c>
      <c r="O903" t="s">
        <v>7867</v>
      </c>
      <c r="P903">
        <v>1</v>
      </c>
      <c r="Q903">
        <v>0</v>
      </c>
      <c r="R903">
        <v>98.8</v>
      </c>
      <c r="U903">
        <v>12340</v>
      </c>
      <c r="W903">
        <v>12.1</v>
      </c>
      <c r="X903" t="s">
        <v>312</v>
      </c>
      <c r="Y903" t="s">
        <v>10873</v>
      </c>
      <c r="AA903" t="s">
        <v>10974</v>
      </c>
      <c r="AB903" t="s">
        <v>377</v>
      </c>
      <c r="AD903" t="s">
        <v>11082</v>
      </c>
      <c r="AF903" t="s">
        <v>11118</v>
      </c>
      <c r="AH903" t="s">
        <v>10975</v>
      </c>
      <c r="AJ903" t="s">
        <v>11104</v>
      </c>
      <c r="AK903" t="s">
        <v>7225</v>
      </c>
      <c r="AM903">
        <v>2100</v>
      </c>
      <c r="AO903">
        <v>287</v>
      </c>
      <c r="AQ903" t="s">
        <v>11157</v>
      </c>
      <c r="AS903" t="s">
        <v>11174</v>
      </c>
      <c r="AU903">
        <v>3</v>
      </c>
      <c r="AW903" t="s">
        <v>11187</v>
      </c>
      <c r="AY903" t="s">
        <v>11216</v>
      </c>
      <c r="BA903" t="s">
        <v>11222</v>
      </c>
      <c r="BB903" t="s">
        <v>11224</v>
      </c>
      <c r="BC903">
        <v>6659617</v>
      </c>
      <c r="BE903" t="s">
        <v>12201</v>
      </c>
      <c r="BG903" t="s">
        <v>14580</v>
      </c>
      <c r="BM903" t="s">
        <v>15650</v>
      </c>
    </row>
    <row r="904" spans="1:65">
      <c r="A904" s="1">
        <f>HYPERLINK("https://lsnyc.legalserver.org/matter/dynamic-profile/view/1913378","19-1913378")</f>
        <v>0</v>
      </c>
      <c r="B904" t="s">
        <v>106</v>
      </c>
      <c r="C904" t="s">
        <v>248</v>
      </c>
      <c r="D904" t="s">
        <v>273</v>
      </c>
      <c r="F904" t="s">
        <v>1562</v>
      </c>
      <c r="G904" t="s">
        <v>3335</v>
      </c>
      <c r="H904" t="s">
        <v>5107</v>
      </c>
      <c r="I904" t="s">
        <v>6425</v>
      </c>
      <c r="J904" t="s">
        <v>7174</v>
      </c>
      <c r="K904">
        <v>11212</v>
      </c>
      <c r="N904" t="s">
        <v>7237</v>
      </c>
      <c r="O904" t="s">
        <v>7868</v>
      </c>
      <c r="P904">
        <v>1</v>
      </c>
      <c r="Q904">
        <v>2</v>
      </c>
      <c r="R904">
        <v>163.62</v>
      </c>
      <c r="U904">
        <v>34900</v>
      </c>
      <c r="W904">
        <v>3.1</v>
      </c>
      <c r="X904" t="s">
        <v>436</v>
      </c>
      <c r="Y904" t="s">
        <v>225</v>
      </c>
      <c r="Z904" t="s">
        <v>10972</v>
      </c>
      <c r="AA904" t="s">
        <v>10975</v>
      </c>
      <c r="AD904" t="s">
        <v>11082</v>
      </c>
      <c r="AE904" t="s">
        <v>11117</v>
      </c>
      <c r="AH904" t="s">
        <v>10975</v>
      </c>
      <c r="AJ904" t="s">
        <v>11137</v>
      </c>
      <c r="AK904" t="s">
        <v>7225</v>
      </c>
      <c r="AM904">
        <v>1500</v>
      </c>
      <c r="AO904">
        <v>32</v>
      </c>
      <c r="AQ904" t="s">
        <v>11157</v>
      </c>
      <c r="AS904" t="s">
        <v>11173</v>
      </c>
      <c r="AU904">
        <v>3</v>
      </c>
      <c r="AW904" t="s">
        <v>11187</v>
      </c>
      <c r="AY904" t="s">
        <v>11213</v>
      </c>
      <c r="AZ904" t="s">
        <v>11221</v>
      </c>
      <c r="BA904" t="s">
        <v>11173</v>
      </c>
      <c r="BB904" t="s">
        <v>11224</v>
      </c>
      <c r="BC904" t="s">
        <v>11294</v>
      </c>
      <c r="BE904" t="s">
        <v>12202</v>
      </c>
      <c r="BG904" t="s">
        <v>14581</v>
      </c>
      <c r="BM904" t="s">
        <v>15650</v>
      </c>
    </row>
    <row r="905" spans="1:65">
      <c r="A905" s="1">
        <f>HYPERLINK("https://lsnyc.legalserver.org/matter/dynamic-profile/view/1842901","17-1842901")</f>
        <v>0</v>
      </c>
      <c r="B905" t="s">
        <v>106</v>
      </c>
      <c r="C905" t="s">
        <v>248</v>
      </c>
      <c r="D905" t="s">
        <v>603</v>
      </c>
      <c r="F905" t="s">
        <v>1567</v>
      </c>
      <c r="G905" t="s">
        <v>3336</v>
      </c>
      <c r="H905" t="s">
        <v>5108</v>
      </c>
      <c r="I905" t="s">
        <v>6651</v>
      </c>
      <c r="J905" t="s">
        <v>7174</v>
      </c>
      <c r="K905">
        <v>11218</v>
      </c>
      <c r="N905" t="s">
        <v>7237</v>
      </c>
      <c r="O905" t="s">
        <v>7869</v>
      </c>
      <c r="P905">
        <v>1</v>
      </c>
      <c r="Q905">
        <v>0</v>
      </c>
      <c r="R905">
        <v>301.82</v>
      </c>
      <c r="S905" t="s">
        <v>10255</v>
      </c>
      <c r="T905" t="s">
        <v>10276</v>
      </c>
      <c r="U905">
        <v>36400</v>
      </c>
      <c r="W905">
        <v>45.85</v>
      </c>
      <c r="X905" t="s">
        <v>679</v>
      </c>
      <c r="Y905" t="s">
        <v>10901</v>
      </c>
      <c r="AA905" t="s">
        <v>10974</v>
      </c>
      <c r="AB905" t="s">
        <v>603</v>
      </c>
      <c r="AD905" t="s">
        <v>11083</v>
      </c>
      <c r="AF905" t="s">
        <v>11118</v>
      </c>
      <c r="AG905" t="s">
        <v>11124</v>
      </c>
      <c r="AI905" t="s">
        <v>11126</v>
      </c>
      <c r="AK905" t="s">
        <v>7225</v>
      </c>
      <c r="AM905">
        <v>1064.93</v>
      </c>
      <c r="AO905">
        <v>46</v>
      </c>
      <c r="AQ905" t="s">
        <v>11157</v>
      </c>
      <c r="AR905" t="s">
        <v>11172</v>
      </c>
      <c r="AU905">
        <v>14</v>
      </c>
      <c r="AW905" t="s">
        <v>11187</v>
      </c>
      <c r="AZ905" t="s">
        <v>11221</v>
      </c>
      <c r="BE905" t="s">
        <v>12203</v>
      </c>
      <c r="BG905" t="s">
        <v>14582</v>
      </c>
      <c r="BM905" t="s">
        <v>15650</v>
      </c>
    </row>
    <row r="906" spans="1:65">
      <c r="A906" s="1">
        <f>HYPERLINK("https://lsnyc.legalserver.org/matter/dynamic-profile/view/1913644","19-1913644")</f>
        <v>0</v>
      </c>
      <c r="B906" t="s">
        <v>106</v>
      </c>
      <c r="C906" t="s">
        <v>248</v>
      </c>
      <c r="D906" t="s">
        <v>293</v>
      </c>
      <c r="F906" t="s">
        <v>1568</v>
      </c>
      <c r="G906" t="s">
        <v>3337</v>
      </c>
      <c r="H906" t="s">
        <v>5109</v>
      </c>
      <c r="J906" t="s">
        <v>7174</v>
      </c>
      <c r="K906">
        <v>11212</v>
      </c>
      <c r="N906" t="s">
        <v>7237</v>
      </c>
      <c r="O906" t="s">
        <v>7870</v>
      </c>
      <c r="P906">
        <v>2</v>
      </c>
      <c r="Q906">
        <v>0</v>
      </c>
      <c r="R906">
        <v>5.79</v>
      </c>
      <c r="U906">
        <v>978.6</v>
      </c>
      <c r="W906">
        <v>1</v>
      </c>
      <c r="X906" t="s">
        <v>497</v>
      </c>
      <c r="Y906" t="s">
        <v>101</v>
      </c>
      <c r="Z906" t="s">
        <v>10972</v>
      </c>
      <c r="AA906" t="s">
        <v>10975</v>
      </c>
      <c r="AD906" t="s">
        <v>11082</v>
      </c>
      <c r="AF906" t="s">
        <v>11121</v>
      </c>
      <c r="AH906" t="s">
        <v>10975</v>
      </c>
      <c r="AJ906" t="s">
        <v>11104</v>
      </c>
      <c r="AK906" t="s">
        <v>7225</v>
      </c>
      <c r="AM906">
        <v>1417.68</v>
      </c>
      <c r="AO906">
        <v>19</v>
      </c>
      <c r="AQ906" t="s">
        <v>11157</v>
      </c>
      <c r="AS906" t="s">
        <v>11174</v>
      </c>
      <c r="AU906">
        <v>8</v>
      </c>
      <c r="AW906" t="s">
        <v>11187</v>
      </c>
      <c r="AY906" t="s">
        <v>11213</v>
      </c>
      <c r="AZ906" t="s">
        <v>11221</v>
      </c>
      <c r="BA906" t="s">
        <v>11173</v>
      </c>
      <c r="BC906" t="s">
        <v>11295</v>
      </c>
      <c r="BE906" t="s">
        <v>12204</v>
      </c>
      <c r="BG906" t="s">
        <v>14583</v>
      </c>
      <c r="BM906" t="s">
        <v>15650</v>
      </c>
    </row>
    <row r="907" spans="1:65">
      <c r="A907" s="1">
        <f>HYPERLINK("https://lsnyc.legalserver.org/matter/dynamic-profile/view/1889626","19-1889626")</f>
        <v>0</v>
      </c>
      <c r="B907" t="s">
        <v>106</v>
      </c>
      <c r="C907" t="s">
        <v>248</v>
      </c>
      <c r="D907" t="s">
        <v>604</v>
      </c>
      <c r="E907" t="s">
        <v>536</v>
      </c>
      <c r="F907" t="s">
        <v>1569</v>
      </c>
      <c r="G907" t="s">
        <v>3338</v>
      </c>
      <c r="H907" t="s">
        <v>5110</v>
      </c>
      <c r="I907" t="s">
        <v>6420</v>
      </c>
      <c r="J907" t="s">
        <v>7174</v>
      </c>
      <c r="K907">
        <v>11207</v>
      </c>
      <c r="L907" t="s">
        <v>7219</v>
      </c>
      <c r="N907" t="s">
        <v>7237</v>
      </c>
      <c r="O907" t="s">
        <v>7871</v>
      </c>
      <c r="P907">
        <v>1</v>
      </c>
      <c r="Q907">
        <v>5</v>
      </c>
      <c r="R907">
        <v>8.33</v>
      </c>
      <c r="U907">
        <v>2880</v>
      </c>
      <c r="W907">
        <v>9.1</v>
      </c>
      <c r="X907" t="s">
        <v>822</v>
      </c>
      <c r="Y907" t="s">
        <v>225</v>
      </c>
      <c r="AA907" t="s">
        <v>10974</v>
      </c>
      <c r="AB907" t="s">
        <v>343</v>
      </c>
      <c r="AD907" t="s">
        <v>11082</v>
      </c>
      <c r="AF907" t="s">
        <v>11118</v>
      </c>
      <c r="AH907" t="s">
        <v>10975</v>
      </c>
      <c r="AJ907" t="s">
        <v>11129</v>
      </c>
      <c r="AK907" t="s">
        <v>7225</v>
      </c>
      <c r="AM907">
        <v>1250</v>
      </c>
      <c r="AO907">
        <v>6</v>
      </c>
      <c r="AQ907" t="s">
        <v>11157</v>
      </c>
      <c r="AS907" t="s">
        <v>11173</v>
      </c>
      <c r="AU907">
        <v>5</v>
      </c>
      <c r="AW907" t="s">
        <v>11187</v>
      </c>
      <c r="AY907" t="s">
        <v>11213</v>
      </c>
      <c r="BA907" t="s">
        <v>11222</v>
      </c>
      <c r="BC907" t="s">
        <v>11296</v>
      </c>
      <c r="BE907" t="s">
        <v>12205</v>
      </c>
      <c r="BG907" t="s">
        <v>14584</v>
      </c>
      <c r="BH907" t="s">
        <v>15605</v>
      </c>
      <c r="BJ907" t="s">
        <v>15615</v>
      </c>
      <c r="BL907" t="s">
        <v>15648</v>
      </c>
      <c r="BM907" t="s">
        <v>15651</v>
      </c>
    </row>
    <row r="908" spans="1:65">
      <c r="A908" s="1">
        <f>HYPERLINK("https://lsnyc.legalserver.org/matter/dynamic-profile/view/1887570","19-1887570")</f>
        <v>0</v>
      </c>
      <c r="B908" t="s">
        <v>106</v>
      </c>
      <c r="C908" t="s">
        <v>248</v>
      </c>
      <c r="D908" t="s">
        <v>605</v>
      </c>
      <c r="F908" t="s">
        <v>1519</v>
      </c>
      <c r="G908" t="s">
        <v>3339</v>
      </c>
      <c r="H908" t="s">
        <v>5111</v>
      </c>
      <c r="I908" t="s">
        <v>6573</v>
      </c>
      <c r="J908" t="s">
        <v>7174</v>
      </c>
      <c r="K908">
        <v>11207</v>
      </c>
      <c r="N908" t="s">
        <v>7237</v>
      </c>
      <c r="O908" t="s">
        <v>7872</v>
      </c>
      <c r="P908">
        <v>2</v>
      </c>
      <c r="Q908">
        <v>0</v>
      </c>
      <c r="R908">
        <v>121.51</v>
      </c>
      <c r="U908">
        <v>20000</v>
      </c>
      <c r="W908">
        <v>13.1</v>
      </c>
      <c r="X908" t="s">
        <v>575</v>
      </c>
      <c r="Y908" t="s">
        <v>225</v>
      </c>
      <c r="AA908" t="s">
        <v>10974</v>
      </c>
      <c r="AB908" t="s">
        <v>483</v>
      </c>
      <c r="AD908" t="s">
        <v>11082</v>
      </c>
      <c r="AF908" t="s">
        <v>11118</v>
      </c>
      <c r="AH908" t="s">
        <v>10975</v>
      </c>
      <c r="AJ908" t="s">
        <v>11129</v>
      </c>
      <c r="AK908" t="s">
        <v>7225</v>
      </c>
      <c r="AM908">
        <v>1337</v>
      </c>
      <c r="AO908">
        <v>25</v>
      </c>
      <c r="AQ908" t="s">
        <v>11157</v>
      </c>
      <c r="AS908" t="s">
        <v>11174</v>
      </c>
      <c r="AU908">
        <v>7</v>
      </c>
      <c r="AW908" t="s">
        <v>11187</v>
      </c>
      <c r="AY908" t="s">
        <v>11213</v>
      </c>
      <c r="BA908" t="s">
        <v>11222</v>
      </c>
      <c r="BB908" t="s">
        <v>11224</v>
      </c>
      <c r="BC908" t="s">
        <v>11297</v>
      </c>
      <c r="BE908" t="s">
        <v>12206</v>
      </c>
      <c r="BG908" t="s">
        <v>14585</v>
      </c>
      <c r="BM908" t="s">
        <v>15650</v>
      </c>
    </row>
    <row r="909" spans="1:65">
      <c r="A909" s="1">
        <f>HYPERLINK("https://lsnyc.legalserver.org/matter/dynamic-profile/view/1883253","18-1883253")</f>
        <v>0</v>
      </c>
      <c r="B909" t="s">
        <v>106</v>
      </c>
      <c r="C909" t="s">
        <v>248</v>
      </c>
      <c r="D909" t="s">
        <v>606</v>
      </c>
      <c r="E909" t="s">
        <v>536</v>
      </c>
      <c r="F909" t="s">
        <v>1519</v>
      </c>
      <c r="G909" t="s">
        <v>3340</v>
      </c>
      <c r="H909" t="s">
        <v>5112</v>
      </c>
      <c r="I909" t="s">
        <v>6415</v>
      </c>
      <c r="J909" t="s">
        <v>7174</v>
      </c>
      <c r="K909">
        <v>11233</v>
      </c>
      <c r="L909" t="s">
        <v>7219</v>
      </c>
      <c r="N909" t="s">
        <v>7237</v>
      </c>
      <c r="O909" t="s">
        <v>7873</v>
      </c>
      <c r="P909">
        <v>1</v>
      </c>
      <c r="Q909">
        <v>0</v>
      </c>
      <c r="R909">
        <v>72.65000000000001</v>
      </c>
      <c r="U909">
        <v>8820</v>
      </c>
      <c r="V909" t="s">
        <v>10349</v>
      </c>
      <c r="W909">
        <v>15.65</v>
      </c>
      <c r="X909" t="s">
        <v>1075</v>
      </c>
      <c r="Y909" t="s">
        <v>10882</v>
      </c>
      <c r="AA909" t="s">
        <v>10974</v>
      </c>
      <c r="AB909" t="s">
        <v>606</v>
      </c>
      <c r="AD909" t="s">
        <v>11082</v>
      </c>
      <c r="AF909" t="s">
        <v>11118</v>
      </c>
      <c r="AH909" t="s">
        <v>10975</v>
      </c>
      <c r="AJ909" t="s">
        <v>11104</v>
      </c>
      <c r="AK909" t="s">
        <v>7225</v>
      </c>
      <c r="AM909">
        <v>957.15</v>
      </c>
      <c r="AO909">
        <v>15</v>
      </c>
      <c r="AQ909" t="s">
        <v>11164</v>
      </c>
      <c r="AS909" t="s">
        <v>11173</v>
      </c>
      <c r="AU909">
        <v>25</v>
      </c>
      <c r="AW909" t="s">
        <v>11187</v>
      </c>
      <c r="AY909" t="s">
        <v>11213</v>
      </c>
      <c r="AZ909" t="s">
        <v>11221</v>
      </c>
      <c r="BB909" t="s">
        <v>11224</v>
      </c>
      <c r="BC909" t="s">
        <v>11298</v>
      </c>
      <c r="BE909" t="s">
        <v>12207</v>
      </c>
      <c r="BG909" t="s">
        <v>14586</v>
      </c>
      <c r="BH909" t="s">
        <v>15605</v>
      </c>
      <c r="BJ909" t="s">
        <v>15615</v>
      </c>
      <c r="BL909" t="s">
        <v>15648</v>
      </c>
      <c r="BM909" t="s">
        <v>15651</v>
      </c>
    </row>
    <row r="910" spans="1:65">
      <c r="A910" s="1">
        <f>HYPERLINK("https://lsnyc.legalserver.org/matter/dynamic-profile/view/1884464","18-1884464")</f>
        <v>0</v>
      </c>
      <c r="B910" t="s">
        <v>106</v>
      </c>
      <c r="C910" t="s">
        <v>248</v>
      </c>
      <c r="D910" t="s">
        <v>259</v>
      </c>
      <c r="F910" t="s">
        <v>1570</v>
      </c>
      <c r="G910" t="s">
        <v>3341</v>
      </c>
      <c r="H910" t="s">
        <v>5113</v>
      </c>
      <c r="I910" t="s">
        <v>6652</v>
      </c>
      <c r="J910" t="s">
        <v>7174</v>
      </c>
      <c r="K910">
        <v>11233</v>
      </c>
      <c r="N910" t="s">
        <v>7237</v>
      </c>
      <c r="O910" t="s">
        <v>7874</v>
      </c>
      <c r="P910">
        <v>1</v>
      </c>
      <c r="Q910">
        <v>0</v>
      </c>
      <c r="R910">
        <v>306.43</v>
      </c>
      <c r="S910" t="s">
        <v>666</v>
      </c>
      <c r="T910" t="s">
        <v>10276</v>
      </c>
      <c r="U910">
        <v>37200</v>
      </c>
      <c r="V910" t="s">
        <v>10349</v>
      </c>
      <c r="W910">
        <v>71.90000000000001</v>
      </c>
      <c r="X910" t="s">
        <v>262</v>
      </c>
      <c r="Y910" t="s">
        <v>10892</v>
      </c>
      <c r="AA910" t="s">
        <v>10974</v>
      </c>
      <c r="AB910" t="s">
        <v>259</v>
      </c>
      <c r="AD910" t="s">
        <v>11082</v>
      </c>
      <c r="AF910" t="s">
        <v>11118</v>
      </c>
      <c r="AH910" t="s">
        <v>10975</v>
      </c>
      <c r="AJ910" t="s">
        <v>11135</v>
      </c>
      <c r="AK910" t="s">
        <v>7225</v>
      </c>
      <c r="AM910">
        <v>2050</v>
      </c>
      <c r="AO910">
        <v>6</v>
      </c>
      <c r="AQ910" t="s">
        <v>11157</v>
      </c>
      <c r="AS910" t="s">
        <v>11173</v>
      </c>
      <c r="AT910" t="s">
        <v>11184</v>
      </c>
      <c r="AU910">
        <v>0</v>
      </c>
      <c r="AW910" t="s">
        <v>11187</v>
      </c>
      <c r="AY910" t="s">
        <v>11213</v>
      </c>
      <c r="AZ910" t="s">
        <v>11221</v>
      </c>
      <c r="BC910" t="s">
        <v>11173</v>
      </c>
      <c r="BE910" t="s">
        <v>12208</v>
      </c>
      <c r="BG910" t="s">
        <v>14587</v>
      </c>
      <c r="BM910" t="s">
        <v>15650</v>
      </c>
    </row>
    <row r="911" spans="1:65">
      <c r="A911" s="1">
        <f>HYPERLINK("https://lsnyc.legalserver.org/matter/dynamic-profile/view/1889330","19-1889330")</f>
        <v>0</v>
      </c>
      <c r="B911" t="s">
        <v>106</v>
      </c>
      <c r="C911" t="s">
        <v>248</v>
      </c>
      <c r="D911" t="s">
        <v>318</v>
      </c>
      <c r="E911" t="s">
        <v>536</v>
      </c>
      <c r="F911" t="s">
        <v>1571</v>
      </c>
      <c r="G911" t="s">
        <v>3342</v>
      </c>
      <c r="H911" t="s">
        <v>5114</v>
      </c>
      <c r="I911" t="s">
        <v>6570</v>
      </c>
      <c r="J911" t="s">
        <v>7174</v>
      </c>
      <c r="K911">
        <v>11220</v>
      </c>
      <c r="L911" t="s">
        <v>7219</v>
      </c>
      <c r="N911" t="s">
        <v>7237</v>
      </c>
      <c r="O911" t="s">
        <v>7281</v>
      </c>
      <c r="P911">
        <v>1</v>
      </c>
      <c r="Q911">
        <v>4</v>
      </c>
      <c r="R911">
        <v>57.08</v>
      </c>
      <c r="S911" t="s">
        <v>10254</v>
      </c>
      <c r="T911" t="s">
        <v>10275</v>
      </c>
      <c r="U911">
        <v>17220</v>
      </c>
      <c r="W911">
        <v>24.5</v>
      </c>
      <c r="X911" t="s">
        <v>304</v>
      </c>
      <c r="Y911" t="s">
        <v>225</v>
      </c>
      <c r="AA911" t="s">
        <v>10974</v>
      </c>
      <c r="AB911" t="s">
        <v>586</v>
      </c>
      <c r="AD911" t="s">
        <v>11083</v>
      </c>
      <c r="AF911" t="s">
        <v>11118</v>
      </c>
      <c r="AH911" t="s">
        <v>10975</v>
      </c>
      <c r="AJ911" t="s">
        <v>11133</v>
      </c>
      <c r="AK911" t="s">
        <v>11149</v>
      </c>
      <c r="AM911">
        <v>1176</v>
      </c>
      <c r="AO911">
        <v>11</v>
      </c>
      <c r="AQ911" t="s">
        <v>11164</v>
      </c>
      <c r="AR911" t="s">
        <v>11172</v>
      </c>
      <c r="AU911">
        <v>14</v>
      </c>
      <c r="AW911" t="s">
        <v>11196</v>
      </c>
      <c r="AY911" t="s">
        <v>11213</v>
      </c>
      <c r="BA911" t="s">
        <v>11222</v>
      </c>
      <c r="BC911" t="s">
        <v>11299</v>
      </c>
      <c r="BE911" t="s">
        <v>12209</v>
      </c>
      <c r="BG911" t="s">
        <v>14588</v>
      </c>
      <c r="BH911" t="s">
        <v>15605</v>
      </c>
      <c r="BJ911" t="s">
        <v>15615</v>
      </c>
      <c r="BL911" t="s">
        <v>15648</v>
      </c>
      <c r="BM911" t="s">
        <v>15651</v>
      </c>
    </row>
    <row r="912" spans="1:65">
      <c r="A912" s="1">
        <f>HYPERLINK("https://lsnyc.legalserver.org/matter/dynamic-profile/view/1898897","19-1898897")</f>
        <v>0</v>
      </c>
      <c r="B912" t="s">
        <v>106</v>
      </c>
      <c r="C912" t="s">
        <v>248</v>
      </c>
      <c r="D912" t="s">
        <v>347</v>
      </c>
      <c r="F912" t="s">
        <v>1572</v>
      </c>
      <c r="G912" t="s">
        <v>1541</v>
      </c>
      <c r="H912" t="s">
        <v>5115</v>
      </c>
      <c r="I912" t="s">
        <v>6653</v>
      </c>
      <c r="J912" t="s">
        <v>7174</v>
      </c>
      <c r="K912">
        <v>11233</v>
      </c>
      <c r="N912" t="s">
        <v>7237</v>
      </c>
      <c r="O912" t="s">
        <v>7875</v>
      </c>
      <c r="P912">
        <v>1</v>
      </c>
      <c r="Q912">
        <v>3</v>
      </c>
      <c r="R912">
        <v>57.18</v>
      </c>
      <c r="U912">
        <v>14724</v>
      </c>
      <c r="W912">
        <v>8.300000000000001</v>
      </c>
      <c r="X912" t="s">
        <v>627</v>
      </c>
      <c r="Y912" t="s">
        <v>10874</v>
      </c>
      <c r="AA912" t="s">
        <v>10974</v>
      </c>
      <c r="AB912" t="s">
        <v>800</v>
      </c>
      <c r="AD912" t="s">
        <v>11082</v>
      </c>
      <c r="AF912" t="s">
        <v>11118</v>
      </c>
      <c r="AH912" t="s">
        <v>10975</v>
      </c>
      <c r="AJ912" t="s">
        <v>11138</v>
      </c>
      <c r="AK912" t="s">
        <v>7225</v>
      </c>
      <c r="AM912">
        <v>850</v>
      </c>
      <c r="AO912">
        <v>107</v>
      </c>
      <c r="AQ912" t="s">
        <v>11163</v>
      </c>
      <c r="AR912" t="s">
        <v>11172</v>
      </c>
      <c r="AT912" t="s">
        <v>11184</v>
      </c>
      <c r="AU912">
        <v>0</v>
      </c>
      <c r="AW912" t="s">
        <v>11187</v>
      </c>
      <c r="BA912" t="s">
        <v>11222</v>
      </c>
      <c r="BC912" t="s">
        <v>11300</v>
      </c>
      <c r="BD912" t="s">
        <v>11667</v>
      </c>
      <c r="BG912" t="s">
        <v>14589</v>
      </c>
      <c r="BM912" t="s">
        <v>15650</v>
      </c>
    </row>
    <row r="913" spans="1:65">
      <c r="A913" s="1">
        <f>HYPERLINK("https://lsnyc.legalserver.org/matter/dynamic-profile/view/1882511","18-1882511")</f>
        <v>0</v>
      </c>
      <c r="B913" t="s">
        <v>106</v>
      </c>
      <c r="C913" t="s">
        <v>248</v>
      </c>
      <c r="D913" t="s">
        <v>466</v>
      </c>
      <c r="F913" t="s">
        <v>1573</v>
      </c>
      <c r="G913" t="s">
        <v>3343</v>
      </c>
      <c r="H913" t="s">
        <v>5116</v>
      </c>
      <c r="I913">
        <v>2</v>
      </c>
      <c r="J913" t="s">
        <v>7174</v>
      </c>
      <c r="K913">
        <v>11233</v>
      </c>
      <c r="N913" t="s">
        <v>7237</v>
      </c>
      <c r="O913" t="s">
        <v>7876</v>
      </c>
      <c r="P913">
        <v>3</v>
      </c>
      <c r="Q913">
        <v>0</v>
      </c>
      <c r="R913">
        <v>190.57</v>
      </c>
      <c r="U913">
        <v>39600</v>
      </c>
      <c r="W913">
        <v>30.1</v>
      </c>
      <c r="X913" t="s">
        <v>10813</v>
      </c>
      <c r="Y913" t="s">
        <v>10888</v>
      </c>
      <c r="AA913" t="s">
        <v>10974</v>
      </c>
      <c r="AB913" t="s">
        <v>483</v>
      </c>
      <c r="AD913" t="s">
        <v>11082</v>
      </c>
      <c r="AF913" t="s">
        <v>11118</v>
      </c>
      <c r="AH913" t="s">
        <v>10975</v>
      </c>
      <c r="AJ913" t="s">
        <v>11135</v>
      </c>
      <c r="AK913" t="s">
        <v>7225</v>
      </c>
      <c r="AM913">
        <v>1025</v>
      </c>
      <c r="AO913">
        <v>3</v>
      </c>
      <c r="AQ913" t="s">
        <v>11156</v>
      </c>
      <c r="AS913" t="s">
        <v>11173</v>
      </c>
      <c r="AU913">
        <v>8</v>
      </c>
      <c r="AW913" t="s">
        <v>11187</v>
      </c>
      <c r="AY913" t="s">
        <v>11213</v>
      </c>
      <c r="BA913" t="s">
        <v>11222</v>
      </c>
      <c r="BB913" t="s">
        <v>11224</v>
      </c>
      <c r="BC913">
        <v>17593488</v>
      </c>
      <c r="BE913" t="s">
        <v>12210</v>
      </c>
      <c r="BG913" t="s">
        <v>14590</v>
      </c>
      <c r="BM913" t="s">
        <v>15650</v>
      </c>
    </row>
    <row r="914" spans="1:65">
      <c r="A914" s="1">
        <f>HYPERLINK("https://lsnyc.legalserver.org/matter/dynamic-profile/view/1869305","18-1869305")</f>
        <v>0</v>
      </c>
      <c r="B914" t="s">
        <v>106</v>
      </c>
      <c r="C914" t="s">
        <v>248</v>
      </c>
      <c r="D914" t="s">
        <v>607</v>
      </c>
      <c r="F914" t="s">
        <v>1574</v>
      </c>
      <c r="G914" t="s">
        <v>2507</v>
      </c>
      <c r="H914" t="s">
        <v>5117</v>
      </c>
      <c r="I914" t="s">
        <v>6410</v>
      </c>
      <c r="J914" t="s">
        <v>7174</v>
      </c>
      <c r="K914">
        <v>11207</v>
      </c>
      <c r="N914" t="s">
        <v>7237</v>
      </c>
      <c r="O914" t="s">
        <v>7877</v>
      </c>
      <c r="P914">
        <v>1</v>
      </c>
      <c r="Q914">
        <v>0</v>
      </c>
      <c r="R914">
        <v>11.86</v>
      </c>
      <c r="U914">
        <v>1440</v>
      </c>
      <c r="W914">
        <v>59.65</v>
      </c>
      <c r="X914" t="s">
        <v>280</v>
      </c>
      <c r="Y914" t="s">
        <v>225</v>
      </c>
      <c r="AA914" t="s">
        <v>10974</v>
      </c>
      <c r="AB914" t="s">
        <v>771</v>
      </c>
      <c r="AD914" t="s">
        <v>11083</v>
      </c>
      <c r="AF914" t="s">
        <v>11118</v>
      </c>
      <c r="AH914" t="s">
        <v>10975</v>
      </c>
      <c r="AI914" t="s">
        <v>11126</v>
      </c>
      <c r="AK914" t="s">
        <v>7225</v>
      </c>
      <c r="AM914">
        <v>215</v>
      </c>
      <c r="AO914">
        <v>60</v>
      </c>
      <c r="AQ914" t="s">
        <v>11162</v>
      </c>
      <c r="AS914" t="s">
        <v>11174</v>
      </c>
      <c r="AU914">
        <v>20</v>
      </c>
      <c r="AW914" t="s">
        <v>11187</v>
      </c>
      <c r="AZ914" t="s">
        <v>11221</v>
      </c>
      <c r="BB914" t="s">
        <v>11224</v>
      </c>
      <c r="BC914">
        <v>33843008</v>
      </c>
      <c r="BE914" t="s">
        <v>12211</v>
      </c>
      <c r="BG914" t="s">
        <v>14591</v>
      </c>
      <c r="BM914" t="s">
        <v>15650</v>
      </c>
    </row>
    <row r="915" spans="1:65">
      <c r="A915" s="1">
        <f>HYPERLINK("https://lsnyc.legalserver.org/matter/dynamic-profile/view/1899003","19-1899003")</f>
        <v>0</v>
      </c>
      <c r="B915" t="s">
        <v>106</v>
      </c>
      <c r="C915" t="s">
        <v>248</v>
      </c>
      <c r="D915" t="s">
        <v>608</v>
      </c>
      <c r="E915" t="s">
        <v>536</v>
      </c>
      <c r="F915" t="s">
        <v>1525</v>
      </c>
      <c r="G915" t="s">
        <v>3021</v>
      </c>
      <c r="H915" t="s">
        <v>5118</v>
      </c>
      <c r="I915" t="s">
        <v>6654</v>
      </c>
      <c r="J915" t="s">
        <v>7174</v>
      </c>
      <c r="K915">
        <v>11208</v>
      </c>
      <c r="L915" t="s">
        <v>7219</v>
      </c>
      <c r="N915" t="s">
        <v>7237</v>
      </c>
      <c r="O915" t="s">
        <v>7878</v>
      </c>
      <c r="P915">
        <v>1</v>
      </c>
      <c r="Q915">
        <v>2</v>
      </c>
      <c r="R915">
        <v>14.18</v>
      </c>
      <c r="U915">
        <v>3024</v>
      </c>
      <c r="V915" t="s">
        <v>10351</v>
      </c>
      <c r="W915">
        <v>19.7</v>
      </c>
      <c r="X915" t="s">
        <v>634</v>
      </c>
      <c r="Y915" t="s">
        <v>101</v>
      </c>
      <c r="AA915" t="s">
        <v>10974</v>
      </c>
      <c r="AB915" t="s">
        <v>280</v>
      </c>
      <c r="AD915" t="s">
        <v>11083</v>
      </c>
      <c r="AF915" t="s">
        <v>11118</v>
      </c>
      <c r="AH915" t="s">
        <v>10975</v>
      </c>
      <c r="AI915" t="s">
        <v>11126</v>
      </c>
      <c r="AK915" t="s">
        <v>7225</v>
      </c>
      <c r="AM915">
        <v>1297</v>
      </c>
      <c r="AO915">
        <v>2</v>
      </c>
      <c r="AQ915" t="s">
        <v>11156</v>
      </c>
      <c r="AS915" t="s">
        <v>11174</v>
      </c>
      <c r="AU915">
        <v>12</v>
      </c>
      <c r="AW915" t="s">
        <v>11187</v>
      </c>
      <c r="AY915" t="s">
        <v>11214</v>
      </c>
      <c r="BA915" t="s">
        <v>11222</v>
      </c>
      <c r="BB915" t="s">
        <v>11224</v>
      </c>
      <c r="BC915">
        <v>4798867</v>
      </c>
      <c r="BE915" t="s">
        <v>12212</v>
      </c>
      <c r="BG915" t="s">
        <v>14592</v>
      </c>
      <c r="BH915" t="s">
        <v>15605</v>
      </c>
      <c r="BJ915" t="s">
        <v>15615</v>
      </c>
      <c r="BL915" t="s">
        <v>15648</v>
      </c>
      <c r="BM915" t="s">
        <v>15651</v>
      </c>
    </row>
    <row r="916" spans="1:65">
      <c r="A916" s="1">
        <f>HYPERLINK("https://lsnyc.legalserver.org/matter/dynamic-profile/view/1908285","19-1908285")</f>
        <v>0</v>
      </c>
      <c r="B916" t="s">
        <v>106</v>
      </c>
      <c r="C916" t="s">
        <v>248</v>
      </c>
      <c r="D916" t="s">
        <v>578</v>
      </c>
      <c r="E916" t="s">
        <v>536</v>
      </c>
      <c r="F916" t="s">
        <v>1555</v>
      </c>
      <c r="G916" t="s">
        <v>2913</v>
      </c>
      <c r="H916" t="s">
        <v>5093</v>
      </c>
      <c r="I916" t="s">
        <v>6646</v>
      </c>
      <c r="J916" t="s">
        <v>7174</v>
      </c>
      <c r="K916">
        <v>11233</v>
      </c>
      <c r="L916" t="s">
        <v>7219</v>
      </c>
      <c r="N916" t="s">
        <v>7237</v>
      </c>
      <c r="O916" t="s">
        <v>7853</v>
      </c>
      <c r="P916">
        <v>2</v>
      </c>
      <c r="Q916">
        <v>2</v>
      </c>
      <c r="R916">
        <v>276.72</v>
      </c>
      <c r="U916">
        <v>71256</v>
      </c>
      <c r="W916">
        <v>2.5</v>
      </c>
      <c r="X916" t="s">
        <v>341</v>
      </c>
      <c r="Y916" t="s">
        <v>101</v>
      </c>
      <c r="AA916" t="s">
        <v>10974</v>
      </c>
      <c r="AB916" t="s">
        <v>798</v>
      </c>
      <c r="AD916" t="s">
        <v>11082</v>
      </c>
      <c r="AF916" t="s">
        <v>11118</v>
      </c>
      <c r="AH916" t="s">
        <v>10975</v>
      </c>
      <c r="AJ916" t="s">
        <v>11129</v>
      </c>
      <c r="AK916" t="s">
        <v>7225</v>
      </c>
      <c r="AM916">
        <v>1000</v>
      </c>
      <c r="AO916">
        <v>3</v>
      </c>
      <c r="AQ916" t="s">
        <v>11160</v>
      </c>
      <c r="AS916" t="s">
        <v>11173</v>
      </c>
      <c r="AU916">
        <v>7</v>
      </c>
      <c r="AW916" t="s">
        <v>11187</v>
      </c>
      <c r="AY916" t="s">
        <v>11213</v>
      </c>
      <c r="BA916" t="s">
        <v>11222</v>
      </c>
      <c r="BC916" t="s">
        <v>11173</v>
      </c>
      <c r="BE916" t="s">
        <v>12188</v>
      </c>
      <c r="BG916" t="s">
        <v>14593</v>
      </c>
      <c r="BH916" t="s">
        <v>15605</v>
      </c>
      <c r="BJ916" t="s">
        <v>15615</v>
      </c>
      <c r="BL916" t="s">
        <v>15648</v>
      </c>
      <c r="BM916" t="s">
        <v>15651</v>
      </c>
    </row>
    <row r="917" spans="1:65">
      <c r="A917" s="1">
        <f>HYPERLINK("https://lsnyc.legalserver.org/matter/dynamic-profile/view/1879125","18-1879125")</f>
        <v>0</v>
      </c>
      <c r="B917" t="s">
        <v>106</v>
      </c>
      <c r="C917" t="s">
        <v>248</v>
      </c>
      <c r="D917" t="s">
        <v>609</v>
      </c>
      <c r="E917" t="s">
        <v>536</v>
      </c>
      <c r="F917" t="s">
        <v>1443</v>
      </c>
      <c r="G917" t="s">
        <v>2911</v>
      </c>
      <c r="H917" t="s">
        <v>5119</v>
      </c>
      <c r="I917" t="s">
        <v>6426</v>
      </c>
      <c r="J917" t="s">
        <v>7174</v>
      </c>
      <c r="K917">
        <v>11207</v>
      </c>
      <c r="L917" t="s">
        <v>7219</v>
      </c>
      <c r="N917" t="s">
        <v>7237</v>
      </c>
      <c r="O917" t="s">
        <v>7879</v>
      </c>
      <c r="P917">
        <v>2</v>
      </c>
      <c r="Q917">
        <v>1</v>
      </c>
      <c r="R917">
        <v>119.63</v>
      </c>
      <c r="U917">
        <v>24860</v>
      </c>
      <c r="W917">
        <v>50.6</v>
      </c>
      <c r="X917" t="s">
        <v>800</v>
      </c>
      <c r="Y917" t="s">
        <v>225</v>
      </c>
      <c r="AA917" t="s">
        <v>10974</v>
      </c>
      <c r="AB917" t="s">
        <v>569</v>
      </c>
      <c r="AD917" t="s">
        <v>11082</v>
      </c>
      <c r="AF917" t="s">
        <v>11118</v>
      </c>
      <c r="AH917" t="s">
        <v>10975</v>
      </c>
      <c r="AJ917" t="s">
        <v>11129</v>
      </c>
      <c r="AK917" t="s">
        <v>7225</v>
      </c>
      <c r="AM917">
        <v>1277</v>
      </c>
      <c r="AO917">
        <v>6</v>
      </c>
      <c r="AQ917" t="s">
        <v>11157</v>
      </c>
      <c r="AS917" t="s">
        <v>11176</v>
      </c>
      <c r="AU917">
        <v>23</v>
      </c>
      <c r="AW917" t="s">
        <v>11187</v>
      </c>
      <c r="AY917" t="s">
        <v>11216</v>
      </c>
      <c r="BA917" t="s">
        <v>11222</v>
      </c>
      <c r="BC917" t="s">
        <v>11301</v>
      </c>
      <c r="BE917" t="s">
        <v>12213</v>
      </c>
      <c r="BG917" t="s">
        <v>14594</v>
      </c>
      <c r="BH917" t="s">
        <v>15605</v>
      </c>
      <c r="BJ917" t="s">
        <v>15615</v>
      </c>
      <c r="BL917" t="s">
        <v>15648</v>
      </c>
      <c r="BM917" t="s">
        <v>15651</v>
      </c>
    </row>
    <row r="918" spans="1:65">
      <c r="A918" s="1">
        <f>HYPERLINK("https://lsnyc.legalserver.org/matter/dynamic-profile/view/1885583","18-1885583")</f>
        <v>0</v>
      </c>
      <c r="B918" t="s">
        <v>106</v>
      </c>
      <c r="C918" t="s">
        <v>248</v>
      </c>
      <c r="D918" t="s">
        <v>610</v>
      </c>
      <c r="F918" t="s">
        <v>1575</v>
      </c>
      <c r="G918" t="s">
        <v>3344</v>
      </c>
      <c r="H918" t="s">
        <v>5120</v>
      </c>
      <c r="I918" t="s">
        <v>6415</v>
      </c>
      <c r="J918" t="s">
        <v>7174</v>
      </c>
      <c r="K918">
        <v>11233</v>
      </c>
      <c r="N918" t="s">
        <v>7237</v>
      </c>
      <c r="O918" t="s">
        <v>7880</v>
      </c>
      <c r="P918">
        <v>1</v>
      </c>
      <c r="Q918">
        <v>0</v>
      </c>
      <c r="R918">
        <v>28.67</v>
      </c>
      <c r="U918">
        <v>3480</v>
      </c>
      <c r="W918">
        <v>44.5</v>
      </c>
      <c r="X918" t="s">
        <v>266</v>
      </c>
      <c r="Y918" t="s">
        <v>101</v>
      </c>
      <c r="AA918" t="s">
        <v>10974</v>
      </c>
      <c r="AB918" t="s">
        <v>10842</v>
      </c>
      <c r="AD918" t="s">
        <v>11082</v>
      </c>
      <c r="AF918" t="s">
        <v>11118</v>
      </c>
      <c r="AH918" t="s">
        <v>10975</v>
      </c>
      <c r="AJ918" t="s">
        <v>11129</v>
      </c>
      <c r="AK918" t="s">
        <v>7225</v>
      </c>
      <c r="AM918">
        <v>619</v>
      </c>
      <c r="AO918">
        <v>34</v>
      </c>
      <c r="AQ918" t="s">
        <v>11157</v>
      </c>
      <c r="AS918" t="s">
        <v>11173</v>
      </c>
      <c r="AU918">
        <v>6</v>
      </c>
      <c r="AW918" t="s">
        <v>11187</v>
      </c>
      <c r="AZ918" t="s">
        <v>11221</v>
      </c>
      <c r="BB918" t="s">
        <v>11224</v>
      </c>
      <c r="BC918" t="s">
        <v>11302</v>
      </c>
      <c r="BE918" t="s">
        <v>12214</v>
      </c>
      <c r="BG918" t="s">
        <v>14595</v>
      </c>
      <c r="BM918" t="s">
        <v>15650</v>
      </c>
    </row>
    <row r="919" spans="1:65">
      <c r="A919" s="1">
        <f>HYPERLINK("https://lsnyc.legalserver.org/matter/dynamic-profile/view/1904669","19-1904669")</f>
        <v>0</v>
      </c>
      <c r="B919" t="s">
        <v>106</v>
      </c>
      <c r="C919" t="s">
        <v>248</v>
      </c>
      <c r="D919" t="s">
        <v>373</v>
      </c>
      <c r="F919" t="s">
        <v>1135</v>
      </c>
      <c r="G919" t="s">
        <v>3345</v>
      </c>
      <c r="H919" t="s">
        <v>5121</v>
      </c>
      <c r="I919" t="s">
        <v>6647</v>
      </c>
      <c r="J919" t="s">
        <v>7174</v>
      </c>
      <c r="K919">
        <v>11208</v>
      </c>
      <c r="N919" t="s">
        <v>7237</v>
      </c>
      <c r="O919" t="s">
        <v>7881</v>
      </c>
      <c r="P919">
        <v>1</v>
      </c>
      <c r="Q919">
        <v>7</v>
      </c>
      <c r="R919">
        <v>65.98</v>
      </c>
      <c r="U919">
        <v>28656</v>
      </c>
      <c r="W919">
        <v>40.5</v>
      </c>
      <c r="X919" t="s">
        <v>449</v>
      </c>
      <c r="Y919" t="s">
        <v>225</v>
      </c>
      <c r="AA919" t="s">
        <v>10974</v>
      </c>
      <c r="AB919" t="s">
        <v>380</v>
      </c>
      <c r="AD919" t="s">
        <v>11083</v>
      </c>
      <c r="AF919" t="s">
        <v>11118</v>
      </c>
      <c r="AH919" t="s">
        <v>10975</v>
      </c>
      <c r="AJ919" t="s">
        <v>11146</v>
      </c>
      <c r="AK919" t="s">
        <v>7225</v>
      </c>
      <c r="AL919" t="s">
        <v>11150</v>
      </c>
      <c r="AM919">
        <v>0</v>
      </c>
      <c r="AO919">
        <v>319</v>
      </c>
      <c r="AQ919" t="s">
        <v>11157</v>
      </c>
      <c r="AS919" t="s">
        <v>11176</v>
      </c>
      <c r="AT919" t="s">
        <v>11184</v>
      </c>
      <c r="AU919">
        <v>0</v>
      </c>
      <c r="AW919" t="s">
        <v>11187</v>
      </c>
      <c r="AY919" t="s">
        <v>11214</v>
      </c>
      <c r="BA919" t="s">
        <v>11223</v>
      </c>
      <c r="BC919" t="s">
        <v>11303</v>
      </c>
      <c r="BE919" t="s">
        <v>12215</v>
      </c>
      <c r="BG919" t="s">
        <v>14596</v>
      </c>
      <c r="BM919" t="s">
        <v>15650</v>
      </c>
    </row>
    <row r="920" spans="1:65">
      <c r="A920" s="1">
        <f>HYPERLINK("https://lsnyc.legalserver.org/matter/dynamic-profile/view/1915385","19-1915385")</f>
        <v>0</v>
      </c>
      <c r="B920" t="s">
        <v>106</v>
      </c>
      <c r="C920" t="s">
        <v>248</v>
      </c>
      <c r="D920" t="s">
        <v>436</v>
      </c>
      <c r="F920" t="s">
        <v>1576</v>
      </c>
      <c r="G920" t="s">
        <v>3047</v>
      </c>
      <c r="H920" t="s">
        <v>5122</v>
      </c>
      <c r="I920" t="s">
        <v>6620</v>
      </c>
      <c r="J920" t="s">
        <v>7174</v>
      </c>
      <c r="K920">
        <v>11233</v>
      </c>
      <c r="N920" t="s">
        <v>7237</v>
      </c>
      <c r="O920" t="s">
        <v>7882</v>
      </c>
      <c r="P920">
        <v>1</v>
      </c>
      <c r="Q920">
        <v>2</v>
      </c>
      <c r="R920">
        <v>23.65</v>
      </c>
      <c r="U920">
        <v>5044</v>
      </c>
      <c r="W920">
        <v>0</v>
      </c>
      <c r="Y920" t="s">
        <v>101</v>
      </c>
      <c r="AA920" t="s">
        <v>10974</v>
      </c>
      <c r="AB920" t="s">
        <v>436</v>
      </c>
      <c r="AD920" t="s">
        <v>11082</v>
      </c>
      <c r="AF920" t="s">
        <v>11121</v>
      </c>
      <c r="AH920" t="s">
        <v>10975</v>
      </c>
      <c r="AJ920" t="s">
        <v>11104</v>
      </c>
      <c r="AK920" t="s">
        <v>7225</v>
      </c>
      <c r="AM920">
        <v>368</v>
      </c>
      <c r="AN920" t="s">
        <v>11151</v>
      </c>
      <c r="AO920" t="s">
        <v>11153</v>
      </c>
      <c r="AQ920" t="s">
        <v>11167</v>
      </c>
      <c r="AS920" t="s">
        <v>11173</v>
      </c>
      <c r="AU920">
        <v>5</v>
      </c>
      <c r="AW920" t="s">
        <v>11187</v>
      </c>
      <c r="BA920" t="s">
        <v>11222</v>
      </c>
      <c r="BE920" t="s">
        <v>12216</v>
      </c>
      <c r="BG920" t="s">
        <v>14597</v>
      </c>
      <c r="BM920" t="s">
        <v>15650</v>
      </c>
    </row>
    <row r="921" spans="1:65">
      <c r="A921" s="1">
        <f>HYPERLINK("https://lsnyc.legalserver.org/matter/dynamic-profile/view/1903031","19-1903031")</f>
        <v>0</v>
      </c>
      <c r="B921" t="s">
        <v>106</v>
      </c>
      <c r="C921" t="s">
        <v>248</v>
      </c>
      <c r="D921" t="s">
        <v>611</v>
      </c>
      <c r="F921" t="s">
        <v>1577</v>
      </c>
      <c r="G921" t="s">
        <v>3346</v>
      </c>
      <c r="H921" t="s">
        <v>5123</v>
      </c>
      <c r="I921">
        <v>318</v>
      </c>
      <c r="J921" t="s">
        <v>7174</v>
      </c>
      <c r="K921">
        <v>11208</v>
      </c>
      <c r="N921" t="s">
        <v>7237</v>
      </c>
      <c r="O921" t="s">
        <v>7883</v>
      </c>
      <c r="P921">
        <v>1</v>
      </c>
      <c r="Q921">
        <v>0</v>
      </c>
      <c r="R921">
        <v>0</v>
      </c>
      <c r="U921">
        <v>0</v>
      </c>
      <c r="W921">
        <v>3.1</v>
      </c>
      <c r="X921" t="s">
        <v>798</v>
      </c>
      <c r="Y921" t="s">
        <v>101</v>
      </c>
      <c r="Z921" t="s">
        <v>10972</v>
      </c>
      <c r="AA921" t="s">
        <v>10975</v>
      </c>
      <c r="AD921" t="s">
        <v>11082</v>
      </c>
      <c r="AF921" t="s">
        <v>11118</v>
      </c>
      <c r="AH921" t="s">
        <v>10975</v>
      </c>
      <c r="AJ921" t="s">
        <v>11129</v>
      </c>
      <c r="AK921" t="s">
        <v>7225</v>
      </c>
      <c r="AM921">
        <v>1348</v>
      </c>
      <c r="AO921">
        <v>323</v>
      </c>
      <c r="AQ921" t="s">
        <v>11157</v>
      </c>
      <c r="AS921" t="s">
        <v>11180</v>
      </c>
      <c r="AT921" t="s">
        <v>11184</v>
      </c>
      <c r="AU921">
        <v>0</v>
      </c>
      <c r="AW921" t="s">
        <v>11187</v>
      </c>
      <c r="AX921" t="s">
        <v>11212</v>
      </c>
      <c r="BA921" t="s">
        <v>11223</v>
      </c>
      <c r="BC921" t="s">
        <v>11304</v>
      </c>
      <c r="BE921" t="s">
        <v>12217</v>
      </c>
      <c r="BG921" t="s">
        <v>14598</v>
      </c>
      <c r="BM921" t="s">
        <v>15650</v>
      </c>
    </row>
    <row r="922" spans="1:65">
      <c r="A922" s="1">
        <f>HYPERLINK("https://lsnyc.legalserver.org/matter/dynamic-profile/view/1883471","18-1883471")</f>
        <v>0</v>
      </c>
      <c r="B922" t="s">
        <v>106</v>
      </c>
      <c r="C922" t="s">
        <v>248</v>
      </c>
      <c r="D922" t="s">
        <v>612</v>
      </c>
      <c r="F922" t="s">
        <v>1136</v>
      </c>
      <c r="G922" t="s">
        <v>3347</v>
      </c>
      <c r="H922" t="s">
        <v>5090</v>
      </c>
      <c r="I922" t="s">
        <v>6425</v>
      </c>
      <c r="J922" t="s">
        <v>7174</v>
      </c>
      <c r="K922">
        <v>11208</v>
      </c>
      <c r="N922" t="s">
        <v>7237</v>
      </c>
      <c r="O922" t="s">
        <v>7884</v>
      </c>
      <c r="P922">
        <v>1</v>
      </c>
      <c r="Q922">
        <v>0</v>
      </c>
      <c r="R922">
        <v>84.70999999999999</v>
      </c>
      <c r="U922">
        <v>10284</v>
      </c>
      <c r="V922" t="s">
        <v>10352</v>
      </c>
      <c r="W922">
        <v>46.4</v>
      </c>
      <c r="X922" t="s">
        <v>322</v>
      </c>
      <c r="Y922" t="s">
        <v>10912</v>
      </c>
      <c r="AA922" t="s">
        <v>10974</v>
      </c>
      <c r="AB922" t="s">
        <v>958</v>
      </c>
      <c r="AD922" t="s">
        <v>11082</v>
      </c>
      <c r="AF922" t="s">
        <v>11118</v>
      </c>
      <c r="AG922" t="s">
        <v>11124</v>
      </c>
      <c r="AJ922" t="s">
        <v>11138</v>
      </c>
      <c r="AK922" t="s">
        <v>7225</v>
      </c>
      <c r="AM922">
        <v>1375</v>
      </c>
      <c r="AO922">
        <v>56</v>
      </c>
      <c r="AQ922" t="s">
        <v>11157</v>
      </c>
      <c r="AR922" t="s">
        <v>11172</v>
      </c>
      <c r="AU922">
        <v>9</v>
      </c>
      <c r="AW922" t="s">
        <v>11187</v>
      </c>
      <c r="AZ922" t="s">
        <v>11221</v>
      </c>
      <c r="BC922" t="s">
        <v>11305</v>
      </c>
      <c r="BE922" t="s">
        <v>12218</v>
      </c>
      <c r="BG922" t="s">
        <v>14599</v>
      </c>
      <c r="BM922" t="s">
        <v>15650</v>
      </c>
    </row>
    <row r="923" spans="1:65">
      <c r="A923" s="1">
        <f>HYPERLINK("https://lsnyc.legalserver.org/matter/dynamic-profile/view/1851961","17-1851961")</f>
        <v>0</v>
      </c>
      <c r="B923" t="s">
        <v>106</v>
      </c>
      <c r="C923" t="s">
        <v>248</v>
      </c>
      <c r="D923" t="s">
        <v>613</v>
      </c>
      <c r="F923" t="s">
        <v>1578</v>
      </c>
      <c r="G923" t="s">
        <v>3348</v>
      </c>
      <c r="H923" t="s">
        <v>5124</v>
      </c>
      <c r="I923" t="s">
        <v>6655</v>
      </c>
      <c r="J923" t="s">
        <v>7174</v>
      </c>
      <c r="K923">
        <v>11233</v>
      </c>
      <c r="N923" t="s">
        <v>7237</v>
      </c>
      <c r="O923" t="s">
        <v>7885</v>
      </c>
      <c r="P923">
        <v>1</v>
      </c>
      <c r="Q923">
        <v>0</v>
      </c>
      <c r="R923">
        <v>0</v>
      </c>
      <c r="U923">
        <v>0</v>
      </c>
      <c r="W923">
        <v>23.7</v>
      </c>
      <c r="X923" t="s">
        <v>301</v>
      </c>
      <c r="Y923" t="s">
        <v>225</v>
      </c>
      <c r="AA923" t="s">
        <v>10974</v>
      </c>
      <c r="AB923" t="s">
        <v>871</v>
      </c>
      <c r="AC923" t="s">
        <v>11081</v>
      </c>
      <c r="AF923" t="s">
        <v>11118</v>
      </c>
      <c r="AH923" t="s">
        <v>10974</v>
      </c>
      <c r="AJ923" t="s">
        <v>11144</v>
      </c>
      <c r="AK923" t="s">
        <v>7225</v>
      </c>
      <c r="AM923">
        <v>776</v>
      </c>
      <c r="AO923">
        <v>764</v>
      </c>
      <c r="AQ923" t="s">
        <v>11157</v>
      </c>
      <c r="AS923" t="s">
        <v>11173</v>
      </c>
      <c r="AU923">
        <v>29</v>
      </c>
      <c r="AW923" t="s">
        <v>11187</v>
      </c>
      <c r="AZ923" t="s">
        <v>11221</v>
      </c>
      <c r="BC923" t="s">
        <v>11173</v>
      </c>
      <c r="BE923" t="s">
        <v>12219</v>
      </c>
      <c r="BF923" t="s">
        <v>14364</v>
      </c>
      <c r="BM923" t="s">
        <v>15650</v>
      </c>
    </row>
    <row r="924" spans="1:65">
      <c r="A924" s="1">
        <f>HYPERLINK("https://lsnyc.legalserver.org/matter/dynamic-profile/view/1914732","19-1914732")</f>
        <v>0</v>
      </c>
      <c r="B924" t="s">
        <v>106</v>
      </c>
      <c r="C924" t="s">
        <v>248</v>
      </c>
      <c r="D924" t="s">
        <v>614</v>
      </c>
      <c r="F924" t="s">
        <v>1579</v>
      </c>
      <c r="G924" t="s">
        <v>3349</v>
      </c>
      <c r="H924" t="s">
        <v>5125</v>
      </c>
      <c r="I924" t="s">
        <v>6656</v>
      </c>
      <c r="J924" t="s">
        <v>7174</v>
      </c>
      <c r="K924">
        <v>11212</v>
      </c>
      <c r="N924" t="s">
        <v>7237</v>
      </c>
      <c r="O924" t="s">
        <v>7886</v>
      </c>
      <c r="P924">
        <v>1</v>
      </c>
      <c r="Q924">
        <v>0</v>
      </c>
      <c r="R924">
        <v>84.55</v>
      </c>
      <c r="U924">
        <v>10560</v>
      </c>
      <c r="W924">
        <v>0.5</v>
      </c>
      <c r="X924" t="s">
        <v>614</v>
      </c>
      <c r="Y924" t="s">
        <v>10892</v>
      </c>
      <c r="Z924" t="s">
        <v>10972</v>
      </c>
      <c r="AA924" t="s">
        <v>10976</v>
      </c>
      <c r="AD924" t="s">
        <v>11082</v>
      </c>
      <c r="AF924" t="s">
        <v>11121</v>
      </c>
      <c r="AH924" t="s">
        <v>10975</v>
      </c>
      <c r="AJ924" t="s">
        <v>11104</v>
      </c>
      <c r="AK924" t="s">
        <v>7225</v>
      </c>
      <c r="AM924">
        <v>570</v>
      </c>
      <c r="AO924">
        <v>6</v>
      </c>
      <c r="AQ924" t="s">
        <v>11159</v>
      </c>
      <c r="AR924" t="s">
        <v>11172</v>
      </c>
      <c r="AU924">
        <v>38</v>
      </c>
      <c r="AW924" t="s">
        <v>11187</v>
      </c>
      <c r="AX924" t="s">
        <v>11212</v>
      </c>
      <c r="AZ924" t="s">
        <v>11221</v>
      </c>
      <c r="BE924" t="s">
        <v>12220</v>
      </c>
      <c r="BG924" t="s">
        <v>14600</v>
      </c>
      <c r="BM924" t="s">
        <v>15650</v>
      </c>
    </row>
    <row r="925" spans="1:65">
      <c r="A925" s="1">
        <f>HYPERLINK("https://lsnyc.legalserver.org/matter/dynamic-profile/view/1912566","19-1912566")</f>
        <v>0</v>
      </c>
      <c r="B925" t="s">
        <v>106</v>
      </c>
      <c r="C925" t="s">
        <v>248</v>
      </c>
      <c r="D925" t="s">
        <v>599</v>
      </c>
      <c r="E925" t="s">
        <v>614</v>
      </c>
      <c r="F925" t="s">
        <v>1580</v>
      </c>
      <c r="G925" t="s">
        <v>3350</v>
      </c>
      <c r="H925" t="s">
        <v>5126</v>
      </c>
      <c r="I925">
        <v>2</v>
      </c>
      <c r="J925" t="s">
        <v>7174</v>
      </c>
      <c r="K925">
        <v>11208</v>
      </c>
      <c r="L925" t="s">
        <v>7216</v>
      </c>
      <c r="N925" t="s">
        <v>7237</v>
      </c>
      <c r="O925" t="s">
        <v>7887</v>
      </c>
      <c r="P925">
        <v>1</v>
      </c>
      <c r="Q925">
        <v>0</v>
      </c>
      <c r="R925">
        <v>0</v>
      </c>
      <c r="U925">
        <v>0</v>
      </c>
      <c r="V925" t="s">
        <v>10353</v>
      </c>
      <c r="W925">
        <v>0.2</v>
      </c>
      <c r="X925" t="s">
        <v>614</v>
      </c>
      <c r="Y925" t="s">
        <v>101</v>
      </c>
      <c r="Z925" t="s">
        <v>10973</v>
      </c>
      <c r="AA925" t="s">
        <v>10975</v>
      </c>
      <c r="AB925" t="s">
        <v>536</v>
      </c>
      <c r="AD925" t="s">
        <v>11082</v>
      </c>
      <c r="AF925" t="s">
        <v>11119</v>
      </c>
      <c r="AH925" t="s">
        <v>10975</v>
      </c>
      <c r="AJ925" t="s">
        <v>11104</v>
      </c>
      <c r="AK925" t="s">
        <v>7225</v>
      </c>
      <c r="AM925">
        <v>2200</v>
      </c>
      <c r="AO925">
        <v>3</v>
      </c>
      <c r="AQ925" t="s">
        <v>11156</v>
      </c>
      <c r="AS925" t="s">
        <v>11173</v>
      </c>
      <c r="AU925">
        <v>3</v>
      </c>
      <c r="AW925" t="s">
        <v>11187</v>
      </c>
      <c r="BA925" t="s">
        <v>11222</v>
      </c>
      <c r="BE925" t="s">
        <v>12221</v>
      </c>
      <c r="BG925" t="s">
        <v>14601</v>
      </c>
      <c r="BM925" t="s">
        <v>15651</v>
      </c>
    </row>
    <row r="926" spans="1:65">
      <c r="A926" s="1">
        <f>HYPERLINK("https://lsnyc.legalserver.org/matter/dynamic-profile/view/1893854","19-1893854")</f>
        <v>0</v>
      </c>
      <c r="B926" t="s">
        <v>106</v>
      </c>
      <c r="C926" t="s">
        <v>248</v>
      </c>
      <c r="D926" t="s">
        <v>334</v>
      </c>
      <c r="E926" t="s">
        <v>536</v>
      </c>
      <c r="F926" t="s">
        <v>1581</v>
      </c>
      <c r="G926" t="s">
        <v>3351</v>
      </c>
      <c r="H926" t="s">
        <v>5127</v>
      </c>
      <c r="I926" t="s">
        <v>6654</v>
      </c>
      <c r="J926" t="s">
        <v>7174</v>
      </c>
      <c r="K926">
        <v>11208</v>
      </c>
      <c r="L926" t="s">
        <v>7216</v>
      </c>
      <c r="N926" t="s">
        <v>7237</v>
      </c>
      <c r="O926" t="s">
        <v>7888</v>
      </c>
      <c r="P926">
        <v>1</v>
      </c>
      <c r="Q926">
        <v>2</v>
      </c>
      <c r="R926">
        <v>135.96</v>
      </c>
      <c r="U926">
        <v>29000</v>
      </c>
      <c r="W926">
        <v>1.3</v>
      </c>
      <c r="X926" t="s">
        <v>633</v>
      </c>
      <c r="Y926" t="s">
        <v>101</v>
      </c>
      <c r="AA926" t="s">
        <v>10974</v>
      </c>
      <c r="AB926" t="s">
        <v>343</v>
      </c>
      <c r="AD926" t="s">
        <v>11082</v>
      </c>
      <c r="AF926" t="s">
        <v>11119</v>
      </c>
      <c r="AH926" t="s">
        <v>10975</v>
      </c>
      <c r="AI926" t="s">
        <v>11126</v>
      </c>
      <c r="AK926" t="s">
        <v>7225</v>
      </c>
      <c r="AM926">
        <v>1550</v>
      </c>
      <c r="AO926">
        <v>2</v>
      </c>
      <c r="AQ926" t="s">
        <v>11156</v>
      </c>
      <c r="AS926" t="s">
        <v>11173</v>
      </c>
      <c r="AU926">
        <v>5</v>
      </c>
      <c r="AW926" t="s">
        <v>11187</v>
      </c>
      <c r="BA926" t="s">
        <v>11222</v>
      </c>
      <c r="BE926" t="s">
        <v>12222</v>
      </c>
      <c r="BG926" t="s">
        <v>14602</v>
      </c>
      <c r="BM926" t="s">
        <v>15651</v>
      </c>
    </row>
    <row r="927" spans="1:65">
      <c r="A927" s="1">
        <f>HYPERLINK("https://lsnyc.legalserver.org/matter/dynamic-profile/view/1851310","17-1851310")</f>
        <v>0</v>
      </c>
      <c r="B927" t="s">
        <v>106</v>
      </c>
      <c r="C927" t="s">
        <v>248</v>
      </c>
      <c r="D927" t="s">
        <v>615</v>
      </c>
      <c r="F927" t="s">
        <v>1582</v>
      </c>
      <c r="G927" t="s">
        <v>3352</v>
      </c>
      <c r="H927" t="s">
        <v>5128</v>
      </c>
      <c r="I927" t="s">
        <v>6420</v>
      </c>
      <c r="J927" t="s">
        <v>7174</v>
      </c>
      <c r="K927">
        <v>11233</v>
      </c>
      <c r="N927" t="s">
        <v>7237</v>
      </c>
      <c r="O927" t="s">
        <v>7889</v>
      </c>
      <c r="P927">
        <v>1</v>
      </c>
      <c r="Q927">
        <v>2</v>
      </c>
      <c r="R927">
        <v>48.27</v>
      </c>
      <c r="U927">
        <v>9857</v>
      </c>
      <c r="W927">
        <v>28.65</v>
      </c>
      <c r="X927" t="s">
        <v>264</v>
      </c>
      <c r="Y927" t="s">
        <v>10913</v>
      </c>
      <c r="AA927" t="s">
        <v>10974</v>
      </c>
      <c r="AB927" t="s">
        <v>1056</v>
      </c>
      <c r="AD927" t="s">
        <v>11082</v>
      </c>
      <c r="AF927" t="s">
        <v>11118</v>
      </c>
      <c r="AH927" t="s">
        <v>10975</v>
      </c>
      <c r="AJ927" t="s">
        <v>11128</v>
      </c>
      <c r="AK927" t="s">
        <v>7225</v>
      </c>
      <c r="AM927">
        <v>1113</v>
      </c>
      <c r="AO927">
        <v>66</v>
      </c>
      <c r="AQ927" t="s">
        <v>11159</v>
      </c>
      <c r="AS927" t="s">
        <v>11180</v>
      </c>
      <c r="AU927">
        <v>-1</v>
      </c>
      <c r="AW927" t="s">
        <v>11187</v>
      </c>
      <c r="AZ927" t="s">
        <v>11221</v>
      </c>
      <c r="BC927" t="s">
        <v>11306</v>
      </c>
      <c r="BE927" t="s">
        <v>12223</v>
      </c>
      <c r="BG927" t="s">
        <v>14603</v>
      </c>
      <c r="BM927" t="s">
        <v>15650</v>
      </c>
    </row>
    <row r="928" spans="1:65">
      <c r="A928" s="1">
        <f>HYPERLINK("https://lsnyc.legalserver.org/matter/dynamic-profile/view/1892359","19-1892359")</f>
        <v>0</v>
      </c>
      <c r="B928" t="s">
        <v>106</v>
      </c>
      <c r="C928" t="s">
        <v>248</v>
      </c>
      <c r="D928" t="s">
        <v>483</v>
      </c>
      <c r="F928" t="s">
        <v>1583</v>
      </c>
      <c r="G928" t="s">
        <v>3353</v>
      </c>
      <c r="H928" t="s">
        <v>5129</v>
      </c>
      <c r="I928">
        <v>1</v>
      </c>
      <c r="J928" t="s">
        <v>7174</v>
      </c>
      <c r="K928">
        <v>11208</v>
      </c>
      <c r="N928" t="s">
        <v>7237</v>
      </c>
      <c r="O928" t="s">
        <v>7890</v>
      </c>
      <c r="P928">
        <v>1</v>
      </c>
      <c r="Q928">
        <v>0</v>
      </c>
      <c r="R928">
        <v>87.43000000000001</v>
      </c>
      <c r="U928">
        <v>10920</v>
      </c>
      <c r="W928">
        <v>42.1</v>
      </c>
      <c r="X928" t="s">
        <v>591</v>
      </c>
      <c r="Y928" t="s">
        <v>101</v>
      </c>
      <c r="AA928" t="s">
        <v>10974</v>
      </c>
      <c r="AB928" t="s">
        <v>503</v>
      </c>
      <c r="AD928" t="s">
        <v>11083</v>
      </c>
      <c r="AF928" t="s">
        <v>11118</v>
      </c>
      <c r="AH928" t="s">
        <v>10975</v>
      </c>
      <c r="AJ928" t="s">
        <v>11138</v>
      </c>
      <c r="AK928" t="s">
        <v>7225</v>
      </c>
      <c r="AM928">
        <v>1268</v>
      </c>
      <c r="AO928">
        <v>3</v>
      </c>
      <c r="AQ928" t="s">
        <v>11156</v>
      </c>
      <c r="AS928" t="s">
        <v>11178</v>
      </c>
      <c r="AU928">
        <v>1</v>
      </c>
      <c r="AW928" t="s">
        <v>11187</v>
      </c>
      <c r="AZ928" t="s">
        <v>11221</v>
      </c>
      <c r="BC928" t="s">
        <v>11307</v>
      </c>
      <c r="BD928" t="s">
        <v>11667</v>
      </c>
      <c r="BG928" t="s">
        <v>14604</v>
      </c>
      <c r="BM928" t="s">
        <v>15650</v>
      </c>
    </row>
    <row r="929" spans="1:67">
      <c r="A929" s="1">
        <f>HYPERLINK("https://lsnyc.legalserver.org/matter/dynamic-profile/view/1883131","18-1883131")</f>
        <v>0</v>
      </c>
      <c r="B929" t="s">
        <v>106</v>
      </c>
      <c r="C929" t="s">
        <v>248</v>
      </c>
      <c r="D929" t="s">
        <v>616</v>
      </c>
      <c r="F929" t="s">
        <v>1584</v>
      </c>
      <c r="G929" t="s">
        <v>3354</v>
      </c>
      <c r="H929" t="s">
        <v>5130</v>
      </c>
      <c r="I929">
        <v>7</v>
      </c>
      <c r="J929" t="s">
        <v>7174</v>
      </c>
      <c r="K929">
        <v>11233</v>
      </c>
      <c r="N929" t="s">
        <v>7237</v>
      </c>
      <c r="O929" t="s">
        <v>7891</v>
      </c>
      <c r="P929">
        <v>2</v>
      </c>
      <c r="Q929">
        <v>1</v>
      </c>
      <c r="R929">
        <v>141.19</v>
      </c>
      <c r="U929">
        <v>29340</v>
      </c>
      <c r="V929" t="s">
        <v>10354</v>
      </c>
      <c r="W929">
        <v>23.8</v>
      </c>
      <c r="X929" t="s">
        <v>599</v>
      </c>
      <c r="Y929" t="s">
        <v>225</v>
      </c>
      <c r="AA929" t="s">
        <v>10974</v>
      </c>
      <c r="AB929" t="s">
        <v>616</v>
      </c>
      <c r="AD929" t="s">
        <v>11082</v>
      </c>
      <c r="AF929" t="s">
        <v>11118</v>
      </c>
      <c r="AH929" t="s">
        <v>10975</v>
      </c>
      <c r="AJ929" t="s">
        <v>11129</v>
      </c>
      <c r="AK929" t="s">
        <v>7225</v>
      </c>
      <c r="AM929">
        <v>1473.42</v>
      </c>
      <c r="AO929">
        <v>8</v>
      </c>
      <c r="AQ929" t="s">
        <v>11157</v>
      </c>
      <c r="AS929" t="s">
        <v>11175</v>
      </c>
      <c r="AU929">
        <v>9</v>
      </c>
      <c r="AW929" t="s">
        <v>11187</v>
      </c>
      <c r="AY929" t="s">
        <v>11213</v>
      </c>
      <c r="AZ929" t="s">
        <v>11221</v>
      </c>
      <c r="BC929" t="s">
        <v>11308</v>
      </c>
      <c r="BE929" t="s">
        <v>12224</v>
      </c>
      <c r="BG929" t="s">
        <v>14605</v>
      </c>
      <c r="BM929" t="s">
        <v>15650</v>
      </c>
    </row>
    <row r="930" spans="1:67">
      <c r="A930" s="1">
        <f>HYPERLINK("https://lsnyc.legalserver.org/matter/dynamic-profile/view/1908740","19-1908740")</f>
        <v>0</v>
      </c>
      <c r="B930" t="s">
        <v>106</v>
      </c>
      <c r="C930" t="s">
        <v>248</v>
      </c>
      <c r="D930" t="s">
        <v>421</v>
      </c>
      <c r="E930" t="s">
        <v>536</v>
      </c>
      <c r="F930" t="s">
        <v>1562</v>
      </c>
      <c r="G930" t="s">
        <v>3355</v>
      </c>
      <c r="H930" t="s">
        <v>5131</v>
      </c>
      <c r="I930" t="s">
        <v>6417</v>
      </c>
      <c r="J930" t="s">
        <v>7174</v>
      </c>
      <c r="K930">
        <v>11233</v>
      </c>
      <c r="L930" t="s">
        <v>7219</v>
      </c>
      <c r="N930" t="s">
        <v>7237</v>
      </c>
      <c r="O930" t="s">
        <v>7892</v>
      </c>
      <c r="P930">
        <v>1</v>
      </c>
      <c r="Q930">
        <v>0</v>
      </c>
      <c r="R930">
        <v>0</v>
      </c>
      <c r="U930">
        <v>0</v>
      </c>
      <c r="W930">
        <v>2.7</v>
      </c>
      <c r="X930" t="s">
        <v>536</v>
      </c>
      <c r="Y930" t="s">
        <v>225</v>
      </c>
      <c r="AA930" t="s">
        <v>10974</v>
      </c>
      <c r="AB930" t="s">
        <v>335</v>
      </c>
      <c r="AD930" t="s">
        <v>11083</v>
      </c>
      <c r="AF930" t="s">
        <v>11118</v>
      </c>
      <c r="AH930" t="s">
        <v>10975</v>
      </c>
      <c r="AJ930" t="s">
        <v>11140</v>
      </c>
      <c r="AK930" t="s">
        <v>7225</v>
      </c>
      <c r="AM930">
        <v>1129</v>
      </c>
      <c r="AO930">
        <v>8</v>
      </c>
      <c r="AQ930" t="s">
        <v>11157</v>
      </c>
      <c r="AS930" t="s">
        <v>11173</v>
      </c>
      <c r="AU930">
        <v>3</v>
      </c>
      <c r="AW930" t="s">
        <v>11187</v>
      </c>
      <c r="AY930" t="s">
        <v>11213</v>
      </c>
      <c r="BA930" t="s">
        <v>11222</v>
      </c>
      <c r="BC930" t="s">
        <v>11228</v>
      </c>
      <c r="BE930" t="s">
        <v>12225</v>
      </c>
      <c r="BG930" t="s">
        <v>14606</v>
      </c>
      <c r="BH930" t="s">
        <v>15605</v>
      </c>
      <c r="BJ930" t="s">
        <v>15615</v>
      </c>
      <c r="BL930" t="s">
        <v>15648</v>
      </c>
      <c r="BM930" t="s">
        <v>15651</v>
      </c>
    </row>
    <row r="931" spans="1:67">
      <c r="A931" s="1">
        <f>HYPERLINK("https://lsnyc.legalserver.org/matter/dynamic-profile/view/1910678","19-1910678")</f>
        <v>0</v>
      </c>
      <c r="B931" t="s">
        <v>106</v>
      </c>
      <c r="C931" t="s">
        <v>248</v>
      </c>
      <c r="D931" t="s">
        <v>554</v>
      </c>
      <c r="E931" t="s">
        <v>536</v>
      </c>
      <c r="F931" t="s">
        <v>1115</v>
      </c>
      <c r="G931" t="s">
        <v>3356</v>
      </c>
      <c r="H931" t="s">
        <v>5132</v>
      </c>
      <c r="J931" t="s">
        <v>7174</v>
      </c>
      <c r="K931">
        <v>11207</v>
      </c>
      <c r="L931" t="s">
        <v>7216</v>
      </c>
      <c r="N931" t="s">
        <v>7237</v>
      </c>
      <c r="O931" t="s">
        <v>7893</v>
      </c>
      <c r="P931">
        <v>1</v>
      </c>
      <c r="Q931">
        <v>0</v>
      </c>
      <c r="R931">
        <v>83.23</v>
      </c>
      <c r="U931">
        <v>10396</v>
      </c>
      <c r="W931">
        <v>0.9</v>
      </c>
      <c r="X931" t="s">
        <v>564</v>
      </c>
      <c r="Y931" t="s">
        <v>225</v>
      </c>
      <c r="AA931" t="s">
        <v>10974</v>
      </c>
      <c r="AB931" t="s">
        <v>554</v>
      </c>
      <c r="AD931" t="s">
        <v>11088</v>
      </c>
      <c r="AF931" t="s">
        <v>11119</v>
      </c>
      <c r="AH931" t="s">
        <v>10975</v>
      </c>
      <c r="AJ931" t="s">
        <v>11129</v>
      </c>
      <c r="AK931" t="s">
        <v>7225</v>
      </c>
      <c r="AM931">
        <v>680</v>
      </c>
      <c r="AO931">
        <v>3</v>
      </c>
      <c r="AQ931" t="s">
        <v>11164</v>
      </c>
      <c r="AS931" t="s">
        <v>11175</v>
      </c>
      <c r="AU931">
        <v>34</v>
      </c>
      <c r="AW931" t="s">
        <v>11189</v>
      </c>
      <c r="BA931" t="s">
        <v>11222</v>
      </c>
      <c r="BB931" t="s">
        <v>11224</v>
      </c>
      <c r="BC931" t="s">
        <v>11309</v>
      </c>
      <c r="BE931" t="s">
        <v>12226</v>
      </c>
      <c r="BF931" t="s">
        <v>14364</v>
      </c>
      <c r="BG931" t="s">
        <v>11086</v>
      </c>
      <c r="BM931" t="s">
        <v>15651</v>
      </c>
    </row>
    <row r="932" spans="1:67">
      <c r="A932" s="1">
        <f>HYPERLINK("https://lsnyc.legalserver.org/matter/dynamic-profile/view/1914713","19-1914713")</f>
        <v>0</v>
      </c>
      <c r="B932" t="s">
        <v>106</v>
      </c>
      <c r="C932" t="s">
        <v>248</v>
      </c>
      <c r="D932" t="s">
        <v>614</v>
      </c>
      <c r="F932" t="s">
        <v>1497</v>
      </c>
      <c r="G932" t="s">
        <v>3357</v>
      </c>
      <c r="H932" t="s">
        <v>5109</v>
      </c>
      <c r="I932" t="s">
        <v>6415</v>
      </c>
      <c r="J932" t="s">
        <v>7174</v>
      </c>
      <c r="K932">
        <v>11212</v>
      </c>
      <c r="N932" t="s">
        <v>7237</v>
      </c>
      <c r="O932" t="s">
        <v>7894</v>
      </c>
      <c r="P932">
        <v>3</v>
      </c>
      <c r="Q932">
        <v>0</v>
      </c>
      <c r="R932">
        <v>135.02</v>
      </c>
      <c r="U932">
        <v>28800</v>
      </c>
      <c r="W932">
        <v>0</v>
      </c>
      <c r="Y932" t="s">
        <v>225</v>
      </c>
      <c r="Z932" t="s">
        <v>10972</v>
      </c>
      <c r="AA932" t="s">
        <v>10975</v>
      </c>
      <c r="AD932" t="s">
        <v>11082</v>
      </c>
      <c r="AE932" t="s">
        <v>11117</v>
      </c>
      <c r="AH932" t="s">
        <v>10975</v>
      </c>
      <c r="AJ932" t="s">
        <v>11141</v>
      </c>
      <c r="AK932" t="s">
        <v>7225</v>
      </c>
      <c r="AM932">
        <v>706</v>
      </c>
      <c r="AO932">
        <v>21</v>
      </c>
      <c r="AQ932" t="s">
        <v>11157</v>
      </c>
      <c r="AS932" t="s">
        <v>11174</v>
      </c>
      <c r="AU932">
        <v>10</v>
      </c>
      <c r="AW932" t="s">
        <v>11187</v>
      </c>
      <c r="AY932" t="s">
        <v>11213</v>
      </c>
      <c r="AZ932" t="s">
        <v>11221</v>
      </c>
      <c r="BA932" t="s">
        <v>11173</v>
      </c>
      <c r="BC932" t="s">
        <v>11173</v>
      </c>
      <c r="BE932" t="s">
        <v>12227</v>
      </c>
      <c r="BG932" t="s">
        <v>14607</v>
      </c>
      <c r="BM932" t="s">
        <v>15650</v>
      </c>
    </row>
    <row r="933" spans="1:67">
      <c r="A933" s="1">
        <f>HYPERLINK("https://lsnyc.legalserver.org/matter/dynamic-profile/view/1878835","18-1878835")</f>
        <v>0</v>
      </c>
      <c r="B933" t="s">
        <v>106</v>
      </c>
      <c r="C933" t="s">
        <v>248</v>
      </c>
      <c r="D933" t="s">
        <v>617</v>
      </c>
      <c r="E933" t="s">
        <v>536</v>
      </c>
      <c r="F933" t="s">
        <v>1585</v>
      </c>
      <c r="G933" t="s">
        <v>3358</v>
      </c>
      <c r="H933" t="s">
        <v>5133</v>
      </c>
      <c r="I933" t="s">
        <v>6441</v>
      </c>
      <c r="J933" t="s">
        <v>7174</v>
      </c>
      <c r="K933">
        <v>11208</v>
      </c>
      <c r="L933" t="s">
        <v>7219</v>
      </c>
      <c r="N933" t="s">
        <v>7237</v>
      </c>
      <c r="O933" t="s">
        <v>7895</v>
      </c>
      <c r="P933">
        <v>1</v>
      </c>
      <c r="Q933">
        <v>4</v>
      </c>
      <c r="R933">
        <v>47.76</v>
      </c>
      <c r="U933">
        <v>14050</v>
      </c>
      <c r="V933" t="s">
        <v>10330</v>
      </c>
      <c r="W933">
        <v>66.75</v>
      </c>
      <c r="X933" t="s">
        <v>315</v>
      </c>
      <c r="Y933" t="s">
        <v>10912</v>
      </c>
      <c r="AA933" t="s">
        <v>10974</v>
      </c>
      <c r="AB933" t="s">
        <v>617</v>
      </c>
      <c r="AD933" t="s">
        <v>11083</v>
      </c>
      <c r="AF933" t="s">
        <v>11118</v>
      </c>
      <c r="AH933" t="s">
        <v>10975</v>
      </c>
      <c r="AJ933" t="s">
        <v>11132</v>
      </c>
      <c r="AK933" t="s">
        <v>7225</v>
      </c>
      <c r="AM933">
        <v>1956</v>
      </c>
      <c r="AO933">
        <v>3</v>
      </c>
      <c r="AQ933" t="s">
        <v>11156</v>
      </c>
      <c r="AS933" t="s">
        <v>11180</v>
      </c>
      <c r="AU933">
        <v>1</v>
      </c>
      <c r="AW933" t="s">
        <v>11187</v>
      </c>
      <c r="AY933" t="s">
        <v>11213</v>
      </c>
      <c r="AZ933" t="s">
        <v>11221</v>
      </c>
      <c r="BC933" t="s">
        <v>11310</v>
      </c>
      <c r="BE933" t="s">
        <v>12228</v>
      </c>
      <c r="BG933" t="s">
        <v>14608</v>
      </c>
      <c r="BH933" t="s">
        <v>15605</v>
      </c>
      <c r="BJ933" t="s">
        <v>15615</v>
      </c>
      <c r="BL933" t="s">
        <v>15648</v>
      </c>
      <c r="BM933" t="s">
        <v>15651</v>
      </c>
    </row>
    <row r="934" spans="1:67">
      <c r="A934" s="1">
        <f>HYPERLINK("https://lsnyc.legalserver.org/matter/dynamic-profile/view/1880305","18-1880305")</f>
        <v>0</v>
      </c>
      <c r="B934" t="s">
        <v>106</v>
      </c>
      <c r="C934" t="s">
        <v>248</v>
      </c>
      <c r="D934" t="s">
        <v>465</v>
      </c>
      <c r="F934" t="s">
        <v>1586</v>
      </c>
      <c r="G934" t="s">
        <v>3359</v>
      </c>
      <c r="H934" t="s">
        <v>5134</v>
      </c>
      <c r="I934" t="s">
        <v>6440</v>
      </c>
      <c r="J934" t="s">
        <v>7174</v>
      </c>
      <c r="K934">
        <v>11233</v>
      </c>
      <c r="N934" t="s">
        <v>7237</v>
      </c>
      <c r="O934" t="s">
        <v>7896</v>
      </c>
      <c r="P934">
        <v>2</v>
      </c>
      <c r="Q934">
        <v>0</v>
      </c>
      <c r="R934">
        <v>133.29</v>
      </c>
      <c r="U934">
        <v>21939.36</v>
      </c>
      <c r="W934">
        <v>69.8</v>
      </c>
      <c r="X934" t="s">
        <v>266</v>
      </c>
      <c r="Y934" t="s">
        <v>10913</v>
      </c>
      <c r="AA934" t="s">
        <v>10974</v>
      </c>
      <c r="AB934" t="s">
        <v>465</v>
      </c>
      <c r="AD934" t="s">
        <v>11083</v>
      </c>
      <c r="AF934" t="s">
        <v>11118</v>
      </c>
      <c r="AH934" t="s">
        <v>10975</v>
      </c>
      <c r="AJ934" t="s">
        <v>11138</v>
      </c>
      <c r="AK934" t="s">
        <v>7225</v>
      </c>
      <c r="AL934" t="s">
        <v>11150</v>
      </c>
      <c r="AM934">
        <v>0</v>
      </c>
      <c r="AO934">
        <v>30</v>
      </c>
      <c r="AQ934" t="s">
        <v>11157</v>
      </c>
      <c r="AS934" t="s">
        <v>11174</v>
      </c>
      <c r="AU934">
        <v>6</v>
      </c>
      <c r="AW934" t="s">
        <v>11187</v>
      </c>
      <c r="AY934" t="s">
        <v>11213</v>
      </c>
      <c r="AZ934" t="s">
        <v>11221</v>
      </c>
      <c r="BE934" t="s">
        <v>12229</v>
      </c>
      <c r="BG934" t="s">
        <v>14609</v>
      </c>
      <c r="BM934" t="s">
        <v>15650</v>
      </c>
    </row>
    <row r="935" spans="1:67">
      <c r="A935" s="1">
        <f>HYPERLINK("https://lsnyc.legalserver.org/matter/dynamic-profile/view/1884635","18-1884635")</f>
        <v>0</v>
      </c>
      <c r="B935" t="s">
        <v>106</v>
      </c>
      <c r="C935" t="s">
        <v>248</v>
      </c>
      <c r="D935" t="s">
        <v>446</v>
      </c>
      <c r="F935" t="s">
        <v>1587</v>
      </c>
      <c r="G935" t="s">
        <v>3190</v>
      </c>
      <c r="H935" t="s">
        <v>5135</v>
      </c>
      <c r="I935" t="s">
        <v>6412</v>
      </c>
      <c r="J935" t="s">
        <v>7174</v>
      </c>
      <c r="K935">
        <v>11233</v>
      </c>
      <c r="N935" t="s">
        <v>7237</v>
      </c>
      <c r="O935" t="s">
        <v>7897</v>
      </c>
      <c r="P935">
        <v>1</v>
      </c>
      <c r="Q935">
        <v>0</v>
      </c>
      <c r="R935">
        <v>82.54000000000001</v>
      </c>
      <c r="U935">
        <v>10020</v>
      </c>
      <c r="W935">
        <v>38</v>
      </c>
      <c r="X935" t="s">
        <v>307</v>
      </c>
      <c r="Y935" t="s">
        <v>10913</v>
      </c>
      <c r="AA935" t="s">
        <v>10974</v>
      </c>
      <c r="AB935" t="s">
        <v>483</v>
      </c>
      <c r="AD935" t="s">
        <v>11082</v>
      </c>
      <c r="AF935" t="s">
        <v>11118</v>
      </c>
      <c r="AH935" t="s">
        <v>10975</v>
      </c>
      <c r="AJ935" t="s">
        <v>11138</v>
      </c>
      <c r="AK935" t="s">
        <v>7225</v>
      </c>
      <c r="AM935">
        <v>530</v>
      </c>
      <c r="AO935">
        <v>15</v>
      </c>
      <c r="AP935" t="s">
        <v>11155</v>
      </c>
      <c r="AR935" t="s">
        <v>11172</v>
      </c>
      <c r="AU935">
        <v>37</v>
      </c>
      <c r="AW935" t="s">
        <v>11187</v>
      </c>
      <c r="AY935" t="s">
        <v>11213</v>
      </c>
      <c r="AZ935" t="s">
        <v>11221</v>
      </c>
      <c r="BE935" t="s">
        <v>12230</v>
      </c>
      <c r="BG935" t="s">
        <v>14610</v>
      </c>
      <c r="BM935" t="s">
        <v>15650</v>
      </c>
    </row>
    <row r="936" spans="1:67">
      <c r="A936" s="1">
        <f>HYPERLINK("https://lsnyc.legalserver.org/matter/dynamic-profile/view/1872177","18-1872177")</f>
        <v>0</v>
      </c>
      <c r="B936" t="s">
        <v>106</v>
      </c>
      <c r="C936" t="s">
        <v>248</v>
      </c>
      <c r="D936" t="s">
        <v>618</v>
      </c>
      <c r="F936" t="s">
        <v>1260</v>
      </c>
      <c r="G936" t="s">
        <v>3360</v>
      </c>
      <c r="H936" t="s">
        <v>5136</v>
      </c>
      <c r="I936" t="s">
        <v>6410</v>
      </c>
      <c r="J936" t="s">
        <v>7174</v>
      </c>
      <c r="K936">
        <v>11226</v>
      </c>
      <c r="N936" t="s">
        <v>7237</v>
      </c>
      <c r="O936" t="s">
        <v>7898</v>
      </c>
      <c r="P936">
        <v>1</v>
      </c>
      <c r="Q936">
        <v>0</v>
      </c>
      <c r="R936">
        <v>0</v>
      </c>
      <c r="S936" t="s">
        <v>10254</v>
      </c>
      <c r="T936" t="s">
        <v>10275</v>
      </c>
      <c r="U936">
        <v>0</v>
      </c>
      <c r="W936">
        <v>53.2</v>
      </c>
      <c r="X936" t="s">
        <v>297</v>
      </c>
      <c r="Y936" t="s">
        <v>10912</v>
      </c>
      <c r="AA936" t="s">
        <v>10974</v>
      </c>
      <c r="AB936" t="s">
        <v>618</v>
      </c>
      <c r="AD936" t="s">
        <v>11082</v>
      </c>
      <c r="AF936" t="s">
        <v>11118</v>
      </c>
      <c r="AH936" t="s">
        <v>10975</v>
      </c>
      <c r="AJ936" t="s">
        <v>11133</v>
      </c>
      <c r="AK936" t="s">
        <v>11149</v>
      </c>
      <c r="AM936">
        <v>1850</v>
      </c>
      <c r="AO936">
        <v>16</v>
      </c>
      <c r="AQ936" t="s">
        <v>11157</v>
      </c>
      <c r="AR936" t="s">
        <v>11172</v>
      </c>
      <c r="AU936">
        <v>10</v>
      </c>
      <c r="AW936" t="s">
        <v>11187</v>
      </c>
      <c r="AZ936" t="s">
        <v>11221</v>
      </c>
      <c r="BC936" t="s">
        <v>11311</v>
      </c>
      <c r="BE936" t="s">
        <v>12231</v>
      </c>
      <c r="BG936" t="s">
        <v>14611</v>
      </c>
      <c r="BM936" t="s">
        <v>15650</v>
      </c>
    </row>
    <row r="937" spans="1:67">
      <c r="A937" s="1">
        <f>HYPERLINK("https://lsnyc.legalserver.org/matter/dynamic-profile/view/1899657","19-1899657")</f>
        <v>0</v>
      </c>
      <c r="B937" t="s">
        <v>106</v>
      </c>
      <c r="C937" t="s">
        <v>248</v>
      </c>
      <c r="D937" t="s">
        <v>431</v>
      </c>
      <c r="E937" t="s">
        <v>536</v>
      </c>
      <c r="F937" t="s">
        <v>1343</v>
      </c>
      <c r="G937" t="s">
        <v>3293</v>
      </c>
      <c r="H937" t="s">
        <v>5137</v>
      </c>
      <c r="I937" t="s">
        <v>6468</v>
      </c>
      <c r="J937" t="s">
        <v>7174</v>
      </c>
      <c r="K937">
        <v>11212</v>
      </c>
      <c r="L937" t="s">
        <v>7219</v>
      </c>
      <c r="N937" t="s">
        <v>7237</v>
      </c>
      <c r="O937" t="s">
        <v>7899</v>
      </c>
      <c r="P937">
        <v>2</v>
      </c>
      <c r="Q937">
        <v>0</v>
      </c>
      <c r="R937">
        <v>260.2</v>
      </c>
      <c r="U937">
        <v>44000</v>
      </c>
      <c r="V937" t="s">
        <v>10355</v>
      </c>
      <c r="W937">
        <v>1.5</v>
      </c>
      <c r="X937" t="s">
        <v>10809</v>
      </c>
      <c r="Y937" t="s">
        <v>101</v>
      </c>
      <c r="AA937" t="s">
        <v>10974</v>
      </c>
      <c r="AB937" t="s">
        <v>343</v>
      </c>
      <c r="AD937" t="s">
        <v>11082</v>
      </c>
      <c r="AF937" t="s">
        <v>11118</v>
      </c>
      <c r="AH937" t="s">
        <v>10975</v>
      </c>
      <c r="AJ937" t="s">
        <v>11104</v>
      </c>
      <c r="AK937" t="s">
        <v>7225</v>
      </c>
      <c r="AM937">
        <v>1025</v>
      </c>
      <c r="AO937">
        <v>82</v>
      </c>
      <c r="AP937" t="s">
        <v>11155</v>
      </c>
      <c r="AS937" t="s">
        <v>11174</v>
      </c>
      <c r="AU937">
        <v>12</v>
      </c>
      <c r="AW937" t="s">
        <v>11187</v>
      </c>
      <c r="AY937" t="s">
        <v>11213</v>
      </c>
      <c r="BA937" t="s">
        <v>11222</v>
      </c>
      <c r="BE937" t="s">
        <v>12232</v>
      </c>
      <c r="BG937" t="s">
        <v>14612</v>
      </c>
      <c r="BH937" t="s">
        <v>15605</v>
      </c>
      <c r="BJ937" t="s">
        <v>15615</v>
      </c>
      <c r="BL937" t="s">
        <v>15648</v>
      </c>
      <c r="BM937" t="s">
        <v>15651</v>
      </c>
    </row>
    <row r="938" spans="1:67">
      <c r="A938" s="1">
        <f>HYPERLINK("https://lsnyc.legalserver.org/matter/dynamic-profile/view/1891056","19-1891056")</f>
        <v>0</v>
      </c>
      <c r="B938" t="s">
        <v>106</v>
      </c>
      <c r="C938" t="s">
        <v>248</v>
      </c>
      <c r="D938" t="s">
        <v>479</v>
      </c>
      <c r="F938" t="s">
        <v>1588</v>
      </c>
      <c r="G938" t="s">
        <v>1157</v>
      </c>
      <c r="H938" t="s">
        <v>5025</v>
      </c>
      <c r="J938" t="s">
        <v>7174</v>
      </c>
      <c r="K938">
        <v>11208</v>
      </c>
      <c r="N938" t="s">
        <v>7237</v>
      </c>
      <c r="O938" t="s">
        <v>7900</v>
      </c>
      <c r="P938">
        <v>1</v>
      </c>
      <c r="Q938">
        <v>0</v>
      </c>
      <c r="R938">
        <v>81.67</v>
      </c>
      <c r="U938">
        <v>10200</v>
      </c>
      <c r="W938">
        <v>19.2</v>
      </c>
      <c r="X938" t="s">
        <v>524</v>
      </c>
      <c r="Y938" t="s">
        <v>101</v>
      </c>
      <c r="AA938" t="s">
        <v>10974</v>
      </c>
      <c r="AB938" t="s">
        <v>343</v>
      </c>
      <c r="AD938" t="s">
        <v>11083</v>
      </c>
      <c r="AF938" t="s">
        <v>11118</v>
      </c>
      <c r="AH938" t="s">
        <v>10975</v>
      </c>
      <c r="AJ938" t="s">
        <v>11143</v>
      </c>
      <c r="AK938" t="s">
        <v>7225</v>
      </c>
      <c r="AM938">
        <v>1234</v>
      </c>
      <c r="AO938">
        <v>210</v>
      </c>
      <c r="AP938" t="s">
        <v>11155</v>
      </c>
      <c r="AS938" t="s">
        <v>11173</v>
      </c>
      <c r="AU938">
        <v>5</v>
      </c>
      <c r="AW938" t="s">
        <v>11187</v>
      </c>
      <c r="AY938" t="s">
        <v>11216</v>
      </c>
      <c r="BA938" t="s">
        <v>11222</v>
      </c>
      <c r="BE938" t="s">
        <v>12233</v>
      </c>
      <c r="BG938" t="s">
        <v>14613</v>
      </c>
      <c r="BM938" t="s">
        <v>15650</v>
      </c>
    </row>
    <row r="939" spans="1:67">
      <c r="A939" s="1">
        <f>HYPERLINK("https://lsnyc.legalserver.org/matter/dynamic-profile/view/1880006","18-1880006")</f>
        <v>0</v>
      </c>
      <c r="B939" t="s">
        <v>106</v>
      </c>
      <c r="C939" t="s">
        <v>248</v>
      </c>
      <c r="D939" t="s">
        <v>619</v>
      </c>
      <c r="E939" t="s">
        <v>536</v>
      </c>
      <c r="F939" t="s">
        <v>1589</v>
      </c>
      <c r="G939" t="s">
        <v>3361</v>
      </c>
      <c r="H939" t="s">
        <v>5138</v>
      </c>
      <c r="I939" t="s">
        <v>6408</v>
      </c>
      <c r="J939" t="s">
        <v>7174</v>
      </c>
      <c r="K939">
        <v>11212</v>
      </c>
      <c r="L939" t="s">
        <v>7219</v>
      </c>
      <c r="N939" t="s">
        <v>7237</v>
      </c>
      <c r="O939" t="s">
        <v>7901</v>
      </c>
      <c r="P939">
        <v>1</v>
      </c>
      <c r="Q939">
        <v>2</v>
      </c>
      <c r="R939">
        <v>146.3</v>
      </c>
      <c r="U939">
        <v>30402</v>
      </c>
      <c r="W939">
        <v>45.4</v>
      </c>
      <c r="X939" t="s">
        <v>1075</v>
      </c>
      <c r="Y939" t="s">
        <v>225</v>
      </c>
      <c r="AA939" t="s">
        <v>10974</v>
      </c>
      <c r="AB939" t="s">
        <v>259</v>
      </c>
      <c r="AD939" t="s">
        <v>11082</v>
      </c>
      <c r="AF939" t="s">
        <v>11118</v>
      </c>
      <c r="AH939" t="s">
        <v>10975</v>
      </c>
      <c r="AJ939" t="s">
        <v>11129</v>
      </c>
      <c r="AK939" t="s">
        <v>7225</v>
      </c>
      <c r="AM939">
        <v>1550</v>
      </c>
      <c r="AO939">
        <v>6</v>
      </c>
      <c r="AQ939" t="s">
        <v>11157</v>
      </c>
      <c r="AS939" t="s">
        <v>11173</v>
      </c>
      <c r="AU939">
        <v>2</v>
      </c>
      <c r="AW939" t="s">
        <v>11187</v>
      </c>
      <c r="AY939" t="s">
        <v>11213</v>
      </c>
      <c r="AZ939" t="s">
        <v>11221</v>
      </c>
      <c r="BC939" t="s">
        <v>11230</v>
      </c>
      <c r="BE939" t="s">
        <v>12234</v>
      </c>
      <c r="BG939" t="s">
        <v>14614</v>
      </c>
      <c r="BH939" t="s">
        <v>15605</v>
      </c>
      <c r="BJ939" t="s">
        <v>15615</v>
      </c>
      <c r="BL939" t="s">
        <v>15648</v>
      </c>
      <c r="BM939" t="s">
        <v>15651</v>
      </c>
    </row>
    <row r="940" spans="1:67">
      <c r="A940" s="1">
        <f>HYPERLINK("https://lsnyc.legalserver.org/matter/dynamic-profile/view/1895973","19-1895973")</f>
        <v>0</v>
      </c>
      <c r="B940" t="s">
        <v>106</v>
      </c>
      <c r="C940" t="s">
        <v>248</v>
      </c>
      <c r="D940" t="s">
        <v>295</v>
      </c>
      <c r="E940" t="s">
        <v>536</v>
      </c>
      <c r="F940" t="s">
        <v>1590</v>
      </c>
      <c r="G940" t="s">
        <v>3362</v>
      </c>
      <c r="H940" t="s">
        <v>5139</v>
      </c>
      <c r="I940" t="s">
        <v>6438</v>
      </c>
      <c r="J940" t="s">
        <v>7174</v>
      </c>
      <c r="K940">
        <v>11233</v>
      </c>
      <c r="L940" t="s">
        <v>7219</v>
      </c>
      <c r="N940" t="s">
        <v>7237</v>
      </c>
      <c r="O940" t="s">
        <v>7902</v>
      </c>
      <c r="P940">
        <v>1</v>
      </c>
      <c r="Q940">
        <v>0</v>
      </c>
      <c r="R940">
        <v>144.12</v>
      </c>
      <c r="U940">
        <v>18000</v>
      </c>
      <c r="W940">
        <v>8.75</v>
      </c>
      <c r="X940" t="s">
        <v>585</v>
      </c>
      <c r="Y940" t="s">
        <v>10912</v>
      </c>
      <c r="AA940" t="s">
        <v>10974</v>
      </c>
      <c r="AB940" t="s">
        <v>295</v>
      </c>
      <c r="AD940" t="s">
        <v>11082</v>
      </c>
      <c r="AF940" t="s">
        <v>11118</v>
      </c>
      <c r="AG940" t="s">
        <v>11124</v>
      </c>
      <c r="AJ940" t="s">
        <v>11138</v>
      </c>
      <c r="AK940" t="s">
        <v>7225</v>
      </c>
      <c r="AM940">
        <v>327.05</v>
      </c>
      <c r="AO940">
        <v>6</v>
      </c>
      <c r="AQ940" t="s">
        <v>11160</v>
      </c>
      <c r="AR940" t="s">
        <v>11172</v>
      </c>
      <c r="AU940">
        <v>44</v>
      </c>
      <c r="AW940" t="s">
        <v>11187</v>
      </c>
      <c r="AY940" t="s">
        <v>11218</v>
      </c>
      <c r="BA940" t="s">
        <v>11222</v>
      </c>
      <c r="BE940" t="s">
        <v>12235</v>
      </c>
      <c r="BG940" t="s">
        <v>14615</v>
      </c>
      <c r="BH940" t="s">
        <v>15605</v>
      </c>
      <c r="BJ940" t="s">
        <v>15615</v>
      </c>
      <c r="BL940" t="s">
        <v>15648</v>
      </c>
      <c r="BM940" t="s">
        <v>15651</v>
      </c>
    </row>
    <row r="941" spans="1:67">
      <c r="A941" s="1">
        <f>HYPERLINK("https://lsnyc.legalserver.org/matter/dynamic-profile/view/1910663","19-1910663")</f>
        <v>0</v>
      </c>
      <c r="B941" t="s">
        <v>107</v>
      </c>
      <c r="C941" t="s">
        <v>246</v>
      </c>
      <c r="D941" t="s">
        <v>554</v>
      </c>
      <c r="F941" t="s">
        <v>1120</v>
      </c>
      <c r="G941" t="s">
        <v>2877</v>
      </c>
      <c r="H941" t="s">
        <v>5140</v>
      </c>
      <c r="I941" t="s">
        <v>6595</v>
      </c>
      <c r="J941" t="s">
        <v>7170</v>
      </c>
      <c r="K941">
        <v>10453</v>
      </c>
      <c r="N941" t="s">
        <v>7237</v>
      </c>
      <c r="O941" t="s">
        <v>7903</v>
      </c>
      <c r="P941">
        <v>1</v>
      </c>
      <c r="Q941">
        <v>0</v>
      </c>
      <c r="R941">
        <v>176.94</v>
      </c>
      <c r="U941">
        <v>22100</v>
      </c>
      <c r="W941">
        <v>0.8</v>
      </c>
      <c r="X941" t="s">
        <v>554</v>
      </c>
      <c r="Y941" t="s">
        <v>107</v>
      </c>
      <c r="AA941" t="s">
        <v>10974</v>
      </c>
      <c r="AB941" t="s">
        <v>384</v>
      </c>
      <c r="AD941" t="s">
        <v>11082</v>
      </c>
      <c r="AF941" t="s">
        <v>10384</v>
      </c>
      <c r="AH941" t="s">
        <v>10975</v>
      </c>
      <c r="AJ941" t="s">
        <v>11130</v>
      </c>
      <c r="AK941" t="s">
        <v>7225</v>
      </c>
      <c r="AM941">
        <v>746.51</v>
      </c>
      <c r="AO941">
        <v>40</v>
      </c>
      <c r="AQ941" t="s">
        <v>11157</v>
      </c>
      <c r="AR941" t="s">
        <v>11172</v>
      </c>
      <c r="AU941">
        <v>31</v>
      </c>
      <c r="AW941" t="s">
        <v>11187</v>
      </c>
      <c r="AY941" t="s">
        <v>11214</v>
      </c>
      <c r="BA941" t="s">
        <v>11222</v>
      </c>
      <c r="BE941" t="s">
        <v>12236</v>
      </c>
      <c r="BG941" t="s">
        <v>14616</v>
      </c>
      <c r="BM941" t="s">
        <v>15650</v>
      </c>
    </row>
    <row r="942" spans="1:67">
      <c r="A942" s="1">
        <f>HYPERLINK("https://lsnyc.legalserver.org/matter/dynamic-profile/view/1910629","19-1910629")</f>
        <v>0</v>
      </c>
      <c r="B942" t="s">
        <v>107</v>
      </c>
      <c r="C942" t="s">
        <v>246</v>
      </c>
      <c r="D942" t="s">
        <v>554</v>
      </c>
      <c r="F942" t="s">
        <v>1591</v>
      </c>
      <c r="G942" t="s">
        <v>3357</v>
      </c>
      <c r="H942" t="s">
        <v>5141</v>
      </c>
      <c r="I942" t="s">
        <v>6565</v>
      </c>
      <c r="J942" t="s">
        <v>7170</v>
      </c>
      <c r="K942">
        <v>10451</v>
      </c>
      <c r="N942" t="s">
        <v>7237</v>
      </c>
      <c r="O942" t="s">
        <v>7543</v>
      </c>
      <c r="P942">
        <v>2</v>
      </c>
      <c r="Q942">
        <v>0</v>
      </c>
      <c r="R942">
        <v>151.15</v>
      </c>
      <c r="U942">
        <v>25560</v>
      </c>
      <c r="W942">
        <v>1</v>
      </c>
      <c r="X942" t="s">
        <v>554</v>
      </c>
      <c r="Y942" t="s">
        <v>107</v>
      </c>
      <c r="AA942" t="s">
        <v>10974</v>
      </c>
      <c r="AC942" t="s">
        <v>11081</v>
      </c>
      <c r="AF942" t="s">
        <v>11120</v>
      </c>
      <c r="AG942" t="s">
        <v>11124</v>
      </c>
      <c r="AJ942" t="s">
        <v>11147</v>
      </c>
      <c r="AK942" t="s">
        <v>7225</v>
      </c>
      <c r="AM942">
        <v>1268.42</v>
      </c>
      <c r="AN942" t="s">
        <v>11151</v>
      </c>
      <c r="AO942" t="s">
        <v>11153</v>
      </c>
      <c r="AQ942" t="s">
        <v>11158</v>
      </c>
      <c r="AS942" t="s">
        <v>11173</v>
      </c>
      <c r="AU942">
        <v>24</v>
      </c>
      <c r="AW942" t="s">
        <v>11187</v>
      </c>
      <c r="AX942" t="s">
        <v>11212</v>
      </c>
      <c r="BA942" t="s">
        <v>11222</v>
      </c>
      <c r="BD942" t="s">
        <v>11667</v>
      </c>
      <c r="BF942" t="s">
        <v>14364</v>
      </c>
      <c r="BM942" t="s">
        <v>15650</v>
      </c>
    </row>
    <row r="943" spans="1:67">
      <c r="A943" s="1">
        <f>HYPERLINK("https://lsnyc.legalserver.org/matter/dynamic-profile/view/1909761","19-1909761")</f>
        <v>0</v>
      </c>
      <c r="B943" t="s">
        <v>107</v>
      </c>
      <c r="C943" t="s">
        <v>246</v>
      </c>
      <c r="D943" t="s">
        <v>434</v>
      </c>
      <c r="F943" t="s">
        <v>1545</v>
      </c>
      <c r="G943" t="s">
        <v>2588</v>
      </c>
      <c r="H943" t="s">
        <v>5142</v>
      </c>
      <c r="J943" t="s">
        <v>7170</v>
      </c>
      <c r="K943">
        <v>10460</v>
      </c>
      <c r="N943" t="s">
        <v>7237</v>
      </c>
      <c r="O943" t="s">
        <v>7904</v>
      </c>
      <c r="P943">
        <v>1</v>
      </c>
      <c r="Q943">
        <v>0</v>
      </c>
      <c r="R943">
        <v>19.22</v>
      </c>
      <c r="U943">
        <v>2400</v>
      </c>
      <c r="W943">
        <v>1.5</v>
      </c>
      <c r="X943" t="s">
        <v>554</v>
      </c>
      <c r="Y943" t="s">
        <v>10890</v>
      </c>
      <c r="AA943" t="s">
        <v>10974</v>
      </c>
      <c r="AD943" t="s">
        <v>11086</v>
      </c>
      <c r="AF943" t="s">
        <v>11119</v>
      </c>
      <c r="AG943" t="s">
        <v>11124</v>
      </c>
      <c r="AJ943" t="s">
        <v>11143</v>
      </c>
      <c r="AK943" t="s">
        <v>7225</v>
      </c>
      <c r="AM943">
        <v>1124</v>
      </c>
      <c r="AO943">
        <v>40</v>
      </c>
      <c r="AP943" t="s">
        <v>11155</v>
      </c>
      <c r="AR943" t="s">
        <v>11172</v>
      </c>
      <c r="AU943">
        <v>2</v>
      </c>
      <c r="AW943" t="s">
        <v>11187</v>
      </c>
      <c r="AX943" t="s">
        <v>11212</v>
      </c>
      <c r="BA943" t="s">
        <v>11222</v>
      </c>
      <c r="BE943" t="s">
        <v>12237</v>
      </c>
      <c r="BF943" t="s">
        <v>14364</v>
      </c>
      <c r="BM943" t="s">
        <v>15650</v>
      </c>
    </row>
    <row r="944" spans="1:67">
      <c r="A944" s="1">
        <f>HYPERLINK("https://lsnyc.legalserver.org/matter/dynamic-profile/view/1871525","18-1871525")</f>
        <v>0</v>
      </c>
      <c r="B944" t="s">
        <v>107</v>
      </c>
      <c r="C944" t="s">
        <v>246</v>
      </c>
      <c r="D944" t="s">
        <v>620</v>
      </c>
      <c r="F944" t="s">
        <v>1280</v>
      </c>
      <c r="G944" t="s">
        <v>2982</v>
      </c>
      <c r="H944" t="s">
        <v>5143</v>
      </c>
      <c r="I944" t="s">
        <v>6405</v>
      </c>
      <c r="J944" t="s">
        <v>7170</v>
      </c>
      <c r="K944">
        <v>10460</v>
      </c>
      <c r="N944" t="s">
        <v>7237</v>
      </c>
      <c r="O944" t="s">
        <v>7905</v>
      </c>
      <c r="P944">
        <v>1</v>
      </c>
      <c r="Q944">
        <v>0</v>
      </c>
      <c r="R944">
        <v>78.78</v>
      </c>
      <c r="U944">
        <v>9564</v>
      </c>
      <c r="W944">
        <v>18.6</v>
      </c>
      <c r="X944" t="s">
        <v>521</v>
      </c>
      <c r="Y944" t="s">
        <v>10897</v>
      </c>
      <c r="AA944" t="s">
        <v>10974</v>
      </c>
      <c r="AB944" t="s">
        <v>620</v>
      </c>
      <c r="AD944" t="s">
        <v>11082</v>
      </c>
      <c r="AF944" t="s">
        <v>11118</v>
      </c>
      <c r="AH944" t="s">
        <v>10975</v>
      </c>
      <c r="AJ944" t="s">
        <v>11129</v>
      </c>
      <c r="AK944" t="s">
        <v>7225</v>
      </c>
      <c r="AM944">
        <v>1325.9</v>
      </c>
      <c r="AO944">
        <v>107</v>
      </c>
      <c r="AQ944" t="s">
        <v>11156</v>
      </c>
      <c r="AS944" t="s">
        <v>11174</v>
      </c>
      <c r="AU944">
        <v>20</v>
      </c>
      <c r="AW944" t="s">
        <v>11189</v>
      </c>
      <c r="AY944" t="s">
        <v>11215</v>
      </c>
      <c r="AZ944" t="s">
        <v>11221</v>
      </c>
      <c r="BB944" t="s">
        <v>11224</v>
      </c>
      <c r="BC944" t="s">
        <v>11312</v>
      </c>
      <c r="BE944" t="s">
        <v>12238</v>
      </c>
      <c r="BG944" t="s">
        <v>14617</v>
      </c>
      <c r="BI944" t="s">
        <v>15609</v>
      </c>
      <c r="BK944" t="s">
        <v>15620</v>
      </c>
      <c r="BM944" t="s">
        <v>15650</v>
      </c>
      <c r="BN944" t="s">
        <v>15652</v>
      </c>
      <c r="BO944" t="s">
        <v>15672</v>
      </c>
    </row>
    <row r="945" spans="1:67">
      <c r="A945" s="1">
        <f>HYPERLINK("https://lsnyc.legalserver.org/matter/dynamic-profile/view/1887014","19-1887014")</f>
        <v>0</v>
      </c>
      <c r="B945" t="s">
        <v>107</v>
      </c>
      <c r="C945" t="s">
        <v>246</v>
      </c>
      <c r="D945" t="s">
        <v>621</v>
      </c>
      <c r="F945" t="s">
        <v>1280</v>
      </c>
      <c r="G945" t="s">
        <v>2982</v>
      </c>
      <c r="H945" t="s">
        <v>5143</v>
      </c>
      <c r="I945" t="s">
        <v>6405</v>
      </c>
      <c r="J945" t="s">
        <v>7170</v>
      </c>
      <c r="K945">
        <v>10460</v>
      </c>
      <c r="N945" t="s">
        <v>7241</v>
      </c>
      <c r="O945" t="s">
        <v>7905</v>
      </c>
      <c r="P945">
        <v>1</v>
      </c>
      <c r="Q945">
        <v>0</v>
      </c>
      <c r="R945">
        <v>78.78</v>
      </c>
      <c r="U945">
        <v>9564</v>
      </c>
      <c r="V945" t="s">
        <v>10356</v>
      </c>
      <c r="W945">
        <v>2.2</v>
      </c>
      <c r="X945" t="s">
        <v>874</v>
      </c>
      <c r="Y945" t="s">
        <v>10897</v>
      </c>
      <c r="AA945" t="s">
        <v>10974</v>
      </c>
      <c r="AB945" t="s">
        <v>621</v>
      </c>
      <c r="AD945" t="s">
        <v>11095</v>
      </c>
      <c r="AF945" t="s">
        <v>11120</v>
      </c>
      <c r="AH945" t="s">
        <v>10975</v>
      </c>
      <c r="AJ945" t="s">
        <v>11129</v>
      </c>
      <c r="AK945" t="s">
        <v>7225</v>
      </c>
      <c r="AM945">
        <v>1325.9</v>
      </c>
      <c r="AO945">
        <v>107</v>
      </c>
      <c r="AQ945" t="s">
        <v>11156</v>
      </c>
      <c r="AS945" t="s">
        <v>11174</v>
      </c>
      <c r="AU945">
        <v>20</v>
      </c>
      <c r="AW945" t="s">
        <v>11189</v>
      </c>
      <c r="AZ945" t="s">
        <v>11221</v>
      </c>
      <c r="BB945" t="s">
        <v>11224</v>
      </c>
      <c r="BC945" t="s">
        <v>11312</v>
      </c>
      <c r="BE945" t="s">
        <v>12238</v>
      </c>
      <c r="BF945" t="s">
        <v>14364</v>
      </c>
      <c r="BM945" t="s">
        <v>15650</v>
      </c>
    </row>
    <row r="946" spans="1:67">
      <c r="A946" s="1">
        <f>HYPERLINK("https://lsnyc.legalserver.org/matter/dynamic-profile/view/0821448","16-0821448")</f>
        <v>0</v>
      </c>
      <c r="B946" t="s">
        <v>107</v>
      </c>
      <c r="C946" t="s">
        <v>246</v>
      </c>
      <c r="D946" t="s">
        <v>622</v>
      </c>
      <c r="F946" t="s">
        <v>1111</v>
      </c>
      <c r="G946" t="s">
        <v>3363</v>
      </c>
      <c r="H946" t="s">
        <v>4781</v>
      </c>
      <c r="I946" t="s">
        <v>6433</v>
      </c>
      <c r="J946" t="s">
        <v>7170</v>
      </c>
      <c r="K946">
        <v>10467</v>
      </c>
      <c r="N946" t="s">
        <v>7237</v>
      </c>
      <c r="O946" t="s">
        <v>7906</v>
      </c>
      <c r="P946">
        <v>2</v>
      </c>
      <c r="Q946">
        <v>1</v>
      </c>
      <c r="R946">
        <v>16.67</v>
      </c>
      <c r="S946" t="s">
        <v>283</v>
      </c>
      <c r="U946">
        <v>3360</v>
      </c>
      <c r="W946">
        <v>0.2</v>
      </c>
      <c r="X946" t="s">
        <v>922</v>
      </c>
      <c r="Y946" t="s">
        <v>10905</v>
      </c>
      <c r="AA946" t="s">
        <v>10974</v>
      </c>
      <c r="AB946" t="s">
        <v>1018</v>
      </c>
      <c r="AD946" t="s">
        <v>11093</v>
      </c>
      <c r="AF946" t="s">
        <v>11118</v>
      </c>
      <c r="AH946" t="s">
        <v>10974</v>
      </c>
      <c r="AJ946" t="s">
        <v>11130</v>
      </c>
      <c r="AK946" t="s">
        <v>7225</v>
      </c>
      <c r="AM946">
        <v>1484</v>
      </c>
      <c r="AO946">
        <v>30</v>
      </c>
      <c r="AQ946" t="s">
        <v>11157</v>
      </c>
      <c r="AS946" t="s">
        <v>11174</v>
      </c>
      <c r="AU946">
        <v>6</v>
      </c>
      <c r="AW946" t="s">
        <v>11187</v>
      </c>
      <c r="AZ946" t="s">
        <v>11221</v>
      </c>
      <c r="BC946" t="s">
        <v>11313</v>
      </c>
      <c r="BE946" t="s">
        <v>12239</v>
      </c>
      <c r="BG946" t="s">
        <v>14373</v>
      </c>
      <c r="BM946" t="s">
        <v>15650</v>
      </c>
    </row>
    <row r="947" spans="1:67">
      <c r="A947" s="1">
        <f>HYPERLINK("https://lsnyc.legalserver.org/matter/dynamic-profile/view/0821390","16-0821390")</f>
        <v>0</v>
      </c>
      <c r="B947" t="s">
        <v>107</v>
      </c>
      <c r="C947" t="s">
        <v>246</v>
      </c>
      <c r="D947" t="s">
        <v>622</v>
      </c>
      <c r="F947" t="s">
        <v>1519</v>
      </c>
      <c r="G947" t="s">
        <v>3364</v>
      </c>
      <c r="H947" t="s">
        <v>4781</v>
      </c>
      <c r="I947" t="s">
        <v>6491</v>
      </c>
      <c r="J947" t="s">
        <v>7170</v>
      </c>
      <c r="K947">
        <v>10467</v>
      </c>
      <c r="N947" t="s">
        <v>7237</v>
      </c>
      <c r="O947" t="s">
        <v>7907</v>
      </c>
      <c r="P947">
        <v>2</v>
      </c>
      <c r="Q947">
        <v>0</v>
      </c>
      <c r="R947">
        <v>75.88</v>
      </c>
      <c r="S947" t="s">
        <v>283</v>
      </c>
      <c r="U947">
        <v>15276</v>
      </c>
      <c r="W947">
        <v>0.1</v>
      </c>
      <c r="X947" t="s">
        <v>922</v>
      </c>
      <c r="Y947" t="s">
        <v>10905</v>
      </c>
      <c r="AA947" t="s">
        <v>10974</v>
      </c>
      <c r="AB947" t="s">
        <v>10978</v>
      </c>
      <c r="AD947" t="s">
        <v>11093</v>
      </c>
      <c r="AF947" t="s">
        <v>11118</v>
      </c>
      <c r="AH947" t="s">
        <v>10974</v>
      </c>
      <c r="AJ947" t="s">
        <v>11130</v>
      </c>
      <c r="AK947" t="s">
        <v>7225</v>
      </c>
      <c r="AL947" t="s">
        <v>11150</v>
      </c>
      <c r="AM947">
        <v>0</v>
      </c>
      <c r="AO947">
        <v>30</v>
      </c>
      <c r="AQ947" t="s">
        <v>11157</v>
      </c>
      <c r="AS947" t="s">
        <v>11174</v>
      </c>
      <c r="AT947" t="s">
        <v>11184</v>
      </c>
      <c r="AU947">
        <v>0</v>
      </c>
      <c r="AW947" t="s">
        <v>11187</v>
      </c>
      <c r="AZ947" t="s">
        <v>11221</v>
      </c>
      <c r="BE947" t="s">
        <v>12240</v>
      </c>
      <c r="BF947" t="s">
        <v>14364</v>
      </c>
      <c r="BG947" t="s">
        <v>14371</v>
      </c>
      <c r="BM947" t="s">
        <v>15650</v>
      </c>
    </row>
    <row r="948" spans="1:67">
      <c r="A948" s="1">
        <f>HYPERLINK("https://lsnyc.legalserver.org/matter/dynamic-profile/view/0826011","17-0826011")</f>
        <v>0</v>
      </c>
      <c r="B948" t="s">
        <v>107</v>
      </c>
      <c r="C948" t="s">
        <v>246</v>
      </c>
      <c r="D948" t="s">
        <v>623</v>
      </c>
      <c r="F948" t="s">
        <v>1592</v>
      </c>
      <c r="G948" t="s">
        <v>1261</v>
      </c>
      <c r="H948" t="s">
        <v>4781</v>
      </c>
      <c r="I948" t="s">
        <v>6573</v>
      </c>
      <c r="J948" t="s">
        <v>7170</v>
      </c>
      <c r="K948">
        <v>10467</v>
      </c>
      <c r="N948" t="s">
        <v>7237</v>
      </c>
      <c r="O948" t="s">
        <v>7908</v>
      </c>
      <c r="P948">
        <v>2</v>
      </c>
      <c r="Q948">
        <v>3</v>
      </c>
      <c r="R948">
        <v>0</v>
      </c>
      <c r="S948" t="s">
        <v>283</v>
      </c>
      <c r="U948">
        <v>0</v>
      </c>
      <c r="W948">
        <v>0.2</v>
      </c>
      <c r="X948" t="s">
        <v>922</v>
      </c>
      <c r="Y948" t="s">
        <v>10899</v>
      </c>
      <c r="AA948" t="s">
        <v>10974</v>
      </c>
      <c r="AB948" t="s">
        <v>11007</v>
      </c>
      <c r="AD948" t="s">
        <v>11093</v>
      </c>
      <c r="AF948" t="s">
        <v>11118</v>
      </c>
      <c r="AH948" t="s">
        <v>10974</v>
      </c>
      <c r="AJ948" t="s">
        <v>11130</v>
      </c>
      <c r="AK948" t="s">
        <v>7225</v>
      </c>
      <c r="AM948">
        <v>1811</v>
      </c>
      <c r="AO948">
        <v>30</v>
      </c>
      <c r="AQ948" t="s">
        <v>11157</v>
      </c>
      <c r="AS948" t="s">
        <v>11174</v>
      </c>
      <c r="AU948">
        <v>5</v>
      </c>
      <c r="AW948" t="s">
        <v>11187</v>
      </c>
      <c r="AZ948" t="s">
        <v>11221</v>
      </c>
      <c r="BB948" t="s">
        <v>11224</v>
      </c>
      <c r="BC948" t="s">
        <v>11314</v>
      </c>
      <c r="BE948" t="s">
        <v>12241</v>
      </c>
      <c r="BF948" t="s">
        <v>14364</v>
      </c>
      <c r="BG948" t="s">
        <v>14371</v>
      </c>
      <c r="BM948" t="s">
        <v>15650</v>
      </c>
    </row>
    <row r="949" spans="1:67">
      <c r="A949" s="1">
        <f>HYPERLINK("https://lsnyc.legalserver.org/matter/dynamic-profile/view/0821363","16-0821363")</f>
        <v>0</v>
      </c>
      <c r="B949" t="s">
        <v>107</v>
      </c>
      <c r="C949" t="s">
        <v>246</v>
      </c>
      <c r="D949" t="s">
        <v>622</v>
      </c>
      <c r="F949" t="s">
        <v>1117</v>
      </c>
      <c r="G949" t="s">
        <v>2906</v>
      </c>
      <c r="H949" t="s">
        <v>5144</v>
      </c>
      <c r="I949" t="s">
        <v>6657</v>
      </c>
      <c r="J949" t="s">
        <v>7170</v>
      </c>
      <c r="K949">
        <v>10467</v>
      </c>
      <c r="N949" t="s">
        <v>7237</v>
      </c>
      <c r="O949" t="s">
        <v>7285</v>
      </c>
      <c r="P949">
        <v>2</v>
      </c>
      <c r="Q949">
        <v>1</v>
      </c>
      <c r="R949">
        <v>154.76</v>
      </c>
      <c r="S949" t="s">
        <v>283</v>
      </c>
      <c r="U949">
        <v>31200</v>
      </c>
      <c r="V949" t="s">
        <v>10357</v>
      </c>
      <c r="W949">
        <v>0.9</v>
      </c>
      <c r="X949" t="s">
        <v>922</v>
      </c>
      <c r="Y949" t="s">
        <v>10905</v>
      </c>
      <c r="AA949" t="s">
        <v>10974</v>
      </c>
      <c r="AB949" t="s">
        <v>924</v>
      </c>
      <c r="AD949" t="s">
        <v>11093</v>
      </c>
      <c r="AF949" t="s">
        <v>11118</v>
      </c>
      <c r="AH949" t="s">
        <v>10974</v>
      </c>
      <c r="AJ949" t="s">
        <v>11130</v>
      </c>
      <c r="AK949" t="s">
        <v>7225</v>
      </c>
      <c r="AL949" t="s">
        <v>11150</v>
      </c>
      <c r="AM949">
        <v>0</v>
      </c>
      <c r="AO949">
        <v>30</v>
      </c>
      <c r="AQ949" t="s">
        <v>11157</v>
      </c>
      <c r="AS949" t="s">
        <v>11174</v>
      </c>
      <c r="AT949" t="s">
        <v>11184</v>
      </c>
      <c r="AU949">
        <v>0</v>
      </c>
      <c r="AW949" t="s">
        <v>11187</v>
      </c>
      <c r="AZ949" t="s">
        <v>11221</v>
      </c>
      <c r="BE949" t="s">
        <v>11699</v>
      </c>
      <c r="BG949" t="s">
        <v>14373</v>
      </c>
      <c r="BM949" t="s">
        <v>15650</v>
      </c>
    </row>
    <row r="950" spans="1:67">
      <c r="A950" s="1">
        <f>HYPERLINK("https://lsnyc.legalserver.org/matter/dynamic-profile/view/1909970","19-1909970")</f>
        <v>0</v>
      </c>
      <c r="B950" t="s">
        <v>107</v>
      </c>
      <c r="C950" t="s">
        <v>246</v>
      </c>
      <c r="D950" t="s">
        <v>624</v>
      </c>
      <c r="F950" t="s">
        <v>1593</v>
      </c>
      <c r="G950" t="s">
        <v>3168</v>
      </c>
      <c r="H950" t="s">
        <v>5145</v>
      </c>
      <c r="I950" t="s">
        <v>6565</v>
      </c>
      <c r="J950" t="s">
        <v>7170</v>
      </c>
      <c r="K950">
        <v>10453</v>
      </c>
      <c r="N950" t="s">
        <v>7237</v>
      </c>
      <c r="O950" t="s">
        <v>7909</v>
      </c>
      <c r="P950">
        <v>2</v>
      </c>
      <c r="Q950">
        <v>2</v>
      </c>
      <c r="R950">
        <v>110.06</v>
      </c>
      <c r="U950">
        <v>28340</v>
      </c>
      <c r="W950">
        <v>0.9</v>
      </c>
      <c r="X950" t="s">
        <v>554</v>
      </c>
      <c r="Y950" t="s">
        <v>10882</v>
      </c>
      <c r="AA950" t="s">
        <v>10974</v>
      </c>
      <c r="AB950" t="s">
        <v>384</v>
      </c>
      <c r="AD950" t="s">
        <v>11082</v>
      </c>
      <c r="AF950" t="s">
        <v>11119</v>
      </c>
      <c r="AH950" t="s">
        <v>10975</v>
      </c>
      <c r="AI950" t="s">
        <v>11126</v>
      </c>
      <c r="AK950" t="s">
        <v>7225</v>
      </c>
      <c r="AM950">
        <v>777.34</v>
      </c>
      <c r="AO950">
        <v>42</v>
      </c>
      <c r="AQ950" t="s">
        <v>11160</v>
      </c>
      <c r="AS950" t="s">
        <v>11173</v>
      </c>
      <c r="AU950">
        <v>37</v>
      </c>
      <c r="AW950" t="s">
        <v>11187</v>
      </c>
      <c r="BA950" t="s">
        <v>11222</v>
      </c>
      <c r="BE950" t="s">
        <v>12242</v>
      </c>
      <c r="BG950" t="s">
        <v>14618</v>
      </c>
      <c r="BM950" t="s">
        <v>15650</v>
      </c>
    </row>
    <row r="951" spans="1:67">
      <c r="A951" s="1">
        <f>HYPERLINK("https://lsnyc.legalserver.org/matter/dynamic-profile/view/1881386","18-1881386")</f>
        <v>0</v>
      </c>
      <c r="B951" t="s">
        <v>108</v>
      </c>
      <c r="C951" t="s">
        <v>248</v>
      </c>
      <c r="D951" t="s">
        <v>625</v>
      </c>
      <c r="F951" t="s">
        <v>1594</v>
      </c>
      <c r="G951" t="s">
        <v>3365</v>
      </c>
      <c r="H951" t="s">
        <v>5146</v>
      </c>
      <c r="I951" t="s">
        <v>6430</v>
      </c>
      <c r="J951" t="s">
        <v>7174</v>
      </c>
      <c r="K951">
        <v>11233</v>
      </c>
      <c r="N951" t="s">
        <v>7237</v>
      </c>
      <c r="O951" t="s">
        <v>7910</v>
      </c>
      <c r="P951">
        <v>1</v>
      </c>
      <c r="Q951">
        <v>0</v>
      </c>
      <c r="R951">
        <v>18.2</v>
      </c>
      <c r="U951">
        <v>2210</v>
      </c>
      <c r="V951" t="s">
        <v>10334</v>
      </c>
      <c r="W951">
        <v>59.45</v>
      </c>
      <c r="X951" t="s">
        <v>669</v>
      </c>
      <c r="Y951" t="s">
        <v>225</v>
      </c>
      <c r="AA951" t="s">
        <v>10974</v>
      </c>
      <c r="AB951" t="s">
        <v>625</v>
      </c>
      <c r="AD951" t="s">
        <v>11082</v>
      </c>
      <c r="AF951" t="s">
        <v>11118</v>
      </c>
      <c r="AH951" t="s">
        <v>10975</v>
      </c>
      <c r="AJ951" t="s">
        <v>11138</v>
      </c>
      <c r="AK951" t="s">
        <v>7225</v>
      </c>
      <c r="AM951">
        <v>1515</v>
      </c>
      <c r="AO951">
        <v>6</v>
      </c>
      <c r="AQ951" t="s">
        <v>11157</v>
      </c>
      <c r="AS951" t="s">
        <v>11181</v>
      </c>
      <c r="AU951">
        <v>5</v>
      </c>
      <c r="AW951" t="s">
        <v>11187</v>
      </c>
      <c r="AY951" t="s">
        <v>11213</v>
      </c>
      <c r="AZ951" t="s">
        <v>11221</v>
      </c>
      <c r="BB951" t="s">
        <v>11224</v>
      </c>
      <c r="BC951" t="s">
        <v>11315</v>
      </c>
      <c r="BE951" t="s">
        <v>12243</v>
      </c>
      <c r="BG951" t="s">
        <v>14619</v>
      </c>
      <c r="BM951" t="s">
        <v>15650</v>
      </c>
    </row>
    <row r="952" spans="1:67">
      <c r="A952" s="1">
        <f>HYPERLINK("https://lsnyc.legalserver.org/matter/dynamic-profile/view/1911035","19-1911035")</f>
        <v>0</v>
      </c>
      <c r="B952" t="s">
        <v>108</v>
      </c>
      <c r="C952" t="s">
        <v>248</v>
      </c>
      <c r="D952" t="s">
        <v>626</v>
      </c>
      <c r="F952" t="s">
        <v>1443</v>
      </c>
      <c r="G952" t="s">
        <v>2911</v>
      </c>
      <c r="H952" t="s">
        <v>5147</v>
      </c>
      <c r="I952" t="s">
        <v>6433</v>
      </c>
      <c r="J952" t="s">
        <v>7174</v>
      </c>
      <c r="K952">
        <v>11207</v>
      </c>
      <c r="M952" t="s">
        <v>7228</v>
      </c>
      <c r="N952" t="s">
        <v>7237</v>
      </c>
      <c r="O952" t="s">
        <v>7911</v>
      </c>
      <c r="P952">
        <v>1</v>
      </c>
      <c r="Q952">
        <v>0</v>
      </c>
      <c r="R952">
        <v>43.71</v>
      </c>
      <c r="U952">
        <v>5460</v>
      </c>
      <c r="W952">
        <v>9.1</v>
      </c>
      <c r="X952" t="s">
        <v>333</v>
      </c>
      <c r="Y952" t="s">
        <v>231</v>
      </c>
      <c r="AA952" t="s">
        <v>10974</v>
      </c>
      <c r="AB952" t="s">
        <v>333</v>
      </c>
      <c r="AD952" t="s">
        <v>11083</v>
      </c>
      <c r="AF952" t="s">
        <v>11118</v>
      </c>
      <c r="AH952" t="s">
        <v>10975</v>
      </c>
      <c r="AI952" t="s">
        <v>11126</v>
      </c>
      <c r="AK952" t="s">
        <v>7225</v>
      </c>
      <c r="AM952">
        <v>600</v>
      </c>
      <c r="AO952">
        <v>2</v>
      </c>
      <c r="AQ952" t="s">
        <v>11159</v>
      </c>
      <c r="AR952" t="s">
        <v>11172</v>
      </c>
      <c r="AU952">
        <v>25</v>
      </c>
      <c r="AW952" t="s">
        <v>11189</v>
      </c>
      <c r="AY952" t="s">
        <v>11213</v>
      </c>
      <c r="BA952" t="s">
        <v>11222</v>
      </c>
      <c r="BD952" t="s">
        <v>11667</v>
      </c>
      <c r="BG952" t="s">
        <v>14620</v>
      </c>
      <c r="BM952" t="s">
        <v>15650</v>
      </c>
    </row>
    <row r="953" spans="1:67">
      <c r="A953" s="1">
        <f>HYPERLINK("https://lsnyc.legalserver.org/matter/dynamic-profile/view/1909404","19-1909404")</f>
        <v>0</v>
      </c>
      <c r="B953" t="s">
        <v>108</v>
      </c>
      <c r="C953" t="s">
        <v>248</v>
      </c>
      <c r="D953" t="s">
        <v>270</v>
      </c>
      <c r="F953" t="s">
        <v>1595</v>
      </c>
      <c r="G953" t="s">
        <v>3227</v>
      </c>
      <c r="H953" t="s">
        <v>5148</v>
      </c>
      <c r="I953">
        <v>1</v>
      </c>
      <c r="J953" t="s">
        <v>7174</v>
      </c>
      <c r="K953">
        <v>11207</v>
      </c>
      <c r="N953" t="s">
        <v>7237</v>
      </c>
      <c r="O953" t="s">
        <v>7912</v>
      </c>
      <c r="P953">
        <v>3</v>
      </c>
      <c r="Q953">
        <v>2</v>
      </c>
      <c r="R953">
        <v>30.16</v>
      </c>
      <c r="U953">
        <v>9100</v>
      </c>
      <c r="W953">
        <v>4.4</v>
      </c>
      <c r="X953" t="s">
        <v>735</v>
      </c>
      <c r="Y953" t="s">
        <v>10915</v>
      </c>
      <c r="AA953" t="s">
        <v>10974</v>
      </c>
      <c r="AB953" t="s">
        <v>270</v>
      </c>
      <c r="AD953" t="s">
        <v>11082</v>
      </c>
      <c r="AF953" t="s">
        <v>11118</v>
      </c>
      <c r="AH953" t="s">
        <v>10975</v>
      </c>
      <c r="AJ953" t="s">
        <v>11146</v>
      </c>
      <c r="AK953" t="s">
        <v>7225</v>
      </c>
      <c r="AM953">
        <v>2000</v>
      </c>
      <c r="AO953">
        <v>3</v>
      </c>
      <c r="AP953" t="s">
        <v>11155</v>
      </c>
      <c r="AR953" t="s">
        <v>11172</v>
      </c>
      <c r="AT953" t="s">
        <v>11184</v>
      </c>
      <c r="AU953">
        <v>0</v>
      </c>
      <c r="AW953" t="s">
        <v>11187</v>
      </c>
      <c r="AY953" t="s">
        <v>11213</v>
      </c>
      <c r="BA953" t="s">
        <v>11223</v>
      </c>
      <c r="BB953" t="s">
        <v>11224</v>
      </c>
      <c r="BC953" t="s">
        <v>11316</v>
      </c>
      <c r="BE953" t="s">
        <v>12244</v>
      </c>
      <c r="BG953" t="s">
        <v>14621</v>
      </c>
      <c r="BM953" t="s">
        <v>15650</v>
      </c>
    </row>
    <row r="954" spans="1:67">
      <c r="A954" s="1">
        <f>HYPERLINK("https://lsnyc.legalserver.org/matter/dynamic-profile/view/1912608","19-1912608")</f>
        <v>0</v>
      </c>
      <c r="B954" t="s">
        <v>108</v>
      </c>
      <c r="C954" t="s">
        <v>248</v>
      </c>
      <c r="D954" t="s">
        <v>599</v>
      </c>
      <c r="F954" t="s">
        <v>1596</v>
      </c>
      <c r="G954" t="s">
        <v>3366</v>
      </c>
      <c r="H954" t="s">
        <v>5149</v>
      </c>
      <c r="I954" t="s">
        <v>6433</v>
      </c>
      <c r="J954" t="s">
        <v>7174</v>
      </c>
      <c r="K954">
        <v>11212</v>
      </c>
      <c r="N954" t="s">
        <v>7237</v>
      </c>
      <c r="O954" t="s">
        <v>7913</v>
      </c>
      <c r="P954">
        <v>1</v>
      </c>
      <c r="Q954">
        <v>0</v>
      </c>
      <c r="R954">
        <v>151.96</v>
      </c>
      <c r="U954">
        <v>18980</v>
      </c>
      <c r="W954">
        <v>0.5</v>
      </c>
      <c r="X954" t="s">
        <v>305</v>
      </c>
      <c r="Y954" t="s">
        <v>101</v>
      </c>
      <c r="Z954" t="s">
        <v>10972</v>
      </c>
      <c r="AA954" t="s">
        <v>10976</v>
      </c>
      <c r="AD954" t="s">
        <v>11086</v>
      </c>
      <c r="AF954" t="s">
        <v>11119</v>
      </c>
      <c r="AH954" t="s">
        <v>10975</v>
      </c>
      <c r="AJ954" t="s">
        <v>11130</v>
      </c>
      <c r="AK954" t="s">
        <v>7225</v>
      </c>
      <c r="AM954">
        <v>317</v>
      </c>
      <c r="AO954">
        <v>12</v>
      </c>
      <c r="AQ954" t="s">
        <v>11163</v>
      </c>
      <c r="AR954" t="s">
        <v>11172</v>
      </c>
      <c r="AU954">
        <v>2</v>
      </c>
      <c r="AW954" t="s">
        <v>11187</v>
      </c>
      <c r="AX954" t="s">
        <v>11212</v>
      </c>
      <c r="AZ954" t="s">
        <v>11221</v>
      </c>
      <c r="BE954" t="s">
        <v>12245</v>
      </c>
      <c r="BF954" t="s">
        <v>14364</v>
      </c>
      <c r="BG954" t="s">
        <v>11086</v>
      </c>
      <c r="BM954" t="s">
        <v>15650</v>
      </c>
    </row>
    <row r="955" spans="1:67">
      <c r="A955" s="1">
        <f>HYPERLINK("https://lsnyc.legalserver.org/matter/dynamic-profile/view/1909999","19-1909999")</f>
        <v>0</v>
      </c>
      <c r="B955" t="s">
        <v>108</v>
      </c>
      <c r="C955" t="s">
        <v>248</v>
      </c>
      <c r="D955" t="s">
        <v>624</v>
      </c>
      <c r="F955" t="s">
        <v>1597</v>
      </c>
      <c r="G955" t="s">
        <v>3367</v>
      </c>
      <c r="H955" t="s">
        <v>5150</v>
      </c>
      <c r="I955" t="s">
        <v>6658</v>
      </c>
      <c r="J955" t="s">
        <v>7174</v>
      </c>
      <c r="K955">
        <v>11207</v>
      </c>
      <c r="N955" t="s">
        <v>7237</v>
      </c>
      <c r="O955" t="s">
        <v>7914</v>
      </c>
      <c r="P955">
        <v>1</v>
      </c>
      <c r="Q955">
        <v>0</v>
      </c>
      <c r="R955">
        <v>320.26</v>
      </c>
      <c r="U955">
        <v>40000</v>
      </c>
      <c r="W955">
        <v>5.5</v>
      </c>
      <c r="X955" t="s">
        <v>436</v>
      </c>
      <c r="Y955" t="s">
        <v>101</v>
      </c>
      <c r="Z955" t="s">
        <v>10972</v>
      </c>
      <c r="AA955" t="s">
        <v>10976</v>
      </c>
      <c r="AB955" t="s">
        <v>341</v>
      </c>
      <c r="AD955" t="s">
        <v>11082</v>
      </c>
      <c r="AF955" t="s">
        <v>11118</v>
      </c>
      <c r="AH955" t="s">
        <v>10975</v>
      </c>
      <c r="AJ955" t="s">
        <v>11129</v>
      </c>
      <c r="AK955" t="s">
        <v>7225</v>
      </c>
      <c r="AM955">
        <v>584</v>
      </c>
      <c r="AO955">
        <v>16</v>
      </c>
      <c r="AQ955" t="s">
        <v>11157</v>
      </c>
      <c r="AS955" t="s">
        <v>11173</v>
      </c>
      <c r="AU955">
        <v>8</v>
      </c>
      <c r="AW955" t="s">
        <v>11187</v>
      </c>
      <c r="AZ955" t="s">
        <v>11221</v>
      </c>
      <c r="BC955" t="s">
        <v>11086</v>
      </c>
      <c r="BE955" t="s">
        <v>12246</v>
      </c>
      <c r="BG955" t="s">
        <v>14622</v>
      </c>
      <c r="BM955" t="s">
        <v>15650</v>
      </c>
    </row>
    <row r="956" spans="1:67">
      <c r="A956" s="1">
        <f>HYPERLINK("https://lsnyc.legalserver.org/matter/dynamic-profile/view/1909811","19-1909811")</f>
        <v>0</v>
      </c>
      <c r="B956" t="s">
        <v>108</v>
      </c>
      <c r="C956" t="s">
        <v>248</v>
      </c>
      <c r="D956" t="s">
        <v>627</v>
      </c>
      <c r="F956" t="s">
        <v>1598</v>
      </c>
      <c r="G956" t="s">
        <v>1412</v>
      </c>
      <c r="H956" t="s">
        <v>5146</v>
      </c>
      <c r="I956" t="s">
        <v>6430</v>
      </c>
      <c r="J956" t="s">
        <v>7174</v>
      </c>
      <c r="K956">
        <v>11233</v>
      </c>
      <c r="N956" t="s">
        <v>7237</v>
      </c>
      <c r="O956" t="s">
        <v>7915</v>
      </c>
      <c r="P956">
        <v>1</v>
      </c>
      <c r="Q956">
        <v>0</v>
      </c>
      <c r="R956">
        <v>13.63</v>
      </c>
      <c r="U956">
        <v>1703</v>
      </c>
      <c r="W956">
        <v>0.1</v>
      </c>
      <c r="X956" t="s">
        <v>536</v>
      </c>
      <c r="Y956" t="s">
        <v>225</v>
      </c>
      <c r="AA956" t="s">
        <v>10974</v>
      </c>
      <c r="AB956" t="s">
        <v>627</v>
      </c>
      <c r="AD956" t="s">
        <v>11082</v>
      </c>
      <c r="AF956" t="s">
        <v>11118</v>
      </c>
      <c r="AH956" t="s">
        <v>10975</v>
      </c>
      <c r="AJ956" t="s">
        <v>11131</v>
      </c>
      <c r="AK956" t="s">
        <v>7225</v>
      </c>
      <c r="AM956">
        <v>1515</v>
      </c>
      <c r="AO956">
        <v>6</v>
      </c>
      <c r="AQ956" t="s">
        <v>11157</v>
      </c>
      <c r="AS956" t="s">
        <v>11173</v>
      </c>
      <c r="AU956">
        <v>3</v>
      </c>
      <c r="AW956" t="s">
        <v>11187</v>
      </c>
      <c r="AY956" t="s">
        <v>11213</v>
      </c>
      <c r="BA956" t="s">
        <v>11222</v>
      </c>
      <c r="BB956" t="s">
        <v>11224</v>
      </c>
      <c r="BC956" t="s">
        <v>11317</v>
      </c>
      <c r="BE956" t="s">
        <v>12247</v>
      </c>
      <c r="BG956" t="s">
        <v>14619</v>
      </c>
      <c r="BM956" t="s">
        <v>15650</v>
      </c>
    </row>
    <row r="957" spans="1:67">
      <c r="A957" s="1">
        <f>HYPERLINK("https://lsnyc.legalserver.org/matter/dynamic-profile/view/1909560","19-1909560")</f>
        <v>0</v>
      </c>
      <c r="B957" t="s">
        <v>108</v>
      </c>
      <c r="C957" t="s">
        <v>248</v>
      </c>
      <c r="D957" t="s">
        <v>269</v>
      </c>
      <c r="F957" t="s">
        <v>1599</v>
      </c>
      <c r="G957" t="s">
        <v>3368</v>
      </c>
      <c r="H957" t="s">
        <v>5151</v>
      </c>
      <c r="I957" t="s">
        <v>6620</v>
      </c>
      <c r="J957" t="s">
        <v>7174</v>
      </c>
      <c r="K957">
        <v>11212</v>
      </c>
      <c r="N957" t="s">
        <v>7237</v>
      </c>
      <c r="O957" t="s">
        <v>7916</v>
      </c>
      <c r="P957">
        <v>1</v>
      </c>
      <c r="Q957">
        <v>4</v>
      </c>
      <c r="R957">
        <v>49.11</v>
      </c>
      <c r="U957">
        <v>14816</v>
      </c>
      <c r="W957">
        <v>11.5</v>
      </c>
      <c r="X957" t="s">
        <v>293</v>
      </c>
      <c r="Y957" t="s">
        <v>225</v>
      </c>
      <c r="AA957" t="s">
        <v>10974</v>
      </c>
      <c r="AB957" t="s">
        <v>384</v>
      </c>
      <c r="AD957" t="s">
        <v>11083</v>
      </c>
      <c r="AF957" t="s">
        <v>11118</v>
      </c>
      <c r="AH957" t="s">
        <v>10975</v>
      </c>
      <c r="AJ957" t="s">
        <v>11130</v>
      </c>
      <c r="AK957" t="s">
        <v>7225</v>
      </c>
      <c r="AM957">
        <v>693</v>
      </c>
      <c r="AO957">
        <v>80</v>
      </c>
      <c r="AQ957" t="s">
        <v>11164</v>
      </c>
      <c r="AS957" t="s">
        <v>11180</v>
      </c>
      <c r="AU957">
        <v>10</v>
      </c>
      <c r="AW957" t="s">
        <v>11187</v>
      </c>
      <c r="AY957" t="s">
        <v>11213</v>
      </c>
      <c r="BA957" t="s">
        <v>11222</v>
      </c>
      <c r="BB957" t="s">
        <v>11224</v>
      </c>
      <c r="BC957" t="s">
        <v>11318</v>
      </c>
      <c r="BE957" t="s">
        <v>12248</v>
      </c>
      <c r="BG957" t="s">
        <v>14623</v>
      </c>
      <c r="BM957" t="s">
        <v>15650</v>
      </c>
    </row>
    <row r="958" spans="1:67">
      <c r="A958" s="1">
        <f>HYPERLINK("https://lsnyc.legalserver.org/matter/dynamic-profile/view/1907517","19-1907517")</f>
        <v>0</v>
      </c>
      <c r="B958" t="s">
        <v>108</v>
      </c>
      <c r="C958" t="s">
        <v>248</v>
      </c>
      <c r="D958" t="s">
        <v>362</v>
      </c>
      <c r="E958" t="s">
        <v>536</v>
      </c>
      <c r="F958" t="s">
        <v>1600</v>
      </c>
      <c r="G958" t="s">
        <v>3369</v>
      </c>
      <c r="H958" t="s">
        <v>4798</v>
      </c>
      <c r="I958" t="s">
        <v>6659</v>
      </c>
      <c r="J958" t="s">
        <v>7174</v>
      </c>
      <c r="K958">
        <v>11233</v>
      </c>
      <c r="L958" t="s">
        <v>7221</v>
      </c>
      <c r="N958" t="s">
        <v>7237</v>
      </c>
      <c r="O958" t="s">
        <v>7330</v>
      </c>
      <c r="P958">
        <v>3</v>
      </c>
      <c r="Q958">
        <v>0</v>
      </c>
      <c r="R958">
        <v>0</v>
      </c>
      <c r="U958">
        <v>0</v>
      </c>
      <c r="W958">
        <v>18.5</v>
      </c>
      <c r="X958" t="s">
        <v>626</v>
      </c>
      <c r="Y958" t="s">
        <v>101</v>
      </c>
      <c r="AA958" t="s">
        <v>10974</v>
      </c>
      <c r="AB958" t="s">
        <v>362</v>
      </c>
      <c r="AD958" t="s">
        <v>11082</v>
      </c>
      <c r="AF958" t="s">
        <v>11118</v>
      </c>
      <c r="AH958" t="s">
        <v>10975</v>
      </c>
      <c r="AJ958" t="s">
        <v>11104</v>
      </c>
      <c r="AK958" t="s">
        <v>7225</v>
      </c>
      <c r="AM958">
        <v>997.45</v>
      </c>
      <c r="AO958">
        <v>359</v>
      </c>
      <c r="AQ958" t="s">
        <v>11157</v>
      </c>
      <c r="AS958" t="s">
        <v>11173</v>
      </c>
      <c r="AU958">
        <v>9</v>
      </c>
      <c r="AW958" t="s">
        <v>11187</v>
      </c>
      <c r="AY958" t="s">
        <v>11213</v>
      </c>
      <c r="BA958" t="s">
        <v>11222</v>
      </c>
      <c r="BB958" t="s">
        <v>11224</v>
      </c>
      <c r="BC958" t="s">
        <v>11319</v>
      </c>
      <c r="BD958" t="s">
        <v>11667</v>
      </c>
      <c r="BG958" t="s">
        <v>14624</v>
      </c>
      <c r="BH958" t="s">
        <v>15605</v>
      </c>
      <c r="BJ958" t="s">
        <v>15615</v>
      </c>
      <c r="BM958" t="s">
        <v>15651</v>
      </c>
      <c r="BN958" t="s">
        <v>15652</v>
      </c>
      <c r="BO958" t="s">
        <v>15673</v>
      </c>
    </row>
    <row r="959" spans="1:67">
      <c r="A959" s="1">
        <f>HYPERLINK("https://lsnyc.legalserver.org/matter/dynamic-profile/view/1913481","19-1913481")</f>
        <v>0</v>
      </c>
      <c r="B959" t="s">
        <v>108</v>
      </c>
      <c r="C959" t="s">
        <v>248</v>
      </c>
      <c r="D959" t="s">
        <v>536</v>
      </c>
      <c r="F959" t="s">
        <v>1601</v>
      </c>
      <c r="G959" t="s">
        <v>3333</v>
      </c>
      <c r="H959" t="s">
        <v>5152</v>
      </c>
      <c r="I959" t="s">
        <v>6420</v>
      </c>
      <c r="J959" t="s">
        <v>7174</v>
      </c>
      <c r="K959">
        <v>11212</v>
      </c>
      <c r="N959" t="s">
        <v>7237</v>
      </c>
      <c r="O959" t="s">
        <v>7917</v>
      </c>
      <c r="P959">
        <v>1</v>
      </c>
      <c r="Q959">
        <v>5</v>
      </c>
      <c r="R959">
        <v>2.89</v>
      </c>
      <c r="U959">
        <v>1000</v>
      </c>
      <c r="W959">
        <v>0.2</v>
      </c>
      <c r="X959" t="s">
        <v>293</v>
      </c>
      <c r="Y959" t="s">
        <v>101</v>
      </c>
      <c r="Z959" t="s">
        <v>10972</v>
      </c>
      <c r="AA959" t="s">
        <v>10976</v>
      </c>
      <c r="AD959" t="s">
        <v>11083</v>
      </c>
      <c r="AF959" t="s">
        <v>11121</v>
      </c>
      <c r="AH959" t="s">
        <v>10975</v>
      </c>
      <c r="AJ959" t="s">
        <v>11129</v>
      </c>
      <c r="AK959" t="s">
        <v>7225</v>
      </c>
      <c r="AM959">
        <v>1984.35</v>
      </c>
      <c r="AO959">
        <v>4</v>
      </c>
      <c r="AQ959" t="s">
        <v>11156</v>
      </c>
      <c r="AS959" t="s">
        <v>11180</v>
      </c>
      <c r="AU959">
        <v>3</v>
      </c>
      <c r="AW959" t="s">
        <v>11187</v>
      </c>
      <c r="AY959" t="s">
        <v>11213</v>
      </c>
      <c r="AZ959" t="s">
        <v>11221</v>
      </c>
      <c r="BE959" t="s">
        <v>12249</v>
      </c>
      <c r="BG959" t="s">
        <v>14625</v>
      </c>
      <c r="BM959" t="s">
        <v>15650</v>
      </c>
    </row>
    <row r="960" spans="1:67">
      <c r="A960" s="1">
        <f>HYPERLINK("https://lsnyc.legalserver.org/matter/dynamic-profile/view/1914727","19-1914727")</f>
        <v>0</v>
      </c>
      <c r="B960" t="s">
        <v>108</v>
      </c>
      <c r="C960" t="s">
        <v>248</v>
      </c>
      <c r="D960" t="s">
        <v>614</v>
      </c>
      <c r="E960" t="s">
        <v>436</v>
      </c>
      <c r="F960" t="s">
        <v>1602</v>
      </c>
      <c r="G960" t="s">
        <v>2101</v>
      </c>
      <c r="H960" t="s">
        <v>5153</v>
      </c>
      <c r="I960" t="s">
        <v>6408</v>
      </c>
      <c r="J960" t="s">
        <v>7174</v>
      </c>
      <c r="K960">
        <v>11207</v>
      </c>
      <c r="L960" t="s">
        <v>7216</v>
      </c>
      <c r="N960" t="s">
        <v>7237</v>
      </c>
      <c r="O960" t="s">
        <v>7918</v>
      </c>
      <c r="P960">
        <v>1</v>
      </c>
      <c r="Q960">
        <v>0</v>
      </c>
      <c r="R960">
        <v>100.88</v>
      </c>
      <c r="U960">
        <v>12600</v>
      </c>
      <c r="W960">
        <v>0.5</v>
      </c>
      <c r="X960" t="s">
        <v>614</v>
      </c>
      <c r="Y960" t="s">
        <v>10884</v>
      </c>
      <c r="Z960" t="s">
        <v>10972</v>
      </c>
      <c r="AA960" t="s">
        <v>10976</v>
      </c>
      <c r="AD960" t="s">
        <v>11083</v>
      </c>
      <c r="AE960" t="s">
        <v>11117</v>
      </c>
      <c r="AG960" t="s">
        <v>11124</v>
      </c>
      <c r="AJ960" t="s">
        <v>11129</v>
      </c>
      <c r="AK960" t="s">
        <v>7225</v>
      </c>
      <c r="AM960">
        <v>1560</v>
      </c>
      <c r="AO960">
        <v>4</v>
      </c>
      <c r="AQ960" t="s">
        <v>11164</v>
      </c>
      <c r="AS960" t="s">
        <v>11174</v>
      </c>
      <c r="AU960">
        <v>1</v>
      </c>
      <c r="AW960" t="s">
        <v>11187</v>
      </c>
      <c r="AX960" t="s">
        <v>11212</v>
      </c>
      <c r="AZ960" t="s">
        <v>11221</v>
      </c>
      <c r="BE960" t="s">
        <v>12250</v>
      </c>
      <c r="BG960" t="s">
        <v>14626</v>
      </c>
      <c r="BM960" t="s">
        <v>15651</v>
      </c>
    </row>
    <row r="961" spans="1:65">
      <c r="A961" s="1">
        <f>HYPERLINK("https://lsnyc.legalserver.org/matter/dynamic-profile/view/1915169","19-1915169")</f>
        <v>0</v>
      </c>
      <c r="B961" t="s">
        <v>108</v>
      </c>
      <c r="C961" t="s">
        <v>248</v>
      </c>
      <c r="D961" t="s">
        <v>449</v>
      </c>
      <c r="F961" t="s">
        <v>1603</v>
      </c>
      <c r="G961" t="s">
        <v>3370</v>
      </c>
      <c r="H961" t="s">
        <v>5154</v>
      </c>
      <c r="I961" t="s">
        <v>6430</v>
      </c>
      <c r="J961" t="s">
        <v>7174</v>
      </c>
      <c r="K961">
        <v>11233</v>
      </c>
      <c r="N961" t="s">
        <v>7237</v>
      </c>
      <c r="O961" t="s">
        <v>7919</v>
      </c>
      <c r="P961">
        <v>4</v>
      </c>
      <c r="Q961">
        <v>1</v>
      </c>
      <c r="R961">
        <v>248.88</v>
      </c>
      <c r="U961">
        <v>75088</v>
      </c>
      <c r="V961" t="s">
        <v>10358</v>
      </c>
      <c r="W961">
        <v>0</v>
      </c>
      <c r="Y961" t="s">
        <v>225</v>
      </c>
      <c r="Z961" t="s">
        <v>10972</v>
      </c>
      <c r="AA961" t="s">
        <v>10975</v>
      </c>
      <c r="AD961" t="s">
        <v>11082</v>
      </c>
      <c r="AE961" t="s">
        <v>11117</v>
      </c>
      <c r="AH961" t="s">
        <v>10975</v>
      </c>
      <c r="AJ961" t="s">
        <v>11148</v>
      </c>
      <c r="AK961" t="s">
        <v>7225</v>
      </c>
      <c r="AM961">
        <v>996</v>
      </c>
      <c r="AO961">
        <v>6</v>
      </c>
      <c r="AQ961" t="s">
        <v>11157</v>
      </c>
      <c r="AS961" t="s">
        <v>11173</v>
      </c>
      <c r="AU961">
        <v>14</v>
      </c>
      <c r="AW961" t="s">
        <v>11187</v>
      </c>
      <c r="AY961" t="s">
        <v>11213</v>
      </c>
      <c r="AZ961" t="s">
        <v>11221</v>
      </c>
      <c r="BA961" t="s">
        <v>11173</v>
      </c>
      <c r="BC961" t="s">
        <v>11228</v>
      </c>
      <c r="BE961" t="s">
        <v>12251</v>
      </c>
      <c r="BG961" t="s">
        <v>14627</v>
      </c>
      <c r="BM961" t="s">
        <v>15650</v>
      </c>
    </row>
    <row r="962" spans="1:65">
      <c r="A962" s="1">
        <f>HYPERLINK("https://lsnyc.legalserver.org/matter/dynamic-profile/view/1914113","19-1914113")</f>
        <v>0</v>
      </c>
      <c r="B962" t="s">
        <v>108</v>
      </c>
      <c r="C962" t="s">
        <v>248</v>
      </c>
      <c r="D962" t="s">
        <v>301</v>
      </c>
      <c r="F962" t="s">
        <v>1464</v>
      </c>
      <c r="G962" t="s">
        <v>3371</v>
      </c>
      <c r="H962" t="s">
        <v>5155</v>
      </c>
      <c r="I962" t="s">
        <v>6607</v>
      </c>
      <c r="J962" t="s">
        <v>7174</v>
      </c>
      <c r="K962">
        <v>11239</v>
      </c>
      <c r="N962" t="s">
        <v>7237</v>
      </c>
      <c r="O962" t="s">
        <v>7920</v>
      </c>
      <c r="P962">
        <v>1</v>
      </c>
      <c r="Q962">
        <v>0</v>
      </c>
      <c r="R962">
        <v>144.12</v>
      </c>
      <c r="U962">
        <v>18000</v>
      </c>
      <c r="V962" t="s">
        <v>10359</v>
      </c>
      <c r="W962">
        <v>0</v>
      </c>
      <c r="Y962" t="s">
        <v>101</v>
      </c>
      <c r="AA962" t="s">
        <v>10974</v>
      </c>
      <c r="AB962" t="s">
        <v>536</v>
      </c>
      <c r="AD962" t="s">
        <v>11085</v>
      </c>
      <c r="AF962" t="s">
        <v>11118</v>
      </c>
      <c r="AH962" t="s">
        <v>10975</v>
      </c>
      <c r="AJ962" t="s">
        <v>11140</v>
      </c>
      <c r="AK962" t="s">
        <v>7225</v>
      </c>
      <c r="AM962">
        <v>434</v>
      </c>
      <c r="AO962">
        <v>132</v>
      </c>
      <c r="AQ962" t="s">
        <v>11162</v>
      </c>
      <c r="AS962" t="s">
        <v>11104</v>
      </c>
      <c r="AU962">
        <v>4</v>
      </c>
      <c r="AW962" t="s">
        <v>11187</v>
      </c>
      <c r="AY962" t="s">
        <v>11213</v>
      </c>
      <c r="BA962" t="s">
        <v>11222</v>
      </c>
      <c r="BC962" t="s">
        <v>11173</v>
      </c>
      <c r="BE962" t="s">
        <v>12252</v>
      </c>
      <c r="BF962" t="s">
        <v>14364</v>
      </c>
      <c r="BM962" t="s">
        <v>15650</v>
      </c>
    </row>
    <row r="963" spans="1:65">
      <c r="A963" s="1">
        <f>HYPERLINK("https://lsnyc.legalserver.org/matter/dynamic-profile/view/1913985","19-1913985")</f>
        <v>0</v>
      </c>
      <c r="B963" t="s">
        <v>108</v>
      </c>
      <c r="C963" t="s">
        <v>248</v>
      </c>
      <c r="D963" t="s">
        <v>333</v>
      </c>
      <c r="F963" t="s">
        <v>1604</v>
      </c>
      <c r="G963" t="s">
        <v>3372</v>
      </c>
      <c r="H963" t="s">
        <v>5156</v>
      </c>
      <c r="I963" t="s">
        <v>6424</v>
      </c>
      <c r="J963" t="s">
        <v>7174</v>
      </c>
      <c r="K963">
        <v>11212</v>
      </c>
      <c r="N963" t="s">
        <v>7237</v>
      </c>
      <c r="O963" t="s">
        <v>7921</v>
      </c>
      <c r="P963">
        <v>1</v>
      </c>
      <c r="Q963">
        <v>0</v>
      </c>
      <c r="R963">
        <v>71.95999999999999</v>
      </c>
      <c r="U963">
        <v>8988</v>
      </c>
      <c r="W963">
        <v>0</v>
      </c>
      <c r="Y963" t="s">
        <v>225</v>
      </c>
      <c r="Z963" t="s">
        <v>10972</v>
      </c>
      <c r="AA963" t="s">
        <v>10975</v>
      </c>
      <c r="AD963" t="s">
        <v>11082</v>
      </c>
      <c r="AE963" t="s">
        <v>11117</v>
      </c>
      <c r="AH963" t="s">
        <v>10975</v>
      </c>
      <c r="AJ963" t="s">
        <v>11129</v>
      </c>
      <c r="AK963" t="s">
        <v>7225</v>
      </c>
      <c r="AM963">
        <v>1577</v>
      </c>
      <c r="AO963">
        <v>6</v>
      </c>
      <c r="AQ963" t="s">
        <v>11157</v>
      </c>
      <c r="AS963" t="s">
        <v>11104</v>
      </c>
      <c r="AU963">
        <v>20</v>
      </c>
      <c r="AW963" t="s">
        <v>11187</v>
      </c>
      <c r="AY963" t="s">
        <v>11213</v>
      </c>
      <c r="AZ963" t="s">
        <v>11221</v>
      </c>
      <c r="BA963" t="s">
        <v>11173</v>
      </c>
      <c r="BC963" t="s">
        <v>11320</v>
      </c>
      <c r="BE963" t="s">
        <v>12253</v>
      </c>
      <c r="BG963" t="s">
        <v>14628</v>
      </c>
      <c r="BM963" t="s">
        <v>15650</v>
      </c>
    </row>
    <row r="964" spans="1:65">
      <c r="A964" s="1">
        <f>HYPERLINK("https://lsnyc.legalserver.org/matter/dynamic-profile/view/1873125","18-1873125")</f>
        <v>0</v>
      </c>
      <c r="B964" t="s">
        <v>108</v>
      </c>
      <c r="C964" t="s">
        <v>248</v>
      </c>
      <c r="D964" t="s">
        <v>628</v>
      </c>
      <c r="F964" t="s">
        <v>1605</v>
      </c>
      <c r="G964" t="s">
        <v>1187</v>
      </c>
      <c r="H964" t="s">
        <v>5157</v>
      </c>
      <c r="I964" t="s">
        <v>6584</v>
      </c>
      <c r="J964" t="s">
        <v>7174</v>
      </c>
      <c r="K964">
        <v>11233</v>
      </c>
      <c r="N964" t="s">
        <v>7237</v>
      </c>
      <c r="O964" t="s">
        <v>7922</v>
      </c>
      <c r="P964">
        <v>1</v>
      </c>
      <c r="Q964">
        <v>1</v>
      </c>
      <c r="R964">
        <v>243.01</v>
      </c>
      <c r="S964" t="s">
        <v>605</v>
      </c>
      <c r="T964" t="s">
        <v>10276</v>
      </c>
      <c r="U964">
        <v>40000</v>
      </c>
      <c r="W964">
        <v>50.8</v>
      </c>
      <c r="X964" t="s">
        <v>362</v>
      </c>
      <c r="Y964" t="s">
        <v>225</v>
      </c>
      <c r="AA964" t="s">
        <v>10974</v>
      </c>
      <c r="AB964" t="s">
        <v>991</v>
      </c>
      <c r="AD964" t="s">
        <v>11083</v>
      </c>
      <c r="AF964" t="s">
        <v>11118</v>
      </c>
      <c r="AH964" t="s">
        <v>10975</v>
      </c>
      <c r="AJ964" t="s">
        <v>11130</v>
      </c>
      <c r="AK964" t="s">
        <v>7225</v>
      </c>
      <c r="AM964">
        <v>1029.2</v>
      </c>
      <c r="AO964">
        <v>151</v>
      </c>
      <c r="AQ964" t="s">
        <v>11157</v>
      </c>
      <c r="AS964" t="s">
        <v>11173</v>
      </c>
      <c r="AU964">
        <v>10</v>
      </c>
      <c r="AW964" t="s">
        <v>11187</v>
      </c>
      <c r="AZ964" t="s">
        <v>11221</v>
      </c>
      <c r="BE964" t="s">
        <v>12254</v>
      </c>
      <c r="BG964" t="s">
        <v>14629</v>
      </c>
      <c r="BM964" t="s">
        <v>15650</v>
      </c>
    </row>
    <row r="965" spans="1:65">
      <c r="A965" s="1">
        <f>HYPERLINK("https://lsnyc.legalserver.org/matter/dynamic-profile/view/1914357","19-1914357")</f>
        <v>0</v>
      </c>
      <c r="B965" t="s">
        <v>108</v>
      </c>
      <c r="C965" t="s">
        <v>248</v>
      </c>
      <c r="D965" t="s">
        <v>497</v>
      </c>
      <c r="F965" t="s">
        <v>1606</v>
      </c>
      <c r="G965" t="s">
        <v>3337</v>
      </c>
      <c r="H965" t="s">
        <v>5158</v>
      </c>
      <c r="I965" t="s">
        <v>6660</v>
      </c>
      <c r="J965" t="s">
        <v>7174</v>
      </c>
      <c r="K965">
        <v>11233</v>
      </c>
      <c r="N965" t="s">
        <v>7237</v>
      </c>
      <c r="O965" t="s">
        <v>7923</v>
      </c>
      <c r="P965">
        <v>1</v>
      </c>
      <c r="Q965">
        <v>2</v>
      </c>
      <c r="R965">
        <v>181.31</v>
      </c>
      <c r="U965">
        <v>38674</v>
      </c>
      <c r="W965">
        <v>0</v>
      </c>
      <c r="Y965" t="s">
        <v>101</v>
      </c>
      <c r="Z965" t="s">
        <v>10972</v>
      </c>
      <c r="AA965" t="s">
        <v>10976</v>
      </c>
      <c r="AD965" t="s">
        <v>11082</v>
      </c>
      <c r="AF965" t="s">
        <v>11121</v>
      </c>
      <c r="AH965" t="s">
        <v>10975</v>
      </c>
      <c r="AJ965" t="s">
        <v>11129</v>
      </c>
      <c r="AK965" t="s">
        <v>7225</v>
      </c>
      <c r="AM965">
        <v>1542</v>
      </c>
      <c r="AO965">
        <v>287</v>
      </c>
      <c r="AQ965" t="s">
        <v>11157</v>
      </c>
      <c r="AS965" t="s">
        <v>11174</v>
      </c>
      <c r="AU965">
        <v>11</v>
      </c>
      <c r="AW965" t="s">
        <v>11187</v>
      </c>
      <c r="AX965" t="s">
        <v>11212</v>
      </c>
      <c r="AZ965" t="s">
        <v>11221</v>
      </c>
      <c r="BB965" t="s">
        <v>11224</v>
      </c>
      <c r="BC965" t="s">
        <v>11321</v>
      </c>
      <c r="BE965" t="s">
        <v>12255</v>
      </c>
      <c r="BG965" t="s">
        <v>14630</v>
      </c>
      <c r="BM965" t="s">
        <v>15650</v>
      </c>
    </row>
    <row r="966" spans="1:65">
      <c r="A966" s="1">
        <f>HYPERLINK("https://lsnyc.legalserver.org/matter/dynamic-profile/view/1902260","19-1902260")</f>
        <v>0</v>
      </c>
      <c r="B966" t="s">
        <v>108</v>
      </c>
      <c r="C966" t="s">
        <v>248</v>
      </c>
      <c r="D966" t="s">
        <v>629</v>
      </c>
      <c r="F966" t="s">
        <v>1607</v>
      </c>
      <c r="G966" t="s">
        <v>3174</v>
      </c>
      <c r="H966" t="s">
        <v>5159</v>
      </c>
      <c r="I966" t="s">
        <v>6661</v>
      </c>
      <c r="J966" t="s">
        <v>7174</v>
      </c>
      <c r="K966">
        <v>11233</v>
      </c>
      <c r="N966" t="s">
        <v>7237</v>
      </c>
      <c r="O966" t="s">
        <v>7924</v>
      </c>
      <c r="P966">
        <v>1</v>
      </c>
      <c r="Q966">
        <v>0</v>
      </c>
      <c r="R966">
        <v>192.15</v>
      </c>
      <c r="U966">
        <v>24000</v>
      </c>
      <c r="W966">
        <v>0.2</v>
      </c>
      <c r="X966" t="s">
        <v>896</v>
      </c>
      <c r="Y966" t="s">
        <v>225</v>
      </c>
      <c r="Z966" t="s">
        <v>10973</v>
      </c>
      <c r="AA966" t="s">
        <v>10975</v>
      </c>
      <c r="AB966" t="s">
        <v>874</v>
      </c>
      <c r="AD966" t="s">
        <v>11083</v>
      </c>
      <c r="AF966" t="s">
        <v>11118</v>
      </c>
      <c r="AH966" t="s">
        <v>10975</v>
      </c>
      <c r="AJ966" t="s">
        <v>11134</v>
      </c>
      <c r="AK966" t="s">
        <v>7225</v>
      </c>
      <c r="AM966">
        <v>600</v>
      </c>
      <c r="AO966">
        <v>6</v>
      </c>
      <c r="AQ966" t="s">
        <v>11157</v>
      </c>
      <c r="AS966" t="s">
        <v>11173</v>
      </c>
      <c r="AU966">
        <v>4</v>
      </c>
      <c r="AW966" t="s">
        <v>11187</v>
      </c>
      <c r="AY966" t="s">
        <v>11213</v>
      </c>
      <c r="AZ966" t="s">
        <v>11221</v>
      </c>
      <c r="BA966" t="s">
        <v>11173</v>
      </c>
      <c r="BC966" t="s">
        <v>11173</v>
      </c>
      <c r="BE966" t="s">
        <v>12256</v>
      </c>
      <c r="BG966" t="s">
        <v>14631</v>
      </c>
      <c r="BM966" t="s">
        <v>15650</v>
      </c>
    </row>
    <row r="967" spans="1:65">
      <c r="A967" s="1">
        <f>HYPERLINK("https://lsnyc.legalserver.org/matter/dynamic-profile/view/1847656","17-1847656")</f>
        <v>0</v>
      </c>
      <c r="B967" t="s">
        <v>108</v>
      </c>
      <c r="C967" t="s">
        <v>248</v>
      </c>
      <c r="D967" t="s">
        <v>630</v>
      </c>
      <c r="F967" t="s">
        <v>1608</v>
      </c>
      <c r="G967" t="s">
        <v>2998</v>
      </c>
      <c r="H967" t="s">
        <v>5160</v>
      </c>
      <c r="I967" t="s">
        <v>6430</v>
      </c>
      <c r="J967" t="s">
        <v>7174</v>
      </c>
      <c r="K967">
        <v>11237</v>
      </c>
      <c r="N967" t="s">
        <v>7237</v>
      </c>
      <c r="O967" t="s">
        <v>7925</v>
      </c>
      <c r="P967">
        <v>1</v>
      </c>
      <c r="Q967">
        <v>0</v>
      </c>
      <c r="R967">
        <v>18.21</v>
      </c>
      <c r="U967">
        <v>2196</v>
      </c>
      <c r="W967">
        <v>86.16</v>
      </c>
      <c r="X967" t="s">
        <v>735</v>
      </c>
      <c r="Y967" t="s">
        <v>10876</v>
      </c>
      <c r="AA967" t="s">
        <v>10974</v>
      </c>
      <c r="AB967" t="s">
        <v>873</v>
      </c>
      <c r="AD967" t="s">
        <v>11083</v>
      </c>
      <c r="AF967" t="s">
        <v>11118</v>
      </c>
      <c r="AH967" t="s">
        <v>10975</v>
      </c>
      <c r="AJ967" t="s">
        <v>11104</v>
      </c>
      <c r="AK967" t="s">
        <v>7225</v>
      </c>
      <c r="AM967">
        <v>576</v>
      </c>
      <c r="AO967">
        <v>6</v>
      </c>
      <c r="AQ967" t="s">
        <v>11157</v>
      </c>
      <c r="AS967" t="s">
        <v>11173</v>
      </c>
      <c r="AU967">
        <v>30</v>
      </c>
      <c r="AW967" t="s">
        <v>11187</v>
      </c>
      <c r="AZ967" t="s">
        <v>11221</v>
      </c>
      <c r="BB967" t="s">
        <v>11224</v>
      </c>
      <c r="BC967" t="s">
        <v>11322</v>
      </c>
      <c r="BE967" t="s">
        <v>12257</v>
      </c>
      <c r="BG967" t="s">
        <v>14632</v>
      </c>
      <c r="BM967" t="s">
        <v>15650</v>
      </c>
    </row>
    <row r="968" spans="1:65">
      <c r="A968" s="1">
        <f>HYPERLINK("https://lsnyc.legalserver.org/matter/dynamic-profile/view/1915132","19-1915132")</f>
        <v>0</v>
      </c>
      <c r="B968" t="s">
        <v>108</v>
      </c>
      <c r="C968" t="s">
        <v>248</v>
      </c>
      <c r="D968" t="s">
        <v>449</v>
      </c>
      <c r="F968" t="s">
        <v>1394</v>
      </c>
      <c r="G968" t="s">
        <v>3126</v>
      </c>
      <c r="H968" t="s">
        <v>5161</v>
      </c>
      <c r="I968" t="s">
        <v>6466</v>
      </c>
      <c r="J968" t="s">
        <v>7174</v>
      </c>
      <c r="K968">
        <v>11212</v>
      </c>
      <c r="N968" t="s">
        <v>7237</v>
      </c>
      <c r="O968" t="s">
        <v>7926</v>
      </c>
      <c r="P968">
        <v>1</v>
      </c>
      <c r="Q968">
        <v>0</v>
      </c>
      <c r="R968">
        <v>289.19</v>
      </c>
      <c r="U968">
        <v>36120</v>
      </c>
      <c r="W968">
        <v>0</v>
      </c>
      <c r="Y968" t="s">
        <v>225</v>
      </c>
      <c r="Z968" t="s">
        <v>10972</v>
      </c>
      <c r="AA968" t="s">
        <v>10975</v>
      </c>
      <c r="AD968" t="s">
        <v>11082</v>
      </c>
      <c r="AE968" t="s">
        <v>11117</v>
      </c>
      <c r="AH968" t="s">
        <v>10975</v>
      </c>
      <c r="AJ968" t="s">
        <v>11129</v>
      </c>
      <c r="AK968" t="s">
        <v>7225</v>
      </c>
      <c r="AM968">
        <v>1225</v>
      </c>
      <c r="AO968">
        <v>32</v>
      </c>
      <c r="AQ968" t="s">
        <v>11157</v>
      </c>
      <c r="AS968" t="s">
        <v>11173</v>
      </c>
      <c r="AU968">
        <v>9</v>
      </c>
      <c r="AW968" t="s">
        <v>11187</v>
      </c>
      <c r="AY968" t="s">
        <v>11213</v>
      </c>
      <c r="AZ968" t="s">
        <v>11221</v>
      </c>
      <c r="BA968" t="s">
        <v>11173</v>
      </c>
      <c r="BC968" t="s">
        <v>11228</v>
      </c>
      <c r="BE968" t="s">
        <v>12258</v>
      </c>
      <c r="BF968" t="s">
        <v>14364</v>
      </c>
      <c r="BG968" t="s">
        <v>14633</v>
      </c>
      <c r="BM968" t="s">
        <v>15650</v>
      </c>
    </row>
    <row r="969" spans="1:65">
      <c r="A969" s="1">
        <f>HYPERLINK("https://lsnyc.legalserver.org/matter/dynamic-profile/view/1915130","19-1915130")</f>
        <v>0</v>
      </c>
      <c r="B969" t="s">
        <v>108</v>
      </c>
      <c r="C969" t="s">
        <v>248</v>
      </c>
      <c r="D969" t="s">
        <v>449</v>
      </c>
      <c r="F969" t="s">
        <v>1609</v>
      </c>
      <c r="G969" t="s">
        <v>3373</v>
      </c>
      <c r="H969" t="s">
        <v>5162</v>
      </c>
      <c r="I969" t="s">
        <v>6613</v>
      </c>
      <c r="J969" t="s">
        <v>7174</v>
      </c>
      <c r="K969">
        <v>11233</v>
      </c>
      <c r="N969" t="s">
        <v>7237</v>
      </c>
      <c r="O969" t="s">
        <v>7927</v>
      </c>
      <c r="P969">
        <v>1</v>
      </c>
      <c r="Q969">
        <v>0</v>
      </c>
      <c r="R969">
        <v>15.61</v>
      </c>
      <c r="U969">
        <v>1950</v>
      </c>
      <c r="W969">
        <v>0</v>
      </c>
      <c r="Y969" t="s">
        <v>101</v>
      </c>
      <c r="AA969" t="s">
        <v>10974</v>
      </c>
      <c r="AB969" t="s">
        <v>264</v>
      </c>
      <c r="AD969" t="s">
        <v>11082</v>
      </c>
      <c r="AF969" t="s">
        <v>11121</v>
      </c>
      <c r="AH969" t="s">
        <v>10975</v>
      </c>
      <c r="AI969" t="s">
        <v>11126</v>
      </c>
      <c r="AK969" t="s">
        <v>7225</v>
      </c>
      <c r="AM969">
        <v>1175.29</v>
      </c>
      <c r="AO969">
        <v>24</v>
      </c>
      <c r="AQ969" t="s">
        <v>11157</v>
      </c>
      <c r="AS969" t="s">
        <v>11173</v>
      </c>
      <c r="AU969">
        <v>6</v>
      </c>
      <c r="AW969" t="s">
        <v>11187</v>
      </c>
      <c r="BA969" t="s">
        <v>11222</v>
      </c>
      <c r="BC969" t="s">
        <v>11323</v>
      </c>
      <c r="BE969" t="s">
        <v>12259</v>
      </c>
      <c r="BG969" t="s">
        <v>14634</v>
      </c>
      <c r="BM969" t="s">
        <v>15650</v>
      </c>
    </row>
    <row r="970" spans="1:65">
      <c r="A970" s="1">
        <f>HYPERLINK("https://lsnyc.legalserver.org/matter/dynamic-profile/view/1881736","18-1881736")</f>
        <v>0</v>
      </c>
      <c r="B970" t="s">
        <v>108</v>
      </c>
      <c r="C970" t="s">
        <v>248</v>
      </c>
      <c r="D970" t="s">
        <v>553</v>
      </c>
      <c r="F970" t="s">
        <v>1610</v>
      </c>
      <c r="G970" t="s">
        <v>3374</v>
      </c>
      <c r="H970" t="s">
        <v>5163</v>
      </c>
      <c r="I970">
        <v>21</v>
      </c>
      <c r="J970" t="s">
        <v>7174</v>
      </c>
      <c r="K970">
        <v>11212</v>
      </c>
      <c r="N970" t="s">
        <v>7237</v>
      </c>
      <c r="O970" t="s">
        <v>7928</v>
      </c>
      <c r="P970">
        <v>1</v>
      </c>
      <c r="Q970">
        <v>0</v>
      </c>
      <c r="R970">
        <v>42.83</v>
      </c>
      <c r="U970">
        <v>5200</v>
      </c>
      <c r="W970">
        <v>37.4</v>
      </c>
      <c r="X970" t="s">
        <v>389</v>
      </c>
      <c r="Y970" t="s">
        <v>225</v>
      </c>
      <c r="Z970" t="s">
        <v>10973</v>
      </c>
      <c r="AA970" t="s">
        <v>10975</v>
      </c>
      <c r="AB970" t="s">
        <v>575</v>
      </c>
      <c r="AD970" t="s">
        <v>11082</v>
      </c>
      <c r="AF970" t="s">
        <v>11118</v>
      </c>
      <c r="AH970" t="s">
        <v>10975</v>
      </c>
      <c r="AJ970" t="s">
        <v>11137</v>
      </c>
      <c r="AK970" t="s">
        <v>7225</v>
      </c>
      <c r="AM970">
        <v>1200</v>
      </c>
      <c r="AO970">
        <v>23</v>
      </c>
      <c r="AQ970" t="s">
        <v>11157</v>
      </c>
      <c r="AS970" t="s">
        <v>11181</v>
      </c>
      <c r="AU970">
        <v>3</v>
      </c>
      <c r="AW970" t="s">
        <v>11187</v>
      </c>
      <c r="AY970" t="s">
        <v>11214</v>
      </c>
      <c r="BA970" t="s">
        <v>11223</v>
      </c>
      <c r="BC970" t="s">
        <v>11324</v>
      </c>
      <c r="BE970" t="s">
        <v>12260</v>
      </c>
      <c r="BG970" t="s">
        <v>14635</v>
      </c>
      <c r="BM970" t="s">
        <v>15650</v>
      </c>
    </row>
    <row r="971" spans="1:65">
      <c r="A971" s="1">
        <f>HYPERLINK("https://lsnyc.legalserver.org/matter/dynamic-profile/view/1896514","19-1896514")</f>
        <v>0</v>
      </c>
      <c r="B971" t="s">
        <v>108</v>
      </c>
      <c r="C971" t="s">
        <v>248</v>
      </c>
      <c r="D971" t="s">
        <v>427</v>
      </c>
      <c r="F971" t="s">
        <v>1611</v>
      </c>
      <c r="G971" t="s">
        <v>3375</v>
      </c>
      <c r="H971" t="s">
        <v>5164</v>
      </c>
      <c r="I971" t="s">
        <v>6654</v>
      </c>
      <c r="J971" t="s">
        <v>7174</v>
      </c>
      <c r="K971">
        <v>11208</v>
      </c>
      <c r="N971" t="s">
        <v>7237</v>
      </c>
      <c r="O971" t="s">
        <v>7929</v>
      </c>
      <c r="P971">
        <v>2</v>
      </c>
      <c r="Q971">
        <v>2</v>
      </c>
      <c r="R971">
        <v>213.59</v>
      </c>
      <c r="S971" t="s">
        <v>10262</v>
      </c>
      <c r="T971" t="s">
        <v>10276</v>
      </c>
      <c r="U971">
        <v>55000</v>
      </c>
      <c r="W971">
        <v>43.2</v>
      </c>
      <c r="X971" t="s">
        <v>272</v>
      </c>
      <c r="Y971" t="s">
        <v>101</v>
      </c>
      <c r="AA971" t="s">
        <v>10974</v>
      </c>
      <c r="AB971" t="s">
        <v>608</v>
      </c>
      <c r="AD971" t="s">
        <v>11082</v>
      </c>
      <c r="AF971" t="s">
        <v>11118</v>
      </c>
      <c r="AH971" t="s">
        <v>10975</v>
      </c>
      <c r="AI971" t="s">
        <v>11126</v>
      </c>
      <c r="AK971" t="s">
        <v>7225</v>
      </c>
      <c r="AM971">
        <v>951</v>
      </c>
      <c r="AO971">
        <v>3</v>
      </c>
      <c r="AQ971" t="s">
        <v>11156</v>
      </c>
      <c r="AS971" t="s">
        <v>11173</v>
      </c>
      <c r="AU971">
        <v>4</v>
      </c>
      <c r="AW971" t="s">
        <v>11187</v>
      </c>
      <c r="BA971" t="s">
        <v>11222</v>
      </c>
      <c r="BE971" t="s">
        <v>12261</v>
      </c>
      <c r="BG971" t="s">
        <v>14636</v>
      </c>
      <c r="BM971" t="s">
        <v>15650</v>
      </c>
    </row>
    <row r="972" spans="1:65">
      <c r="A972" s="1">
        <f>HYPERLINK("https://lsnyc.legalserver.org/matter/dynamic-profile/view/1889769","19-1889769")</f>
        <v>0</v>
      </c>
      <c r="B972" t="s">
        <v>108</v>
      </c>
      <c r="C972" t="s">
        <v>248</v>
      </c>
      <c r="D972" t="s">
        <v>478</v>
      </c>
      <c r="F972" t="s">
        <v>1140</v>
      </c>
      <c r="G972" t="s">
        <v>3376</v>
      </c>
      <c r="H972" t="s">
        <v>5165</v>
      </c>
      <c r="I972" t="s">
        <v>6662</v>
      </c>
      <c r="J972" t="s">
        <v>7174</v>
      </c>
      <c r="K972">
        <v>11212</v>
      </c>
      <c r="N972" t="s">
        <v>7237</v>
      </c>
      <c r="O972" t="s">
        <v>7930</v>
      </c>
      <c r="P972">
        <v>2</v>
      </c>
      <c r="Q972">
        <v>0</v>
      </c>
      <c r="R972">
        <v>0</v>
      </c>
      <c r="U972">
        <v>0</v>
      </c>
      <c r="W972">
        <v>22.45</v>
      </c>
      <c r="X972" t="s">
        <v>272</v>
      </c>
      <c r="Y972" t="s">
        <v>101</v>
      </c>
      <c r="AA972" t="s">
        <v>10974</v>
      </c>
      <c r="AB972" t="s">
        <v>604</v>
      </c>
      <c r="AD972" t="s">
        <v>11082</v>
      </c>
      <c r="AF972" t="s">
        <v>11118</v>
      </c>
      <c r="AH972" t="s">
        <v>10975</v>
      </c>
      <c r="AJ972" t="s">
        <v>11138</v>
      </c>
      <c r="AK972" t="s">
        <v>7225</v>
      </c>
      <c r="AM972">
        <v>1268</v>
      </c>
      <c r="AO972">
        <v>31</v>
      </c>
      <c r="AQ972" t="s">
        <v>11157</v>
      </c>
      <c r="AS972" t="s">
        <v>11178</v>
      </c>
      <c r="AU972">
        <v>2</v>
      </c>
      <c r="AW972" t="s">
        <v>11187</v>
      </c>
      <c r="AZ972" t="s">
        <v>11221</v>
      </c>
      <c r="BC972" t="s">
        <v>11325</v>
      </c>
      <c r="BE972" t="s">
        <v>12262</v>
      </c>
      <c r="BG972" t="s">
        <v>14637</v>
      </c>
      <c r="BM972" t="s">
        <v>15650</v>
      </c>
    </row>
    <row r="973" spans="1:65">
      <c r="A973" s="1">
        <f>HYPERLINK("https://lsnyc.legalserver.org/matter/dynamic-profile/view/1886032","18-1886032")</f>
        <v>0</v>
      </c>
      <c r="B973" t="s">
        <v>108</v>
      </c>
      <c r="C973" t="s">
        <v>248</v>
      </c>
      <c r="D973" t="s">
        <v>631</v>
      </c>
      <c r="F973" t="s">
        <v>1612</v>
      </c>
      <c r="G973" t="s">
        <v>3377</v>
      </c>
      <c r="H973" t="s">
        <v>5166</v>
      </c>
      <c r="J973" t="s">
        <v>7174</v>
      </c>
      <c r="K973">
        <v>11213</v>
      </c>
      <c r="N973" t="s">
        <v>7237</v>
      </c>
      <c r="O973" t="s">
        <v>7931</v>
      </c>
      <c r="P973">
        <v>2</v>
      </c>
      <c r="Q973">
        <v>0</v>
      </c>
      <c r="R973">
        <v>51.03</v>
      </c>
      <c r="U973">
        <v>8400</v>
      </c>
      <c r="W973">
        <v>123.05</v>
      </c>
      <c r="X973" t="s">
        <v>1009</v>
      </c>
      <c r="Y973" t="s">
        <v>101</v>
      </c>
      <c r="AA973" t="s">
        <v>10974</v>
      </c>
      <c r="AB973" t="s">
        <v>339</v>
      </c>
      <c r="AD973" t="s">
        <v>11101</v>
      </c>
      <c r="AF973" t="s">
        <v>11118</v>
      </c>
      <c r="AH973" t="s">
        <v>10975</v>
      </c>
      <c r="AI973" t="s">
        <v>11126</v>
      </c>
      <c r="AK973" t="s">
        <v>7225</v>
      </c>
      <c r="AM973">
        <v>551</v>
      </c>
      <c r="AO973">
        <v>6</v>
      </c>
      <c r="AQ973" t="s">
        <v>11157</v>
      </c>
      <c r="AS973" t="s">
        <v>11173</v>
      </c>
      <c r="AU973">
        <v>15</v>
      </c>
      <c r="AW973" t="s">
        <v>11187</v>
      </c>
      <c r="AZ973" t="s">
        <v>11221</v>
      </c>
      <c r="BE973" t="s">
        <v>12263</v>
      </c>
      <c r="BF973" t="s">
        <v>14364</v>
      </c>
      <c r="BM973" t="s">
        <v>15650</v>
      </c>
    </row>
    <row r="974" spans="1:65">
      <c r="A974" s="1">
        <f>HYPERLINK("https://lsnyc.legalserver.org/matter/dynamic-profile/view/1902193","19-1902193")</f>
        <v>0</v>
      </c>
      <c r="B974" t="s">
        <v>108</v>
      </c>
      <c r="C974" t="s">
        <v>248</v>
      </c>
      <c r="D974" t="s">
        <v>629</v>
      </c>
      <c r="F974" t="s">
        <v>1613</v>
      </c>
      <c r="G974" t="s">
        <v>1191</v>
      </c>
      <c r="H974" t="s">
        <v>5167</v>
      </c>
      <c r="I974">
        <v>2</v>
      </c>
      <c r="J974" t="s">
        <v>7174</v>
      </c>
      <c r="K974">
        <v>11207</v>
      </c>
      <c r="N974" t="s">
        <v>7237</v>
      </c>
      <c r="O974" t="s">
        <v>7932</v>
      </c>
      <c r="P974">
        <v>1</v>
      </c>
      <c r="Q974">
        <v>0</v>
      </c>
      <c r="R974">
        <v>75.52</v>
      </c>
      <c r="U974">
        <v>9432</v>
      </c>
      <c r="W974">
        <v>19.2</v>
      </c>
      <c r="X974" t="s">
        <v>925</v>
      </c>
      <c r="Y974" t="s">
        <v>10911</v>
      </c>
      <c r="AA974" t="s">
        <v>10974</v>
      </c>
      <c r="AB974" t="s">
        <v>307</v>
      </c>
      <c r="AD974" t="s">
        <v>11083</v>
      </c>
      <c r="AF974" t="s">
        <v>11118</v>
      </c>
      <c r="AH974" t="s">
        <v>10975</v>
      </c>
      <c r="AJ974" t="s">
        <v>11104</v>
      </c>
      <c r="AK974" t="s">
        <v>7225</v>
      </c>
      <c r="AL974" t="s">
        <v>11150</v>
      </c>
      <c r="AM974">
        <v>0</v>
      </c>
      <c r="AO974">
        <v>9</v>
      </c>
      <c r="AQ974" t="s">
        <v>11156</v>
      </c>
      <c r="AS974" t="s">
        <v>11178</v>
      </c>
      <c r="AU974">
        <v>3</v>
      </c>
      <c r="AW974" t="s">
        <v>11187</v>
      </c>
      <c r="BA974" t="s">
        <v>11222</v>
      </c>
      <c r="BE974" t="s">
        <v>12264</v>
      </c>
      <c r="BG974" t="s">
        <v>14638</v>
      </c>
      <c r="BM974" t="s">
        <v>15650</v>
      </c>
    </row>
    <row r="975" spans="1:65">
      <c r="A975" s="1">
        <f>HYPERLINK("https://lsnyc.legalserver.org/matter/dynamic-profile/view/1912848","19-1912848")</f>
        <v>0</v>
      </c>
      <c r="B975" t="s">
        <v>108</v>
      </c>
      <c r="C975" t="s">
        <v>248</v>
      </c>
      <c r="D975" t="s">
        <v>316</v>
      </c>
      <c r="F975" t="s">
        <v>1144</v>
      </c>
      <c r="G975" t="s">
        <v>3378</v>
      </c>
      <c r="H975" t="s">
        <v>5168</v>
      </c>
      <c r="I975" t="s">
        <v>6663</v>
      </c>
      <c r="J975" t="s">
        <v>7174</v>
      </c>
      <c r="K975">
        <v>11208</v>
      </c>
      <c r="N975" t="s">
        <v>7237</v>
      </c>
      <c r="O975" t="s">
        <v>7933</v>
      </c>
      <c r="P975">
        <v>1</v>
      </c>
      <c r="Q975">
        <v>0</v>
      </c>
      <c r="R975">
        <v>38.43</v>
      </c>
      <c r="U975">
        <v>4800</v>
      </c>
      <c r="W975">
        <v>0.3</v>
      </c>
      <c r="X975" t="s">
        <v>436</v>
      </c>
      <c r="Y975" t="s">
        <v>225</v>
      </c>
      <c r="AA975" t="s">
        <v>10974</v>
      </c>
      <c r="AB975" t="s">
        <v>925</v>
      </c>
      <c r="AD975" t="s">
        <v>11083</v>
      </c>
      <c r="AF975" t="s">
        <v>11118</v>
      </c>
      <c r="AH975" t="s">
        <v>10975</v>
      </c>
      <c r="AJ975" t="s">
        <v>11138</v>
      </c>
      <c r="AK975" t="s">
        <v>7225</v>
      </c>
      <c r="AM975">
        <v>800</v>
      </c>
      <c r="AO975">
        <v>3</v>
      </c>
      <c r="AQ975" t="s">
        <v>11156</v>
      </c>
      <c r="AS975" t="s">
        <v>11180</v>
      </c>
      <c r="AU975">
        <v>1</v>
      </c>
      <c r="AW975" t="s">
        <v>11187</v>
      </c>
      <c r="AY975" t="s">
        <v>11213</v>
      </c>
      <c r="BA975" t="s">
        <v>11222</v>
      </c>
      <c r="BB975" t="s">
        <v>11224</v>
      </c>
      <c r="BC975">
        <v>6270460</v>
      </c>
      <c r="BE975" t="s">
        <v>12265</v>
      </c>
      <c r="BG975" t="s">
        <v>14639</v>
      </c>
      <c r="BM975" t="s">
        <v>15650</v>
      </c>
    </row>
    <row r="976" spans="1:65">
      <c r="A976" s="1">
        <f>HYPERLINK("https://lsnyc.legalserver.org/matter/dynamic-profile/view/0815813","16-0815813")</f>
        <v>0</v>
      </c>
      <c r="B976" t="s">
        <v>109</v>
      </c>
      <c r="C976" t="s">
        <v>246</v>
      </c>
      <c r="D976" t="s">
        <v>632</v>
      </c>
      <c r="F976" t="s">
        <v>1614</v>
      </c>
      <c r="G976" t="s">
        <v>3379</v>
      </c>
      <c r="H976" t="s">
        <v>5169</v>
      </c>
      <c r="I976" t="s">
        <v>6563</v>
      </c>
      <c r="J976" t="s">
        <v>7170</v>
      </c>
      <c r="K976">
        <v>10471</v>
      </c>
      <c r="N976" t="s">
        <v>7237</v>
      </c>
      <c r="O976" t="s">
        <v>7934</v>
      </c>
      <c r="P976">
        <v>2</v>
      </c>
      <c r="Q976">
        <v>0</v>
      </c>
      <c r="R976">
        <v>208.11</v>
      </c>
      <c r="S976" t="s">
        <v>666</v>
      </c>
      <c r="T976" t="s">
        <v>10276</v>
      </c>
      <c r="U976">
        <v>33339.54</v>
      </c>
      <c r="V976" t="s">
        <v>10360</v>
      </c>
      <c r="W976">
        <v>163</v>
      </c>
      <c r="X976" t="s">
        <v>669</v>
      </c>
      <c r="Y976" t="s">
        <v>10868</v>
      </c>
      <c r="AA976" t="s">
        <v>10974</v>
      </c>
      <c r="AB976" t="s">
        <v>547</v>
      </c>
      <c r="AD976" t="s">
        <v>11082</v>
      </c>
      <c r="AF976" t="s">
        <v>11118</v>
      </c>
      <c r="AH976" t="s">
        <v>10975</v>
      </c>
      <c r="AJ976" t="s">
        <v>11136</v>
      </c>
      <c r="AK976" t="s">
        <v>7225</v>
      </c>
      <c r="AM976">
        <v>2000</v>
      </c>
      <c r="AO976">
        <v>69</v>
      </c>
      <c r="AQ976" t="s">
        <v>11164</v>
      </c>
      <c r="AS976" t="s">
        <v>11173</v>
      </c>
      <c r="AU976">
        <v>2</v>
      </c>
      <c r="AW976" t="s">
        <v>11189</v>
      </c>
      <c r="AY976" t="s">
        <v>11213</v>
      </c>
      <c r="AZ976" t="s">
        <v>11221</v>
      </c>
      <c r="BE976" t="s">
        <v>12266</v>
      </c>
      <c r="BG976" t="s">
        <v>14640</v>
      </c>
      <c r="BM976" t="s">
        <v>15650</v>
      </c>
    </row>
    <row r="977" spans="1:65">
      <c r="A977" s="1">
        <f>HYPERLINK("https://lsnyc.legalserver.org/matter/dynamic-profile/view/1906369","19-1906369")</f>
        <v>0</v>
      </c>
      <c r="B977" t="s">
        <v>109</v>
      </c>
      <c r="C977" t="s">
        <v>246</v>
      </c>
      <c r="D977" t="s">
        <v>575</v>
      </c>
      <c r="F977" t="s">
        <v>1545</v>
      </c>
      <c r="G977" t="s">
        <v>2938</v>
      </c>
      <c r="H977" t="s">
        <v>5170</v>
      </c>
      <c r="I977" t="s">
        <v>6422</v>
      </c>
      <c r="J977" t="s">
        <v>7170</v>
      </c>
      <c r="K977">
        <v>10467</v>
      </c>
      <c r="N977" t="s">
        <v>7238</v>
      </c>
      <c r="O977" t="s">
        <v>7935</v>
      </c>
      <c r="P977">
        <v>2</v>
      </c>
      <c r="Q977">
        <v>0</v>
      </c>
      <c r="R977">
        <v>125.68</v>
      </c>
      <c r="U977">
        <v>21252</v>
      </c>
      <c r="W977">
        <v>1.85</v>
      </c>
      <c r="X977" t="s">
        <v>737</v>
      </c>
      <c r="Y977" t="s">
        <v>109</v>
      </c>
      <c r="Z977" t="s">
        <v>10972</v>
      </c>
      <c r="AA977" t="s">
        <v>10976</v>
      </c>
      <c r="AD977" t="s">
        <v>11088</v>
      </c>
      <c r="AF977" t="s">
        <v>10384</v>
      </c>
      <c r="AH977" t="s">
        <v>10975</v>
      </c>
      <c r="AI977" t="s">
        <v>11126</v>
      </c>
      <c r="AK977" t="s">
        <v>7225</v>
      </c>
      <c r="AL977" t="s">
        <v>11150</v>
      </c>
      <c r="AM977">
        <v>0</v>
      </c>
      <c r="AN977" t="s">
        <v>11151</v>
      </c>
      <c r="AO977" t="s">
        <v>11153</v>
      </c>
      <c r="AQ977" t="s">
        <v>11157</v>
      </c>
      <c r="AR977" t="s">
        <v>11172</v>
      </c>
      <c r="AT977" t="s">
        <v>11184</v>
      </c>
      <c r="AU977">
        <v>0</v>
      </c>
      <c r="AW977" t="s">
        <v>11187</v>
      </c>
      <c r="AX977" t="s">
        <v>11212</v>
      </c>
      <c r="AZ977" t="s">
        <v>11221</v>
      </c>
      <c r="BE977" t="s">
        <v>12267</v>
      </c>
      <c r="BF977" t="s">
        <v>14364</v>
      </c>
      <c r="BM977" t="s">
        <v>15650</v>
      </c>
    </row>
    <row r="978" spans="1:65">
      <c r="A978" s="1">
        <f>HYPERLINK("https://lsnyc.legalserver.org/matter/dynamic-profile/view/1902788","19-1902788")</f>
        <v>0</v>
      </c>
      <c r="B978" t="s">
        <v>109</v>
      </c>
      <c r="C978" t="s">
        <v>246</v>
      </c>
      <c r="D978" t="s">
        <v>276</v>
      </c>
      <c r="E978" t="s">
        <v>333</v>
      </c>
      <c r="F978" t="s">
        <v>1282</v>
      </c>
      <c r="G978" t="s">
        <v>3380</v>
      </c>
      <c r="H978" t="s">
        <v>5171</v>
      </c>
      <c r="I978" t="s">
        <v>6495</v>
      </c>
      <c r="J978" t="s">
        <v>7170</v>
      </c>
      <c r="K978">
        <v>10460</v>
      </c>
      <c r="L978" t="s">
        <v>7222</v>
      </c>
      <c r="N978" t="s">
        <v>7244</v>
      </c>
      <c r="O978" t="s">
        <v>7936</v>
      </c>
      <c r="P978">
        <v>2</v>
      </c>
      <c r="Q978">
        <v>0</v>
      </c>
      <c r="R978">
        <v>49.24</v>
      </c>
      <c r="U978">
        <v>8326.799999999999</v>
      </c>
      <c r="W978">
        <v>1.1</v>
      </c>
      <c r="X978" t="s">
        <v>333</v>
      </c>
      <c r="Y978" t="s">
        <v>109</v>
      </c>
      <c r="AA978" t="s">
        <v>10974</v>
      </c>
      <c r="AB978" t="s">
        <v>10979</v>
      </c>
      <c r="AD978" t="s">
        <v>11106</v>
      </c>
      <c r="AF978" t="s">
        <v>11120</v>
      </c>
      <c r="AH978" t="s">
        <v>10975</v>
      </c>
      <c r="AJ978" t="s">
        <v>11129</v>
      </c>
      <c r="AK978" t="s">
        <v>7225</v>
      </c>
      <c r="AM978">
        <v>187</v>
      </c>
      <c r="AO978">
        <v>23</v>
      </c>
      <c r="AQ978" t="s">
        <v>11157</v>
      </c>
      <c r="AS978" t="s">
        <v>11179</v>
      </c>
      <c r="AU978">
        <v>6</v>
      </c>
      <c r="AW978" t="s">
        <v>11187</v>
      </c>
      <c r="BA978" t="s">
        <v>11222</v>
      </c>
      <c r="BE978" t="s">
        <v>12268</v>
      </c>
      <c r="BF978" t="s">
        <v>14364</v>
      </c>
      <c r="BM978" t="s">
        <v>15651</v>
      </c>
    </row>
    <row r="979" spans="1:65">
      <c r="A979" s="1">
        <f>HYPERLINK("https://lsnyc.legalserver.org/matter/dynamic-profile/view/1897690","19-1897690")</f>
        <v>0</v>
      </c>
      <c r="B979" t="s">
        <v>110</v>
      </c>
      <c r="C979" t="s">
        <v>245</v>
      </c>
      <c r="D979" t="s">
        <v>633</v>
      </c>
      <c r="F979" t="s">
        <v>1615</v>
      </c>
      <c r="G979" t="s">
        <v>3381</v>
      </c>
      <c r="H979" t="s">
        <v>4780</v>
      </c>
      <c r="I979" t="s">
        <v>6551</v>
      </c>
      <c r="J979" t="s">
        <v>7169</v>
      </c>
      <c r="K979">
        <v>10035</v>
      </c>
      <c r="N979" t="s">
        <v>7237</v>
      </c>
      <c r="O979" t="s">
        <v>7937</v>
      </c>
      <c r="P979">
        <v>2</v>
      </c>
      <c r="Q979">
        <v>3</v>
      </c>
      <c r="R979">
        <v>145.84</v>
      </c>
      <c r="U979">
        <v>44000</v>
      </c>
      <c r="W979">
        <v>0</v>
      </c>
      <c r="Y979" t="s">
        <v>10859</v>
      </c>
      <c r="AA979" t="s">
        <v>10974</v>
      </c>
      <c r="AB979" t="s">
        <v>444</v>
      </c>
      <c r="AD979" t="s">
        <v>11086</v>
      </c>
      <c r="AF979" t="s">
        <v>10384</v>
      </c>
      <c r="AH979" t="s">
        <v>10974</v>
      </c>
      <c r="AJ979" t="s">
        <v>11137</v>
      </c>
      <c r="AK979" t="s">
        <v>7225</v>
      </c>
      <c r="AM979">
        <v>892</v>
      </c>
      <c r="AO979">
        <v>60</v>
      </c>
      <c r="AQ979" t="s">
        <v>11157</v>
      </c>
      <c r="AS979" t="s">
        <v>11174</v>
      </c>
      <c r="AU979">
        <v>5</v>
      </c>
      <c r="AW979" t="s">
        <v>11187</v>
      </c>
      <c r="AY979" t="s">
        <v>11213</v>
      </c>
      <c r="BA979" t="s">
        <v>11222</v>
      </c>
      <c r="BE979" t="s">
        <v>12269</v>
      </c>
      <c r="BF979" t="s">
        <v>14364</v>
      </c>
      <c r="BM979" t="s">
        <v>15650</v>
      </c>
    </row>
    <row r="980" spans="1:65">
      <c r="A980" s="1">
        <f>HYPERLINK("https://lsnyc.legalserver.org/matter/dynamic-profile/view/1908588","19-1908588")</f>
        <v>0</v>
      </c>
      <c r="B980" t="s">
        <v>110</v>
      </c>
      <c r="C980" t="s">
        <v>245</v>
      </c>
      <c r="D980" t="s">
        <v>302</v>
      </c>
      <c r="F980" t="s">
        <v>1616</v>
      </c>
      <c r="G980" t="s">
        <v>3236</v>
      </c>
      <c r="H980" t="s">
        <v>5172</v>
      </c>
      <c r="I980" t="s">
        <v>6527</v>
      </c>
      <c r="J980" t="s">
        <v>7169</v>
      </c>
      <c r="K980">
        <v>10035</v>
      </c>
      <c r="N980" t="s">
        <v>7237</v>
      </c>
      <c r="O980" t="s">
        <v>7938</v>
      </c>
      <c r="P980">
        <v>3</v>
      </c>
      <c r="Q980">
        <v>0</v>
      </c>
      <c r="R980">
        <v>43.38</v>
      </c>
      <c r="U980">
        <v>9252</v>
      </c>
      <c r="W980">
        <v>0</v>
      </c>
      <c r="Y980" t="s">
        <v>10859</v>
      </c>
      <c r="AA980" t="s">
        <v>10974</v>
      </c>
      <c r="AB980" t="s">
        <v>637</v>
      </c>
      <c r="AD980" t="s">
        <v>11100</v>
      </c>
      <c r="AF980" t="s">
        <v>10384</v>
      </c>
      <c r="AH980" t="s">
        <v>10974</v>
      </c>
      <c r="AJ980" t="s">
        <v>11134</v>
      </c>
      <c r="AK980" t="s">
        <v>7225</v>
      </c>
      <c r="AM980">
        <v>1967.89</v>
      </c>
      <c r="AO980">
        <v>72</v>
      </c>
      <c r="AQ980" t="s">
        <v>11157</v>
      </c>
      <c r="AS980" t="s">
        <v>11174</v>
      </c>
      <c r="AU980">
        <v>39</v>
      </c>
      <c r="AW980" t="s">
        <v>11187</v>
      </c>
      <c r="AY980" t="s">
        <v>11213</v>
      </c>
      <c r="BA980" t="s">
        <v>11222</v>
      </c>
      <c r="BB980" t="s">
        <v>11224</v>
      </c>
      <c r="BC980" t="s">
        <v>11326</v>
      </c>
      <c r="BE980" t="s">
        <v>12270</v>
      </c>
      <c r="BF980" t="s">
        <v>14364</v>
      </c>
      <c r="BM980" t="s">
        <v>15650</v>
      </c>
    </row>
    <row r="981" spans="1:65">
      <c r="A981" s="1">
        <f>HYPERLINK("https://lsnyc.legalserver.org/matter/dynamic-profile/view/1906910","19-1906910")</f>
        <v>0</v>
      </c>
      <c r="B981" t="s">
        <v>110</v>
      </c>
      <c r="C981" t="s">
        <v>245</v>
      </c>
      <c r="D981" t="s">
        <v>450</v>
      </c>
      <c r="F981" t="s">
        <v>1122</v>
      </c>
      <c r="G981" t="s">
        <v>3382</v>
      </c>
      <c r="H981" t="s">
        <v>5173</v>
      </c>
      <c r="I981" t="s">
        <v>6430</v>
      </c>
      <c r="J981" t="s">
        <v>7169</v>
      </c>
      <c r="K981">
        <v>10035</v>
      </c>
      <c r="N981" t="s">
        <v>7237</v>
      </c>
      <c r="O981" t="s">
        <v>7939</v>
      </c>
      <c r="P981">
        <v>1</v>
      </c>
      <c r="Q981">
        <v>2</v>
      </c>
      <c r="R981">
        <v>14.91</v>
      </c>
      <c r="U981">
        <v>3180</v>
      </c>
      <c r="W981">
        <v>16.1</v>
      </c>
      <c r="X981" t="s">
        <v>561</v>
      </c>
      <c r="Y981" t="s">
        <v>10859</v>
      </c>
      <c r="AA981" t="s">
        <v>10974</v>
      </c>
      <c r="AB981" t="s">
        <v>450</v>
      </c>
      <c r="AD981" t="s">
        <v>11092</v>
      </c>
      <c r="AF981" t="s">
        <v>11120</v>
      </c>
      <c r="AH981" t="s">
        <v>10975</v>
      </c>
      <c r="AJ981" t="s">
        <v>11129</v>
      </c>
      <c r="AK981" t="s">
        <v>7225</v>
      </c>
      <c r="AM981">
        <v>645</v>
      </c>
      <c r="AO981">
        <v>8</v>
      </c>
      <c r="AQ981" t="s">
        <v>11157</v>
      </c>
      <c r="AS981" t="s">
        <v>11176</v>
      </c>
      <c r="AU981">
        <v>20</v>
      </c>
      <c r="AW981" t="s">
        <v>11189</v>
      </c>
      <c r="AY981" t="s">
        <v>11214</v>
      </c>
      <c r="BA981" t="s">
        <v>11222</v>
      </c>
      <c r="BB981" t="s">
        <v>11224</v>
      </c>
      <c r="BC981" t="s">
        <v>11327</v>
      </c>
      <c r="BD981" t="s">
        <v>11667</v>
      </c>
      <c r="BF981" t="s">
        <v>14364</v>
      </c>
      <c r="BK981" t="s">
        <v>15624</v>
      </c>
      <c r="BM981" t="s">
        <v>15650</v>
      </c>
    </row>
    <row r="982" spans="1:65">
      <c r="A982" s="1">
        <f>HYPERLINK("https://lsnyc.legalserver.org/matter/dynamic-profile/view/1912717","19-1912717")</f>
        <v>0</v>
      </c>
      <c r="B982" t="s">
        <v>110</v>
      </c>
      <c r="C982" t="s">
        <v>245</v>
      </c>
      <c r="D982" t="s">
        <v>634</v>
      </c>
      <c r="F982" t="s">
        <v>1616</v>
      </c>
      <c r="G982" t="s">
        <v>3236</v>
      </c>
      <c r="H982" t="s">
        <v>5172</v>
      </c>
      <c r="I982" t="s">
        <v>6527</v>
      </c>
      <c r="J982" t="s">
        <v>7169</v>
      </c>
      <c r="K982">
        <v>10035</v>
      </c>
      <c r="N982" t="s">
        <v>7237</v>
      </c>
      <c r="O982" t="s">
        <v>7938</v>
      </c>
      <c r="P982">
        <v>3</v>
      </c>
      <c r="Q982">
        <v>0</v>
      </c>
      <c r="R982">
        <v>43.38</v>
      </c>
      <c r="U982">
        <v>9252</v>
      </c>
      <c r="W982">
        <v>0</v>
      </c>
      <c r="Y982" t="s">
        <v>110</v>
      </c>
      <c r="AA982" t="s">
        <v>10974</v>
      </c>
      <c r="AB982" t="s">
        <v>634</v>
      </c>
      <c r="AD982" t="s">
        <v>11101</v>
      </c>
      <c r="AF982" t="s">
        <v>11118</v>
      </c>
      <c r="AH982" t="s">
        <v>10974</v>
      </c>
      <c r="AJ982" t="s">
        <v>11104</v>
      </c>
      <c r="AK982" t="s">
        <v>7225</v>
      </c>
      <c r="AM982">
        <v>1962.89</v>
      </c>
      <c r="AO982">
        <v>72</v>
      </c>
      <c r="AQ982" t="s">
        <v>11157</v>
      </c>
      <c r="AS982" t="s">
        <v>11174</v>
      </c>
      <c r="AU982">
        <v>39</v>
      </c>
      <c r="AW982" t="s">
        <v>11187</v>
      </c>
      <c r="AY982" t="s">
        <v>11213</v>
      </c>
      <c r="BA982" t="s">
        <v>11222</v>
      </c>
      <c r="BB982" t="s">
        <v>11224</v>
      </c>
      <c r="BC982" t="s">
        <v>11326</v>
      </c>
      <c r="BE982" t="s">
        <v>12270</v>
      </c>
      <c r="BF982" t="s">
        <v>14364</v>
      </c>
      <c r="BM982" t="s">
        <v>15650</v>
      </c>
    </row>
    <row r="983" spans="1:65">
      <c r="A983" s="1">
        <f>HYPERLINK("https://lsnyc.legalserver.org/matter/dynamic-profile/view/1909123","19-1909123")</f>
        <v>0</v>
      </c>
      <c r="B983" t="s">
        <v>110</v>
      </c>
      <c r="C983" t="s">
        <v>245</v>
      </c>
      <c r="D983" t="s">
        <v>568</v>
      </c>
      <c r="F983" t="s">
        <v>1617</v>
      </c>
      <c r="G983" t="s">
        <v>3383</v>
      </c>
      <c r="H983" t="s">
        <v>5172</v>
      </c>
      <c r="I983" t="s">
        <v>6425</v>
      </c>
      <c r="J983" t="s">
        <v>7169</v>
      </c>
      <c r="K983">
        <v>10035</v>
      </c>
      <c r="N983" t="s">
        <v>7237</v>
      </c>
      <c r="O983" t="s">
        <v>7940</v>
      </c>
      <c r="P983">
        <v>3</v>
      </c>
      <c r="Q983">
        <v>1</v>
      </c>
      <c r="R983">
        <v>229.13</v>
      </c>
      <c r="U983">
        <v>59000</v>
      </c>
      <c r="W983">
        <v>15.5</v>
      </c>
      <c r="X983" t="s">
        <v>449</v>
      </c>
      <c r="Y983" t="s">
        <v>10859</v>
      </c>
      <c r="AA983" t="s">
        <v>10974</v>
      </c>
      <c r="AB983" t="s">
        <v>797</v>
      </c>
      <c r="AD983" t="s">
        <v>11086</v>
      </c>
      <c r="AF983" t="s">
        <v>10384</v>
      </c>
      <c r="AH983" t="s">
        <v>10974</v>
      </c>
      <c r="AJ983" t="s">
        <v>11137</v>
      </c>
      <c r="AK983" t="s">
        <v>7225</v>
      </c>
      <c r="AM983">
        <v>1893</v>
      </c>
      <c r="AO983">
        <v>72</v>
      </c>
      <c r="AQ983" t="s">
        <v>11157</v>
      </c>
      <c r="AS983" t="s">
        <v>11174</v>
      </c>
      <c r="AU983">
        <v>33</v>
      </c>
      <c r="AW983" t="s">
        <v>11187</v>
      </c>
      <c r="AY983" t="s">
        <v>11219</v>
      </c>
      <c r="BA983" t="s">
        <v>11222</v>
      </c>
      <c r="BE983" t="s">
        <v>12271</v>
      </c>
      <c r="BF983" t="s">
        <v>14364</v>
      </c>
      <c r="BM983" t="s">
        <v>15650</v>
      </c>
    </row>
    <row r="984" spans="1:65">
      <c r="A984" s="1">
        <f>HYPERLINK("https://lsnyc.legalserver.org/matter/dynamic-profile/view/1883527","18-1883527")</f>
        <v>0</v>
      </c>
      <c r="B984" t="s">
        <v>110</v>
      </c>
      <c r="C984" t="s">
        <v>245</v>
      </c>
      <c r="D984" t="s">
        <v>612</v>
      </c>
      <c r="F984" t="s">
        <v>1244</v>
      </c>
      <c r="G984" t="s">
        <v>3384</v>
      </c>
      <c r="H984" t="s">
        <v>5174</v>
      </c>
      <c r="I984" t="s">
        <v>6664</v>
      </c>
      <c r="J984" t="s">
        <v>7169</v>
      </c>
      <c r="K984">
        <v>10029</v>
      </c>
      <c r="N984" t="s">
        <v>7237</v>
      </c>
      <c r="O984" t="s">
        <v>7941</v>
      </c>
      <c r="P984">
        <v>4</v>
      </c>
      <c r="Q984">
        <v>1</v>
      </c>
      <c r="R984">
        <v>93.81</v>
      </c>
      <c r="U984">
        <v>27600</v>
      </c>
      <c r="W984">
        <v>81.06999999999999</v>
      </c>
      <c r="X984" t="s">
        <v>443</v>
      </c>
      <c r="Y984" t="s">
        <v>10875</v>
      </c>
      <c r="AA984" t="s">
        <v>10974</v>
      </c>
      <c r="AB984" t="s">
        <v>706</v>
      </c>
      <c r="AD984" t="s">
        <v>11082</v>
      </c>
      <c r="AF984" t="s">
        <v>11118</v>
      </c>
      <c r="AH984" t="s">
        <v>10975</v>
      </c>
      <c r="AJ984" t="s">
        <v>11104</v>
      </c>
      <c r="AK984" t="s">
        <v>7225</v>
      </c>
      <c r="AM984">
        <v>2944</v>
      </c>
      <c r="AO984">
        <v>700</v>
      </c>
      <c r="AQ984" t="s">
        <v>11156</v>
      </c>
      <c r="AS984" t="s">
        <v>11104</v>
      </c>
      <c r="AU984">
        <v>35</v>
      </c>
      <c r="AW984" t="s">
        <v>11187</v>
      </c>
      <c r="AY984" t="s">
        <v>11213</v>
      </c>
      <c r="AZ984" t="s">
        <v>11221</v>
      </c>
      <c r="BE984" t="s">
        <v>12272</v>
      </c>
      <c r="BG984" t="s">
        <v>14641</v>
      </c>
      <c r="BK984" t="s">
        <v>15623</v>
      </c>
      <c r="BM984" t="s">
        <v>15650</v>
      </c>
    </row>
    <row r="985" spans="1:65">
      <c r="A985" s="1">
        <f>HYPERLINK("https://lsnyc.legalserver.org/matter/dynamic-profile/view/1911980","19-1911980")</f>
        <v>0</v>
      </c>
      <c r="B985" t="s">
        <v>110</v>
      </c>
      <c r="C985" t="s">
        <v>245</v>
      </c>
      <c r="D985" t="s">
        <v>341</v>
      </c>
      <c r="F985" t="s">
        <v>1618</v>
      </c>
      <c r="G985" t="s">
        <v>3180</v>
      </c>
      <c r="H985" t="s">
        <v>5175</v>
      </c>
      <c r="I985" t="s">
        <v>6665</v>
      </c>
      <c r="J985" t="s">
        <v>7169</v>
      </c>
      <c r="K985">
        <v>10037</v>
      </c>
      <c r="N985" t="s">
        <v>7237</v>
      </c>
      <c r="O985" t="s">
        <v>7942</v>
      </c>
      <c r="P985">
        <v>1</v>
      </c>
      <c r="Q985">
        <v>0</v>
      </c>
      <c r="R985">
        <v>82.63</v>
      </c>
      <c r="U985">
        <v>10320</v>
      </c>
      <c r="W985">
        <v>0</v>
      </c>
      <c r="Y985" t="s">
        <v>10859</v>
      </c>
      <c r="AA985" t="s">
        <v>10974</v>
      </c>
      <c r="AB985" t="s">
        <v>626</v>
      </c>
      <c r="AD985" t="s">
        <v>11082</v>
      </c>
      <c r="AF985" t="s">
        <v>11119</v>
      </c>
      <c r="AH985" t="s">
        <v>10975</v>
      </c>
      <c r="AJ985" t="s">
        <v>11134</v>
      </c>
      <c r="AK985" t="s">
        <v>7225</v>
      </c>
      <c r="AM985">
        <v>2100</v>
      </c>
      <c r="AO985">
        <v>771</v>
      </c>
      <c r="AQ985" t="s">
        <v>11157</v>
      </c>
      <c r="AS985" t="s">
        <v>11173</v>
      </c>
      <c r="AU985">
        <v>1</v>
      </c>
      <c r="AW985" t="s">
        <v>11187</v>
      </c>
      <c r="AY985" t="s">
        <v>11213</v>
      </c>
      <c r="BA985" t="s">
        <v>11222</v>
      </c>
      <c r="BB985" t="s">
        <v>11224</v>
      </c>
      <c r="BC985" t="s">
        <v>11328</v>
      </c>
      <c r="BE985" t="s">
        <v>12273</v>
      </c>
      <c r="BG985" t="s">
        <v>14642</v>
      </c>
      <c r="BM985" t="s">
        <v>15650</v>
      </c>
    </row>
    <row r="986" spans="1:65">
      <c r="A986" s="1">
        <f>HYPERLINK("https://lsnyc.legalserver.org/matter/dynamic-profile/view/1874744","18-1874744")</f>
        <v>0</v>
      </c>
      <c r="B986" t="s">
        <v>110</v>
      </c>
      <c r="C986" t="s">
        <v>245</v>
      </c>
      <c r="D986" t="s">
        <v>402</v>
      </c>
      <c r="F986" t="s">
        <v>1619</v>
      </c>
      <c r="G986" t="s">
        <v>3194</v>
      </c>
      <c r="H986" t="s">
        <v>5176</v>
      </c>
      <c r="I986" t="s">
        <v>6497</v>
      </c>
      <c r="J986" t="s">
        <v>7169</v>
      </c>
      <c r="K986">
        <v>10035</v>
      </c>
      <c r="N986" t="s">
        <v>7240</v>
      </c>
      <c r="O986" t="s">
        <v>7943</v>
      </c>
      <c r="P986">
        <v>1</v>
      </c>
      <c r="Q986">
        <v>2</v>
      </c>
      <c r="R986">
        <v>10.97</v>
      </c>
      <c r="U986">
        <v>2280</v>
      </c>
      <c r="W986">
        <v>20.3</v>
      </c>
      <c r="X986" t="s">
        <v>449</v>
      </c>
      <c r="Y986" t="s">
        <v>10859</v>
      </c>
      <c r="AA986" t="s">
        <v>10974</v>
      </c>
      <c r="AB986" t="s">
        <v>402</v>
      </c>
      <c r="AD986" t="s">
        <v>11092</v>
      </c>
      <c r="AF986" t="s">
        <v>11122</v>
      </c>
      <c r="AH986" t="s">
        <v>10975</v>
      </c>
      <c r="AJ986" t="s">
        <v>11132</v>
      </c>
      <c r="AK986" t="s">
        <v>7225</v>
      </c>
      <c r="AM986">
        <v>550</v>
      </c>
      <c r="AO986">
        <v>30</v>
      </c>
      <c r="AQ986" t="s">
        <v>11157</v>
      </c>
      <c r="AS986" t="s">
        <v>11173</v>
      </c>
      <c r="AU986">
        <v>20</v>
      </c>
      <c r="AW986" t="s">
        <v>11187</v>
      </c>
      <c r="AY986" t="s">
        <v>11213</v>
      </c>
      <c r="AZ986" t="s">
        <v>11221</v>
      </c>
      <c r="BC986" t="s">
        <v>11329</v>
      </c>
      <c r="BE986" t="s">
        <v>12274</v>
      </c>
      <c r="BF986" t="s">
        <v>14364</v>
      </c>
      <c r="BM986" t="s">
        <v>15650</v>
      </c>
    </row>
    <row r="987" spans="1:65">
      <c r="A987" s="1">
        <f>HYPERLINK("https://lsnyc.legalserver.org/matter/dynamic-profile/view/1897550","19-1897550")</f>
        <v>0</v>
      </c>
      <c r="B987" t="s">
        <v>110</v>
      </c>
      <c r="C987" t="s">
        <v>245</v>
      </c>
      <c r="D987" t="s">
        <v>389</v>
      </c>
      <c r="F987" t="s">
        <v>1439</v>
      </c>
      <c r="G987" t="s">
        <v>2885</v>
      </c>
      <c r="H987" t="s">
        <v>4780</v>
      </c>
      <c r="I987" t="s">
        <v>6419</v>
      </c>
      <c r="J987" t="s">
        <v>7169</v>
      </c>
      <c r="K987">
        <v>10035</v>
      </c>
      <c r="N987" t="s">
        <v>7237</v>
      </c>
      <c r="O987" t="s">
        <v>7944</v>
      </c>
      <c r="P987">
        <v>3</v>
      </c>
      <c r="Q987">
        <v>1</v>
      </c>
      <c r="R987">
        <v>166.99</v>
      </c>
      <c r="U987">
        <v>43000</v>
      </c>
      <c r="W987">
        <v>0</v>
      </c>
      <c r="Y987" t="s">
        <v>10859</v>
      </c>
      <c r="AA987" t="s">
        <v>10974</v>
      </c>
      <c r="AB987" t="s">
        <v>444</v>
      </c>
      <c r="AD987" t="s">
        <v>11086</v>
      </c>
      <c r="AF987" t="s">
        <v>10384</v>
      </c>
      <c r="AH987" t="s">
        <v>10974</v>
      </c>
      <c r="AJ987" t="s">
        <v>11137</v>
      </c>
      <c r="AK987" t="s">
        <v>7225</v>
      </c>
      <c r="AM987">
        <v>1051</v>
      </c>
      <c r="AO987">
        <v>60</v>
      </c>
      <c r="AQ987" t="s">
        <v>11157</v>
      </c>
      <c r="AS987" t="s">
        <v>11173</v>
      </c>
      <c r="AU987">
        <v>14</v>
      </c>
      <c r="AW987" t="s">
        <v>11187</v>
      </c>
      <c r="AY987" t="s">
        <v>11213</v>
      </c>
      <c r="BA987" t="s">
        <v>11222</v>
      </c>
      <c r="BE987" t="s">
        <v>12275</v>
      </c>
      <c r="BF987" t="s">
        <v>14364</v>
      </c>
      <c r="BM987" t="s">
        <v>15650</v>
      </c>
    </row>
    <row r="988" spans="1:65">
      <c r="A988" s="1">
        <f>HYPERLINK("https://lsnyc.legalserver.org/matter/dynamic-profile/view/1914814","19-1914814")</f>
        <v>0</v>
      </c>
      <c r="B988" t="s">
        <v>110</v>
      </c>
      <c r="C988" t="s">
        <v>245</v>
      </c>
      <c r="D988" t="s">
        <v>262</v>
      </c>
      <c r="F988" t="s">
        <v>1439</v>
      </c>
      <c r="G988" t="s">
        <v>2885</v>
      </c>
      <c r="H988" t="s">
        <v>4780</v>
      </c>
      <c r="I988" t="s">
        <v>6419</v>
      </c>
      <c r="J988" t="s">
        <v>7169</v>
      </c>
      <c r="K988">
        <v>10035</v>
      </c>
      <c r="N988" t="s">
        <v>7237</v>
      </c>
      <c r="O988" t="s">
        <v>7944</v>
      </c>
      <c r="P988">
        <v>3</v>
      </c>
      <c r="Q988">
        <v>1</v>
      </c>
      <c r="R988">
        <v>166.99</v>
      </c>
      <c r="U988">
        <v>43000</v>
      </c>
      <c r="W988">
        <v>0</v>
      </c>
      <c r="Y988" t="s">
        <v>10859</v>
      </c>
      <c r="AA988" t="s">
        <v>10974</v>
      </c>
      <c r="AB988" t="s">
        <v>614</v>
      </c>
      <c r="AD988" t="s">
        <v>11101</v>
      </c>
      <c r="AF988" t="s">
        <v>11118</v>
      </c>
      <c r="AH988" t="s">
        <v>10975</v>
      </c>
      <c r="AJ988" t="s">
        <v>11129</v>
      </c>
      <c r="AK988" t="s">
        <v>7225</v>
      </c>
      <c r="AM988">
        <v>1051</v>
      </c>
      <c r="AO988">
        <v>60</v>
      </c>
      <c r="AQ988" t="s">
        <v>11157</v>
      </c>
      <c r="AS988" t="s">
        <v>11173</v>
      </c>
      <c r="AU988">
        <v>14</v>
      </c>
      <c r="AW988" t="s">
        <v>11187</v>
      </c>
      <c r="AY988" t="s">
        <v>11213</v>
      </c>
      <c r="BA988" t="s">
        <v>11222</v>
      </c>
      <c r="BE988" t="s">
        <v>12275</v>
      </c>
      <c r="BF988" t="s">
        <v>14364</v>
      </c>
      <c r="BM988" t="s">
        <v>15650</v>
      </c>
    </row>
    <row r="989" spans="1:65">
      <c r="A989" s="1">
        <f>HYPERLINK("https://lsnyc.legalserver.org/matter/dynamic-profile/view/1915275","19-1915275")</f>
        <v>0</v>
      </c>
      <c r="B989" t="s">
        <v>110</v>
      </c>
      <c r="C989" t="s">
        <v>245</v>
      </c>
      <c r="D989" t="s">
        <v>426</v>
      </c>
      <c r="F989" t="s">
        <v>1439</v>
      </c>
      <c r="G989" t="s">
        <v>2885</v>
      </c>
      <c r="H989" t="s">
        <v>4780</v>
      </c>
      <c r="I989" t="s">
        <v>6419</v>
      </c>
      <c r="J989" t="s">
        <v>7169</v>
      </c>
      <c r="K989">
        <v>10035</v>
      </c>
      <c r="N989" t="s">
        <v>7237</v>
      </c>
      <c r="O989" t="s">
        <v>7944</v>
      </c>
      <c r="P989">
        <v>3</v>
      </c>
      <c r="Q989">
        <v>1</v>
      </c>
      <c r="R989">
        <v>166.99</v>
      </c>
      <c r="U989">
        <v>43000</v>
      </c>
      <c r="W989">
        <v>0</v>
      </c>
      <c r="Y989" t="s">
        <v>10859</v>
      </c>
      <c r="AA989" t="s">
        <v>10974</v>
      </c>
      <c r="AB989" t="s">
        <v>426</v>
      </c>
      <c r="AD989" t="s">
        <v>11098</v>
      </c>
      <c r="AF989" t="s">
        <v>11118</v>
      </c>
      <c r="AH989" t="s">
        <v>10974</v>
      </c>
      <c r="AJ989" t="s">
        <v>11129</v>
      </c>
      <c r="AK989" t="s">
        <v>7225</v>
      </c>
      <c r="AM989">
        <v>1051</v>
      </c>
      <c r="AO989">
        <v>60</v>
      </c>
      <c r="AQ989" t="s">
        <v>11157</v>
      </c>
      <c r="AS989" t="s">
        <v>11173</v>
      </c>
      <c r="AU989">
        <v>14</v>
      </c>
      <c r="AW989" t="s">
        <v>11187</v>
      </c>
      <c r="AY989" t="s">
        <v>11213</v>
      </c>
      <c r="BA989" t="s">
        <v>11222</v>
      </c>
      <c r="BE989" t="s">
        <v>12275</v>
      </c>
      <c r="BF989" t="s">
        <v>14364</v>
      </c>
      <c r="BM989" t="s">
        <v>15650</v>
      </c>
    </row>
    <row r="990" spans="1:65">
      <c r="A990" s="1">
        <f>HYPERLINK("https://lsnyc.legalserver.org/matter/dynamic-profile/view/1914967","19-1914967")</f>
        <v>0</v>
      </c>
      <c r="B990" t="s">
        <v>110</v>
      </c>
      <c r="C990" t="s">
        <v>245</v>
      </c>
      <c r="D990" t="s">
        <v>264</v>
      </c>
      <c r="F990" t="s">
        <v>1090</v>
      </c>
      <c r="G990" t="s">
        <v>3385</v>
      </c>
      <c r="H990" t="s">
        <v>4780</v>
      </c>
      <c r="I990" t="s">
        <v>6525</v>
      </c>
      <c r="J990" t="s">
        <v>7169</v>
      </c>
      <c r="K990">
        <v>10035</v>
      </c>
      <c r="N990" t="s">
        <v>7237</v>
      </c>
      <c r="O990" t="s">
        <v>7945</v>
      </c>
      <c r="P990">
        <v>1</v>
      </c>
      <c r="Q990">
        <v>0</v>
      </c>
      <c r="R990">
        <v>160.13</v>
      </c>
      <c r="U990">
        <v>20000</v>
      </c>
      <c r="W990">
        <v>0</v>
      </c>
      <c r="Y990" t="s">
        <v>10859</v>
      </c>
      <c r="AA990" t="s">
        <v>10974</v>
      </c>
      <c r="AB990" t="s">
        <v>264</v>
      </c>
      <c r="AD990" t="s">
        <v>11098</v>
      </c>
      <c r="AF990" t="s">
        <v>11118</v>
      </c>
      <c r="AG990" t="s">
        <v>11124</v>
      </c>
      <c r="AJ990" t="s">
        <v>11129</v>
      </c>
      <c r="AK990" t="s">
        <v>7225</v>
      </c>
      <c r="AM990">
        <v>552</v>
      </c>
      <c r="AN990" t="s">
        <v>11151</v>
      </c>
      <c r="AO990" t="s">
        <v>11153</v>
      </c>
      <c r="AQ990" t="s">
        <v>11157</v>
      </c>
      <c r="AS990" t="s">
        <v>11174</v>
      </c>
      <c r="AU990">
        <v>14</v>
      </c>
      <c r="AW990" t="s">
        <v>11187</v>
      </c>
      <c r="AY990" t="s">
        <v>11213</v>
      </c>
      <c r="BA990" t="s">
        <v>11222</v>
      </c>
      <c r="BD990" t="s">
        <v>11667</v>
      </c>
      <c r="BF990" t="s">
        <v>14364</v>
      </c>
      <c r="BM990" t="s">
        <v>15650</v>
      </c>
    </row>
    <row r="991" spans="1:65">
      <c r="A991" s="1">
        <f>HYPERLINK("https://lsnyc.legalserver.org/matter/dynamic-profile/view/1914750","19-1914750")</f>
        <v>0</v>
      </c>
      <c r="B991" t="s">
        <v>110</v>
      </c>
      <c r="C991" t="s">
        <v>245</v>
      </c>
      <c r="D991" t="s">
        <v>614</v>
      </c>
      <c r="F991" t="s">
        <v>1090</v>
      </c>
      <c r="G991" t="s">
        <v>3385</v>
      </c>
      <c r="H991" t="s">
        <v>4780</v>
      </c>
      <c r="I991" t="s">
        <v>6525</v>
      </c>
      <c r="J991" t="s">
        <v>7169</v>
      </c>
      <c r="K991">
        <v>10035</v>
      </c>
      <c r="N991" t="s">
        <v>7237</v>
      </c>
      <c r="O991" t="s">
        <v>7945</v>
      </c>
      <c r="P991">
        <v>1</v>
      </c>
      <c r="Q991">
        <v>0</v>
      </c>
      <c r="R991">
        <v>160.13</v>
      </c>
      <c r="U991">
        <v>20000</v>
      </c>
      <c r="W991">
        <v>0</v>
      </c>
      <c r="Y991" t="s">
        <v>10859</v>
      </c>
      <c r="AA991" t="s">
        <v>10974</v>
      </c>
      <c r="AB991" t="s">
        <v>614</v>
      </c>
      <c r="AD991" t="s">
        <v>11101</v>
      </c>
      <c r="AF991" t="s">
        <v>11118</v>
      </c>
      <c r="AH991" t="s">
        <v>10974</v>
      </c>
      <c r="AJ991" t="s">
        <v>11129</v>
      </c>
      <c r="AK991" t="s">
        <v>7225</v>
      </c>
      <c r="AM991">
        <v>552</v>
      </c>
      <c r="AO991">
        <v>60</v>
      </c>
      <c r="AQ991" t="s">
        <v>11157</v>
      </c>
      <c r="AS991" t="s">
        <v>11174</v>
      </c>
      <c r="AU991">
        <v>14</v>
      </c>
      <c r="AW991" t="s">
        <v>11187</v>
      </c>
      <c r="AY991" t="s">
        <v>11213</v>
      </c>
      <c r="BA991" t="s">
        <v>11222</v>
      </c>
      <c r="BD991" t="s">
        <v>11667</v>
      </c>
      <c r="BF991" t="s">
        <v>14364</v>
      </c>
      <c r="BM991" t="s">
        <v>15650</v>
      </c>
    </row>
    <row r="992" spans="1:65">
      <c r="A992" s="1">
        <f>HYPERLINK("https://lsnyc.legalserver.org/matter/dynamic-profile/view/1908585","19-1908585")</f>
        <v>0</v>
      </c>
      <c r="B992" t="s">
        <v>110</v>
      </c>
      <c r="C992" t="s">
        <v>245</v>
      </c>
      <c r="D992" t="s">
        <v>302</v>
      </c>
      <c r="E992" t="s">
        <v>262</v>
      </c>
      <c r="F992" t="s">
        <v>1620</v>
      </c>
      <c r="G992" t="s">
        <v>3054</v>
      </c>
      <c r="H992" t="s">
        <v>5177</v>
      </c>
      <c r="I992" t="s">
        <v>6584</v>
      </c>
      <c r="J992" t="s">
        <v>7169</v>
      </c>
      <c r="K992">
        <v>10035</v>
      </c>
      <c r="L992" t="s">
        <v>7216</v>
      </c>
      <c r="N992" t="s">
        <v>7237</v>
      </c>
      <c r="O992" t="s">
        <v>7946</v>
      </c>
      <c r="P992">
        <v>1</v>
      </c>
      <c r="Q992">
        <v>0</v>
      </c>
      <c r="R992">
        <v>73.79000000000001</v>
      </c>
      <c r="U992">
        <v>9216</v>
      </c>
      <c r="W992">
        <v>1</v>
      </c>
      <c r="X992" t="s">
        <v>660</v>
      </c>
      <c r="Y992" t="s">
        <v>10859</v>
      </c>
      <c r="AA992" t="s">
        <v>10974</v>
      </c>
      <c r="AB992" t="s">
        <v>637</v>
      </c>
      <c r="AD992" t="s">
        <v>11086</v>
      </c>
      <c r="AF992" t="s">
        <v>11119</v>
      </c>
      <c r="AH992" t="s">
        <v>10975</v>
      </c>
      <c r="AJ992" t="s">
        <v>11134</v>
      </c>
      <c r="AK992" t="s">
        <v>7225</v>
      </c>
      <c r="AM992">
        <v>354</v>
      </c>
      <c r="AO992">
        <v>24</v>
      </c>
      <c r="AQ992" t="s">
        <v>11164</v>
      </c>
      <c r="AS992" t="s">
        <v>11173</v>
      </c>
      <c r="AU992">
        <v>33</v>
      </c>
      <c r="AW992" t="s">
        <v>11189</v>
      </c>
      <c r="AY992" t="s">
        <v>11213</v>
      </c>
      <c r="BA992" t="s">
        <v>11222</v>
      </c>
      <c r="BE992" t="s">
        <v>12276</v>
      </c>
      <c r="BF992" t="s">
        <v>14364</v>
      </c>
      <c r="BM992" t="s">
        <v>15651</v>
      </c>
    </row>
    <row r="993" spans="1:65">
      <c r="A993" s="1">
        <f>HYPERLINK("https://lsnyc.legalserver.org/matter/dynamic-profile/view/1897721","19-1897721")</f>
        <v>0</v>
      </c>
      <c r="B993" t="s">
        <v>110</v>
      </c>
      <c r="C993" t="s">
        <v>245</v>
      </c>
      <c r="D993" t="s">
        <v>633</v>
      </c>
      <c r="F993" t="s">
        <v>1621</v>
      </c>
      <c r="G993" t="s">
        <v>3386</v>
      </c>
      <c r="H993" t="s">
        <v>5178</v>
      </c>
      <c r="I993" t="s">
        <v>6437</v>
      </c>
      <c r="J993" t="s">
        <v>7169</v>
      </c>
      <c r="K993">
        <v>10035</v>
      </c>
      <c r="N993" t="s">
        <v>7237</v>
      </c>
      <c r="O993" t="s">
        <v>7947</v>
      </c>
      <c r="P993">
        <v>2</v>
      </c>
      <c r="Q993">
        <v>0</v>
      </c>
      <c r="R993">
        <v>313.42</v>
      </c>
      <c r="U993">
        <v>53000</v>
      </c>
      <c r="V993" t="s">
        <v>10361</v>
      </c>
      <c r="W993">
        <v>0.75</v>
      </c>
      <c r="X993" t="s">
        <v>266</v>
      </c>
      <c r="Y993" t="s">
        <v>10859</v>
      </c>
      <c r="AA993" t="s">
        <v>10974</v>
      </c>
      <c r="AB993" t="s">
        <v>444</v>
      </c>
      <c r="AD993" t="s">
        <v>11086</v>
      </c>
      <c r="AF993" t="s">
        <v>10384</v>
      </c>
      <c r="AH993" t="s">
        <v>10974</v>
      </c>
      <c r="AJ993" t="s">
        <v>11137</v>
      </c>
      <c r="AK993" t="s">
        <v>7225</v>
      </c>
      <c r="AM993">
        <v>1065</v>
      </c>
      <c r="AO993">
        <v>60</v>
      </c>
      <c r="AQ993" t="s">
        <v>11157</v>
      </c>
      <c r="AS993" t="s">
        <v>11173</v>
      </c>
      <c r="AU993">
        <v>14</v>
      </c>
      <c r="AW993" t="s">
        <v>11187</v>
      </c>
      <c r="AY993" t="s">
        <v>11213</v>
      </c>
      <c r="BA993" t="s">
        <v>11222</v>
      </c>
      <c r="BD993" t="s">
        <v>11667</v>
      </c>
      <c r="BF993" t="s">
        <v>14364</v>
      </c>
      <c r="BM993" t="s">
        <v>15650</v>
      </c>
    </row>
    <row r="994" spans="1:65">
      <c r="A994" s="1">
        <f>HYPERLINK("https://lsnyc.legalserver.org/matter/dynamic-profile/view/1915022","19-1915022")</f>
        <v>0</v>
      </c>
      <c r="B994" t="s">
        <v>110</v>
      </c>
      <c r="C994" t="s">
        <v>245</v>
      </c>
      <c r="D994" t="s">
        <v>264</v>
      </c>
      <c r="F994" t="s">
        <v>1622</v>
      </c>
      <c r="G994" t="s">
        <v>3387</v>
      </c>
      <c r="H994" t="s">
        <v>4780</v>
      </c>
      <c r="I994" t="s">
        <v>6666</v>
      </c>
      <c r="J994" t="s">
        <v>7169</v>
      </c>
      <c r="K994">
        <v>10035</v>
      </c>
      <c r="N994" t="s">
        <v>7237</v>
      </c>
      <c r="O994" t="s">
        <v>7948</v>
      </c>
      <c r="P994">
        <v>2</v>
      </c>
      <c r="Q994">
        <v>0</v>
      </c>
      <c r="R994">
        <v>413.96</v>
      </c>
      <c r="U994">
        <v>70000</v>
      </c>
      <c r="W994">
        <v>0</v>
      </c>
      <c r="Y994" t="s">
        <v>10859</v>
      </c>
      <c r="AA994" t="s">
        <v>10974</v>
      </c>
      <c r="AB994" t="s">
        <v>264</v>
      </c>
      <c r="AD994" t="s">
        <v>11098</v>
      </c>
      <c r="AF994" t="s">
        <v>11118</v>
      </c>
      <c r="AH994" t="s">
        <v>10974</v>
      </c>
      <c r="AJ994" t="s">
        <v>11129</v>
      </c>
      <c r="AK994" t="s">
        <v>7225</v>
      </c>
      <c r="AM994">
        <v>1230</v>
      </c>
      <c r="AO994">
        <v>60</v>
      </c>
      <c r="AQ994" t="s">
        <v>11160</v>
      </c>
      <c r="AS994" t="s">
        <v>11173</v>
      </c>
      <c r="AU994">
        <v>8</v>
      </c>
      <c r="AW994" t="s">
        <v>11187</v>
      </c>
      <c r="AY994" t="s">
        <v>11213</v>
      </c>
      <c r="BA994" t="s">
        <v>11222</v>
      </c>
      <c r="BE994" t="s">
        <v>12277</v>
      </c>
      <c r="BF994" t="s">
        <v>14364</v>
      </c>
      <c r="BM994" t="s">
        <v>15650</v>
      </c>
    </row>
    <row r="995" spans="1:65">
      <c r="A995" s="1">
        <f>HYPERLINK("https://lsnyc.legalserver.org/matter/dynamic-profile/view/1909127","19-1909127")</f>
        <v>0</v>
      </c>
      <c r="B995" t="s">
        <v>110</v>
      </c>
      <c r="C995" t="s">
        <v>245</v>
      </c>
      <c r="D995" t="s">
        <v>568</v>
      </c>
      <c r="F995" t="s">
        <v>1144</v>
      </c>
      <c r="G995" t="s">
        <v>3388</v>
      </c>
      <c r="H995" t="s">
        <v>5172</v>
      </c>
      <c r="I995" t="s">
        <v>6412</v>
      </c>
      <c r="J995" t="s">
        <v>7169</v>
      </c>
      <c r="K995">
        <v>10035</v>
      </c>
      <c r="N995" t="s">
        <v>7237</v>
      </c>
      <c r="O995" t="s">
        <v>7949</v>
      </c>
      <c r="P995">
        <v>2</v>
      </c>
      <c r="Q995">
        <v>0</v>
      </c>
      <c r="R995">
        <v>413.96</v>
      </c>
      <c r="U995">
        <v>70000</v>
      </c>
      <c r="W995">
        <v>2.7</v>
      </c>
      <c r="X995" t="s">
        <v>638</v>
      </c>
      <c r="Y995" t="s">
        <v>10859</v>
      </c>
      <c r="AA995" t="s">
        <v>10974</v>
      </c>
      <c r="AB995" t="s">
        <v>797</v>
      </c>
      <c r="AD995" t="s">
        <v>11086</v>
      </c>
      <c r="AF995" t="s">
        <v>10384</v>
      </c>
      <c r="AH995" t="s">
        <v>10975</v>
      </c>
      <c r="AJ995" t="s">
        <v>11137</v>
      </c>
      <c r="AK995" t="s">
        <v>7225</v>
      </c>
      <c r="AM995">
        <v>2150</v>
      </c>
      <c r="AO995">
        <v>72</v>
      </c>
      <c r="AQ995" t="s">
        <v>11157</v>
      </c>
      <c r="AS995" t="s">
        <v>11173</v>
      </c>
      <c r="AU995">
        <v>1</v>
      </c>
      <c r="AW995" t="s">
        <v>11187</v>
      </c>
      <c r="AY995" t="s">
        <v>11213</v>
      </c>
      <c r="BA995" t="s">
        <v>11222</v>
      </c>
      <c r="BE995" t="s">
        <v>12278</v>
      </c>
      <c r="BF995" t="s">
        <v>14364</v>
      </c>
      <c r="BM995" t="s">
        <v>15650</v>
      </c>
    </row>
    <row r="996" spans="1:65">
      <c r="A996" s="1">
        <f>HYPERLINK("https://lsnyc.legalserver.org/matter/dynamic-profile/view/1912711","19-1912711")</f>
        <v>0</v>
      </c>
      <c r="B996" t="s">
        <v>110</v>
      </c>
      <c r="C996" t="s">
        <v>245</v>
      </c>
      <c r="D996" t="s">
        <v>634</v>
      </c>
      <c r="F996" t="s">
        <v>1616</v>
      </c>
      <c r="G996" t="s">
        <v>3236</v>
      </c>
      <c r="H996" t="s">
        <v>5172</v>
      </c>
      <c r="I996" t="s">
        <v>6527</v>
      </c>
      <c r="J996" t="s">
        <v>7169</v>
      </c>
      <c r="K996">
        <v>10035</v>
      </c>
      <c r="N996" t="s">
        <v>7237</v>
      </c>
      <c r="O996" t="s">
        <v>7938</v>
      </c>
      <c r="P996">
        <v>3</v>
      </c>
      <c r="Q996">
        <v>0</v>
      </c>
      <c r="R996">
        <v>43.38</v>
      </c>
      <c r="U996">
        <v>9252</v>
      </c>
      <c r="W996">
        <v>0</v>
      </c>
      <c r="Y996" t="s">
        <v>110</v>
      </c>
      <c r="AA996" t="s">
        <v>10974</v>
      </c>
      <c r="AB996" t="s">
        <v>634</v>
      </c>
      <c r="AD996" t="s">
        <v>11100</v>
      </c>
      <c r="AF996" t="s">
        <v>10384</v>
      </c>
      <c r="AH996" t="s">
        <v>10975</v>
      </c>
      <c r="AJ996" t="s">
        <v>11104</v>
      </c>
      <c r="AK996" t="s">
        <v>7225</v>
      </c>
      <c r="AM996">
        <v>1962.89</v>
      </c>
      <c r="AO996">
        <v>72</v>
      </c>
      <c r="AQ996" t="s">
        <v>11157</v>
      </c>
      <c r="AS996" t="s">
        <v>11174</v>
      </c>
      <c r="AU996">
        <v>39</v>
      </c>
      <c r="AW996" t="s">
        <v>11187</v>
      </c>
      <c r="AY996" t="s">
        <v>11213</v>
      </c>
      <c r="BA996" t="s">
        <v>11222</v>
      </c>
      <c r="BB996" t="s">
        <v>11224</v>
      </c>
      <c r="BC996" t="s">
        <v>11330</v>
      </c>
      <c r="BE996" t="s">
        <v>12270</v>
      </c>
      <c r="BF996" t="s">
        <v>14364</v>
      </c>
      <c r="BM996" t="s">
        <v>15650</v>
      </c>
    </row>
    <row r="997" spans="1:65">
      <c r="A997" s="1">
        <f>HYPERLINK("https://lsnyc.legalserver.org/matter/dynamic-profile/view/1914818","19-1914818")</f>
        <v>0</v>
      </c>
      <c r="B997" t="s">
        <v>110</v>
      </c>
      <c r="C997" t="s">
        <v>245</v>
      </c>
      <c r="D997" t="s">
        <v>262</v>
      </c>
      <c r="F997" t="s">
        <v>1623</v>
      </c>
      <c r="G997" t="s">
        <v>3389</v>
      </c>
      <c r="H997" t="s">
        <v>4780</v>
      </c>
      <c r="I997" t="s">
        <v>6667</v>
      </c>
      <c r="J997" t="s">
        <v>7169</v>
      </c>
      <c r="K997">
        <v>10035</v>
      </c>
      <c r="N997" t="s">
        <v>7237</v>
      </c>
      <c r="O997" t="s">
        <v>7950</v>
      </c>
      <c r="P997">
        <v>1</v>
      </c>
      <c r="Q997">
        <v>0</v>
      </c>
      <c r="R997">
        <v>80.8</v>
      </c>
      <c r="U997">
        <v>10092</v>
      </c>
      <c r="W997">
        <v>0</v>
      </c>
      <c r="Y997" t="s">
        <v>10859</v>
      </c>
      <c r="AA997" t="s">
        <v>10974</v>
      </c>
      <c r="AB997" t="s">
        <v>614</v>
      </c>
      <c r="AD997" t="s">
        <v>11101</v>
      </c>
      <c r="AF997" t="s">
        <v>11118</v>
      </c>
      <c r="AH997" t="s">
        <v>10974</v>
      </c>
      <c r="AJ997" t="s">
        <v>11129</v>
      </c>
      <c r="AK997" t="s">
        <v>7225</v>
      </c>
      <c r="AM997">
        <v>2500</v>
      </c>
      <c r="AO997">
        <v>60</v>
      </c>
      <c r="AQ997" t="s">
        <v>11157</v>
      </c>
      <c r="AS997" t="s">
        <v>11174</v>
      </c>
      <c r="AU997">
        <v>14</v>
      </c>
      <c r="AW997" t="s">
        <v>11189</v>
      </c>
      <c r="AY997" t="s">
        <v>11213</v>
      </c>
      <c r="AZ997" t="s">
        <v>11221</v>
      </c>
      <c r="BA997" t="s">
        <v>11173</v>
      </c>
      <c r="BE997" t="s">
        <v>12279</v>
      </c>
      <c r="BF997" t="s">
        <v>14364</v>
      </c>
      <c r="BM997" t="s">
        <v>15650</v>
      </c>
    </row>
    <row r="998" spans="1:65">
      <c r="A998" s="1">
        <f>HYPERLINK("https://lsnyc.legalserver.org/matter/dynamic-profile/view/1908462","19-1908462")</f>
        <v>0</v>
      </c>
      <c r="B998" t="s">
        <v>110</v>
      </c>
      <c r="C998" t="s">
        <v>245</v>
      </c>
      <c r="D998" t="s">
        <v>635</v>
      </c>
      <c r="E998" t="s">
        <v>539</v>
      </c>
      <c r="F998" t="s">
        <v>1624</v>
      </c>
      <c r="G998" t="s">
        <v>3390</v>
      </c>
      <c r="H998" t="s">
        <v>5172</v>
      </c>
      <c r="I998" t="s">
        <v>6525</v>
      </c>
      <c r="J998" t="s">
        <v>7169</v>
      </c>
      <c r="K998">
        <v>10035</v>
      </c>
      <c r="L998" t="s">
        <v>7217</v>
      </c>
      <c r="N998" t="s">
        <v>7237</v>
      </c>
      <c r="O998" t="s">
        <v>7951</v>
      </c>
      <c r="P998">
        <v>1</v>
      </c>
      <c r="Q998">
        <v>0</v>
      </c>
      <c r="R998">
        <v>144.12</v>
      </c>
      <c r="U998">
        <v>18000</v>
      </c>
      <c r="W998">
        <v>0.2</v>
      </c>
      <c r="X998" t="s">
        <v>638</v>
      </c>
      <c r="Y998" t="s">
        <v>10859</v>
      </c>
      <c r="AA998" t="s">
        <v>10974</v>
      </c>
      <c r="AB998" t="s">
        <v>437</v>
      </c>
      <c r="AD998" t="s">
        <v>11101</v>
      </c>
      <c r="AF998" t="s">
        <v>11118</v>
      </c>
      <c r="AH998" t="s">
        <v>10974</v>
      </c>
      <c r="AJ998" t="s">
        <v>11134</v>
      </c>
      <c r="AK998" t="s">
        <v>7225</v>
      </c>
      <c r="AM998">
        <v>1937.63</v>
      </c>
      <c r="AO998">
        <v>72</v>
      </c>
      <c r="AQ998" t="s">
        <v>11157</v>
      </c>
      <c r="AS998" t="s">
        <v>11174</v>
      </c>
      <c r="AU998">
        <v>39</v>
      </c>
      <c r="AW998" t="s">
        <v>11187</v>
      </c>
      <c r="AY998" t="s">
        <v>11213</v>
      </c>
      <c r="BA998" t="s">
        <v>11222</v>
      </c>
      <c r="BE998" t="s">
        <v>12280</v>
      </c>
      <c r="BF998" t="s">
        <v>14364</v>
      </c>
      <c r="BJ998" t="s">
        <v>15615</v>
      </c>
      <c r="BM998" t="s">
        <v>15651</v>
      </c>
    </row>
    <row r="999" spans="1:65">
      <c r="A999" s="1">
        <f>HYPERLINK("https://lsnyc.legalserver.org/matter/dynamic-profile/view/1897751","19-1897751")</f>
        <v>0</v>
      </c>
      <c r="B999" t="s">
        <v>110</v>
      </c>
      <c r="C999" t="s">
        <v>245</v>
      </c>
      <c r="D999" t="s">
        <v>633</v>
      </c>
      <c r="F999" t="s">
        <v>1623</v>
      </c>
      <c r="G999" t="s">
        <v>3389</v>
      </c>
      <c r="H999" t="s">
        <v>4780</v>
      </c>
      <c r="I999" t="s">
        <v>6667</v>
      </c>
      <c r="J999" t="s">
        <v>7169</v>
      </c>
      <c r="K999">
        <v>10035</v>
      </c>
      <c r="N999" t="s">
        <v>7237</v>
      </c>
      <c r="O999" t="s">
        <v>7950</v>
      </c>
      <c r="P999">
        <v>1</v>
      </c>
      <c r="Q999">
        <v>0</v>
      </c>
      <c r="R999">
        <v>80.8</v>
      </c>
      <c r="U999">
        <v>10092</v>
      </c>
      <c r="W999">
        <v>0</v>
      </c>
      <c r="Y999" t="s">
        <v>10859</v>
      </c>
      <c r="AA999" t="s">
        <v>10974</v>
      </c>
      <c r="AB999" t="s">
        <v>444</v>
      </c>
      <c r="AD999" t="s">
        <v>11086</v>
      </c>
      <c r="AF999" t="s">
        <v>10384</v>
      </c>
      <c r="AH999" t="s">
        <v>10974</v>
      </c>
      <c r="AJ999" t="s">
        <v>11137</v>
      </c>
      <c r="AK999" t="s">
        <v>7225</v>
      </c>
      <c r="AM999">
        <v>2500</v>
      </c>
      <c r="AO999">
        <v>60</v>
      </c>
      <c r="AQ999" t="s">
        <v>11157</v>
      </c>
      <c r="AS999" t="s">
        <v>11174</v>
      </c>
      <c r="AU999">
        <v>14</v>
      </c>
      <c r="AW999" t="s">
        <v>11189</v>
      </c>
      <c r="AY999" t="s">
        <v>11213</v>
      </c>
      <c r="AZ999" t="s">
        <v>11221</v>
      </c>
      <c r="BE999" t="s">
        <v>12279</v>
      </c>
      <c r="BF999" t="s">
        <v>14364</v>
      </c>
      <c r="BM999" t="s">
        <v>15650</v>
      </c>
    </row>
    <row r="1000" spans="1:65">
      <c r="A1000" s="1">
        <f>HYPERLINK("https://lsnyc.legalserver.org/matter/dynamic-profile/view/1910410","19-1910410")</f>
        <v>0</v>
      </c>
      <c r="B1000" t="s">
        <v>110</v>
      </c>
      <c r="C1000" t="s">
        <v>245</v>
      </c>
      <c r="D1000" t="s">
        <v>263</v>
      </c>
      <c r="F1000" t="s">
        <v>1625</v>
      </c>
      <c r="G1000" t="s">
        <v>3391</v>
      </c>
      <c r="H1000" t="s">
        <v>5179</v>
      </c>
      <c r="I1000" t="s">
        <v>6618</v>
      </c>
      <c r="J1000" t="s">
        <v>7169</v>
      </c>
      <c r="K1000">
        <v>10028</v>
      </c>
      <c r="N1000" t="s">
        <v>7240</v>
      </c>
      <c r="O1000" t="s">
        <v>7952</v>
      </c>
      <c r="P1000">
        <v>2</v>
      </c>
      <c r="Q1000">
        <v>0</v>
      </c>
      <c r="R1000">
        <v>109.78</v>
      </c>
      <c r="U1000">
        <v>18564</v>
      </c>
      <c r="W1000">
        <v>6.2</v>
      </c>
      <c r="X1000" t="s">
        <v>272</v>
      </c>
      <c r="Y1000" t="s">
        <v>10859</v>
      </c>
      <c r="AA1000" t="s">
        <v>10974</v>
      </c>
      <c r="AB1000" t="s">
        <v>335</v>
      </c>
      <c r="AD1000" t="s">
        <v>11092</v>
      </c>
      <c r="AF1000" t="s">
        <v>11120</v>
      </c>
      <c r="AH1000" t="s">
        <v>10975</v>
      </c>
      <c r="AJ1000" t="s">
        <v>11129</v>
      </c>
      <c r="AK1000" t="s">
        <v>7225</v>
      </c>
      <c r="AM1000">
        <v>1844.37</v>
      </c>
      <c r="AO1000">
        <v>60</v>
      </c>
      <c r="AQ1000" t="s">
        <v>11160</v>
      </c>
      <c r="AS1000" t="s">
        <v>11175</v>
      </c>
      <c r="AU1000">
        <v>49</v>
      </c>
      <c r="AW1000" t="s">
        <v>11187</v>
      </c>
      <c r="AY1000" t="s">
        <v>11213</v>
      </c>
      <c r="BA1000" t="s">
        <v>11222</v>
      </c>
      <c r="BB1000" t="s">
        <v>11224</v>
      </c>
      <c r="BC1000" t="s">
        <v>11331</v>
      </c>
      <c r="BE1000" t="s">
        <v>12281</v>
      </c>
      <c r="BF1000" t="s">
        <v>14364</v>
      </c>
      <c r="BM1000" t="s">
        <v>15650</v>
      </c>
    </row>
    <row r="1001" spans="1:65">
      <c r="A1001" s="1">
        <f>HYPERLINK("https://lsnyc.legalserver.org/matter/dynamic-profile/view/1915291","19-1915291")</f>
        <v>0</v>
      </c>
      <c r="B1001" t="s">
        <v>110</v>
      </c>
      <c r="C1001" t="s">
        <v>245</v>
      </c>
      <c r="D1001" t="s">
        <v>426</v>
      </c>
      <c r="F1001" t="s">
        <v>1623</v>
      </c>
      <c r="G1001" t="s">
        <v>3389</v>
      </c>
      <c r="H1001" t="s">
        <v>4780</v>
      </c>
      <c r="I1001" t="s">
        <v>6667</v>
      </c>
      <c r="J1001" t="s">
        <v>7169</v>
      </c>
      <c r="K1001">
        <v>10035</v>
      </c>
      <c r="N1001" t="s">
        <v>7237</v>
      </c>
      <c r="O1001" t="s">
        <v>7950</v>
      </c>
      <c r="P1001">
        <v>1</v>
      </c>
      <c r="Q1001">
        <v>0</v>
      </c>
      <c r="R1001">
        <v>80.8</v>
      </c>
      <c r="U1001">
        <v>10092</v>
      </c>
      <c r="W1001">
        <v>0</v>
      </c>
      <c r="Y1001" t="s">
        <v>10859</v>
      </c>
      <c r="AA1001" t="s">
        <v>10974</v>
      </c>
      <c r="AB1001" t="s">
        <v>426</v>
      </c>
      <c r="AD1001" t="s">
        <v>11098</v>
      </c>
      <c r="AF1001" t="s">
        <v>11118</v>
      </c>
      <c r="AH1001" t="s">
        <v>10974</v>
      </c>
      <c r="AJ1001" t="s">
        <v>11129</v>
      </c>
      <c r="AK1001" t="s">
        <v>7225</v>
      </c>
      <c r="AM1001">
        <v>2500</v>
      </c>
      <c r="AO1001">
        <v>60</v>
      </c>
      <c r="AQ1001" t="s">
        <v>11157</v>
      </c>
      <c r="AS1001" t="s">
        <v>11174</v>
      </c>
      <c r="AU1001">
        <v>14</v>
      </c>
      <c r="AW1001" t="s">
        <v>11189</v>
      </c>
      <c r="AY1001" t="s">
        <v>11213</v>
      </c>
      <c r="BA1001" t="s">
        <v>11222</v>
      </c>
      <c r="BE1001" t="s">
        <v>12279</v>
      </c>
      <c r="BF1001" t="s">
        <v>14364</v>
      </c>
      <c r="BM1001" t="s">
        <v>15650</v>
      </c>
    </row>
    <row r="1002" spans="1:65">
      <c r="A1002" s="1">
        <f>HYPERLINK("https://lsnyc.legalserver.org/matter/dynamic-profile/view/1914758","19-1914758")</f>
        <v>0</v>
      </c>
      <c r="B1002" t="s">
        <v>110</v>
      </c>
      <c r="C1002" t="s">
        <v>245</v>
      </c>
      <c r="D1002" t="s">
        <v>614</v>
      </c>
      <c r="F1002" t="s">
        <v>1622</v>
      </c>
      <c r="G1002" t="s">
        <v>3387</v>
      </c>
      <c r="H1002" t="s">
        <v>4780</v>
      </c>
      <c r="I1002" t="s">
        <v>6666</v>
      </c>
      <c r="J1002" t="s">
        <v>7169</v>
      </c>
      <c r="K1002">
        <v>10035</v>
      </c>
      <c r="N1002" t="s">
        <v>7237</v>
      </c>
      <c r="O1002" t="s">
        <v>7948</v>
      </c>
      <c r="P1002">
        <v>2</v>
      </c>
      <c r="Q1002">
        <v>0</v>
      </c>
      <c r="R1002">
        <v>413.96</v>
      </c>
      <c r="U1002">
        <v>70000</v>
      </c>
      <c r="W1002">
        <v>0</v>
      </c>
      <c r="Y1002" t="s">
        <v>10859</v>
      </c>
      <c r="AA1002" t="s">
        <v>10974</v>
      </c>
      <c r="AB1002" t="s">
        <v>614</v>
      </c>
      <c r="AD1002" t="s">
        <v>11101</v>
      </c>
      <c r="AF1002" t="s">
        <v>11118</v>
      </c>
      <c r="AH1002" t="s">
        <v>10974</v>
      </c>
      <c r="AJ1002" t="s">
        <v>11129</v>
      </c>
      <c r="AK1002" t="s">
        <v>7225</v>
      </c>
      <c r="AM1002">
        <v>1230</v>
      </c>
      <c r="AO1002">
        <v>60</v>
      </c>
      <c r="AQ1002" t="s">
        <v>11160</v>
      </c>
      <c r="AS1002" t="s">
        <v>11173</v>
      </c>
      <c r="AU1002">
        <v>8</v>
      </c>
      <c r="AW1002" t="s">
        <v>11187</v>
      </c>
      <c r="AY1002" t="s">
        <v>11213</v>
      </c>
      <c r="BA1002" t="s">
        <v>11222</v>
      </c>
      <c r="BE1002" t="s">
        <v>12277</v>
      </c>
      <c r="BF1002" t="s">
        <v>14364</v>
      </c>
      <c r="BM1002" t="s">
        <v>15650</v>
      </c>
    </row>
    <row r="1003" spans="1:65">
      <c r="A1003" s="1">
        <f>HYPERLINK("https://lsnyc.legalserver.org/matter/dynamic-profile/view/1889603","19-1889603")</f>
        <v>0</v>
      </c>
      <c r="B1003" t="s">
        <v>110</v>
      </c>
      <c r="C1003" t="s">
        <v>245</v>
      </c>
      <c r="D1003" t="s">
        <v>604</v>
      </c>
      <c r="F1003" t="s">
        <v>1626</v>
      </c>
      <c r="G1003" t="s">
        <v>3392</v>
      </c>
      <c r="H1003" t="s">
        <v>5180</v>
      </c>
      <c r="I1003" t="s">
        <v>6413</v>
      </c>
      <c r="J1003" t="s">
        <v>7169</v>
      </c>
      <c r="K1003">
        <v>10035</v>
      </c>
      <c r="N1003" t="s">
        <v>7237</v>
      </c>
      <c r="O1003" t="s">
        <v>7953</v>
      </c>
      <c r="P1003">
        <v>4</v>
      </c>
      <c r="Q1003">
        <v>0</v>
      </c>
      <c r="R1003">
        <v>109.28</v>
      </c>
      <c r="U1003">
        <v>28140</v>
      </c>
      <c r="W1003">
        <v>30</v>
      </c>
      <c r="X1003" t="s">
        <v>638</v>
      </c>
      <c r="Y1003" t="s">
        <v>10884</v>
      </c>
      <c r="AA1003" t="s">
        <v>10974</v>
      </c>
      <c r="AB1003" t="s">
        <v>636</v>
      </c>
      <c r="AD1003" t="s">
        <v>11082</v>
      </c>
      <c r="AF1003" t="s">
        <v>11118</v>
      </c>
      <c r="AH1003" t="s">
        <v>10975</v>
      </c>
      <c r="AJ1003" t="s">
        <v>11144</v>
      </c>
      <c r="AK1003" t="s">
        <v>7225</v>
      </c>
      <c r="AM1003">
        <v>3600</v>
      </c>
      <c r="AO1003">
        <v>48</v>
      </c>
      <c r="AQ1003" t="s">
        <v>11163</v>
      </c>
      <c r="AS1003" t="s">
        <v>11179</v>
      </c>
      <c r="AU1003">
        <v>12</v>
      </c>
      <c r="AW1003" t="s">
        <v>11187</v>
      </c>
      <c r="AY1003" t="s">
        <v>11213</v>
      </c>
      <c r="AZ1003" t="s">
        <v>11221</v>
      </c>
      <c r="BE1003" t="s">
        <v>12282</v>
      </c>
      <c r="BG1003" t="s">
        <v>14643</v>
      </c>
      <c r="BM1003" t="s">
        <v>15650</v>
      </c>
    </row>
    <row r="1004" spans="1:65">
      <c r="A1004" s="1">
        <f>HYPERLINK("https://lsnyc.legalserver.org/matter/dynamic-profile/view/1908412","19-1908412")</f>
        <v>0</v>
      </c>
      <c r="B1004" t="s">
        <v>110</v>
      </c>
      <c r="C1004" t="s">
        <v>245</v>
      </c>
      <c r="D1004" t="s">
        <v>565</v>
      </c>
      <c r="E1004" t="s">
        <v>539</v>
      </c>
      <c r="F1004" t="s">
        <v>1627</v>
      </c>
      <c r="G1004" t="s">
        <v>3393</v>
      </c>
      <c r="H1004" t="s">
        <v>5172</v>
      </c>
      <c r="I1004" t="s">
        <v>6564</v>
      </c>
      <c r="J1004" t="s">
        <v>7169</v>
      </c>
      <c r="K1004">
        <v>10035</v>
      </c>
      <c r="L1004" t="s">
        <v>7217</v>
      </c>
      <c r="N1004" t="s">
        <v>7237</v>
      </c>
      <c r="O1004" t="s">
        <v>7954</v>
      </c>
      <c r="P1004">
        <v>1</v>
      </c>
      <c r="Q1004">
        <v>0</v>
      </c>
      <c r="R1004">
        <v>800.64</v>
      </c>
      <c r="U1004">
        <v>100000</v>
      </c>
      <c r="V1004" t="s">
        <v>10362</v>
      </c>
      <c r="W1004">
        <v>0.2</v>
      </c>
      <c r="X1004" t="s">
        <v>638</v>
      </c>
      <c r="Y1004" t="s">
        <v>10859</v>
      </c>
      <c r="AA1004" t="s">
        <v>10974</v>
      </c>
      <c r="AB1004" t="s">
        <v>637</v>
      </c>
      <c r="AD1004" t="s">
        <v>11101</v>
      </c>
      <c r="AF1004" t="s">
        <v>10384</v>
      </c>
      <c r="AH1004" t="s">
        <v>10974</v>
      </c>
      <c r="AJ1004" t="s">
        <v>11134</v>
      </c>
      <c r="AK1004" t="s">
        <v>7225</v>
      </c>
      <c r="AM1004">
        <v>1510</v>
      </c>
      <c r="AO1004">
        <v>72</v>
      </c>
      <c r="AQ1004" t="s">
        <v>11157</v>
      </c>
      <c r="AS1004" t="s">
        <v>11173</v>
      </c>
      <c r="AU1004">
        <v>6</v>
      </c>
      <c r="AW1004" t="s">
        <v>11187</v>
      </c>
      <c r="AY1004" t="s">
        <v>11213</v>
      </c>
      <c r="BA1004" t="s">
        <v>11222</v>
      </c>
      <c r="BC1004" t="s">
        <v>11173</v>
      </c>
      <c r="BE1004" t="s">
        <v>12283</v>
      </c>
      <c r="BF1004" t="s">
        <v>14364</v>
      </c>
      <c r="BM1004" t="s">
        <v>15651</v>
      </c>
    </row>
    <row r="1005" spans="1:65">
      <c r="A1005" s="1">
        <f>HYPERLINK("https://lsnyc.legalserver.org/matter/dynamic-profile/view/1908410","19-1908410")</f>
        <v>0</v>
      </c>
      <c r="B1005" t="s">
        <v>110</v>
      </c>
      <c r="C1005" t="s">
        <v>245</v>
      </c>
      <c r="D1005" t="s">
        <v>565</v>
      </c>
      <c r="E1005" t="s">
        <v>539</v>
      </c>
      <c r="F1005" t="s">
        <v>1452</v>
      </c>
      <c r="G1005" t="s">
        <v>3126</v>
      </c>
      <c r="H1005" t="s">
        <v>5172</v>
      </c>
      <c r="I1005" t="s">
        <v>6507</v>
      </c>
      <c r="J1005" t="s">
        <v>7169</v>
      </c>
      <c r="K1005">
        <v>10035</v>
      </c>
      <c r="L1005" t="s">
        <v>7217</v>
      </c>
      <c r="N1005" t="s">
        <v>7237</v>
      </c>
      <c r="O1005" t="s">
        <v>7955</v>
      </c>
      <c r="P1005">
        <v>1</v>
      </c>
      <c r="Q1005">
        <v>0</v>
      </c>
      <c r="R1005">
        <v>360.29</v>
      </c>
      <c r="U1005">
        <v>45000</v>
      </c>
      <c r="W1005">
        <v>0.2</v>
      </c>
      <c r="X1005" t="s">
        <v>638</v>
      </c>
      <c r="Y1005" t="s">
        <v>10859</v>
      </c>
      <c r="AA1005" t="s">
        <v>10974</v>
      </c>
      <c r="AB1005" t="s">
        <v>637</v>
      </c>
      <c r="AD1005" t="s">
        <v>11086</v>
      </c>
      <c r="AF1005" t="s">
        <v>10384</v>
      </c>
      <c r="AH1005" t="s">
        <v>10974</v>
      </c>
      <c r="AJ1005" t="s">
        <v>11134</v>
      </c>
      <c r="AK1005" t="s">
        <v>7225</v>
      </c>
      <c r="AM1005">
        <v>2487</v>
      </c>
      <c r="AO1005">
        <v>72</v>
      </c>
      <c r="AQ1005" t="s">
        <v>11157</v>
      </c>
      <c r="AS1005" t="s">
        <v>11173</v>
      </c>
      <c r="AU1005">
        <v>11</v>
      </c>
      <c r="AW1005" t="s">
        <v>11187</v>
      </c>
      <c r="AY1005" t="s">
        <v>11213</v>
      </c>
      <c r="BA1005" t="s">
        <v>11222</v>
      </c>
      <c r="BE1005" t="s">
        <v>12284</v>
      </c>
      <c r="BF1005" t="s">
        <v>14364</v>
      </c>
      <c r="BM1005" t="s">
        <v>15651</v>
      </c>
    </row>
    <row r="1006" spans="1:65">
      <c r="A1006" s="1">
        <f>HYPERLINK("https://lsnyc.legalserver.org/matter/dynamic-profile/view/1886947","19-1886947")</f>
        <v>0</v>
      </c>
      <c r="B1006" t="s">
        <v>110</v>
      </c>
      <c r="C1006" t="s">
        <v>245</v>
      </c>
      <c r="D1006" t="s">
        <v>621</v>
      </c>
      <c r="F1006" t="s">
        <v>1226</v>
      </c>
      <c r="G1006" t="s">
        <v>2982</v>
      </c>
      <c r="H1006" t="s">
        <v>5181</v>
      </c>
      <c r="I1006" t="s">
        <v>6668</v>
      </c>
      <c r="J1006" t="s">
        <v>7169</v>
      </c>
      <c r="K1006">
        <v>10023</v>
      </c>
      <c r="N1006" t="s">
        <v>7237</v>
      </c>
      <c r="O1006" t="s">
        <v>7956</v>
      </c>
      <c r="P1006">
        <v>1</v>
      </c>
      <c r="Q1006">
        <v>0</v>
      </c>
      <c r="R1006">
        <v>112.19</v>
      </c>
      <c r="U1006">
        <v>13620</v>
      </c>
      <c r="W1006">
        <v>9</v>
      </c>
      <c r="X1006" t="s">
        <v>568</v>
      </c>
      <c r="Y1006" t="s">
        <v>10859</v>
      </c>
      <c r="AA1006" t="s">
        <v>10974</v>
      </c>
      <c r="AB1006" t="s">
        <v>621</v>
      </c>
      <c r="AD1006" t="s">
        <v>11086</v>
      </c>
      <c r="AF1006" t="s">
        <v>11120</v>
      </c>
      <c r="AH1006" t="s">
        <v>10975</v>
      </c>
      <c r="AJ1006" t="s">
        <v>11137</v>
      </c>
      <c r="AK1006" t="s">
        <v>7225</v>
      </c>
      <c r="AM1006">
        <v>675</v>
      </c>
      <c r="AO1006">
        <v>20</v>
      </c>
      <c r="AQ1006" t="s">
        <v>11157</v>
      </c>
      <c r="AS1006" t="s">
        <v>11173</v>
      </c>
      <c r="AU1006">
        <v>30</v>
      </c>
      <c r="AW1006" t="s">
        <v>11187</v>
      </c>
      <c r="AY1006" t="s">
        <v>11215</v>
      </c>
      <c r="AZ1006" t="s">
        <v>11221</v>
      </c>
      <c r="BE1006" t="s">
        <v>12285</v>
      </c>
      <c r="BF1006" t="s">
        <v>14364</v>
      </c>
      <c r="BM1006" t="s">
        <v>15650</v>
      </c>
    </row>
    <row r="1007" spans="1:65">
      <c r="A1007" s="1">
        <f>HYPERLINK("https://lsnyc.legalserver.org/matter/dynamic-profile/view/1910583","19-1910583")</f>
        <v>0</v>
      </c>
      <c r="B1007" t="s">
        <v>110</v>
      </c>
      <c r="C1007" t="s">
        <v>245</v>
      </c>
      <c r="D1007" t="s">
        <v>554</v>
      </c>
      <c r="F1007" t="s">
        <v>1628</v>
      </c>
      <c r="G1007" t="s">
        <v>3203</v>
      </c>
      <c r="H1007" t="s">
        <v>5182</v>
      </c>
      <c r="I1007" t="s">
        <v>6649</v>
      </c>
      <c r="J1007" t="s">
        <v>7169</v>
      </c>
      <c r="K1007">
        <v>10029</v>
      </c>
      <c r="N1007" t="s">
        <v>7237</v>
      </c>
      <c r="O1007" t="s">
        <v>7957</v>
      </c>
      <c r="P1007">
        <v>1</v>
      </c>
      <c r="Q1007">
        <v>0</v>
      </c>
      <c r="R1007">
        <v>82.34</v>
      </c>
      <c r="U1007">
        <v>10284</v>
      </c>
      <c r="W1007">
        <v>0.75</v>
      </c>
      <c r="X1007" t="s">
        <v>272</v>
      </c>
      <c r="Y1007" t="s">
        <v>10859</v>
      </c>
      <c r="AA1007" t="s">
        <v>10974</v>
      </c>
      <c r="AB1007" t="s">
        <v>624</v>
      </c>
      <c r="AD1007" t="s">
        <v>11086</v>
      </c>
      <c r="AF1007" t="s">
        <v>10384</v>
      </c>
      <c r="AH1007" t="s">
        <v>10975</v>
      </c>
      <c r="AJ1007" t="s">
        <v>11134</v>
      </c>
      <c r="AK1007" t="s">
        <v>7225</v>
      </c>
      <c r="AM1007">
        <v>1414.03</v>
      </c>
      <c r="AO1007">
        <v>14</v>
      </c>
      <c r="AQ1007" t="s">
        <v>11157</v>
      </c>
      <c r="AS1007" t="s">
        <v>11175</v>
      </c>
      <c r="AU1007">
        <v>4</v>
      </c>
      <c r="AW1007" t="s">
        <v>11187</v>
      </c>
      <c r="AY1007" t="s">
        <v>11213</v>
      </c>
      <c r="BA1007" t="s">
        <v>11222</v>
      </c>
      <c r="BE1007" t="s">
        <v>12286</v>
      </c>
      <c r="BF1007" t="s">
        <v>14364</v>
      </c>
      <c r="BM1007" t="s">
        <v>15650</v>
      </c>
    </row>
    <row r="1008" spans="1:65">
      <c r="A1008" s="1">
        <f>HYPERLINK("https://lsnyc.legalserver.org/matter/dynamic-profile/view/1912044","19-1912044")</f>
        <v>0</v>
      </c>
      <c r="B1008" t="s">
        <v>110</v>
      </c>
      <c r="C1008" t="s">
        <v>245</v>
      </c>
      <c r="D1008" t="s">
        <v>271</v>
      </c>
      <c r="F1008" t="s">
        <v>1629</v>
      </c>
      <c r="G1008" t="s">
        <v>3394</v>
      </c>
      <c r="H1008" t="s">
        <v>5183</v>
      </c>
      <c r="I1008" t="s">
        <v>6669</v>
      </c>
      <c r="J1008" t="s">
        <v>7169</v>
      </c>
      <c r="K1008">
        <v>10037</v>
      </c>
      <c r="N1008" t="s">
        <v>7237</v>
      </c>
      <c r="O1008" t="s">
        <v>7958</v>
      </c>
      <c r="P1008">
        <v>1</v>
      </c>
      <c r="Q1008">
        <v>0</v>
      </c>
      <c r="R1008">
        <v>184.15</v>
      </c>
      <c r="U1008">
        <v>23000</v>
      </c>
      <c r="W1008">
        <v>0</v>
      </c>
      <c r="Y1008" t="s">
        <v>10859</v>
      </c>
      <c r="AA1008" t="s">
        <v>10974</v>
      </c>
      <c r="AB1008" t="s">
        <v>271</v>
      </c>
      <c r="AD1008" t="s">
        <v>11086</v>
      </c>
      <c r="AF1008" t="s">
        <v>10384</v>
      </c>
      <c r="AH1008" t="s">
        <v>10975</v>
      </c>
      <c r="AJ1008" t="s">
        <v>11134</v>
      </c>
      <c r="AK1008" t="s">
        <v>7225</v>
      </c>
      <c r="AM1008">
        <v>787.5700000000001</v>
      </c>
      <c r="AO1008">
        <v>1000</v>
      </c>
      <c r="AQ1008" t="s">
        <v>11157</v>
      </c>
      <c r="AS1008" t="s">
        <v>11173</v>
      </c>
      <c r="AU1008">
        <v>19</v>
      </c>
      <c r="AW1008" t="s">
        <v>11187</v>
      </c>
      <c r="AY1008" t="s">
        <v>11213</v>
      </c>
      <c r="BA1008" t="s">
        <v>11222</v>
      </c>
      <c r="BE1008" t="s">
        <v>12287</v>
      </c>
      <c r="BF1008" t="s">
        <v>14364</v>
      </c>
      <c r="BM1008" t="s">
        <v>15650</v>
      </c>
    </row>
    <row r="1009" spans="1:65">
      <c r="A1009" s="1">
        <f>HYPERLINK("https://lsnyc.legalserver.org/matter/dynamic-profile/view/1915284","19-1915284")</f>
        <v>0</v>
      </c>
      <c r="B1009" t="s">
        <v>110</v>
      </c>
      <c r="C1009" t="s">
        <v>245</v>
      </c>
      <c r="D1009" t="s">
        <v>426</v>
      </c>
      <c r="F1009" t="s">
        <v>1630</v>
      </c>
      <c r="G1009" t="s">
        <v>3395</v>
      </c>
      <c r="H1009" t="s">
        <v>4780</v>
      </c>
      <c r="I1009" t="s">
        <v>6423</v>
      </c>
      <c r="J1009" t="s">
        <v>7169</v>
      </c>
      <c r="K1009">
        <v>10035</v>
      </c>
      <c r="N1009" t="s">
        <v>7237</v>
      </c>
      <c r="O1009" t="s">
        <v>7959</v>
      </c>
      <c r="P1009">
        <v>1</v>
      </c>
      <c r="Q1009">
        <v>0</v>
      </c>
      <c r="R1009">
        <v>93.67</v>
      </c>
      <c r="U1009">
        <v>11700</v>
      </c>
      <c r="W1009">
        <v>0</v>
      </c>
      <c r="Y1009" t="s">
        <v>10859</v>
      </c>
      <c r="AA1009" t="s">
        <v>10974</v>
      </c>
      <c r="AB1009" t="s">
        <v>426</v>
      </c>
      <c r="AD1009" t="s">
        <v>11098</v>
      </c>
      <c r="AF1009" t="s">
        <v>11118</v>
      </c>
      <c r="AH1009" t="s">
        <v>10974</v>
      </c>
      <c r="AJ1009" t="s">
        <v>11129</v>
      </c>
      <c r="AK1009" t="s">
        <v>7225</v>
      </c>
      <c r="AM1009">
        <v>258</v>
      </c>
      <c r="AO1009">
        <v>60</v>
      </c>
      <c r="AQ1009" t="s">
        <v>11157</v>
      </c>
      <c r="AS1009" t="s">
        <v>11182</v>
      </c>
      <c r="AU1009">
        <v>14</v>
      </c>
      <c r="AW1009" t="s">
        <v>11187</v>
      </c>
      <c r="AY1009" t="s">
        <v>11213</v>
      </c>
      <c r="BA1009" t="s">
        <v>11222</v>
      </c>
      <c r="BD1009" t="s">
        <v>11667</v>
      </c>
      <c r="BF1009" t="s">
        <v>14364</v>
      </c>
      <c r="BM1009" t="s">
        <v>15650</v>
      </c>
    </row>
    <row r="1010" spans="1:65">
      <c r="A1010" s="1">
        <f>HYPERLINK("https://lsnyc.legalserver.org/matter/dynamic-profile/view/1914873","19-1914873")</f>
        <v>0</v>
      </c>
      <c r="B1010" t="s">
        <v>110</v>
      </c>
      <c r="C1010" t="s">
        <v>245</v>
      </c>
      <c r="D1010" t="s">
        <v>262</v>
      </c>
      <c r="F1010" t="s">
        <v>1631</v>
      </c>
      <c r="G1010" t="s">
        <v>3396</v>
      </c>
      <c r="H1010" t="s">
        <v>4780</v>
      </c>
      <c r="I1010" t="s">
        <v>6497</v>
      </c>
      <c r="J1010" t="s">
        <v>7169</v>
      </c>
      <c r="K1010">
        <v>10035</v>
      </c>
      <c r="N1010" t="s">
        <v>7237</v>
      </c>
      <c r="O1010" t="s">
        <v>7960</v>
      </c>
      <c r="P1010">
        <v>2</v>
      </c>
      <c r="Q1010">
        <v>4</v>
      </c>
      <c r="R1010">
        <v>65.05</v>
      </c>
      <c r="U1010">
        <v>22500</v>
      </c>
      <c r="W1010">
        <v>0</v>
      </c>
      <c r="Y1010" t="s">
        <v>10859</v>
      </c>
      <c r="AA1010" t="s">
        <v>10974</v>
      </c>
      <c r="AB1010" t="s">
        <v>614</v>
      </c>
      <c r="AD1010" t="s">
        <v>11101</v>
      </c>
      <c r="AF1010" t="s">
        <v>11118</v>
      </c>
      <c r="AH1010" t="s">
        <v>10974</v>
      </c>
      <c r="AJ1010" t="s">
        <v>11129</v>
      </c>
      <c r="AK1010" t="s">
        <v>7225</v>
      </c>
      <c r="AM1010">
        <v>1350</v>
      </c>
      <c r="AO1010">
        <v>60</v>
      </c>
      <c r="AQ1010" t="s">
        <v>11157</v>
      </c>
      <c r="AS1010" t="s">
        <v>11173</v>
      </c>
      <c r="AU1010">
        <v>7</v>
      </c>
      <c r="AW1010" t="s">
        <v>11187</v>
      </c>
      <c r="AY1010" t="s">
        <v>11213</v>
      </c>
      <c r="BA1010" t="s">
        <v>11222</v>
      </c>
      <c r="BE1010" t="s">
        <v>12288</v>
      </c>
      <c r="BF1010" t="s">
        <v>14364</v>
      </c>
      <c r="BM1010" t="s">
        <v>15650</v>
      </c>
    </row>
    <row r="1011" spans="1:65">
      <c r="A1011" s="1">
        <f>HYPERLINK("https://lsnyc.legalserver.org/matter/dynamic-profile/view/1914816","19-1914816")</f>
        <v>0</v>
      </c>
      <c r="B1011" t="s">
        <v>110</v>
      </c>
      <c r="C1011" t="s">
        <v>245</v>
      </c>
      <c r="D1011" t="s">
        <v>262</v>
      </c>
      <c r="F1011" t="s">
        <v>1630</v>
      </c>
      <c r="G1011" t="s">
        <v>3395</v>
      </c>
      <c r="H1011" t="s">
        <v>4780</v>
      </c>
      <c r="I1011" t="s">
        <v>6423</v>
      </c>
      <c r="J1011" t="s">
        <v>7169</v>
      </c>
      <c r="K1011">
        <v>10035</v>
      </c>
      <c r="N1011" t="s">
        <v>7237</v>
      </c>
      <c r="O1011" t="s">
        <v>7959</v>
      </c>
      <c r="P1011">
        <v>1</v>
      </c>
      <c r="Q1011">
        <v>0</v>
      </c>
      <c r="R1011">
        <v>93.67</v>
      </c>
      <c r="U1011">
        <v>11700</v>
      </c>
      <c r="W1011">
        <v>0</v>
      </c>
      <c r="Y1011" t="s">
        <v>10859</v>
      </c>
      <c r="AA1011" t="s">
        <v>10974</v>
      </c>
      <c r="AB1011" t="s">
        <v>614</v>
      </c>
      <c r="AD1011" t="s">
        <v>11101</v>
      </c>
      <c r="AF1011" t="s">
        <v>11118</v>
      </c>
      <c r="AH1011" t="s">
        <v>10974</v>
      </c>
      <c r="AJ1011" t="s">
        <v>11129</v>
      </c>
      <c r="AK1011" t="s">
        <v>7225</v>
      </c>
      <c r="AM1011">
        <v>258</v>
      </c>
      <c r="AO1011">
        <v>60</v>
      </c>
      <c r="AQ1011" t="s">
        <v>11157</v>
      </c>
      <c r="AS1011" t="s">
        <v>11182</v>
      </c>
      <c r="AU1011">
        <v>14</v>
      </c>
      <c r="AW1011" t="s">
        <v>11187</v>
      </c>
      <c r="AY1011" t="s">
        <v>11213</v>
      </c>
      <c r="BA1011" t="s">
        <v>11222</v>
      </c>
      <c r="BD1011" t="s">
        <v>11667</v>
      </c>
      <c r="BF1011" t="s">
        <v>14364</v>
      </c>
      <c r="BM1011" t="s">
        <v>15650</v>
      </c>
    </row>
    <row r="1012" spans="1:65">
      <c r="A1012" s="1">
        <f>HYPERLINK("https://lsnyc.legalserver.org/matter/dynamic-profile/view/1897584","19-1897584")</f>
        <v>0</v>
      </c>
      <c r="B1012" t="s">
        <v>110</v>
      </c>
      <c r="C1012" t="s">
        <v>245</v>
      </c>
      <c r="D1012" t="s">
        <v>389</v>
      </c>
      <c r="F1012" t="s">
        <v>1630</v>
      </c>
      <c r="G1012" t="s">
        <v>3395</v>
      </c>
      <c r="H1012" t="s">
        <v>4780</v>
      </c>
      <c r="I1012" t="s">
        <v>6423</v>
      </c>
      <c r="J1012" t="s">
        <v>7169</v>
      </c>
      <c r="K1012">
        <v>10035</v>
      </c>
      <c r="N1012" t="s">
        <v>7237</v>
      </c>
      <c r="O1012" t="s">
        <v>7959</v>
      </c>
      <c r="P1012">
        <v>1</v>
      </c>
      <c r="Q1012">
        <v>0</v>
      </c>
      <c r="R1012">
        <v>93.67</v>
      </c>
      <c r="U1012">
        <v>11700</v>
      </c>
      <c r="V1012" t="s">
        <v>10361</v>
      </c>
      <c r="W1012">
        <v>0</v>
      </c>
      <c r="Y1012" t="s">
        <v>10859</v>
      </c>
      <c r="AA1012" t="s">
        <v>10974</v>
      </c>
      <c r="AB1012" t="s">
        <v>444</v>
      </c>
      <c r="AD1012" t="s">
        <v>11086</v>
      </c>
      <c r="AF1012" t="s">
        <v>10384</v>
      </c>
      <c r="AH1012" t="s">
        <v>10974</v>
      </c>
      <c r="AJ1012" t="s">
        <v>11134</v>
      </c>
      <c r="AK1012" t="s">
        <v>7225</v>
      </c>
      <c r="AM1012">
        <v>258</v>
      </c>
      <c r="AO1012">
        <v>60</v>
      </c>
      <c r="AQ1012" t="s">
        <v>11157</v>
      </c>
      <c r="AS1012" t="s">
        <v>11182</v>
      </c>
      <c r="AU1012">
        <v>14</v>
      </c>
      <c r="AW1012" t="s">
        <v>11187</v>
      </c>
      <c r="AY1012" t="s">
        <v>11213</v>
      </c>
      <c r="BA1012" t="s">
        <v>11222</v>
      </c>
      <c r="BD1012" t="s">
        <v>11667</v>
      </c>
      <c r="BF1012" t="s">
        <v>14364</v>
      </c>
      <c r="BM1012" t="s">
        <v>15650</v>
      </c>
    </row>
    <row r="1013" spans="1:65">
      <c r="A1013" s="1">
        <f>HYPERLINK("https://lsnyc.legalserver.org/matter/dynamic-profile/view/1897686","19-1897686")</f>
        <v>0</v>
      </c>
      <c r="B1013" t="s">
        <v>110</v>
      </c>
      <c r="C1013" t="s">
        <v>245</v>
      </c>
      <c r="D1013" t="s">
        <v>633</v>
      </c>
      <c r="F1013" t="s">
        <v>1622</v>
      </c>
      <c r="G1013" t="s">
        <v>3387</v>
      </c>
      <c r="H1013" t="s">
        <v>4780</v>
      </c>
      <c r="I1013" t="s">
        <v>6666</v>
      </c>
      <c r="J1013" t="s">
        <v>7169</v>
      </c>
      <c r="K1013">
        <v>10035</v>
      </c>
      <c r="N1013" t="s">
        <v>7237</v>
      </c>
      <c r="O1013" t="s">
        <v>7948</v>
      </c>
      <c r="P1013">
        <v>2</v>
      </c>
      <c r="Q1013">
        <v>0</v>
      </c>
      <c r="R1013">
        <v>413.96</v>
      </c>
      <c r="U1013">
        <v>70000</v>
      </c>
      <c r="W1013">
        <v>0.5</v>
      </c>
      <c r="X1013" t="s">
        <v>443</v>
      </c>
      <c r="Y1013" t="s">
        <v>10859</v>
      </c>
      <c r="AA1013" t="s">
        <v>10974</v>
      </c>
      <c r="AB1013" t="s">
        <v>444</v>
      </c>
      <c r="AD1013" t="s">
        <v>11086</v>
      </c>
      <c r="AF1013" t="s">
        <v>10384</v>
      </c>
      <c r="AH1013" t="s">
        <v>10974</v>
      </c>
      <c r="AJ1013" t="s">
        <v>11134</v>
      </c>
      <c r="AK1013" t="s">
        <v>7225</v>
      </c>
      <c r="AM1013">
        <v>1230</v>
      </c>
      <c r="AO1013">
        <v>60</v>
      </c>
      <c r="AQ1013" t="s">
        <v>11160</v>
      </c>
      <c r="AS1013" t="s">
        <v>11173</v>
      </c>
      <c r="AU1013">
        <v>8</v>
      </c>
      <c r="AW1013" t="s">
        <v>11187</v>
      </c>
      <c r="AY1013" t="s">
        <v>11213</v>
      </c>
      <c r="BA1013" t="s">
        <v>11222</v>
      </c>
      <c r="BE1013" t="s">
        <v>12277</v>
      </c>
      <c r="BF1013" t="s">
        <v>14364</v>
      </c>
      <c r="BM1013" t="s">
        <v>15650</v>
      </c>
    </row>
    <row r="1014" spans="1:65">
      <c r="A1014" s="1">
        <f>HYPERLINK("https://lsnyc.legalserver.org/matter/dynamic-profile/view/1891535","19-1891535")</f>
        <v>0</v>
      </c>
      <c r="B1014" t="s">
        <v>110</v>
      </c>
      <c r="C1014" t="s">
        <v>245</v>
      </c>
      <c r="D1014" t="s">
        <v>636</v>
      </c>
      <c r="F1014" t="s">
        <v>1632</v>
      </c>
      <c r="G1014" t="s">
        <v>3397</v>
      </c>
      <c r="H1014" t="s">
        <v>5184</v>
      </c>
      <c r="I1014" t="s">
        <v>6405</v>
      </c>
      <c r="J1014" t="s">
        <v>7169</v>
      </c>
      <c r="K1014">
        <v>10035</v>
      </c>
      <c r="N1014" t="s">
        <v>7237</v>
      </c>
      <c r="O1014" t="s">
        <v>7961</v>
      </c>
      <c r="P1014">
        <v>1</v>
      </c>
      <c r="Q1014">
        <v>1</v>
      </c>
      <c r="R1014">
        <v>92.25</v>
      </c>
      <c r="U1014">
        <v>15600</v>
      </c>
      <c r="W1014">
        <v>64.42</v>
      </c>
      <c r="X1014" t="s">
        <v>433</v>
      </c>
      <c r="Y1014" t="s">
        <v>10877</v>
      </c>
      <c r="AA1014" t="s">
        <v>10974</v>
      </c>
      <c r="AB1014" t="s">
        <v>503</v>
      </c>
      <c r="AD1014" t="s">
        <v>11086</v>
      </c>
      <c r="AF1014" t="s">
        <v>11118</v>
      </c>
      <c r="AH1014" t="s">
        <v>10974</v>
      </c>
      <c r="AJ1014" t="s">
        <v>11143</v>
      </c>
      <c r="AK1014" t="s">
        <v>7225</v>
      </c>
      <c r="AM1014">
        <v>1530</v>
      </c>
      <c r="AO1014">
        <v>30</v>
      </c>
      <c r="AQ1014" t="s">
        <v>11157</v>
      </c>
      <c r="AS1014" t="s">
        <v>11173</v>
      </c>
      <c r="AU1014">
        <v>3</v>
      </c>
      <c r="AW1014" t="s">
        <v>11187</v>
      </c>
      <c r="AY1014" t="s">
        <v>11213</v>
      </c>
      <c r="AZ1014" t="s">
        <v>11221</v>
      </c>
      <c r="BE1014" t="s">
        <v>12289</v>
      </c>
      <c r="BF1014" t="s">
        <v>14364</v>
      </c>
      <c r="BM1014" t="s">
        <v>15650</v>
      </c>
    </row>
    <row r="1015" spans="1:65">
      <c r="A1015" s="1">
        <f>HYPERLINK("https://lsnyc.legalserver.org/matter/dynamic-profile/view/1908353","19-1908353")</f>
        <v>0</v>
      </c>
      <c r="B1015" t="s">
        <v>110</v>
      </c>
      <c r="C1015" t="s">
        <v>245</v>
      </c>
      <c r="D1015" t="s">
        <v>565</v>
      </c>
      <c r="F1015" t="s">
        <v>1633</v>
      </c>
      <c r="G1015" t="s">
        <v>3384</v>
      </c>
      <c r="H1015" t="s">
        <v>5174</v>
      </c>
      <c r="I1015" t="s">
        <v>6664</v>
      </c>
      <c r="J1015" t="s">
        <v>7169</v>
      </c>
      <c r="K1015">
        <v>10029</v>
      </c>
      <c r="N1015" t="s">
        <v>7237</v>
      </c>
      <c r="O1015" t="s">
        <v>7941</v>
      </c>
      <c r="P1015">
        <v>3</v>
      </c>
      <c r="Q1015">
        <v>1</v>
      </c>
      <c r="R1015">
        <v>102.9</v>
      </c>
      <c r="U1015">
        <v>26496</v>
      </c>
      <c r="W1015">
        <v>0.1</v>
      </c>
      <c r="X1015" t="s">
        <v>570</v>
      </c>
      <c r="Y1015" t="s">
        <v>10859</v>
      </c>
      <c r="AA1015" t="s">
        <v>10974</v>
      </c>
      <c r="AB1015" t="s">
        <v>575</v>
      </c>
      <c r="AD1015" t="s">
        <v>11086</v>
      </c>
      <c r="AF1015" t="s">
        <v>10384</v>
      </c>
      <c r="AH1015" t="s">
        <v>10975</v>
      </c>
      <c r="AJ1015" t="s">
        <v>11129</v>
      </c>
      <c r="AK1015" t="s">
        <v>7225</v>
      </c>
      <c r="AM1015">
        <v>4169</v>
      </c>
      <c r="AO1015">
        <v>323</v>
      </c>
      <c r="AQ1015" t="s">
        <v>11164</v>
      </c>
      <c r="AS1015" t="s">
        <v>11174</v>
      </c>
      <c r="AU1015">
        <v>36</v>
      </c>
      <c r="AW1015" t="s">
        <v>11187</v>
      </c>
      <c r="AY1015" t="s">
        <v>11213</v>
      </c>
      <c r="BA1015" t="s">
        <v>11222</v>
      </c>
      <c r="BB1015" t="s">
        <v>11224</v>
      </c>
      <c r="BC1015">
        <v>43832149</v>
      </c>
      <c r="BE1015" t="s">
        <v>12272</v>
      </c>
      <c r="BF1015" t="s">
        <v>14364</v>
      </c>
      <c r="BM1015" t="s">
        <v>15650</v>
      </c>
    </row>
    <row r="1016" spans="1:65">
      <c r="A1016" s="1">
        <f>HYPERLINK("https://lsnyc.legalserver.org/matter/dynamic-profile/view/1908656","19-1908656")</f>
        <v>0</v>
      </c>
      <c r="B1016" t="s">
        <v>110</v>
      </c>
      <c r="C1016" t="s">
        <v>245</v>
      </c>
      <c r="D1016" t="s">
        <v>421</v>
      </c>
      <c r="F1016" t="s">
        <v>1199</v>
      </c>
      <c r="G1016" t="s">
        <v>3398</v>
      </c>
      <c r="H1016" t="s">
        <v>5172</v>
      </c>
      <c r="I1016" t="s">
        <v>6618</v>
      </c>
      <c r="J1016" t="s">
        <v>7169</v>
      </c>
      <c r="K1016">
        <v>10035</v>
      </c>
      <c r="N1016" t="s">
        <v>7237</v>
      </c>
      <c r="O1016" t="s">
        <v>7962</v>
      </c>
      <c r="P1016">
        <v>1</v>
      </c>
      <c r="Q1016">
        <v>0</v>
      </c>
      <c r="R1016">
        <v>92.52</v>
      </c>
      <c r="U1016">
        <v>11556</v>
      </c>
      <c r="W1016">
        <v>6.7</v>
      </c>
      <c r="X1016" t="s">
        <v>638</v>
      </c>
      <c r="Y1016" t="s">
        <v>10859</v>
      </c>
      <c r="AA1016" t="s">
        <v>10974</v>
      </c>
      <c r="AB1016" t="s">
        <v>421</v>
      </c>
      <c r="AD1016" t="s">
        <v>11086</v>
      </c>
      <c r="AF1016" t="s">
        <v>10384</v>
      </c>
      <c r="AH1016" t="s">
        <v>10974</v>
      </c>
      <c r="AJ1016" t="s">
        <v>11134</v>
      </c>
      <c r="AK1016" t="s">
        <v>7225</v>
      </c>
      <c r="AM1016">
        <v>1883.38</v>
      </c>
      <c r="AO1016">
        <v>72</v>
      </c>
      <c r="AQ1016" t="s">
        <v>11157</v>
      </c>
      <c r="AS1016" t="s">
        <v>11174</v>
      </c>
      <c r="AU1016">
        <v>36</v>
      </c>
      <c r="AW1016" t="s">
        <v>11187</v>
      </c>
      <c r="AY1016" t="s">
        <v>11213</v>
      </c>
      <c r="BA1016" t="s">
        <v>11222</v>
      </c>
      <c r="BE1016" t="s">
        <v>12290</v>
      </c>
      <c r="BF1016" t="s">
        <v>14364</v>
      </c>
      <c r="BM1016" t="s">
        <v>15650</v>
      </c>
    </row>
    <row r="1017" spans="1:65">
      <c r="A1017" s="1">
        <f>HYPERLINK("https://lsnyc.legalserver.org/matter/dynamic-profile/view/1891306","19-1891306")</f>
        <v>0</v>
      </c>
      <c r="B1017" t="s">
        <v>110</v>
      </c>
      <c r="C1017" t="s">
        <v>245</v>
      </c>
      <c r="D1017" t="s">
        <v>395</v>
      </c>
      <c r="E1017" t="s">
        <v>262</v>
      </c>
      <c r="F1017" t="s">
        <v>1634</v>
      </c>
      <c r="G1017" t="s">
        <v>3399</v>
      </c>
      <c r="H1017" t="s">
        <v>5185</v>
      </c>
      <c r="I1017" t="s">
        <v>6540</v>
      </c>
      <c r="J1017" t="s">
        <v>7169</v>
      </c>
      <c r="K1017">
        <v>10029</v>
      </c>
      <c r="L1017" t="s">
        <v>7217</v>
      </c>
      <c r="N1017" t="s">
        <v>7237</v>
      </c>
      <c r="O1017" t="s">
        <v>7963</v>
      </c>
      <c r="P1017">
        <v>1</v>
      </c>
      <c r="Q1017">
        <v>0</v>
      </c>
      <c r="R1017">
        <v>84.55</v>
      </c>
      <c r="U1017">
        <v>10560</v>
      </c>
      <c r="W1017">
        <v>16.8</v>
      </c>
      <c r="X1017" t="s">
        <v>269</v>
      </c>
      <c r="Y1017" t="s">
        <v>10911</v>
      </c>
      <c r="AA1017" t="s">
        <v>10974</v>
      </c>
      <c r="AB1017" t="s">
        <v>636</v>
      </c>
      <c r="AD1017" t="s">
        <v>11086</v>
      </c>
      <c r="AF1017" t="s">
        <v>10384</v>
      </c>
      <c r="AH1017" t="s">
        <v>10975</v>
      </c>
      <c r="AJ1017" t="s">
        <v>11130</v>
      </c>
      <c r="AK1017" t="s">
        <v>7225</v>
      </c>
      <c r="AM1017">
        <v>1500</v>
      </c>
      <c r="AO1017">
        <v>8</v>
      </c>
      <c r="AQ1017" t="s">
        <v>11164</v>
      </c>
      <c r="AS1017" t="s">
        <v>11173</v>
      </c>
      <c r="AU1017">
        <v>18</v>
      </c>
      <c r="AW1017" t="s">
        <v>11189</v>
      </c>
      <c r="AY1017" t="s">
        <v>11213</v>
      </c>
      <c r="BA1017" t="s">
        <v>11222</v>
      </c>
      <c r="BE1017" t="s">
        <v>12291</v>
      </c>
      <c r="BF1017" t="s">
        <v>14364</v>
      </c>
      <c r="BM1017" t="s">
        <v>15651</v>
      </c>
    </row>
    <row r="1018" spans="1:65">
      <c r="A1018" s="1">
        <f>HYPERLINK("https://lsnyc.legalserver.org/matter/dynamic-profile/view/1907870","19-1907870")</f>
        <v>0</v>
      </c>
      <c r="B1018" t="s">
        <v>110</v>
      </c>
      <c r="C1018" t="s">
        <v>245</v>
      </c>
      <c r="D1018" t="s">
        <v>637</v>
      </c>
      <c r="F1018" t="s">
        <v>1632</v>
      </c>
      <c r="G1018" t="s">
        <v>3397</v>
      </c>
      <c r="H1018" t="s">
        <v>5184</v>
      </c>
      <c r="I1018" t="s">
        <v>6405</v>
      </c>
      <c r="J1018" t="s">
        <v>7169</v>
      </c>
      <c r="K1018">
        <v>10035</v>
      </c>
      <c r="N1018" t="s">
        <v>7237</v>
      </c>
      <c r="O1018" t="s">
        <v>7961</v>
      </c>
      <c r="P1018">
        <v>1</v>
      </c>
      <c r="Q1018">
        <v>1</v>
      </c>
      <c r="R1018">
        <v>130.1</v>
      </c>
      <c r="U1018">
        <v>22000</v>
      </c>
      <c r="W1018">
        <v>0</v>
      </c>
      <c r="Y1018" t="s">
        <v>10859</v>
      </c>
      <c r="AA1018" t="s">
        <v>10974</v>
      </c>
      <c r="AB1018" t="s">
        <v>637</v>
      </c>
      <c r="AD1018" t="s">
        <v>11086</v>
      </c>
      <c r="AF1018" t="s">
        <v>10384</v>
      </c>
      <c r="AH1018" t="s">
        <v>10975</v>
      </c>
      <c r="AJ1018" t="s">
        <v>11104</v>
      </c>
      <c r="AK1018" t="s">
        <v>7225</v>
      </c>
      <c r="AM1018">
        <v>1530</v>
      </c>
      <c r="AO1018">
        <v>16</v>
      </c>
      <c r="AQ1018" t="s">
        <v>11157</v>
      </c>
      <c r="AS1018" t="s">
        <v>11173</v>
      </c>
      <c r="AU1018">
        <v>4</v>
      </c>
      <c r="AW1018" t="s">
        <v>11187</v>
      </c>
      <c r="AY1018" t="s">
        <v>11213</v>
      </c>
      <c r="BA1018" t="s">
        <v>11222</v>
      </c>
      <c r="BE1018" t="s">
        <v>12289</v>
      </c>
      <c r="BF1018" t="s">
        <v>14364</v>
      </c>
      <c r="BM1018" t="s">
        <v>15650</v>
      </c>
    </row>
    <row r="1019" spans="1:65">
      <c r="A1019" s="1">
        <f>HYPERLINK("https://lsnyc.legalserver.org/matter/dynamic-profile/view/1897635","19-1897635")</f>
        <v>0</v>
      </c>
      <c r="B1019" t="s">
        <v>110</v>
      </c>
      <c r="C1019" t="s">
        <v>245</v>
      </c>
      <c r="D1019" t="s">
        <v>389</v>
      </c>
      <c r="F1019" t="s">
        <v>1101</v>
      </c>
      <c r="G1019" t="s">
        <v>3400</v>
      </c>
      <c r="H1019" t="s">
        <v>4780</v>
      </c>
      <c r="I1019" t="s">
        <v>6473</v>
      </c>
      <c r="J1019" t="s">
        <v>7169</v>
      </c>
      <c r="K1019">
        <v>10035</v>
      </c>
      <c r="N1019" t="s">
        <v>7237</v>
      </c>
      <c r="O1019" t="s">
        <v>7964</v>
      </c>
      <c r="P1019">
        <v>1</v>
      </c>
      <c r="Q1019">
        <v>1</v>
      </c>
      <c r="R1019">
        <v>224.72</v>
      </c>
      <c r="U1019">
        <v>38000</v>
      </c>
      <c r="V1019" t="s">
        <v>10361</v>
      </c>
      <c r="W1019">
        <v>0</v>
      </c>
      <c r="Y1019" t="s">
        <v>10859</v>
      </c>
      <c r="AA1019" t="s">
        <v>10974</v>
      </c>
      <c r="AB1019" t="s">
        <v>444</v>
      </c>
      <c r="AD1019" t="s">
        <v>11086</v>
      </c>
      <c r="AF1019" t="s">
        <v>10384</v>
      </c>
      <c r="AH1019" t="s">
        <v>10974</v>
      </c>
      <c r="AJ1019" t="s">
        <v>11134</v>
      </c>
      <c r="AK1019" t="s">
        <v>7225</v>
      </c>
      <c r="AM1019">
        <v>900</v>
      </c>
      <c r="AO1019">
        <v>60</v>
      </c>
      <c r="AQ1019" t="s">
        <v>11157</v>
      </c>
      <c r="AS1019" t="s">
        <v>11173</v>
      </c>
      <c r="AU1019">
        <v>15</v>
      </c>
      <c r="AW1019" t="s">
        <v>11187</v>
      </c>
      <c r="AY1019" t="s">
        <v>11213</v>
      </c>
      <c r="BA1019" t="s">
        <v>11222</v>
      </c>
      <c r="BD1019" t="s">
        <v>11667</v>
      </c>
      <c r="BF1019" t="s">
        <v>14364</v>
      </c>
      <c r="BM1019" t="s">
        <v>15650</v>
      </c>
    </row>
    <row r="1020" spans="1:65">
      <c r="A1020" s="1">
        <f>HYPERLINK("https://lsnyc.legalserver.org/matter/dynamic-profile/view/1914815","19-1914815")</f>
        <v>0</v>
      </c>
      <c r="B1020" t="s">
        <v>110</v>
      </c>
      <c r="C1020" t="s">
        <v>245</v>
      </c>
      <c r="D1020" t="s">
        <v>262</v>
      </c>
      <c r="F1020" t="s">
        <v>1635</v>
      </c>
      <c r="G1020" t="s">
        <v>3401</v>
      </c>
      <c r="H1020" t="s">
        <v>4780</v>
      </c>
      <c r="I1020" t="s">
        <v>6471</v>
      </c>
      <c r="J1020" t="s">
        <v>7169</v>
      </c>
      <c r="K1020">
        <v>10035</v>
      </c>
      <c r="N1020" t="s">
        <v>7237</v>
      </c>
      <c r="O1020" t="s">
        <v>7827</v>
      </c>
      <c r="P1020">
        <v>1</v>
      </c>
      <c r="Q1020">
        <v>0</v>
      </c>
      <c r="R1020">
        <v>96.08</v>
      </c>
      <c r="U1020">
        <v>12000</v>
      </c>
      <c r="W1020">
        <v>0</v>
      </c>
      <c r="Y1020" t="s">
        <v>10859</v>
      </c>
      <c r="AA1020" t="s">
        <v>10974</v>
      </c>
      <c r="AB1020" t="s">
        <v>614</v>
      </c>
      <c r="AD1020" t="s">
        <v>11101</v>
      </c>
      <c r="AF1020" t="s">
        <v>11118</v>
      </c>
      <c r="AH1020" t="s">
        <v>10974</v>
      </c>
      <c r="AJ1020" t="s">
        <v>11129</v>
      </c>
      <c r="AK1020" t="s">
        <v>7225</v>
      </c>
      <c r="AM1020">
        <v>1104.42</v>
      </c>
      <c r="AO1020">
        <v>60</v>
      </c>
      <c r="AQ1020" t="s">
        <v>11157</v>
      </c>
      <c r="AS1020" t="s">
        <v>11173</v>
      </c>
      <c r="AU1020">
        <v>7</v>
      </c>
      <c r="AW1020" t="s">
        <v>11189</v>
      </c>
      <c r="AY1020" t="s">
        <v>11213</v>
      </c>
      <c r="BA1020" t="s">
        <v>11222</v>
      </c>
      <c r="BE1020" t="s">
        <v>12292</v>
      </c>
      <c r="BF1020" t="s">
        <v>14364</v>
      </c>
      <c r="BM1020" t="s">
        <v>15650</v>
      </c>
    </row>
    <row r="1021" spans="1:65">
      <c r="A1021" s="1">
        <f>HYPERLINK("https://lsnyc.legalserver.org/matter/dynamic-profile/view/1897620","19-1897620")</f>
        <v>0</v>
      </c>
      <c r="B1021" t="s">
        <v>110</v>
      </c>
      <c r="C1021" t="s">
        <v>245</v>
      </c>
      <c r="D1021" t="s">
        <v>389</v>
      </c>
      <c r="F1021" t="s">
        <v>1635</v>
      </c>
      <c r="G1021" t="s">
        <v>3401</v>
      </c>
      <c r="H1021" t="s">
        <v>4780</v>
      </c>
      <c r="I1021" t="s">
        <v>6471</v>
      </c>
      <c r="J1021" t="s">
        <v>7169</v>
      </c>
      <c r="K1021">
        <v>10035</v>
      </c>
      <c r="N1021" t="s">
        <v>7237</v>
      </c>
      <c r="O1021" t="s">
        <v>7827</v>
      </c>
      <c r="P1021">
        <v>1</v>
      </c>
      <c r="Q1021">
        <v>0</v>
      </c>
      <c r="R1021">
        <v>96.08</v>
      </c>
      <c r="U1021">
        <v>12000</v>
      </c>
      <c r="W1021">
        <v>0</v>
      </c>
      <c r="Y1021" t="s">
        <v>10859</v>
      </c>
      <c r="AA1021" t="s">
        <v>10974</v>
      </c>
      <c r="AB1021" t="s">
        <v>444</v>
      </c>
      <c r="AD1021" t="s">
        <v>11086</v>
      </c>
      <c r="AF1021" t="s">
        <v>10384</v>
      </c>
      <c r="AH1021" t="s">
        <v>10974</v>
      </c>
      <c r="AJ1021" t="s">
        <v>11137</v>
      </c>
      <c r="AK1021" t="s">
        <v>7225</v>
      </c>
      <c r="AM1021">
        <v>1104.42</v>
      </c>
      <c r="AO1021">
        <v>60</v>
      </c>
      <c r="AQ1021" t="s">
        <v>11157</v>
      </c>
      <c r="AS1021" t="s">
        <v>11173</v>
      </c>
      <c r="AU1021">
        <v>7</v>
      </c>
      <c r="AW1021" t="s">
        <v>11189</v>
      </c>
      <c r="AY1021" t="s">
        <v>11213</v>
      </c>
      <c r="BA1021" t="s">
        <v>11222</v>
      </c>
      <c r="BE1021" t="s">
        <v>12292</v>
      </c>
      <c r="BF1021" t="s">
        <v>14364</v>
      </c>
      <c r="BM1021" t="s">
        <v>15650</v>
      </c>
    </row>
    <row r="1022" spans="1:65">
      <c r="A1022" s="1">
        <f>HYPERLINK("https://lsnyc.legalserver.org/matter/dynamic-profile/view/1914766","19-1914766")</f>
        <v>0</v>
      </c>
      <c r="B1022" t="s">
        <v>110</v>
      </c>
      <c r="C1022" t="s">
        <v>245</v>
      </c>
      <c r="D1022" t="s">
        <v>614</v>
      </c>
      <c r="F1022" t="s">
        <v>1615</v>
      </c>
      <c r="G1022" t="s">
        <v>3381</v>
      </c>
      <c r="H1022" t="s">
        <v>4780</v>
      </c>
      <c r="I1022" t="s">
        <v>6551</v>
      </c>
      <c r="J1022" t="s">
        <v>7169</v>
      </c>
      <c r="K1022">
        <v>10035</v>
      </c>
      <c r="N1022" t="s">
        <v>7237</v>
      </c>
      <c r="O1022" t="s">
        <v>7937</v>
      </c>
      <c r="P1022">
        <v>2</v>
      </c>
      <c r="Q1022">
        <v>3</v>
      </c>
      <c r="R1022">
        <v>145.84</v>
      </c>
      <c r="U1022">
        <v>44000</v>
      </c>
      <c r="W1022">
        <v>0</v>
      </c>
      <c r="Y1022" t="s">
        <v>10859</v>
      </c>
      <c r="AA1022" t="s">
        <v>10974</v>
      </c>
      <c r="AB1022" t="s">
        <v>614</v>
      </c>
      <c r="AD1022" t="s">
        <v>11101</v>
      </c>
      <c r="AF1022" t="s">
        <v>11118</v>
      </c>
      <c r="AH1022" t="s">
        <v>10974</v>
      </c>
      <c r="AJ1022" t="s">
        <v>11129</v>
      </c>
      <c r="AK1022" t="s">
        <v>7225</v>
      </c>
      <c r="AM1022">
        <v>892</v>
      </c>
      <c r="AN1022" t="s">
        <v>11151</v>
      </c>
      <c r="AO1022" t="s">
        <v>11153</v>
      </c>
      <c r="AQ1022" t="s">
        <v>11157</v>
      </c>
      <c r="AS1022" t="s">
        <v>11174</v>
      </c>
      <c r="AU1022">
        <v>5</v>
      </c>
      <c r="AW1022" t="s">
        <v>11187</v>
      </c>
      <c r="AY1022" t="s">
        <v>11213</v>
      </c>
      <c r="BA1022" t="s">
        <v>11222</v>
      </c>
      <c r="BE1022" t="s">
        <v>12269</v>
      </c>
      <c r="BF1022" t="s">
        <v>14364</v>
      </c>
      <c r="BM1022" t="s">
        <v>15650</v>
      </c>
    </row>
    <row r="1023" spans="1:65">
      <c r="A1023" s="1">
        <f>HYPERLINK("https://lsnyc.legalserver.org/matter/dynamic-profile/view/1915277","19-1915277")</f>
        <v>0</v>
      </c>
      <c r="B1023" t="s">
        <v>110</v>
      </c>
      <c r="C1023" t="s">
        <v>245</v>
      </c>
      <c r="D1023" t="s">
        <v>426</v>
      </c>
      <c r="F1023" t="s">
        <v>1635</v>
      </c>
      <c r="G1023" t="s">
        <v>3401</v>
      </c>
      <c r="H1023" t="s">
        <v>4780</v>
      </c>
      <c r="I1023" t="s">
        <v>6471</v>
      </c>
      <c r="J1023" t="s">
        <v>7169</v>
      </c>
      <c r="K1023">
        <v>10035</v>
      </c>
      <c r="N1023" t="s">
        <v>7237</v>
      </c>
      <c r="O1023" t="s">
        <v>7827</v>
      </c>
      <c r="P1023">
        <v>1</v>
      </c>
      <c r="Q1023">
        <v>0</v>
      </c>
      <c r="R1023">
        <v>96.08</v>
      </c>
      <c r="U1023">
        <v>12000</v>
      </c>
      <c r="W1023">
        <v>0</v>
      </c>
      <c r="Y1023" t="s">
        <v>10859</v>
      </c>
      <c r="AA1023" t="s">
        <v>10974</v>
      </c>
      <c r="AB1023" t="s">
        <v>426</v>
      </c>
      <c r="AD1023" t="s">
        <v>11098</v>
      </c>
      <c r="AF1023" t="s">
        <v>11118</v>
      </c>
      <c r="AH1023" t="s">
        <v>10974</v>
      </c>
      <c r="AJ1023" t="s">
        <v>11129</v>
      </c>
      <c r="AK1023" t="s">
        <v>7225</v>
      </c>
      <c r="AM1023">
        <v>1104.42</v>
      </c>
      <c r="AO1023">
        <v>60</v>
      </c>
      <c r="AQ1023" t="s">
        <v>11157</v>
      </c>
      <c r="AS1023" t="s">
        <v>11173</v>
      </c>
      <c r="AU1023">
        <v>7</v>
      </c>
      <c r="AW1023" t="s">
        <v>11189</v>
      </c>
      <c r="AY1023" t="s">
        <v>11213</v>
      </c>
      <c r="BA1023" t="s">
        <v>11222</v>
      </c>
      <c r="BE1023" t="s">
        <v>12292</v>
      </c>
      <c r="BF1023" t="s">
        <v>14364</v>
      </c>
      <c r="BM1023" t="s">
        <v>15650</v>
      </c>
    </row>
    <row r="1024" spans="1:65">
      <c r="A1024" s="1">
        <f>HYPERLINK("https://lsnyc.legalserver.org/matter/dynamic-profile/view/1915061","19-1915061")</f>
        <v>0</v>
      </c>
      <c r="B1024" t="s">
        <v>110</v>
      </c>
      <c r="C1024" t="s">
        <v>245</v>
      </c>
      <c r="D1024" t="s">
        <v>264</v>
      </c>
      <c r="F1024" t="s">
        <v>1621</v>
      </c>
      <c r="G1024" t="s">
        <v>3386</v>
      </c>
      <c r="H1024" t="s">
        <v>5178</v>
      </c>
      <c r="I1024" t="s">
        <v>6437</v>
      </c>
      <c r="J1024" t="s">
        <v>7169</v>
      </c>
      <c r="K1024">
        <v>10035</v>
      </c>
      <c r="N1024" t="s">
        <v>7237</v>
      </c>
      <c r="O1024" t="s">
        <v>7947</v>
      </c>
      <c r="P1024">
        <v>2</v>
      </c>
      <c r="Q1024">
        <v>0</v>
      </c>
      <c r="R1024">
        <v>313.42</v>
      </c>
      <c r="U1024">
        <v>53000</v>
      </c>
      <c r="W1024">
        <v>0</v>
      </c>
      <c r="Y1024" t="s">
        <v>10859</v>
      </c>
      <c r="AA1024" t="s">
        <v>10974</v>
      </c>
      <c r="AB1024" t="s">
        <v>264</v>
      </c>
      <c r="AD1024" t="s">
        <v>11098</v>
      </c>
      <c r="AF1024" t="s">
        <v>11118</v>
      </c>
      <c r="AH1024" t="s">
        <v>10974</v>
      </c>
      <c r="AJ1024" t="s">
        <v>11129</v>
      </c>
      <c r="AK1024" t="s">
        <v>7225</v>
      </c>
      <c r="AM1024">
        <v>1065</v>
      </c>
      <c r="AO1024">
        <v>60</v>
      </c>
      <c r="AQ1024" t="s">
        <v>11157</v>
      </c>
      <c r="AS1024" t="s">
        <v>11173</v>
      </c>
      <c r="AU1024">
        <v>14</v>
      </c>
      <c r="AW1024" t="s">
        <v>11187</v>
      </c>
      <c r="AY1024" t="s">
        <v>11213</v>
      </c>
      <c r="BA1024" t="s">
        <v>11222</v>
      </c>
      <c r="BD1024" t="s">
        <v>11667</v>
      </c>
      <c r="BF1024" t="s">
        <v>14364</v>
      </c>
      <c r="BM1024" t="s">
        <v>15650</v>
      </c>
    </row>
    <row r="1025" spans="1:65">
      <c r="A1025" s="1">
        <f>HYPERLINK("https://lsnyc.legalserver.org/matter/dynamic-profile/view/1914769","19-1914769")</f>
        <v>0</v>
      </c>
      <c r="B1025" t="s">
        <v>110</v>
      </c>
      <c r="C1025" t="s">
        <v>245</v>
      </c>
      <c r="D1025" t="s">
        <v>614</v>
      </c>
      <c r="F1025" t="s">
        <v>1636</v>
      </c>
      <c r="G1025" t="s">
        <v>3402</v>
      </c>
      <c r="H1025" t="s">
        <v>4780</v>
      </c>
      <c r="I1025" t="s">
        <v>6503</v>
      </c>
      <c r="J1025" t="s">
        <v>7169</v>
      </c>
      <c r="K1025">
        <v>10035</v>
      </c>
      <c r="N1025" t="s">
        <v>7237</v>
      </c>
      <c r="O1025" t="s">
        <v>7965</v>
      </c>
      <c r="P1025">
        <v>3</v>
      </c>
      <c r="Q1025">
        <v>0</v>
      </c>
      <c r="R1025">
        <v>140.65</v>
      </c>
      <c r="U1025">
        <v>30000</v>
      </c>
      <c r="W1025">
        <v>0</v>
      </c>
      <c r="Y1025" t="s">
        <v>10859</v>
      </c>
      <c r="AA1025" t="s">
        <v>10974</v>
      </c>
      <c r="AB1025" t="s">
        <v>614</v>
      </c>
      <c r="AD1025" t="s">
        <v>11086</v>
      </c>
      <c r="AF1025" t="s">
        <v>10384</v>
      </c>
      <c r="AH1025" t="s">
        <v>10974</v>
      </c>
      <c r="AJ1025" t="s">
        <v>11129</v>
      </c>
      <c r="AK1025" t="s">
        <v>7225</v>
      </c>
      <c r="AM1025">
        <v>1033.5</v>
      </c>
      <c r="AO1025">
        <v>60</v>
      </c>
      <c r="AQ1025" t="s">
        <v>11157</v>
      </c>
      <c r="AS1025" t="s">
        <v>11174</v>
      </c>
      <c r="AU1025">
        <v>15</v>
      </c>
      <c r="AW1025" t="s">
        <v>11189</v>
      </c>
      <c r="AY1025" t="s">
        <v>11213</v>
      </c>
      <c r="BA1025" t="s">
        <v>11222</v>
      </c>
      <c r="BE1025" t="s">
        <v>12293</v>
      </c>
      <c r="BF1025" t="s">
        <v>14364</v>
      </c>
      <c r="BM1025" t="s">
        <v>15650</v>
      </c>
    </row>
    <row r="1026" spans="1:65">
      <c r="A1026" s="1">
        <f>HYPERLINK("https://lsnyc.legalserver.org/matter/dynamic-profile/view/1915716","19-1915716")</f>
        <v>0</v>
      </c>
      <c r="B1026" t="s">
        <v>110</v>
      </c>
      <c r="C1026" t="s">
        <v>245</v>
      </c>
      <c r="D1026" t="s">
        <v>638</v>
      </c>
      <c r="F1026" t="s">
        <v>1631</v>
      </c>
      <c r="G1026" t="s">
        <v>3396</v>
      </c>
      <c r="H1026" t="s">
        <v>4780</v>
      </c>
      <c r="I1026" t="s">
        <v>6497</v>
      </c>
      <c r="J1026" t="s">
        <v>7169</v>
      </c>
      <c r="K1026">
        <v>10035</v>
      </c>
      <c r="N1026" t="s">
        <v>7237</v>
      </c>
      <c r="O1026" t="s">
        <v>7960</v>
      </c>
      <c r="P1026">
        <v>2</v>
      </c>
      <c r="Q1026">
        <v>4</v>
      </c>
      <c r="R1026">
        <v>98.87</v>
      </c>
      <c r="U1026">
        <v>34200</v>
      </c>
      <c r="W1026">
        <v>0</v>
      </c>
      <c r="Y1026" t="s">
        <v>10859</v>
      </c>
      <c r="AA1026" t="s">
        <v>10974</v>
      </c>
      <c r="AB1026" t="s">
        <v>638</v>
      </c>
      <c r="AD1026" t="s">
        <v>11098</v>
      </c>
      <c r="AF1026" t="s">
        <v>11122</v>
      </c>
      <c r="AH1026" t="s">
        <v>10974</v>
      </c>
      <c r="AJ1026" t="s">
        <v>11129</v>
      </c>
      <c r="AK1026" t="s">
        <v>7225</v>
      </c>
      <c r="AM1026">
        <v>1350</v>
      </c>
      <c r="AO1026">
        <v>60</v>
      </c>
      <c r="AQ1026" t="s">
        <v>11157</v>
      </c>
      <c r="AS1026" t="s">
        <v>11173</v>
      </c>
      <c r="AU1026">
        <v>7</v>
      </c>
      <c r="AW1026" t="s">
        <v>11187</v>
      </c>
      <c r="AY1026" t="s">
        <v>11213</v>
      </c>
      <c r="BA1026" t="s">
        <v>11222</v>
      </c>
      <c r="BE1026" t="s">
        <v>12288</v>
      </c>
      <c r="BF1026" t="s">
        <v>14364</v>
      </c>
      <c r="BM1026" t="s">
        <v>15650</v>
      </c>
    </row>
    <row r="1027" spans="1:65">
      <c r="A1027" s="1">
        <f>HYPERLINK("https://lsnyc.legalserver.org/matter/dynamic-profile/view/1914825","19-1914825")</f>
        <v>0</v>
      </c>
      <c r="B1027" t="s">
        <v>110</v>
      </c>
      <c r="C1027" t="s">
        <v>245</v>
      </c>
      <c r="D1027" t="s">
        <v>262</v>
      </c>
      <c r="F1027" t="s">
        <v>1637</v>
      </c>
      <c r="G1027" t="s">
        <v>2982</v>
      </c>
      <c r="H1027" t="s">
        <v>4780</v>
      </c>
      <c r="I1027" t="s">
        <v>6595</v>
      </c>
      <c r="J1027" t="s">
        <v>7169</v>
      </c>
      <c r="K1027">
        <v>10035</v>
      </c>
      <c r="N1027" t="s">
        <v>7237</v>
      </c>
      <c r="O1027" t="s">
        <v>7966</v>
      </c>
      <c r="P1027">
        <v>3</v>
      </c>
      <c r="Q1027">
        <v>1</v>
      </c>
      <c r="R1027">
        <v>205.83</v>
      </c>
      <c r="U1027">
        <v>53000</v>
      </c>
      <c r="W1027">
        <v>0</v>
      </c>
      <c r="Y1027" t="s">
        <v>10859</v>
      </c>
      <c r="AA1027" t="s">
        <v>10974</v>
      </c>
      <c r="AB1027" t="s">
        <v>614</v>
      </c>
      <c r="AD1027" t="s">
        <v>11101</v>
      </c>
      <c r="AF1027" t="s">
        <v>11118</v>
      </c>
      <c r="AH1027" t="s">
        <v>10974</v>
      </c>
      <c r="AJ1027" t="s">
        <v>11129</v>
      </c>
      <c r="AK1027" t="s">
        <v>7225</v>
      </c>
      <c r="AM1027">
        <v>985</v>
      </c>
      <c r="AO1027">
        <v>60</v>
      </c>
      <c r="AQ1027" t="s">
        <v>11157</v>
      </c>
      <c r="AS1027" t="s">
        <v>11173</v>
      </c>
      <c r="AU1027">
        <v>10</v>
      </c>
      <c r="AW1027" t="s">
        <v>11187</v>
      </c>
      <c r="AY1027" t="s">
        <v>11213</v>
      </c>
      <c r="BA1027" t="s">
        <v>11222</v>
      </c>
      <c r="BE1027" t="s">
        <v>12294</v>
      </c>
      <c r="BF1027" t="s">
        <v>14364</v>
      </c>
      <c r="BM1027" t="s">
        <v>15650</v>
      </c>
    </row>
    <row r="1028" spans="1:65">
      <c r="A1028" s="1">
        <f>HYPERLINK("https://lsnyc.legalserver.org/matter/dynamic-profile/view/1914775","19-1914775")</f>
        <v>0</v>
      </c>
      <c r="B1028" t="s">
        <v>110</v>
      </c>
      <c r="C1028" t="s">
        <v>245</v>
      </c>
      <c r="D1028" t="s">
        <v>614</v>
      </c>
      <c r="F1028" t="s">
        <v>1621</v>
      </c>
      <c r="G1028" t="s">
        <v>3386</v>
      </c>
      <c r="H1028" t="s">
        <v>5178</v>
      </c>
      <c r="I1028" t="s">
        <v>6437</v>
      </c>
      <c r="J1028" t="s">
        <v>7169</v>
      </c>
      <c r="K1028">
        <v>10035</v>
      </c>
      <c r="N1028" t="s">
        <v>7237</v>
      </c>
      <c r="O1028" t="s">
        <v>7947</v>
      </c>
      <c r="P1028">
        <v>2</v>
      </c>
      <c r="Q1028">
        <v>0</v>
      </c>
      <c r="R1028">
        <v>313.42</v>
      </c>
      <c r="U1028">
        <v>53000</v>
      </c>
      <c r="W1028">
        <v>0</v>
      </c>
      <c r="Y1028" t="s">
        <v>10859</v>
      </c>
      <c r="AA1028" t="s">
        <v>10974</v>
      </c>
      <c r="AB1028" t="s">
        <v>614</v>
      </c>
      <c r="AD1028" t="s">
        <v>11101</v>
      </c>
      <c r="AF1028" t="s">
        <v>11118</v>
      </c>
      <c r="AH1028" t="s">
        <v>10974</v>
      </c>
      <c r="AJ1028" t="s">
        <v>11129</v>
      </c>
      <c r="AK1028" t="s">
        <v>7225</v>
      </c>
      <c r="AM1028">
        <v>1065</v>
      </c>
      <c r="AO1028">
        <v>60</v>
      </c>
      <c r="AQ1028" t="s">
        <v>11157</v>
      </c>
      <c r="AS1028" t="s">
        <v>11173</v>
      </c>
      <c r="AU1028">
        <v>14</v>
      </c>
      <c r="AW1028" t="s">
        <v>11187</v>
      </c>
      <c r="AY1028" t="s">
        <v>11213</v>
      </c>
      <c r="BA1028" t="s">
        <v>11222</v>
      </c>
      <c r="BD1028" t="s">
        <v>11667</v>
      </c>
      <c r="BF1028" t="s">
        <v>14364</v>
      </c>
      <c r="BM1028" t="s">
        <v>15650</v>
      </c>
    </row>
    <row r="1029" spans="1:65">
      <c r="A1029" s="1">
        <f>HYPERLINK("https://lsnyc.legalserver.org/matter/dynamic-profile/view/1897745","19-1897745")</f>
        <v>0</v>
      </c>
      <c r="B1029" t="s">
        <v>110</v>
      </c>
      <c r="C1029" t="s">
        <v>245</v>
      </c>
      <c r="D1029" t="s">
        <v>633</v>
      </c>
      <c r="F1029" t="s">
        <v>1631</v>
      </c>
      <c r="G1029" t="s">
        <v>3396</v>
      </c>
      <c r="H1029" t="s">
        <v>4780</v>
      </c>
      <c r="I1029" t="s">
        <v>6497</v>
      </c>
      <c r="J1029" t="s">
        <v>7169</v>
      </c>
      <c r="K1029">
        <v>10035</v>
      </c>
      <c r="N1029" t="s">
        <v>7237</v>
      </c>
      <c r="O1029" t="s">
        <v>7960</v>
      </c>
      <c r="P1029">
        <v>2</v>
      </c>
      <c r="Q1029">
        <v>4</v>
      </c>
      <c r="R1029">
        <v>98.87</v>
      </c>
      <c r="U1029">
        <v>34200</v>
      </c>
      <c r="W1029">
        <v>0</v>
      </c>
      <c r="Y1029" t="s">
        <v>10859</v>
      </c>
      <c r="AA1029" t="s">
        <v>10974</v>
      </c>
      <c r="AB1029" t="s">
        <v>444</v>
      </c>
      <c r="AD1029" t="s">
        <v>11086</v>
      </c>
      <c r="AF1029" t="s">
        <v>10384</v>
      </c>
      <c r="AH1029" t="s">
        <v>10974</v>
      </c>
      <c r="AJ1029" t="s">
        <v>11137</v>
      </c>
      <c r="AK1029" t="s">
        <v>7225</v>
      </c>
      <c r="AM1029">
        <v>1350</v>
      </c>
      <c r="AO1029">
        <v>60</v>
      </c>
      <c r="AQ1029" t="s">
        <v>11157</v>
      </c>
      <c r="AS1029" t="s">
        <v>11173</v>
      </c>
      <c r="AU1029">
        <v>7</v>
      </c>
      <c r="AW1029" t="s">
        <v>11187</v>
      </c>
      <c r="AY1029" t="s">
        <v>11213</v>
      </c>
      <c r="BA1029" t="s">
        <v>11222</v>
      </c>
      <c r="BE1029" t="s">
        <v>12288</v>
      </c>
      <c r="BF1029" t="s">
        <v>14364</v>
      </c>
      <c r="BM1029" t="s">
        <v>15650</v>
      </c>
    </row>
    <row r="1030" spans="1:65">
      <c r="A1030" s="1">
        <f>HYPERLINK("https://lsnyc.legalserver.org/matter/dynamic-profile/view/1908368","19-1908368")</f>
        <v>0</v>
      </c>
      <c r="B1030" t="s">
        <v>110</v>
      </c>
      <c r="C1030" t="s">
        <v>245</v>
      </c>
      <c r="D1030" t="s">
        <v>565</v>
      </c>
      <c r="E1030" t="s">
        <v>539</v>
      </c>
      <c r="F1030" t="s">
        <v>1213</v>
      </c>
      <c r="G1030" t="s">
        <v>2962</v>
      </c>
      <c r="H1030" t="s">
        <v>5172</v>
      </c>
      <c r="I1030" t="s">
        <v>6423</v>
      </c>
      <c r="J1030" t="s">
        <v>7169</v>
      </c>
      <c r="K1030">
        <v>10035</v>
      </c>
      <c r="L1030" t="s">
        <v>7217</v>
      </c>
      <c r="N1030" t="s">
        <v>7237</v>
      </c>
      <c r="O1030" t="s">
        <v>7967</v>
      </c>
      <c r="P1030">
        <v>1</v>
      </c>
      <c r="Q1030">
        <v>0</v>
      </c>
      <c r="R1030">
        <v>416.33</v>
      </c>
      <c r="U1030">
        <v>52000</v>
      </c>
      <c r="W1030">
        <v>0.2</v>
      </c>
      <c r="X1030" t="s">
        <v>638</v>
      </c>
      <c r="Y1030" t="s">
        <v>10859</v>
      </c>
      <c r="AA1030" t="s">
        <v>10974</v>
      </c>
      <c r="AB1030" t="s">
        <v>437</v>
      </c>
      <c r="AD1030" t="s">
        <v>11101</v>
      </c>
      <c r="AF1030" t="s">
        <v>10384</v>
      </c>
      <c r="AH1030" t="s">
        <v>10974</v>
      </c>
      <c r="AJ1030" t="s">
        <v>11134</v>
      </c>
      <c r="AK1030" t="s">
        <v>7225</v>
      </c>
      <c r="AM1030">
        <v>72</v>
      </c>
      <c r="AO1030">
        <v>72</v>
      </c>
      <c r="AQ1030" t="s">
        <v>11157</v>
      </c>
      <c r="AS1030" t="s">
        <v>11174</v>
      </c>
      <c r="AU1030">
        <v>20</v>
      </c>
      <c r="AW1030" t="s">
        <v>11187</v>
      </c>
      <c r="AY1030" t="s">
        <v>11213</v>
      </c>
      <c r="BA1030" t="s">
        <v>11222</v>
      </c>
      <c r="BE1030" t="s">
        <v>12295</v>
      </c>
      <c r="BF1030" t="s">
        <v>14364</v>
      </c>
      <c r="BM1030" t="s">
        <v>15651</v>
      </c>
    </row>
    <row r="1031" spans="1:65">
      <c r="A1031" s="1">
        <f>HYPERLINK("https://lsnyc.legalserver.org/matter/dynamic-profile/view/1911459","19-1911459")</f>
        <v>0</v>
      </c>
      <c r="B1031" t="s">
        <v>110</v>
      </c>
      <c r="C1031" t="s">
        <v>245</v>
      </c>
      <c r="D1031" t="s">
        <v>564</v>
      </c>
      <c r="F1031" t="s">
        <v>1638</v>
      </c>
      <c r="G1031" t="s">
        <v>3403</v>
      </c>
      <c r="H1031" t="s">
        <v>5186</v>
      </c>
      <c r="I1031" t="s">
        <v>6480</v>
      </c>
      <c r="J1031" t="s">
        <v>7169</v>
      </c>
      <c r="K1031">
        <v>10029</v>
      </c>
      <c r="M1031" t="s">
        <v>7225</v>
      </c>
      <c r="N1031" t="s">
        <v>7237</v>
      </c>
      <c r="O1031" t="s">
        <v>7968</v>
      </c>
      <c r="P1031">
        <v>1</v>
      </c>
      <c r="Q1031">
        <v>0</v>
      </c>
      <c r="R1031">
        <v>0</v>
      </c>
      <c r="U1031">
        <v>0</v>
      </c>
      <c r="W1031">
        <v>4.6</v>
      </c>
      <c r="X1031" t="s">
        <v>333</v>
      </c>
      <c r="Y1031" t="s">
        <v>10890</v>
      </c>
      <c r="AA1031" t="s">
        <v>10974</v>
      </c>
      <c r="AB1031" t="s">
        <v>563</v>
      </c>
      <c r="AD1031" t="s">
        <v>11086</v>
      </c>
      <c r="AF1031" t="s">
        <v>11121</v>
      </c>
      <c r="AH1031" t="s">
        <v>10975</v>
      </c>
      <c r="AJ1031" t="s">
        <v>11143</v>
      </c>
      <c r="AK1031" t="s">
        <v>7225</v>
      </c>
      <c r="AM1031">
        <v>2000</v>
      </c>
      <c r="AO1031">
        <v>16</v>
      </c>
      <c r="AQ1031" t="s">
        <v>11157</v>
      </c>
      <c r="AR1031" t="s">
        <v>11172</v>
      </c>
      <c r="AU1031">
        <v>5</v>
      </c>
      <c r="AW1031" t="s">
        <v>11187</v>
      </c>
      <c r="AY1031" t="s">
        <v>11213</v>
      </c>
      <c r="BA1031" t="s">
        <v>11222</v>
      </c>
      <c r="BE1031" t="s">
        <v>12296</v>
      </c>
      <c r="BF1031" t="s">
        <v>14364</v>
      </c>
      <c r="BM1031" t="s">
        <v>15650</v>
      </c>
    </row>
    <row r="1032" spans="1:65">
      <c r="A1032" s="1">
        <f>HYPERLINK("https://lsnyc.legalserver.org/matter/dynamic-profile/view/1915058","19-1915058")</f>
        <v>0</v>
      </c>
      <c r="B1032" t="s">
        <v>110</v>
      </c>
      <c r="C1032" t="s">
        <v>245</v>
      </c>
      <c r="D1032" t="s">
        <v>264</v>
      </c>
      <c r="F1032" t="s">
        <v>1639</v>
      </c>
      <c r="G1032" t="s">
        <v>3404</v>
      </c>
      <c r="H1032" t="s">
        <v>5187</v>
      </c>
      <c r="I1032">
        <v>609</v>
      </c>
      <c r="J1032" t="s">
        <v>7169</v>
      </c>
      <c r="K1032">
        <v>10029</v>
      </c>
      <c r="N1032" t="s">
        <v>7237</v>
      </c>
      <c r="O1032" t="s">
        <v>7969</v>
      </c>
      <c r="P1032">
        <v>1</v>
      </c>
      <c r="Q1032">
        <v>0</v>
      </c>
      <c r="R1032">
        <v>0</v>
      </c>
      <c r="U1032">
        <v>0</v>
      </c>
      <c r="W1032">
        <v>1</v>
      </c>
      <c r="X1032" t="s">
        <v>264</v>
      </c>
      <c r="Y1032" t="s">
        <v>10888</v>
      </c>
      <c r="Z1032" t="s">
        <v>10972</v>
      </c>
      <c r="AA1032" t="s">
        <v>10976</v>
      </c>
      <c r="AD1032" t="s">
        <v>11082</v>
      </c>
      <c r="AF1032" t="s">
        <v>11121</v>
      </c>
      <c r="AH1032" t="s">
        <v>10975</v>
      </c>
      <c r="AI1032" t="s">
        <v>11126</v>
      </c>
      <c r="AK1032" t="s">
        <v>7225</v>
      </c>
      <c r="AM1032">
        <v>843</v>
      </c>
      <c r="AN1032" t="s">
        <v>11151</v>
      </c>
      <c r="AO1032" t="s">
        <v>11153</v>
      </c>
      <c r="AQ1032" t="s">
        <v>11157</v>
      </c>
      <c r="AS1032" t="s">
        <v>11173</v>
      </c>
      <c r="AU1032">
        <v>30</v>
      </c>
      <c r="AW1032" t="s">
        <v>11187</v>
      </c>
      <c r="AY1032" t="s">
        <v>11213</v>
      </c>
      <c r="AZ1032" t="s">
        <v>11221</v>
      </c>
      <c r="BE1032" t="s">
        <v>12297</v>
      </c>
      <c r="BF1032" t="s">
        <v>14364</v>
      </c>
      <c r="BM1032" t="s">
        <v>15650</v>
      </c>
    </row>
    <row r="1033" spans="1:65">
      <c r="A1033" s="1">
        <f>HYPERLINK("https://lsnyc.legalserver.org/matter/dynamic-profile/view/1915715","19-1915715")</f>
        <v>0</v>
      </c>
      <c r="B1033" t="s">
        <v>110</v>
      </c>
      <c r="C1033" t="s">
        <v>245</v>
      </c>
      <c r="D1033" t="s">
        <v>638</v>
      </c>
      <c r="F1033" t="s">
        <v>1093</v>
      </c>
      <c r="G1033" t="s">
        <v>3059</v>
      </c>
      <c r="H1033" t="s">
        <v>4780</v>
      </c>
      <c r="I1033" t="s">
        <v>6501</v>
      </c>
      <c r="J1033" t="s">
        <v>7169</v>
      </c>
      <c r="K1033">
        <v>10035</v>
      </c>
      <c r="N1033" t="s">
        <v>7237</v>
      </c>
      <c r="O1033" t="s">
        <v>7970</v>
      </c>
      <c r="P1033">
        <v>2</v>
      </c>
      <c r="Q1033">
        <v>2</v>
      </c>
      <c r="R1033">
        <v>233.01</v>
      </c>
      <c r="U1033">
        <v>60000</v>
      </c>
      <c r="W1033">
        <v>0</v>
      </c>
      <c r="Y1033" t="s">
        <v>10859</v>
      </c>
      <c r="AA1033" t="s">
        <v>10974</v>
      </c>
      <c r="AB1033" t="s">
        <v>638</v>
      </c>
      <c r="AD1033" t="s">
        <v>11098</v>
      </c>
      <c r="AF1033" t="s">
        <v>11122</v>
      </c>
      <c r="AH1033" t="s">
        <v>10974</v>
      </c>
      <c r="AJ1033" t="s">
        <v>11129</v>
      </c>
      <c r="AK1033" t="s">
        <v>7225</v>
      </c>
      <c r="AM1033">
        <v>1116</v>
      </c>
      <c r="AO1033">
        <v>60</v>
      </c>
      <c r="AQ1033" t="s">
        <v>11157</v>
      </c>
      <c r="AS1033" t="s">
        <v>11173</v>
      </c>
      <c r="AU1033">
        <v>18</v>
      </c>
      <c r="AW1033" t="s">
        <v>11187</v>
      </c>
      <c r="AY1033" t="s">
        <v>11213</v>
      </c>
      <c r="BA1033" t="s">
        <v>11222</v>
      </c>
      <c r="BD1033" t="s">
        <v>11667</v>
      </c>
      <c r="BF1033" t="s">
        <v>14364</v>
      </c>
      <c r="BM1033" t="s">
        <v>15650</v>
      </c>
    </row>
    <row r="1034" spans="1:65">
      <c r="A1034" s="1">
        <f>HYPERLINK("https://lsnyc.legalserver.org/matter/dynamic-profile/view/1915053","19-1915053")</f>
        <v>0</v>
      </c>
      <c r="B1034" t="s">
        <v>110</v>
      </c>
      <c r="C1034" t="s">
        <v>245</v>
      </c>
      <c r="D1034" t="s">
        <v>264</v>
      </c>
      <c r="F1034" t="s">
        <v>1636</v>
      </c>
      <c r="G1034" t="s">
        <v>3402</v>
      </c>
      <c r="H1034" t="s">
        <v>4780</v>
      </c>
      <c r="I1034" t="s">
        <v>6503</v>
      </c>
      <c r="J1034" t="s">
        <v>7169</v>
      </c>
      <c r="K1034">
        <v>10035</v>
      </c>
      <c r="N1034" t="s">
        <v>7237</v>
      </c>
      <c r="O1034" t="s">
        <v>7965</v>
      </c>
      <c r="P1034">
        <v>3</v>
      </c>
      <c r="Q1034">
        <v>0</v>
      </c>
      <c r="R1034">
        <v>140.65</v>
      </c>
      <c r="U1034">
        <v>30000</v>
      </c>
      <c r="W1034">
        <v>0</v>
      </c>
      <c r="Y1034" t="s">
        <v>10859</v>
      </c>
      <c r="AA1034" t="s">
        <v>10974</v>
      </c>
      <c r="AB1034" t="s">
        <v>264</v>
      </c>
      <c r="AD1034" t="s">
        <v>11098</v>
      </c>
      <c r="AF1034" t="s">
        <v>11118</v>
      </c>
      <c r="AH1034" t="s">
        <v>10974</v>
      </c>
      <c r="AJ1034" t="s">
        <v>11129</v>
      </c>
      <c r="AK1034" t="s">
        <v>7225</v>
      </c>
      <c r="AM1034">
        <v>1033.5</v>
      </c>
      <c r="AO1034">
        <v>60</v>
      </c>
      <c r="AQ1034" t="s">
        <v>11157</v>
      </c>
      <c r="AS1034" t="s">
        <v>11174</v>
      </c>
      <c r="AU1034">
        <v>15</v>
      </c>
      <c r="AW1034" t="s">
        <v>11189</v>
      </c>
      <c r="AY1034" t="s">
        <v>11213</v>
      </c>
      <c r="BA1034" t="s">
        <v>11222</v>
      </c>
      <c r="BE1034" t="s">
        <v>12293</v>
      </c>
      <c r="BF1034" t="s">
        <v>14364</v>
      </c>
      <c r="BM1034" t="s">
        <v>15650</v>
      </c>
    </row>
    <row r="1035" spans="1:65">
      <c r="A1035" s="1">
        <f>HYPERLINK("https://lsnyc.legalserver.org/matter/dynamic-profile/view/1914840","19-1914840")</f>
        <v>0</v>
      </c>
      <c r="B1035" t="s">
        <v>110</v>
      </c>
      <c r="C1035" t="s">
        <v>245</v>
      </c>
      <c r="D1035" t="s">
        <v>262</v>
      </c>
      <c r="F1035" t="s">
        <v>1101</v>
      </c>
      <c r="G1035" t="s">
        <v>3400</v>
      </c>
      <c r="H1035" t="s">
        <v>4780</v>
      </c>
      <c r="I1035" t="s">
        <v>6473</v>
      </c>
      <c r="J1035" t="s">
        <v>7169</v>
      </c>
      <c r="K1035">
        <v>10035</v>
      </c>
      <c r="N1035" t="s">
        <v>7237</v>
      </c>
      <c r="O1035" t="s">
        <v>7964</v>
      </c>
      <c r="P1035">
        <v>1</v>
      </c>
      <c r="Q1035">
        <v>1</v>
      </c>
      <c r="R1035">
        <v>212.89</v>
      </c>
      <c r="U1035">
        <v>36000</v>
      </c>
      <c r="W1035">
        <v>0</v>
      </c>
      <c r="Y1035" t="s">
        <v>10859</v>
      </c>
      <c r="AA1035" t="s">
        <v>10974</v>
      </c>
      <c r="AB1035" t="s">
        <v>614</v>
      </c>
      <c r="AD1035" t="s">
        <v>11101</v>
      </c>
      <c r="AF1035" t="s">
        <v>11118</v>
      </c>
      <c r="AH1035" t="s">
        <v>10974</v>
      </c>
      <c r="AJ1035" t="s">
        <v>11129</v>
      </c>
      <c r="AK1035" t="s">
        <v>7225</v>
      </c>
      <c r="AM1035">
        <v>900</v>
      </c>
      <c r="AO1035">
        <v>60</v>
      </c>
      <c r="AQ1035" t="s">
        <v>11157</v>
      </c>
      <c r="AS1035" t="s">
        <v>11173</v>
      </c>
      <c r="AU1035">
        <v>15</v>
      </c>
      <c r="AW1035" t="s">
        <v>11187</v>
      </c>
      <c r="AY1035" t="s">
        <v>11213</v>
      </c>
      <c r="BA1035" t="s">
        <v>11222</v>
      </c>
      <c r="BD1035" t="s">
        <v>11667</v>
      </c>
      <c r="BF1035" t="s">
        <v>14364</v>
      </c>
      <c r="BM1035" t="s">
        <v>15650</v>
      </c>
    </row>
    <row r="1036" spans="1:65">
      <c r="A1036" s="1">
        <f>HYPERLINK("https://lsnyc.legalserver.org/matter/dynamic-profile/view/1912397","19-1912397")</f>
        <v>0</v>
      </c>
      <c r="B1036" t="s">
        <v>110</v>
      </c>
      <c r="C1036" t="s">
        <v>245</v>
      </c>
      <c r="D1036" t="s">
        <v>441</v>
      </c>
      <c r="F1036" t="s">
        <v>1640</v>
      </c>
      <c r="G1036" t="s">
        <v>2962</v>
      </c>
      <c r="H1036" t="s">
        <v>5188</v>
      </c>
      <c r="I1036" t="s">
        <v>6433</v>
      </c>
      <c r="J1036" t="s">
        <v>7169</v>
      </c>
      <c r="K1036">
        <v>10029</v>
      </c>
      <c r="N1036" t="s">
        <v>7237</v>
      </c>
      <c r="O1036" t="s">
        <v>7971</v>
      </c>
      <c r="P1036">
        <v>1</v>
      </c>
      <c r="Q1036">
        <v>0</v>
      </c>
      <c r="R1036">
        <v>76.86</v>
      </c>
      <c r="U1036">
        <v>9600</v>
      </c>
      <c r="W1036">
        <v>1</v>
      </c>
      <c r="X1036" t="s">
        <v>333</v>
      </c>
      <c r="Y1036" t="s">
        <v>10859</v>
      </c>
      <c r="AA1036" t="s">
        <v>10974</v>
      </c>
      <c r="AB1036" t="s">
        <v>271</v>
      </c>
      <c r="AD1036" t="s">
        <v>11086</v>
      </c>
      <c r="AF1036" t="s">
        <v>11119</v>
      </c>
      <c r="AH1036" t="s">
        <v>10975</v>
      </c>
      <c r="AJ1036" t="s">
        <v>11134</v>
      </c>
      <c r="AK1036" t="s">
        <v>7225</v>
      </c>
      <c r="AM1036">
        <v>259.33</v>
      </c>
      <c r="AO1036">
        <v>18</v>
      </c>
      <c r="AQ1036" t="s">
        <v>11157</v>
      </c>
      <c r="AS1036" t="s">
        <v>11173</v>
      </c>
      <c r="AU1036">
        <v>15</v>
      </c>
      <c r="AW1036" t="s">
        <v>11189</v>
      </c>
      <c r="AY1036" t="s">
        <v>11213</v>
      </c>
      <c r="BA1036" t="s">
        <v>11222</v>
      </c>
      <c r="BB1036" t="s">
        <v>11224</v>
      </c>
      <c r="BC1036" t="s">
        <v>11332</v>
      </c>
      <c r="BE1036" t="s">
        <v>12298</v>
      </c>
      <c r="BF1036" t="s">
        <v>14364</v>
      </c>
      <c r="BM1036" t="s">
        <v>15650</v>
      </c>
    </row>
    <row r="1037" spans="1:65">
      <c r="A1037" s="1">
        <f>HYPERLINK("https://lsnyc.legalserver.org/matter/dynamic-profile/view/1915721","19-1915721")</f>
        <v>0</v>
      </c>
      <c r="B1037" t="s">
        <v>110</v>
      </c>
      <c r="C1037" t="s">
        <v>245</v>
      </c>
      <c r="D1037" t="s">
        <v>638</v>
      </c>
      <c r="F1037" t="s">
        <v>1101</v>
      </c>
      <c r="G1037" t="s">
        <v>3400</v>
      </c>
      <c r="H1037" t="s">
        <v>4780</v>
      </c>
      <c r="I1037" t="s">
        <v>6473</v>
      </c>
      <c r="J1037" t="s">
        <v>7169</v>
      </c>
      <c r="K1037">
        <v>10035</v>
      </c>
      <c r="N1037" t="s">
        <v>7237</v>
      </c>
      <c r="O1037" t="s">
        <v>7964</v>
      </c>
      <c r="P1037">
        <v>1</v>
      </c>
      <c r="Q1037">
        <v>1</v>
      </c>
      <c r="R1037">
        <v>212.89</v>
      </c>
      <c r="U1037">
        <v>36000</v>
      </c>
      <c r="W1037">
        <v>0</v>
      </c>
      <c r="Y1037" t="s">
        <v>10859</v>
      </c>
      <c r="AA1037" t="s">
        <v>10974</v>
      </c>
      <c r="AB1037" t="s">
        <v>638</v>
      </c>
      <c r="AD1037" t="s">
        <v>11098</v>
      </c>
      <c r="AF1037" t="s">
        <v>11122</v>
      </c>
      <c r="AH1037" t="s">
        <v>10974</v>
      </c>
      <c r="AJ1037" t="s">
        <v>11129</v>
      </c>
      <c r="AK1037" t="s">
        <v>7225</v>
      </c>
      <c r="AM1037">
        <v>900</v>
      </c>
      <c r="AO1037">
        <v>60</v>
      </c>
      <c r="AQ1037" t="s">
        <v>11157</v>
      </c>
      <c r="AS1037" t="s">
        <v>11173</v>
      </c>
      <c r="AU1037">
        <v>15</v>
      </c>
      <c r="AW1037" t="s">
        <v>11187</v>
      </c>
      <c r="AY1037" t="s">
        <v>11213</v>
      </c>
      <c r="BA1037" t="s">
        <v>11222</v>
      </c>
      <c r="BD1037" t="s">
        <v>11667</v>
      </c>
      <c r="BF1037" t="s">
        <v>14364</v>
      </c>
      <c r="BM1037" t="s">
        <v>15650</v>
      </c>
    </row>
    <row r="1038" spans="1:65">
      <c r="A1038" s="1">
        <f>HYPERLINK("https://lsnyc.legalserver.org/matter/dynamic-profile/view/1914861","19-1914861")</f>
        <v>0</v>
      </c>
      <c r="B1038" t="s">
        <v>110</v>
      </c>
      <c r="C1038" t="s">
        <v>245</v>
      </c>
      <c r="D1038" t="s">
        <v>262</v>
      </c>
      <c r="F1038" t="s">
        <v>1641</v>
      </c>
      <c r="G1038" t="s">
        <v>3405</v>
      </c>
      <c r="H1038" t="s">
        <v>5189</v>
      </c>
      <c r="I1038" t="s">
        <v>6403</v>
      </c>
      <c r="J1038" t="s">
        <v>7169</v>
      </c>
      <c r="K1038">
        <v>10035</v>
      </c>
      <c r="N1038" t="s">
        <v>7237</v>
      </c>
      <c r="O1038" t="s">
        <v>7972</v>
      </c>
      <c r="P1038">
        <v>1</v>
      </c>
      <c r="Q1038">
        <v>0</v>
      </c>
      <c r="R1038">
        <v>83.68000000000001</v>
      </c>
      <c r="U1038">
        <v>10452</v>
      </c>
      <c r="W1038">
        <v>2</v>
      </c>
      <c r="X1038" t="s">
        <v>297</v>
      </c>
      <c r="Y1038" t="s">
        <v>10859</v>
      </c>
      <c r="AA1038" t="s">
        <v>10974</v>
      </c>
      <c r="AB1038" t="s">
        <v>614</v>
      </c>
      <c r="AD1038" t="s">
        <v>11101</v>
      </c>
      <c r="AF1038" t="s">
        <v>11118</v>
      </c>
      <c r="AH1038" t="s">
        <v>10974</v>
      </c>
      <c r="AJ1038" t="s">
        <v>11129</v>
      </c>
      <c r="AK1038" t="s">
        <v>7225</v>
      </c>
      <c r="AM1038">
        <v>1483.36</v>
      </c>
      <c r="AO1038">
        <v>30</v>
      </c>
      <c r="AQ1038" t="s">
        <v>11157</v>
      </c>
      <c r="AS1038" t="s">
        <v>11174</v>
      </c>
      <c r="AU1038">
        <v>16</v>
      </c>
      <c r="AW1038" t="s">
        <v>11187</v>
      </c>
      <c r="AY1038" t="s">
        <v>11213</v>
      </c>
      <c r="BA1038" t="s">
        <v>11222</v>
      </c>
      <c r="BE1038" t="s">
        <v>12299</v>
      </c>
      <c r="BF1038" t="s">
        <v>14364</v>
      </c>
      <c r="BM1038" t="s">
        <v>15650</v>
      </c>
    </row>
    <row r="1039" spans="1:65">
      <c r="A1039" s="1">
        <f>HYPERLINK("https://lsnyc.legalserver.org/matter/dynamic-profile/view/1889049","19-1889049")</f>
        <v>0</v>
      </c>
      <c r="B1039" t="s">
        <v>110</v>
      </c>
      <c r="C1039" t="s">
        <v>245</v>
      </c>
      <c r="D1039" t="s">
        <v>321</v>
      </c>
      <c r="F1039" t="s">
        <v>1641</v>
      </c>
      <c r="G1039" t="s">
        <v>3405</v>
      </c>
      <c r="H1039" t="s">
        <v>5189</v>
      </c>
      <c r="I1039" t="s">
        <v>6403</v>
      </c>
      <c r="J1039" t="s">
        <v>7169</v>
      </c>
      <c r="K1039">
        <v>10035</v>
      </c>
      <c r="N1039" t="s">
        <v>7237</v>
      </c>
      <c r="O1039" t="s">
        <v>7972</v>
      </c>
      <c r="P1039">
        <v>1</v>
      </c>
      <c r="Q1039">
        <v>0</v>
      </c>
      <c r="R1039">
        <v>83.68000000000001</v>
      </c>
      <c r="U1039">
        <v>10452</v>
      </c>
      <c r="V1039" t="s">
        <v>10363</v>
      </c>
      <c r="W1039">
        <v>20</v>
      </c>
      <c r="X1039" t="s">
        <v>297</v>
      </c>
      <c r="Y1039" t="s">
        <v>10859</v>
      </c>
      <c r="AA1039" t="s">
        <v>10974</v>
      </c>
      <c r="AB1039" t="s">
        <v>681</v>
      </c>
      <c r="AD1039" t="s">
        <v>11086</v>
      </c>
      <c r="AF1039" t="s">
        <v>11119</v>
      </c>
      <c r="AH1039" t="s">
        <v>10974</v>
      </c>
      <c r="AJ1039" t="s">
        <v>11134</v>
      </c>
      <c r="AK1039" t="s">
        <v>7225</v>
      </c>
      <c r="AM1039">
        <v>1483.36</v>
      </c>
      <c r="AO1039">
        <v>30</v>
      </c>
      <c r="AQ1039" t="s">
        <v>11157</v>
      </c>
      <c r="AS1039" t="s">
        <v>11174</v>
      </c>
      <c r="AU1039">
        <v>16</v>
      </c>
      <c r="AW1039" t="s">
        <v>11187</v>
      </c>
      <c r="AY1039" t="s">
        <v>11213</v>
      </c>
      <c r="AZ1039" t="s">
        <v>11221</v>
      </c>
      <c r="BE1039" t="s">
        <v>12299</v>
      </c>
      <c r="BF1039" t="s">
        <v>14364</v>
      </c>
      <c r="BM1039" t="s">
        <v>15650</v>
      </c>
    </row>
    <row r="1040" spans="1:65">
      <c r="A1040" s="1">
        <f>HYPERLINK("https://lsnyc.legalserver.org/matter/dynamic-profile/view/1915044","19-1915044")</f>
        <v>0</v>
      </c>
      <c r="B1040" t="s">
        <v>110</v>
      </c>
      <c r="C1040" t="s">
        <v>245</v>
      </c>
      <c r="D1040" t="s">
        <v>264</v>
      </c>
      <c r="F1040" t="s">
        <v>1615</v>
      </c>
      <c r="G1040" t="s">
        <v>3381</v>
      </c>
      <c r="H1040" t="s">
        <v>4780</v>
      </c>
      <c r="I1040" t="s">
        <v>6551</v>
      </c>
      <c r="J1040" t="s">
        <v>7169</v>
      </c>
      <c r="K1040">
        <v>10035</v>
      </c>
      <c r="N1040" t="s">
        <v>7237</v>
      </c>
      <c r="O1040" t="s">
        <v>7937</v>
      </c>
      <c r="P1040">
        <v>2</v>
      </c>
      <c r="Q1040">
        <v>3</v>
      </c>
      <c r="R1040">
        <v>145.84</v>
      </c>
      <c r="U1040">
        <v>44000</v>
      </c>
      <c r="W1040">
        <v>0</v>
      </c>
      <c r="Y1040" t="s">
        <v>10859</v>
      </c>
      <c r="AA1040" t="s">
        <v>10974</v>
      </c>
      <c r="AB1040" t="s">
        <v>264</v>
      </c>
      <c r="AD1040" t="s">
        <v>11098</v>
      </c>
      <c r="AF1040" t="s">
        <v>11118</v>
      </c>
      <c r="AH1040" t="s">
        <v>10974</v>
      </c>
      <c r="AJ1040" t="s">
        <v>11129</v>
      </c>
      <c r="AK1040" t="s">
        <v>7225</v>
      </c>
      <c r="AM1040">
        <v>892</v>
      </c>
      <c r="AO1040">
        <v>60</v>
      </c>
      <c r="AQ1040" t="s">
        <v>11157</v>
      </c>
      <c r="AS1040" t="s">
        <v>11174</v>
      </c>
      <c r="AU1040">
        <v>5</v>
      </c>
      <c r="AW1040" t="s">
        <v>11187</v>
      </c>
      <c r="AY1040" t="s">
        <v>11213</v>
      </c>
      <c r="BA1040" t="s">
        <v>11222</v>
      </c>
      <c r="BE1040" t="s">
        <v>12269</v>
      </c>
      <c r="BF1040" t="s">
        <v>14364</v>
      </c>
      <c r="BM1040" t="s">
        <v>15650</v>
      </c>
    </row>
    <row r="1041" spans="1:65">
      <c r="A1041" s="1">
        <f>HYPERLINK("https://lsnyc.legalserver.org/matter/dynamic-profile/view/1915714","19-1915714")</f>
        <v>0</v>
      </c>
      <c r="B1041" t="s">
        <v>110</v>
      </c>
      <c r="C1041" t="s">
        <v>245</v>
      </c>
      <c r="D1041" t="s">
        <v>638</v>
      </c>
      <c r="F1041" t="s">
        <v>1637</v>
      </c>
      <c r="G1041" t="s">
        <v>2982</v>
      </c>
      <c r="H1041" t="s">
        <v>4780</v>
      </c>
      <c r="I1041" t="s">
        <v>6595</v>
      </c>
      <c r="J1041" t="s">
        <v>7169</v>
      </c>
      <c r="K1041">
        <v>10035</v>
      </c>
      <c r="N1041" t="s">
        <v>7237</v>
      </c>
      <c r="O1041" t="s">
        <v>7966</v>
      </c>
      <c r="P1041">
        <v>3</v>
      </c>
      <c r="Q1041">
        <v>1</v>
      </c>
      <c r="R1041">
        <v>201.94</v>
      </c>
      <c r="U1041">
        <v>52000</v>
      </c>
      <c r="W1041">
        <v>0</v>
      </c>
      <c r="Y1041" t="s">
        <v>10859</v>
      </c>
      <c r="AA1041" t="s">
        <v>10974</v>
      </c>
      <c r="AB1041" t="s">
        <v>638</v>
      </c>
      <c r="AD1041" t="s">
        <v>11098</v>
      </c>
      <c r="AF1041" t="s">
        <v>11118</v>
      </c>
      <c r="AH1041" t="s">
        <v>10974</v>
      </c>
      <c r="AJ1041" t="s">
        <v>11129</v>
      </c>
      <c r="AK1041" t="s">
        <v>7225</v>
      </c>
      <c r="AM1041">
        <v>985</v>
      </c>
      <c r="AO1041">
        <v>60</v>
      </c>
      <c r="AQ1041" t="s">
        <v>11157</v>
      </c>
      <c r="AS1041" t="s">
        <v>11173</v>
      </c>
      <c r="AU1041">
        <v>10</v>
      </c>
      <c r="AW1041" t="s">
        <v>11187</v>
      </c>
      <c r="AY1041" t="s">
        <v>11219</v>
      </c>
      <c r="BA1041" t="s">
        <v>11222</v>
      </c>
      <c r="BE1041" t="s">
        <v>12294</v>
      </c>
      <c r="BF1041" t="s">
        <v>14364</v>
      </c>
      <c r="BM1041" t="s">
        <v>15650</v>
      </c>
    </row>
    <row r="1042" spans="1:65">
      <c r="A1042" s="1">
        <f>HYPERLINK("https://lsnyc.legalserver.org/matter/dynamic-profile/view/1895189","19-1895189")</f>
        <v>0</v>
      </c>
      <c r="B1042" t="s">
        <v>110</v>
      </c>
      <c r="C1042" t="s">
        <v>245</v>
      </c>
      <c r="D1042" t="s">
        <v>428</v>
      </c>
      <c r="F1042" t="s">
        <v>1625</v>
      </c>
      <c r="G1042" t="s">
        <v>3391</v>
      </c>
      <c r="H1042" t="s">
        <v>5179</v>
      </c>
      <c r="I1042" t="s">
        <v>6618</v>
      </c>
      <c r="J1042" t="s">
        <v>7169</v>
      </c>
      <c r="K1042">
        <v>10028</v>
      </c>
      <c r="N1042" t="s">
        <v>7237</v>
      </c>
      <c r="O1042" t="s">
        <v>7952</v>
      </c>
      <c r="P1042">
        <v>2</v>
      </c>
      <c r="Q1042">
        <v>0</v>
      </c>
      <c r="R1042">
        <v>100.13</v>
      </c>
      <c r="U1042">
        <v>16932</v>
      </c>
      <c r="W1042">
        <v>28.9</v>
      </c>
      <c r="X1042" t="s">
        <v>737</v>
      </c>
      <c r="Y1042" t="s">
        <v>10859</v>
      </c>
      <c r="AA1042" t="s">
        <v>10974</v>
      </c>
      <c r="AB1042" t="s">
        <v>428</v>
      </c>
      <c r="AD1042" t="s">
        <v>11082</v>
      </c>
      <c r="AF1042" t="s">
        <v>11118</v>
      </c>
      <c r="AH1042" t="s">
        <v>10975</v>
      </c>
      <c r="AJ1042" t="s">
        <v>11138</v>
      </c>
      <c r="AK1042" t="s">
        <v>7225</v>
      </c>
      <c r="AM1042">
        <v>1849.37</v>
      </c>
      <c r="AO1042">
        <v>60</v>
      </c>
      <c r="AQ1042" t="s">
        <v>11160</v>
      </c>
      <c r="AS1042" t="s">
        <v>11175</v>
      </c>
      <c r="AU1042">
        <v>50</v>
      </c>
      <c r="AW1042" t="s">
        <v>11187</v>
      </c>
      <c r="AY1042" t="s">
        <v>11213</v>
      </c>
      <c r="AZ1042" t="s">
        <v>11221</v>
      </c>
      <c r="BE1042" t="s">
        <v>12281</v>
      </c>
      <c r="BG1042" t="s">
        <v>14644</v>
      </c>
      <c r="BM1042" t="s">
        <v>15650</v>
      </c>
    </row>
    <row r="1043" spans="1:65">
      <c r="A1043" s="1">
        <f>HYPERLINK("https://lsnyc.legalserver.org/matter/dynamic-profile/view/1912767","19-1912767")</f>
        <v>0</v>
      </c>
      <c r="B1043" t="s">
        <v>110</v>
      </c>
      <c r="C1043" t="s">
        <v>245</v>
      </c>
      <c r="D1043" t="s">
        <v>316</v>
      </c>
      <c r="F1043" t="s">
        <v>1642</v>
      </c>
      <c r="G1043" t="s">
        <v>2877</v>
      </c>
      <c r="H1043" t="s">
        <v>5180</v>
      </c>
      <c r="I1043" t="s">
        <v>6410</v>
      </c>
      <c r="J1043" t="s">
        <v>7169</v>
      </c>
      <c r="K1043">
        <v>10035</v>
      </c>
      <c r="N1043" t="s">
        <v>7237</v>
      </c>
      <c r="O1043" t="s">
        <v>7973</v>
      </c>
      <c r="P1043">
        <v>1</v>
      </c>
      <c r="Q1043">
        <v>3</v>
      </c>
      <c r="R1043">
        <v>23.3</v>
      </c>
      <c r="U1043">
        <v>6000</v>
      </c>
      <c r="W1043">
        <v>0</v>
      </c>
      <c r="Y1043" t="s">
        <v>10859</v>
      </c>
      <c r="AA1043" t="s">
        <v>10974</v>
      </c>
      <c r="AB1043" t="s">
        <v>420</v>
      </c>
      <c r="AD1043" t="s">
        <v>11086</v>
      </c>
      <c r="AF1043" t="s">
        <v>11119</v>
      </c>
      <c r="AH1043" t="s">
        <v>10975</v>
      </c>
      <c r="AJ1043" t="s">
        <v>11134</v>
      </c>
      <c r="AK1043" t="s">
        <v>7225</v>
      </c>
      <c r="AM1043">
        <v>310</v>
      </c>
      <c r="AN1043" t="s">
        <v>11151</v>
      </c>
      <c r="AO1043" t="s">
        <v>11153</v>
      </c>
      <c r="AQ1043" t="s">
        <v>11164</v>
      </c>
      <c r="AS1043" t="s">
        <v>11173</v>
      </c>
      <c r="AU1043">
        <v>1</v>
      </c>
      <c r="AW1043" t="s">
        <v>11187</v>
      </c>
      <c r="AY1043" t="s">
        <v>11213</v>
      </c>
      <c r="BA1043" t="s">
        <v>11222</v>
      </c>
      <c r="BE1043" t="s">
        <v>12300</v>
      </c>
      <c r="BF1043" t="s">
        <v>14364</v>
      </c>
      <c r="BM1043" t="s">
        <v>15650</v>
      </c>
    </row>
    <row r="1044" spans="1:65">
      <c r="A1044" s="1">
        <f>HYPERLINK("https://lsnyc.legalserver.org/matter/dynamic-profile/view/1915718","19-1915718")</f>
        <v>0</v>
      </c>
      <c r="B1044" t="s">
        <v>110</v>
      </c>
      <c r="C1044" t="s">
        <v>245</v>
      </c>
      <c r="D1044" t="s">
        <v>638</v>
      </c>
      <c r="F1044" t="s">
        <v>1641</v>
      </c>
      <c r="G1044" t="s">
        <v>3405</v>
      </c>
      <c r="H1044" t="s">
        <v>5189</v>
      </c>
      <c r="I1044" t="s">
        <v>6403</v>
      </c>
      <c r="J1044" t="s">
        <v>7169</v>
      </c>
      <c r="K1044">
        <v>10035</v>
      </c>
      <c r="N1044" t="s">
        <v>7237</v>
      </c>
      <c r="O1044" t="s">
        <v>7972</v>
      </c>
      <c r="P1044">
        <v>1</v>
      </c>
      <c r="Q1044">
        <v>0</v>
      </c>
      <c r="R1044">
        <v>0.08</v>
      </c>
      <c r="U1044">
        <v>10.45</v>
      </c>
      <c r="W1044">
        <v>0</v>
      </c>
      <c r="Y1044" t="s">
        <v>10859</v>
      </c>
      <c r="AA1044" t="s">
        <v>10974</v>
      </c>
      <c r="AB1044" t="s">
        <v>638</v>
      </c>
      <c r="AD1044" t="s">
        <v>11098</v>
      </c>
      <c r="AF1044" t="s">
        <v>11122</v>
      </c>
      <c r="AH1044" t="s">
        <v>10974</v>
      </c>
      <c r="AJ1044" t="s">
        <v>11129</v>
      </c>
      <c r="AK1044" t="s">
        <v>7225</v>
      </c>
      <c r="AL1044" t="s">
        <v>11150</v>
      </c>
      <c r="AM1044">
        <v>0</v>
      </c>
      <c r="AN1044" t="s">
        <v>11151</v>
      </c>
      <c r="AO1044" t="s">
        <v>11153</v>
      </c>
      <c r="AQ1044" t="s">
        <v>11157</v>
      </c>
      <c r="AS1044" t="s">
        <v>11174</v>
      </c>
      <c r="AU1044">
        <v>16</v>
      </c>
      <c r="AW1044" t="s">
        <v>11187</v>
      </c>
      <c r="AY1044" t="s">
        <v>11213</v>
      </c>
      <c r="BA1044" t="s">
        <v>11222</v>
      </c>
      <c r="BE1044" t="s">
        <v>12299</v>
      </c>
      <c r="BF1044" t="s">
        <v>14364</v>
      </c>
      <c r="BM1044" t="s">
        <v>15650</v>
      </c>
    </row>
    <row r="1045" spans="1:65">
      <c r="A1045" s="1">
        <f>HYPERLINK("https://lsnyc.legalserver.org/matter/dynamic-profile/view/1897575","19-1897575")</f>
        <v>0</v>
      </c>
      <c r="B1045" t="s">
        <v>110</v>
      </c>
      <c r="C1045" t="s">
        <v>245</v>
      </c>
      <c r="D1045" t="s">
        <v>389</v>
      </c>
      <c r="F1045" t="s">
        <v>1637</v>
      </c>
      <c r="G1045" t="s">
        <v>2982</v>
      </c>
      <c r="H1045" t="s">
        <v>4780</v>
      </c>
      <c r="I1045" t="s">
        <v>6595</v>
      </c>
      <c r="J1045" t="s">
        <v>7169</v>
      </c>
      <c r="K1045">
        <v>10035</v>
      </c>
      <c r="N1045" t="s">
        <v>7237</v>
      </c>
      <c r="O1045" t="s">
        <v>7966</v>
      </c>
      <c r="P1045">
        <v>3</v>
      </c>
      <c r="Q1045">
        <v>1</v>
      </c>
      <c r="R1045">
        <v>201.94</v>
      </c>
      <c r="U1045">
        <v>52000</v>
      </c>
      <c r="W1045">
        <v>0</v>
      </c>
      <c r="Y1045" t="s">
        <v>10859</v>
      </c>
      <c r="AA1045" t="s">
        <v>10974</v>
      </c>
      <c r="AB1045" t="s">
        <v>444</v>
      </c>
      <c r="AD1045" t="s">
        <v>11086</v>
      </c>
      <c r="AF1045" t="s">
        <v>10384</v>
      </c>
      <c r="AH1045" t="s">
        <v>10974</v>
      </c>
      <c r="AJ1045" t="s">
        <v>11134</v>
      </c>
      <c r="AK1045" t="s">
        <v>7225</v>
      </c>
      <c r="AM1045">
        <v>985</v>
      </c>
      <c r="AO1045">
        <v>60</v>
      </c>
      <c r="AQ1045" t="s">
        <v>11157</v>
      </c>
      <c r="AS1045" t="s">
        <v>11173</v>
      </c>
      <c r="AU1045">
        <v>10</v>
      </c>
      <c r="AW1045" t="s">
        <v>11187</v>
      </c>
      <c r="AY1045" t="s">
        <v>11213</v>
      </c>
      <c r="BA1045" t="s">
        <v>11222</v>
      </c>
      <c r="BE1045" t="s">
        <v>12294</v>
      </c>
      <c r="BF1045" t="s">
        <v>14364</v>
      </c>
      <c r="BM1045" t="s">
        <v>15650</v>
      </c>
    </row>
    <row r="1046" spans="1:65">
      <c r="A1046" s="1">
        <f>HYPERLINK("https://lsnyc.legalserver.org/matter/dynamic-profile/view/1902063","19-1902063")</f>
        <v>0</v>
      </c>
      <c r="B1046" t="s">
        <v>110</v>
      </c>
      <c r="C1046" t="s">
        <v>245</v>
      </c>
      <c r="D1046" t="s">
        <v>590</v>
      </c>
      <c r="F1046" t="s">
        <v>1205</v>
      </c>
      <c r="G1046" t="s">
        <v>2902</v>
      </c>
      <c r="H1046" t="s">
        <v>5190</v>
      </c>
      <c r="I1046" t="s">
        <v>6405</v>
      </c>
      <c r="J1046" t="s">
        <v>7169</v>
      </c>
      <c r="K1046">
        <v>10024</v>
      </c>
      <c r="N1046" t="s">
        <v>7237</v>
      </c>
      <c r="O1046" t="s">
        <v>7974</v>
      </c>
      <c r="P1046">
        <v>1</v>
      </c>
      <c r="Q1046">
        <v>0</v>
      </c>
      <c r="R1046">
        <v>85.89</v>
      </c>
      <c r="U1046">
        <v>10728</v>
      </c>
      <c r="W1046">
        <v>20.2</v>
      </c>
      <c r="X1046" t="s">
        <v>627</v>
      </c>
      <c r="Y1046" t="s">
        <v>10859</v>
      </c>
      <c r="AA1046" t="s">
        <v>10974</v>
      </c>
      <c r="AB1046" t="s">
        <v>590</v>
      </c>
      <c r="AD1046" t="s">
        <v>11101</v>
      </c>
      <c r="AF1046" t="s">
        <v>11118</v>
      </c>
      <c r="AH1046" t="s">
        <v>10974</v>
      </c>
      <c r="AJ1046" t="s">
        <v>11104</v>
      </c>
      <c r="AK1046" t="s">
        <v>7225</v>
      </c>
      <c r="AM1046">
        <v>437</v>
      </c>
      <c r="AO1046">
        <v>24</v>
      </c>
      <c r="AQ1046" t="s">
        <v>11160</v>
      </c>
      <c r="AS1046" t="s">
        <v>11173</v>
      </c>
      <c r="AU1046">
        <v>53</v>
      </c>
      <c r="AW1046" t="s">
        <v>11187</v>
      </c>
      <c r="AY1046" t="s">
        <v>11213</v>
      </c>
      <c r="BA1046" t="s">
        <v>11222</v>
      </c>
      <c r="BE1046" t="s">
        <v>12301</v>
      </c>
      <c r="BF1046" t="s">
        <v>14364</v>
      </c>
      <c r="BM1046" t="s">
        <v>15650</v>
      </c>
    </row>
    <row r="1047" spans="1:65">
      <c r="A1047" s="1">
        <f>HYPERLINK("https://lsnyc.legalserver.org/matter/dynamic-profile/view/1912056","19-1912056")</f>
        <v>0</v>
      </c>
      <c r="B1047" t="s">
        <v>110</v>
      </c>
      <c r="C1047" t="s">
        <v>245</v>
      </c>
      <c r="D1047" t="s">
        <v>271</v>
      </c>
      <c r="F1047" t="s">
        <v>1643</v>
      </c>
      <c r="G1047" t="s">
        <v>3406</v>
      </c>
      <c r="H1047" t="s">
        <v>5172</v>
      </c>
      <c r="I1047" t="s">
        <v>6502</v>
      </c>
      <c r="J1047" t="s">
        <v>7169</v>
      </c>
      <c r="K1047">
        <v>10035</v>
      </c>
      <c r="N1047" t="s">
        <v>7237</v>
      </c>
      <c r="O1047" t="s">
        <v>7975</v>
      </c>
      <c r="P1047">
        <v>3</v>
      </c>
      <c r="Q1047">
        <v>0</v>
      </c>
      <c r="R1047">
        <v>234.41</v>
      </c>
      <c r="U1047">
        <v>50000</v>
      </c>
      <c r="V1047" t="s">
        <v>10362</v>
      </c>
      <c r="W1047">
        <v>4.5</v>
      </c>
      <c r="X1047" t="s">
        <v>436</v>
      </c>
      <c r="Y1047" t="s">
        <v>10859</v>
      </c>
      <c r="AA1047" t="s">
        <v>10974</v>
      </c>
      <c r="AB1047" t="s">
        <v>341</v>
      </c>
      <c r="AD1047" t="s">
        <v>11101</v>
      </c>
      <c r="AF1047" t="s">
        <v>11118</v>
      </c>
      <c r="AH1047" t="s">
        <v>10974</v>
      </c>
      <c r="AJ1047" t="s">
        <v>11134</v>
      </c>
      <c r="AK1047" t="s">
        <v>7225</v>
      </c>
      <c r="AM1047">
        <v>2575</v>
      </c>
      <c r="AO1047">
        <v>72</v>
      </c>
      <c r="AQ1047" t="s">
        <v>11156</v>
      </c>
      <c r="AS1047" t="s">
        <v>11173</v>
      </c>
      <c r="AU1047">
        <v>1</v>
      </c>
      <c r="AW1047" t="s">
        <v>11187</v>
      </c>
      <c r="AY1047" t="s">
        <v>11213</v>
      </c>
      <c r="BA1047" t="s">
        <v>11222</v>
      </c>
      <c r="BE1047" t="s">
        <v>12302</v>
      </c>
      <c r="BF1047" t="s">
        <v>14364</v>
      </c>
      <c r="BM1047" t="s">
        <v>15650</v>
      </c>
    </row>
    <row r="1048" spans="1:65">
      <c r="A1048" s="1">
        <f>HYPERLINK("https://lsnyc.legalserver.org/matter/dynamic-profile/view/1847689","17-1847689")</f>
        <v>0</v>
      </c>
      <c r="B1048" t="s">
        <v>111</v>
      </c>
      <c r="C1048" t="s">
        <v>247</v>
      </c>
      <c r="D1048" t="s">
        <v>630</v>
      </c>
      <c r="F1048" t="s">
        <v>1195</v>
      </c>
      <c r="G1048" t="s">
        <v>3152</v>
      </c>
      <c r="H1048" t="s">
        <v>5191</v>
      </c>
      <c r="I1048" t="s">
        <v>6424</v>
      </c>
      <c r="J1048" t="s">
        <v>7177</v>
      </c>
      <c r="K1048">
        <v>11432</v>
      </c>
      <c r="N1048" t="s">
        <v>7237</v>
      </c>
      <c r="O1048" t="s">
        <v>7976</v>
      </c>
      <c r="P1048">
        <v>4</v>
      </c>
      <c r="Q1048">
        <v>0</v>
      </c>
      <c r="R1048">
        <v>85.12</v>
      </c>
      <c r="U1048">
        <v>20940</v>
      </c>
      <c r="W1048">
        <v>1.35</v>
      </c>
      <c r="X1048" t="s">
        <v>516</v>
      </c>
      <c r="Y1048" t="s">
        <v>202</v>
      </c>
      <c r="AA1048" t="s">
        <v>10974</v>
      </c>
      <c r="AB1048" t="s">
        <v>11008</v>
      </c>
      <c r="AD1048" t="s">
        <v>11088</v>
      </c>
      <c r="AF1048" t="s">
        <v>11119</v>
      </c>
      <c r="AH1048" t="s">
        <v>10975</v>
      </c>
      <c r="AJ1048" t="s">
        <v>11129</v>
      </c>
      <c r="AK1048" t="s">
        <v>7225</v>
      </c>
      <c r="AM1048">
        <v>877.9299999999999</v>
      </c>
      <c r="AO1048">
        <v>60</v>
      </c>
      <c r="AQ1048" t="s">
        <v>11157</v>
      </c>
      <c r="AS1048" t="s">
        <v>11175</v>
      </c>
      <c r="AU1048">
        <v>38</v>
      </c>
      <c r="AW1048" t="s">
        <v>11189</v>
      </c>
      <c r="AY1048" t="s">
        <v>11213</v>
      </c>
      <c r="AZ1048" t="s">
        <v>11221</v>
      </c>
      <c r="BE1048" t="s">
        <v>12303</v>
      </c>
      <c r="BF1048" t="s">
        <v>14364</v>
      </c>
      <c r="BM1048" t="s">
        <v>15650</v>
      </c>
    </row>
    <row r="1049" spans="1:65">
      <c r="A1049" s="1">
        <f>HYPERLINK("https://lsnyc.legalserver.org/matter/dynamic-profile/view/1858600","18-1858600")</f>
        <v>0</v>
      </c>
      <c r="B1049" t="s">
        <v>111</v>
      </c>
      <c r="C1049" t="s">
        <v>247</v>
      </c>
      <c r="D1049" t="s">
        <v>639</v>
      </c>
      <c r="F1049" t="s">
        <v>1644</v>
      </c>
      <c r="G1049" t="s">
        <v>3407</v>
      </c>
      <c r="H1049" t="s">
        <v>5191</v>
      </c>
      <c r="I1049" t="s">
        <v>6418</v>
      </c>
      <c r="J1049" t="s">
        <v>7177</v>
      </c>
      <c r="K1049">
        <v>11432</v>
      </c>
      <c r="N1049" t="s">
        <v>7237</v>
      </c>
      <c r="O1049" t="s">
        <v>7977</v>
      </c>
      <c r="P1049">
        <v>4</v>
      </c>
      <c r="Q1049">
        <v>0</v>
      </c>
      <c r="R1049">
        <v>109.76</v>
      </c>
      <c r="S1049" t="s">
        <v>10263</v>
      </c>
      <c r="U1049">
        <v>27000</v>
      </c>
      <c r="W1049">
        <v>6.4</v>
      </c>
      <c r="X1049" t="s">
        <v>340</v>
      </c>
      <c r="Y1049" t="s">
        <v>10870</v>
      </c>
      <c r="AA1049" t="s">
        <v>10974</v>
      </c>
      <c r="AB1049" t="s">
        <v>639</v>
      </c>
      <c r="AD1049" t="s">
        <v>11101</v>
      </c>
      <c r="AF1049" t="s">
        <v>11118</v>
      </c>
      <c r="AH1049" t="s">
        <v>10974</v>
      </c>
      <c r="AJ1049" t="s">
        <v>11130</v>
      </c>
      <c r="AK1049" t="s">
        <v>7225</v>
      </c>
      <c r="AM1049">
        <v>2000</v>
      </c>
      <c r="AO1049">
        <v>70</v>
      </c>
      <c r="AQ1049" t="s">
        <v>11157</v>
      </c>
      <c r="AS1049" t="s">
        <v>11173</v>
      </c>
      <c r="AU1049">
        <v>13</v>
      </c>
      <c r="AW1049" t="s">
        <v>11187</v>
      </c>
      <c r="AZ1049" t="s">
        <v>11221</v>
      </c>
      <c r="BC1049" t="s">
        <v>11228</v>
      </c>
      <c r="BE1049" t="s">
        <v>12304</v>
      </c>
      <c r="BG1049" t="s">
        <v>14645</v>
      </c>
      <c r="BM1049" t="s">
        <v>15650</v>
      </c>
    </row>
    <row r="1050" spans="1:65">
      <c r="A1050" s="1">
        <f>HYPERLINK("https://lsnyc.legalserver.org/matter/dynamic-profile/view/1866236","18-1866236")</f>
        <v>0</v>
      </c>
      <c r="B1050" t="s">
        <v>111</v>
      </c>
      <c r="C1050" t="s">
        <v>247</v>
      </c>
      <c r="D1050" t="s">
        <v>493</v>
      </c>
      <c r="F1050" t="s">
        <v>1155</v>
      </c>
      <c r="G1050" t="s">
        <v>3408</v>
      </c>
      <c r="H1050" t="s">
        <v>5191</v>
      </c>
      <c r="I1050" t="s">
        <v>6670</v>
      </c>
      <c r="J1050" t="s">
        <v>7177</v>
      </c>
      <c r="K1050">
        <v>11432</v>
      </c>
      <c r="N1050" t="s">
        <v>7237</v>
      </c>
      <c r="O1050" t="s">
        <v>7978</v>
      </c>
      <c r="P1050">
        <v>2</v>
      </c>
      <c r="Q1050">
        <v>0</v>
      </c>
      <c r="R1050">
        <v>160.39</v>
      </c>
      <c r="S1050" t="s">
        <v>10263</v>
      </c>
      <c r="U1050">
        <v>26400</v>
      </c>
      <c r="W1050">
        <v>4.5</v>
      </c>
      <c r="X1050" t="s">
        <v>306</v>
      </c>
      <c r="Y1050" t="s">
        <v>10870</v>
      </c>
      <c r="AA1050" t="s">
        <v>10974</v>
      </c>
      <c r="AB1050" t="s">
        <v>493</v>
      </c>
      <c r="AD1050" t="s">
        <v>11101</v>
      </c>
      <c r="AF1050" t="s">
        <v>11118</v>
      </c>
      <c r="AH1050" t="s">
        <v>10974</v>
      </c>
      <c r="AJ1050" t="s">
        <v>11129</v>
      </c>
      <c r="AK1050" t="s">
        <v>7225</v>
      </c>
      <c r="AM1050">
        <v>1324.07</v>
      </c>
      <c r="AO1050">
        <v>60</v>
      </c>
      <c r="AQ1050" t="s">
        <v>11157</v>
      </c>
      <c r="AS1050" t="s">
        <v>11173</v>
      </c>
      <c r="AU1050">
        <v>38</v>
      </c>
      <c r="AW1050" t="s">
        <v>11189</v>
      </c>
      <c r="AZ1050" t="s">
        <v>11221</v>
      </c>
      <c r="BC1050" t="s">
        <v>11228</v>
      </c>
      <c r="BE1050" t="s">
        <v>12305</v>
      </c>
      <c r="BF1050" t="s">
        <v>14364</v>
      </c>
      <c r="BG1050" t="s">
        <v>14646</v>
      </c>
      <c r="BM1050" t="s">
        <v>15650</v>
      </c>
    </row>
    <row r="1051" spans="1:65">
      <c r="A1051" s="1">
        <f>HYPERLINK("https://lsnyc.legalserver.org/matter/dynamic-profile/view/1862878","18-1862878")</f>
        <v>0</v>
      </c>
      <c r="B1051" t="s">
        <v>111</v>
      </c>
      <c r="C1051" t="s">
        <v>247</v>
      </c>
      <c r="D1051" t="s">
        <v>488</v>
      </c>
      <c r="F1051" t="s">
        <v>1645</v>
      </c>
      <c r="G1051" t="s">
        <v>3079</v>
      </c>
      <c r="H1051" t="s">
        <v>5192</v>
      </c>
      <c r="I1051" t="s">
        <v>6671</v>
      </c>
      <c r="J1051" t="s">
        <v>7177</v>
      </c>
      <c r="K1051">
        <v>11436</v>
      </c>
      <c r="M1051" t="s">
        <v>7229</v>
      </c>
      <c r="N1051" t="s">
        <v>7237</v>
      </c>
      <c r="O1051" t="s">
        <v>7979</v>
      </c>
      <c r="P1051">
        <v>3</v>
      </c>
      <c r="Q1051">
        <v>1</v>
      </c>
      <c r="R1051">
        <v>272.51</v>
      </c>
      <c r="S1051" t="s">
        <v>10255</v>
      </c>
      <c r="U1051">
        <v>68400</v>
      </c>
      <c r="V1051" t="s">
        <v>10364</v>
      </c>
      <c r="W1051">
        <v>1.8</v>
      </c>
      <c r="X1051" t="s">
        <v>1047</v>
      </c>
      <c r="Y1051" t="s">
        <v>10870</v>
      </c>
      <c r="AA1051" t="s">
        <v>10974</v>
      </c>
      <c r="AB1051" t="s">
        <v>488</v>
      </c>
      <c r="AD1051" t="s">
        <v>11083</v>
      </c>
      <c r="AF1051" t="s">
        <v>11118</v>
      </c>
      <c r="AH1051" t="s">
        <v>10975</v>
      </c>
      <c r="AJ1051" t="s">
        <v>11128</v>
      </c>
      <c r="AK1051" t="s">
        <v>7225</v>
      </c>
      <c r="AM1051">
        <v>1200</v>
      </c>
      <c r="AO1051">
        <v>2</v>
      </c>
      <c r="AQ1051" t="s">
        <v>11156</v>
      </c>
      <c r="AS1051" t="s">
        <v>11173</v>
      </c>
      <c r="AU1051">
        <v>13</v>
      </c>
      <c r="AW1051" t="s">
        <v>11187</v>
      </c>
      <c r="AZ1051" t="s">
        <v>11221</v>
      </c>
      <c r="BC1051" t="s">
        <v>11228</v>
      </c>
      <c r="BE1051" t="s">
        <v>12306</v>
      </c>
      <c r="BG1051" t="s">
        <v>14647</v>
      </c>
      <c r="BM1051" t="s">
        <v>15650</v>
      </c>
    </row>
    <row r="1052" spans="1:65">
      <c r="A1052" s="1">
        <f>HYPERLINK("https://lsnyc.legalserver.org/matter/dynamic-profile/view/0820941","16-0820941")</f>
        <v>0</v>
      </c>
      <c r="B1052" t="s">
        <v>111</v>
      </c>
      <c r="C1052" t="s">
        <v>247</v>
      </c>
      <c r="D1052" t="s">
        <v>640</v>
      </c>
      <c r="F1052" t="s">
        <v>1646</v>
      </c>
      <c r="G1052" t="s">
        <v>3409</v>
      </c>
      <c r="H1052" t="s">
        <v>5191</v>
      </c>
      <c r="I1052" t="s">
        <v>6672</v>
      </c>
      <c r="J1052" t="s">
        <v>7177</v>
      </c>
      <c r="K1052">
        <v>11432</v>
      </c>
      <c r="N1052" t="s">
        <v>7237</v>
      </c>
      <c r="O1052" t="s">
        <v>7980</v>
      </c>
      <c r="P1052">
        <v>2</v>
      </c>
      <c r="Q1052">
        <v>2</v>
      </c>
      <c r="R1052">
        <v>98.77</v>
      </c>
      <c r="S1052" t="s">
        <v>10263</v>
      </c>
      <c r="U1052">
        <v>24000</v>
      </c>
      <c r="W1052">
        <v>82.59999999999999</v>
      </c>
      <c r="X1052" t="s">
        <v>375</v>
      </c>
      <c r="Y1052" t="s">
        <v>10916</v>
      </c>
      <c r="Z1052" t="s">
        <v>10972</v>
      </c>
      <c r="AA1052" t="s">
        <v>10975</v>
      </c>
      <c r="AD1052" t="s">
        <v>11085</v>
      </c>
      <c r="AF1052" t="s">
        <v>11118</v>
      </c>
      <c r="AH1052" t="s">
        <v>10974</v>
      </c>
      <c r="AJ1052" t="s">
        <v>11104</v>
      </c>
      <c r="AK1052" t="s">
        <v>7225</v>
      </c>
      <c r="AM1052">
        <v>1535</v>
      </c>
      <c r="AO1052">
        <v>61</v>
      </c>
      <c r="AQ1052" t="s">
        <v>11157</v>
      </c>
      <c r="AS1052" t="s">
        <v>11173</v>
      </c>
      <c r="AU1052">
        <v>10</v>
      </c>
      <c r="AW1052" t="s">
        <v>11189</v>
      </c>
      <c r="AX1052" t="s">
        <v>11212</v>
      </c>
      <c r="AZ1052" t="s">
        <v>11221</v>
      </c>
      <c r="BB1052" t="s">
        <v>11224</v>
      </c>
      <c r="BC1052" t="s">
        <v>11333</v>
      </c>
      <c r="BE1052" t="s">
        <v>12307</v>
      </c>
      <c r="BF1052" t="s">
        <v>14364</v>
      </c>
      <c r="BG1052" t="s">
        <v>14648</v>
      </c>
      <c r="BM1052" t="s">
        <v>15650</v>
      </c>
    </row>
    <row r="1053" spans="1:65">
      <c r="A1053" s="1">
        <f>HYPERLINK("https://lsnyc.legalserver.org/matter/dynamic-profile/view/1870522","18-1870522")</f>
        <v>0</v>
      </c>
      <c r="B1053" t="s">
        <v>111</v>
      </c>
      <c r="C1053" t="s">
        <v>247</v>
      </c>
      <c r="D1053" t="s">
        <v>641</v>
      </c>
      <c r="F1053" t="s">
        <v>1647</v>
      </c>
      <c r="G1053" t="s">
        <v>2962</v>
      </c>
      <c r="H1053" t="s">
        <v>5193</v>
      </c>
      <c r="I1053" t="s">
        <v>6450</v>
      </c>
      <c r="J1053" t="s">
        <v>7183</v>
      </c>
      <c r="K1053">
        <v>11372</v>
      </c>
      <c r="N1053" t="s">
        <v>7237</v>
      </c>
      <c r="O1053" t="s">
        <v>7981</v>
      </c>
      <c r="P1053">
        <v>2</v>
      </c>
      <c r="Q1053">
        <v>2</v>
      </c>
      <c r="R1053">
        <v>187.25</v>
      </c>
      <c r="U1053">
        <v>47000</v>
      </c>
      <c r="W1053">
        <v>0</v>
      </c>
      <c r="Y1053" t="s">
        <v>10870</v>
      </c>
      <c r="AA1053" t="s">
        <v>10974</v>
      </c>
      <c r="AB1053" t="s">
        <v>641</v>
      </c>
      <c r="AD1053" t="s">
        <v>11090</v>
      </c>
      <c r="AF1053" t="s">
        <v>11120</v>
      </c>
      <c r="AH1053" t="s">
        <v>10974</v>
      </c>
      <c r="AJ1053" t="s">
        <v>11138</v>
      </c>
      <c r="AK1053" t="s">
        <v>7225</v>
      </c>
      <c r="AM1053">
        <v>2000</v>
      </c>
      <c r="AO1053">
        <v>64</v>
      </c>
      <c r="AQ1053" t="s">
        <v>11164</v>
      </c>
      <c r="AS1053" t="s">
        <v>11173</v>
      </c>
      <c r="AU1053">
        <v>9</v>
      </c>
      <c r="AW1053" t="s">
        <v>11189</v>
      </c>
      <c r="AZ1053" t="s">
        <v>11221</v>
      </c>
      <c r="BC1053" t="s">
        <v>11228</v>
      </c>
      <c r="BE1053" t="s">
        <v>12308</v>
      </c>
      <c r="BF1053" t="s">
        <v>14364</v>
      </c>
      <c r="BG1053" t="s">
        <v>11228</v>
      </c>
      <c r="BM1053" t="s">
        <v>15650</v>
      </c>
    </row>
    <row r="1054" spans="1:65">
      <c r="A1054" s="1">
        <f>HYPERLINK("https://lsnyc.legalserver.org/matter/dynamic-profile/view/1871005","18-1871005")</f>
        <v>0</v>
      </c>
      <c r="B1054" t="s">
        <v>111</v>
      </c>
      <c r="C1054" t="s">
        <v>247</v>
      </c>
      <c r="D1054" t="s">
        <v>642</v>
      </c>
      <c r="F1054" t="s">
        <v>1648</v>
      </c>
      <c r="G1054" t="s">
        <v>3410</v>
      </c>
      <c r="H1054" t="s">
        <v>5193</v>
      </c>
      <c r="I1054" t="s">
        <v>6673</v>
      </c>
      <c r="J1054" t="s">
        <v>7184</v>
      </c>
      <c r="K1054">
        <v>11372</v>
      </c>
      <c r="N1054" t="s">
        <v>7238</v>
      </c>
      <c r="O1054" t="s">
        <v>7982</v>
      </c>
      <c r="P1054">
        <v>2</v>
      </c>
      <c r="Q1054">
        <v>1</v>
      </c>
      <c r="R1054">
        <v>57.75</v>
      </c>
      <c r="U1054">
        <v>12000</v>
      </c>
      <c r="W1054">
        <v>0</v>
      </c>
      <c r="Y1054" t="s">
        <v>202</v>
      </c>
      <c r="AA1054" t="s">
        <v>10974</v>
      </c>
      <c r="AB1054" t="s">
        <v>642</v>
      </c>
      <c r="AD1054" t="s">
        <v>11090</v>
      </c>
      <c r="AF1054" t="s">
        <v>11120</v>
      </c>
      <c r="AG1054" t="s">
        <v>11124</v>
      </c>
      <c r="AJ1054" t="s">
        <v>11138</v>
      </c>
      <c r="AK1054" t="s">
        <v>7225</v>
      </c>
      <c r="AM1054">
        <v>1724.69</v>
      </c>
      <c r="AO1054">
        <v>60</v>
      </c>
      <c r="AQ1054" t="s">
        <v>11164</v>
      </c>
      <c r="AS1054" t="s">
        <v>11173</v>
      </c>
      <c r="AU1054">
        <v>60</v>
      </c>
      <c r="AV1054" t="s">
        <v>11186</v>
      </c>
      <c r="AZ1054" t="s">
        <v>11221</v>
      </c>
      <c r="BC1054" t="s">
        <v>11228</v>
      </c>
      <c r="BE1054" t="s">
        <v>12309</v>
      </c>
      <c r="BF1054" t="s">
        <v>14364</v>
      </c>
      <c r="BG1054" t="s">
        <v>11173</v>
      </c>
      <c r="BM1054" t="s">
        <v>15650</v>
      </c>
    </row>
    <row r="1055" spans="1:65">
      <c r="A1055" s="1">
        <f>HYPERLINK("https://lsnyc.legalserver.org/matter/dynamic-profile/view/1859923","18-1859923")</f>
        <v>0</v>
      </c>
      <c r="B1055" t="s">
        <v>111</v>
      </c>
      <c r="C1055" t="s">
        <v>247</v>
      </c>
      <c r="D1055" t="s">
        <v>643</v>
      </c>
      <c r="F1055" t="s">
        <v>1649</v>
      </c>
      <c r="G1055" t="s">
        <v>3411</v>
      </c>
      <c r="H1055" t="s">
        <v>5194</v>
      </c>
      <c r="I1055" t="s">
        <v>6417</v>
      </c>
      <c r="J1055" t="s">
        <v>7177</v>
      </c>
      <c r="K1055">
        <v>11432</v>
      </c>
      <c r="N1055" t="s">
        <v>7237</v>
      </c>
      <c r="O1055" t="s">
        <v>7983</v>
      </c>
      <c r="P1055">
        <v>2</v>
      </c>
      <c r="Q1055">
        <v>2</v>
      </c>
      <c r="R1055">
        <v>167.33</v>
      </c>
      <c r="S1055" t="s">
        <v>10263</v>
      </c>
      <c r="U1055">
        <v>42000</v>
      </c>
      <c r="W1055">
        <v>67</v>
      </c>
      <c r="X1055" t="s">
        <v>1009</v>
      </c>
      <c r="Y1055" t="s">
        <v>10870</v>
      </c>
      <c r="AA1055" t="s">
        <v>10974</v>
      </c>
      <c r="AB1055" t="s">
        <v>643</v>
      </c>
      <c r="AD1055" t="s">
        <v>11108</v>
      </c>
      <c r="AF1055" t="s">
        <v>11118</v>
      </c>
      <c r="AH1055" t="s">
        <v>10975</v>
      </c>
      <c r="AJ1055" t="s">
        <v>11129</v>
      </c>
      <c r="AK1055" t="s">
        <v>7225</v>
      </c>
      <c r="AM1055">
        <v>1150</v>
      </c>
      <c r="AO1055">
        <v>168</v>
      </c>
      <c r="AQ1055" t="s">
        <v>11157</v>
      </c>
      <c r="AS1055" t="s">
        <v>11173</v>
      </c>
      <c r="AU1055">
        <v>9</v>
      </c>
      <c r="AW1055" t="s">
        <v>11198</v>
      </c>
      <c r="AZ1055" t="s">
        <v>11221</v>
      </c>
      <c r="BE1055" t="s">
        <v>12310</v>
      </c>
      <c r="BF1055" t="s">
        <v>14364</v>
      </c>
      <c r="BG1055" t="s">
        <v>14649</v>
      </c>
      <c r="BM1055" t="s">
        <v>15650</v>
      </c>
    </row>
    <row r="1056" spans="1:65">
      <c r="A1056" s="1">
        <f>HYPERLINK("https://lsnyc.legalserver.org/matter/dynamic-profile/view/1852984","17-1852984")</f>
        <v>0</v>
      </c>
      <c r="B1056" t="s">
        <v>111</v>
      </c>
      <c r="C1056" t="s">
        <v>247</v>
      </c>
      <c r="D1056" t="s">
        <v>644</v>
      </c>
      <c r="F1056" t="s">
        <v>1650</v>
      </c>
      <c r="G1056" t="s">
        <v>3412</v>
      </c>
      <c r="H1056" t="s">
        <v>5195</v>
      </c>
      <c r="I1056" t="s">
        <v>6642</v>
      </c>
      <c r="J1056" t="s">
        <v>7177</v>
      </c>
      <c r="K1056">
        <v>11432</v>
      </c>
      <c r="N1056" t="s">
        <v>7237</v>
      </c>
      <c r="O1056" t="s">
        <v>7984</v>
      </c>
      <c r="P1056">
        <v>4</v>
      </c>
      <c r="Q1056">
        <v>0</v>
      </c>
      <c r="R1056">
        <v>146.34</v>
      </c>
      <c r="S1056" t="s">
        <v>10263</v>
      </c>
      <c r="U1056">
        <v>36000</v>
      </c>
      <c r="W1056">
        <v>90.95</v>
      </c>
      <c r="X1056" t="s">
        <v>306</v>
      </c>
      <c r="Y1056" t="s">
        <v>10870</v>
      </c>
      <c r="AA1056" t="s">
        <v>10974</v>
      </c>
      <c r="AB1056" t="s">
        <v>11009</v>
      </c>
      <c r="AD1056" t="s">
        <v>11101</v>
      </c>
      <c r="AF1056" t="s">
        <v>11118</v>
      </c>
      <c r="AH1056" t="s">
        <v>10975</v>
      </c>
      <c r="AJ1056" t="s">
        <v>11130</v>
      </c>
      <c r="AK1056" t="s">
        <v>7225</v>
      </c>
      <c r="AM1056">
        <v>1416</v>
      </c>
      <c r="AO1056">
        <v>64</v>
      </c>
      <c r="AQ1056" t="s">
        <v>11157</v>
      </c>
      <c r="AS1056" t="s">
        <v>11173</v>
      </c>
      <c r="AU1056">
        <v>4</v>
      </c>
      <c r="AW1056" t="s">
        <v>11189</v>
      </c>
      <c r="AZ1056" t="s">
        <v>11221</v>
      </c>
      <c r="BC1056" t="s">
        <v>11228</v>
      </c>
      <c r="BE1056" t="s">
        <v>12311</v>
      </c>
      <c r="BF1056" t="s">
        <v>14364</v>
      </c>
      <c r="BG1056" t="s">
        <v>14650</v>
      </c>
      <c r="BM1056" t="s">
        <v>15650</v>
      </c>
    </row>
    <row r="1057" spans="1:65">
      <c r="A1057" s="1">
        <f>HYPERLINK("https://lsnyc.legalserver.org/matter/dynamic-profile/view/1912395","19-1912395")</f>
        <v>0</v>
      </c>
      <c r="B1057" t="s">
        <v>111</v>
      </c>
      <c r="C1057" t="s">
        <v>247</v>
      </c>
      <c r="D1057" t="s">
        <v>441</v>
      </c>
      <c r="F1057" t="s">
        <v>1280</v>
      </c>
      <c r="G1057" t="s">
        <v>3413</v>
      </c>
      <c r="H1057" t="s">
        <v>5196</v>
      </c>
      <c r="I1057" t="s">
        <v>6674</v>
      </c>
      <c r="J1057" t="s">
        <v>7178</v>
      </c>
      <c r="K1057">
        <v>11385</v>
      </c>
      <c r="N1057" t="s">
        <v>7237</v>
      </c>
      <c r="O1057" t="s">
        <v>7985</v>
      </c>
      <c r="P1057">
        <v>1</v>
      </c>
      <c r="Q1057">
        <v>0</v>
      </c>
      <c r="R1057">
        <v>204</v>
      </c>
      <c r="U1057">
        <v>25480</v>
      </c>
      <c r="W1057">
        <v>9.33</v>
      </c>
      <c r="X1057" t="s">
        <v>312</v>
      </c>
      <c r="Y1057" t="s">
        <v>10875</v>
      </c>
      <c r="Z1057" t="s">
        <v>10972</v>
      </c>
      <c r="AA1057" t="s">
        <v>10975</v>
      </c>
      <c r="AD1057" t="s">
        <v>11101</v>
      </c>
      <c r="AE1057" t="s">
        <v>11117</v>
      </c>
      <c r="AH1057" t="s">
        <v>10975</v>
      </c>
      <c r="AJ1057" t="s">
        <v>11132</v>
      </c>
      <c r="AK1057" t="s">
        <v>7225</v>
      </c>
      <c r="AM1057">
        <v>756.72</v>
      </c>
      <c r="AN1057" t="s">
        <v>11151</v>
      </c>
      <c r="AO1057" t="s">
        <v>11153</v>
      </c>
      <c r="AQ1057" t="s">
        <v>11157</v>
      </c>
      <c r="AS1057" t="s">
        <v>11173</v>
      </c>
      <c r="AU1057">
        <v>20</v>
      </c>
      <c r="AW1057" t="s">
        <v>11189</v>
      </c>
      <c r="AX1057" t="s">
        <v>11212</v>
      </c>
      <c r="AZ1057" t="s">
        <v>11221</v>
      </c>
      <c r="BA1057" t="s">
        <v>11173</v>
      </c>
      <c r="BE1057" t="s">
        <v>12312</v>
      </c>
      <c r="BF1057" t="s">
        <v>14364</v>
      </c>
      <c r="BM1057" t="s">
        <v>15650</v>
      </c>
    </row>
    <row r="1058" spans="1:65">
      <c r="A1058" s="1">
        <f>HYPERLINK("https://lsnyc.legalserver.org/matter/dynamic-profile/view/0812242","16-0812242")</f>
        <v>0</v>
      </c>
      <c r="B1058" t="s">
        <v>111</v>
      </c>
      <c r="C1058" t="s">
        <v>247</v>
      </c>
      <c r="D1058" t="s">
        <v>645</v>
      </c>
      <c r="F1058" t="s">
        <v>1651</v>
      </c>
      <c r="G1058" t="s">
        <v>3414</v>
      </c>
      <c r="H1058" t="s">
        <v>5197</v>
      </c>
      <c r="I1058" t="s">
        <v>6419</v>
      </c>
      <c r="J1058" t="s">
        <v>7173</v>
      </c>
      <c r="K1058">
        <v>11355</v>
      </c>
      <c r="M1058" t="s">
        <v>7229</v>
      </c>
      <c r="N1058" t="s">
        <v>7237</v>
      </c>
      <c r="O1058" t="s">
        <v>7986</v>
      </c>
      <c r="P1058">
        <v>1</v>
      </c>
      <c r="Q1058">
        <v>0</v>
      </c>
      <c r="R1058">
        <v>196.77</v>
      </c>
      <c r="U1058">
        <v>23376</v>
      </c>
      <c r="W1058">
        <v>2.55</v>
      </c>
      <c r="X1058" t="s">
        <v>269</v>
      </c>
      <c r="Y1058" t="s">
        <v>10890</v>
      </c>
      <c r="Z1058" t="s">
        <v>10972</v>
      </c>
      <c r="AA1058" t="s">
        <v>10976</v>
      </c>
      <c r="AD1058" t="s">
        <v>11101</v>
      </c>
      <c r="AF1058" t="s">
        <v>11119</v>
      </c>
      <c r="AH1058" t="s">
        <v>10975</v>
      </c>
      <c r="AJ1058" t="s">
        <v>11141</v>
      </c>
      <c r="AK1058" t="s">
        <v>7225</v>
      </c>
      <c r="AM1058">
        <v>1266.69</v>
      </c>
      <c r="AO1058">
        <v>84</v>
      </c>
      <c r="AQ1058" t="s">
        <v>11157</v>
      </c>
      <c r="AS1058" t="s">
        <v>11173</v>
      </c>
      <c r="AU1058">
        <v>30</v>
      </c>
      <c r="AW1058" t="s">
        <v>11187</v>
      </c>
      <c r="AX1058" t="s">
        <v>11212</v>
      </c>
      <c r="AZ1058" t="s">
        <v>11221</v>
      </c>
      <c r="BE1058" t="s">
        <v>12313</v>
      </c>
      <c r="BF1058" t="s">
        <v>14364</v>
      </c>
      <c r="BM1058" t="s">
        <v>15650</v>
      </c>
    </row>
    <row r="1059" spans="1:65">
      <c r="A1059" s="1">
        <f>HYPERLINK("https://lsnyc.legalserver.org/matter/dynamic-profile/view/0817301","16-0817301")</f>
        <v>0</v>
      </c>
      <c r="B1059" t="s">
        <v>111</v>
      </c>
      <c r="C1059" t="s">
        <v>247</v>
      </c>
      <c r="D1059" t="s">
        <v>646</v>
      </c>
      <c r="F1059" t="s">
        <v>1630</v>
      </c>
      <c r="G1059" t="s">
        <v>3415</v>
      </c>
      <c r="H1059" t="s">
        <v>5191</v>
      </c>
      <c r="I1059" t="s">
        <v>6675</v>
      </c>
      <c r="J1059" t="s">
        <v>7177</v>
      </c>
      <c r="K1059">
        <v>11432</v>
      </c>
      <c r="N1059" t="s">
        <v>7237</v>
      </c>
      <c r="O1059" t="s">
        <v>7987</v>
      </c>
      <c r="P1059">
        <v>2</v>
      </c>
      <c r="Q1059">
        <v>3</v>
      </c>
      <c r="R1059">
        <v>102.12</v>
      </c>
      <c r="S1059" t="s">
        <v>10263</v>
      </c>
      <c r="U1059">
        <v>29044</v>
      </c>
      <c r="W1059">
        <v>3.45</v>
      </c>
      <c r="X1059" t="s">
        <v>588</v>
      </c>
      <c r="Y1059" t="s">
        <v>202</v>
      </c>
      <c r="AA1059" t="s">
        <v>10974</v>
      </c>
      <c r="AB1059" t="s">
        <v>11009</v>
      </c>
      <c r="AD1059" t="s">
        <v>11101</v>
      </c>
      <c r="AF1059" t="s">
        <v>11118</v>
      </c>
      <c r="AH1059" t="s">
        <v>10974</v>
      </c>
      <c r="AJ1059" t="s">
        <v>11140</v>
      </c>
      <c r="AK1059" t="s">
        <v>7225</v>
      </c>
      <c r="AM1059">
        <v>1637.08</v>
      </c>
      <c r="AO1059">
        <v>60</v>
      </c>
      <c r="AQ1059" t="s">
        <v>11157</v>
      </c>
      <c r="AS1059" t="s">
        <v>11173</v>
      </c>
      <c r="AU1059">
        <v>17</v>
      </c>
      <c r="AW1059" t="s">
        <v>11189</v>
      </c>
      <c r="AZ1059" t="s">
        <v>11221</v>
      </c>
      <c r="BC1059" t="s">
        <v>11228</v>
      </c>
      <c r="BE1059" t="s">
        <v>11236</v>
      </c>
      <c r="BF1059" t="s">
        <v>14364</v>
      </c>
      <c r="BG1059" t="s">
        <v>14574</v>
      </c>
      <c r="BM1059" t="s">
        <v>15650</v>
      </c>
    </row>
    <row r="1060" spans="1:65">
      <c r="A1060" s="1">
        <f>HYPERLINK("https://lsnyc.legalserver.org/matter/dynamic-profile/view/1910392","19-1910392")</f>
        <v>0</v>
      </c>
      <c r="B1060" t="s">
        <v>111</v>
      </c>
      <c r="C1060" t="s">
        <v>247</v>
      </c>
      <c r="D1060" t="s">
        <v>263</v>
      </c>
      <c r="F1060" t="s">
        <v>1652</v>
      </c>
      <c r="G1060" t="s">
        <v>3416</v>
      </c>
      <c r="H1060" t="s">
        <v>5198</v>
      </c>
      <c r="I1060">
        <v>2</v>
      </c>
      <c r="J1060" t="s">
        <v>7185</v>
      </c>
      <c r="K1060">
        <v>11385</v>
      </c>
      <c r="N1060" t="s">
        <v>7237</v>
      </c>
      <c r="O1060" t="s">
        <v>7988</v>
      </c>
      <c r="P1060">
        <v>2</v>
      </c>
      <c r="Q1060">
        <v>2</v>
      </c>
      <c r="R1060">
        <v>74.56</v>
      </c>
      <c r="U1060">
        <v>19200</v>
      </c>
      <c r="W1060">
        <v>5.33</v>
      </c>
      <c r="X1060" t="s">
        <v>293</v>
      </c>
      <c r="Y1060" t="s">
        <v>10875</v>
      </c>
      <c r="Z1060" t="s">
        <v>10972</v>
      </c>
      <c r="AA1060" t="s">
        <v>10976</v>
      </c>
      <c r="AD1060" t="s">
        <v>11097</v>
      </c>
      <c r="AE1060" t="s">
        <v>11117</v>
      </c>
      <c r="AG1060" t="s">
        <v>11124</v>
      </c>
      <c r="AI1060" t="s">
        <v>11126</v>
      </c>
      <c r="AK1060" t="s">
        <v>7225</v>
      </c>
      <c r="AM1060">
        <v>1450</v>
      </c>
      <c r="AO1060">
        <v>2</v>
      </c>
      <c r="AQ1060" t="s">
        <v>11164</v>
      </c>
      <c r="AS1060" t="s">
        <v>11173</v>
      </c>
      <c r="AU1060">
        <v>3</v>
      </c>
      <c r="AW1060" t="s">
        <v>11187</v>
      </c>
      <c r="AX1060" t="s">
        <v>11212</v>
      </c>
      <c r="AZ1060" t="s">
        <v>11221</v>
      </c>
      <c r="BE1060" t="s">
        <v>12314</v>
      </c>
      <c r="BF1060" t="s">
        <v>14364</v>
      </c>
      <c r="BG1060" t="s">
        <v>14651</v>
      </c>
      <c r="BM1060" t="s">
        <v>15650</v>
      </c>
    </row>
    <row r="1061" spans="1:65">
      <c r="A1061" s="1">
        <f>HYPERLINK("https://lsnyc.legalserver.org/matter/dynamic-profile/view/1906690","19-1906690")</f>
        <v>0</v>
      </c>
      <c r="B1061" t="s">
        <v>111</v>
      </c>
      <c r="C1061" t="s">
        <v>247</v>
      </c>
      <c r="D1061" t="s">
        <v>429</v>
      </c>
      <c r="F1061" t="s">
        <v>1653</v>
      </c>
      <c r="G1061" t="s">
        <v>1303</v>
      </c>
      <c r="H1061" t="s">
        <v>5199</v>
      </c>
      <c r="J1061" t="s">
        <v>7173</v>
      </c>
      <c r="K1061">
        <v>11354</v>
      </c>
      <c r="N1061" t="s">
        <v>7237</v>
      </c>
      <c r="O1061" t="s">
        <v>7553</v>
      </c>
      <c r="P1061">
        <v>1</v>
      </c>
      <c r="Q1061">
        <v>0</v>
      </c>
      <c r="R1061">
        <v>120.1</v>
      </c>
      <c r="U1061">
        <v>15000</v>
      </c>
      <c r="W1061">
        <v>16.15</v>
      </c>
      <c r="X1061" t="s">
        <v>266</v>
      </c>
      <c r="Y1061" t="s">
        <v>10870</v>
      </c>
      <c r="AA1061" t="s">
        <v>10974</v>
      </c>
      <c r="AB1061" t="s">
        <v>429</v>
      </c>
      <c r="AD1061" t="s">
        <v>11106</v>
      </c>
      <c r="AF1061" t="s">
        <v>11122</v>
      </c>
      <c r="AH1061" t="s">
        <v>10975</v>
      </c>
      <c r="AJ1061" t="s">
        <v>11129</v>
      </c>
      <c r="AK1061" t="s">
        <v>7225</v>
      </c>
      <c r="AM1061">
        <v>1100</v>
      </c>
      <c r="AO1061">
        <v>2</v>
      </c>
      <c r="AQ1061" t="s">
        <v>11156</v>
      </c>
      <c r="AS1061" t="s">
        <v>11173</v>
      </c>
      <c r="AU1061">
        <v>1</v>
      </c>
      <c r="AW1061" t="s">
        <v>11203</v>
      </c>
      <c r="AY1061" t="s">
        <v>11213</v>
      </c>
      <c r="BA1061" t="s">
        <v>11222</v>
      </c>
      <c r="BB1061" t="s">
        <v>11224</v>
      </c>
      <c r="BC1061" t="s">
        <v>11236</v>
      </c>
      <c r="BE1061" t="s">
        <v>12315</v>
      </c>
      <c r="BF1061" t="s">
        <v>14364</v>
      </c>
      <c r="BG1061" t="s">
        <v>14652</v>
      </c>
      <c r="BK1061" t="s">
        <v>11104</v>
      </c>
      <c r="BM1061" t="s">
        <v>15650</v>
      </c>
    </row>
    <row r="1062" spans="1:65">
      <c r="A1062" s="1">
        <f>HYPERLINK("https://lsnyc.legalserver.org/matter/dynamic-profile/view/1856600","18-1856600")</f>
        <v>0</v>
      </c>
      <c r="B1062" t="s">
        <v>112</v>
      </c>
      <c r="C1062" t="s">
        <v>248</v>
      </c>
      <c r="D1062" t="s">
        <v>325</v>
      </c>
      <c r="F1062" t="s">
        <v>1475</v>
      </c>
      <c r="G1062" t="s">
        <v>2998</v>
      </c>
      <c r="H1062" t="s">
        <v>5200</v>
      </c>
      <c r="I1062" t="s">
        <v>6573</v>
      </c>
      <c r="J1062" t="s">
        <v>7174</v>
      </c>
      <c r="K1062">
        <v>11201</v>
      </c>
      <c r="M1062" t="s">
        <v>7228</v>
      </c>
      <c r="N1062" t="s">
        <v>7237</v>
      </c>
      <c r="O1062" t="s">
        <v>7989</v>
      </c>
      <c r="P1062">
        <v>2</v>
      </c>
      <c r="Q1062">
        <v>0</v>
      </c>
      <c r="R1062">
        <v>218.57</v>
      </c>
      <c r="S1062" t="s">
        <v>912</v>
      </c>
      <c r="U1062">
        <v>35496</v>
      </c>
      <c r="W1062">
        <v>31.3</v>
      </c>
      <c r="X1062" t="s">
        <v>450</v>
      </c>
      <c r="Y1062" t="s">
        <v>112</v>
      </c>
      <c r="AA1062" t="s">
        <v>10974</v>
      </c>
      <c r="AB1062" t="s">
        <v>937</v>
      </c>
      <c r="AD1062" t="s">
        <v>11082</v>
      </c>
      <c r="AF1062" t="s">
        <v>11118</v>
      </c>
      <c r="AG1062" t="s">
        <v>11124</v>
      </c>
      <c r="AJ1062" t="s">
        <v>11141</v>
      </c>
      <c r="AK1062" t="s">
        <v>7225</v>
      </c>
      <c r="AL1062" t="s">
        <v>11150</v>
      </c>
      <c r="AM1062">
        <v>0</v>
      </c>
      <c r="AN1062" t="s">
        <v>11151</v>
      </c>
      <c r="AO1062" t="s">
        <v>11153</v>
      </c>
      <c r="AQ1062" t="s">
        <v>11157</v>
      </c>
      <c r="AR1062" t="s">
        <v>11172</v>
      </c>
      <c r="AU1062">
        <v>45</v>
      </c>
      <c r="AW1062" t="s">
        <v>11187</v>
      </c>
      <c r="AZ1062" t="s">
        <v>11221</v>
      </c>
      <c r="BD1062" t="s">
        <v>11667</v>
      </c>
      <c r="BG1062" t="s">
        <v>14653</v>
      </c>
      <c r="BM1062" t="s">
        <v>15650</v>
      </c>
    </row>
    <row r="1063" spans="1:65">
      <c r="A1063" s="1">
        <f>HYPERLINK("https://lsnyc.legalserver.org/matter/dynamic-profile/view/1887980","19-1887980")</f>
        <v>0</v>
      </c>
      <c r="B1063" t="s">
        <v>113</v>
      </c>
      <c r="C1063" t="s">
        <v>248</v>
      </c>
      <c r="D1063" t="s">
        <v>329</v>
      </c>
      <c r="F1063" t="s">
        <v>1654</v>
      </c>
      <c r="G1063" t="s">
        <v>1613</v>
      </c>
      <c r="H1063" t="s">
        <v>5201</v>
      </c>
      <c r="J1063" t="s">
        <v>7174</v>
      </c>
      <c r="K1063">
        <v>11208</v>
      </c>
      <c r="N1063" t="s">
        <v>7237</v>
      </c>
      <c r="O1063" t="s">
        <v>7990</v>
      </c>
      <c r="P1063">
        <v>2</v>
      </c>
      <c r="Q1063">
        <v>0</v>
      </c>
      <c r="R1063">
        <v>145.81</v>
      </c>
      <c r="U1063">
        <v>24000</v>
      </c>
      <c r="W1063">
        <v>0</v>
      </c>
      <c r="Y1063" t="s">
        <v>81</v>
      </c>
      <c r="AA1063" t="s">
        <v>10974</v>
      </c>
      <c r="AB1063" t="s">
        <v>621</v>
      </c>
      <c r="AC1063" t="s">
        <v>11081</v>
      </c>
      <c r="AF1063" t="s">
        <v>11119</v>
      </c>
      <c r="AH1063" t="s">
        <v>10975</v>
      </c>
      <c r="AI1063" t="s">
        <v>11126</v>
      </c>
      <c r="AK1063" t="s">
        <v>7225</v>
      </c>
      <c r="AM1063">
        <v>1000</v>
      </c>
      <c r="AN1063" t="s">
        <v>11151</v>
      </c>
      <c r="AO1063" t="s">
        <v>11153</v>
      </c>
      <c r="AP1063" t="s">
        <v>11155</v>
      </c>
      <c r="AR1063" t="s">
        <v>11172</v>
      </c>
      <c r="AU1063">
        <v>18</v>
      </c>
      <c r="AW1063" t="s">
        <v>11187</v>
      </c>
      <c r="AZ1063" t="s">
        <v>11221</v>
      </c>
      <c r="BD1063" t="s">
        <v>11667</v>
      </c>
      <c r="BF1063" t="s">
        <v>14364</v>
      </c>
      <c r="BM1063" t="s">
        <v>15650</v>
      </c>
    </row>
    <row r="1064" spans="1:65">
      <c r="A1064" s="1">
        <f>HYPERLINK("https://lsnyc.legalserver.org/matter/dynamic-profile/view/1908797","19-1908797")</f>
        <v>0</v>
      </c>
      <c r="B1064" t="s">
        <v>113</v>
      </c>
      <c r="C1064" t="s">
        <v>248</v>
      </c>
      <c r="D1064" t="s">
        <v>422</v>
      </c>
      <c r="F1064" t="s">
        <v>1137</v>
      </c>
      <c r="G1064" t="s">
        <v>3417</v>
      </c>
      <c r="H1064" t="s">
        <v>5202</v>
      </c>
      <c r="I1064" t="s">
        <v>6420</v>
      </c>
      <c r="J1064" t="s">
        <v>7174</v>
      </c>
      <c r="K1064">
        <v>11208</v>
      </c>
      <c r="N1064" t="s">
        <v>7237</v>
      </c>
      <c r="O1064" t="s">
        <v>7991</v>
      </c>
      <c r="P1064">
        <v>1</v>
      </c>
      <c r="Q1064">
        <v>0</v>
      </c>
      <c r="R1064">
        <v>120.77</v>
      </c>
      <c r="U1064">
        <v>15084</v>
      </c>
      <c r="W1064">
        <v>0</v>
      </c>
      <c r="Y1064" t="s">
        <v>10874</v>
      </c>
      <c r="AA1064" t="s">
        <v>10974</v>
      </c>
      <c r="AB1064" t="s">
        <v>635</v>
      </c>
      <c r="AD1064" t="s">
        <v>11083</v>
      </c>
      <c r="AF1064" t="s">
        <v>11119</v>
      </c>
      <c r="AH1064" t="s">
        <v>10975</v>
      </c>
      <c r="AJ1064" t="s">
        <v>11138</v>
      </c>
      <c r="AK1064" t="s">
        <v>7225</v>
      </c>
      <c r="AL1064" t="s">
        <v>11150</v>
      </c>
      <c r="AM1064">
        <v>0</v>
      </c>
      <c r="AN1064" t="s">
        <v>11151</v>
      </c>
      <c r="AO1064" t="s">
        <v>11153</v>
      </c>
      <c r="AP1064" t="s">
        <v>11155</v>
      </c>
      <c r="AR1064" t="s">
        <v>11172</v>
      </c>
      <c r="AT1064" t="s">
        <v>11184</v>
      </c>
      <c r="AU1064">
        <v>0</v>
      </c>
      <c r="AW1064" t="s">
        <v>11187</v>
      </c>
      <c r="BA1064" t="s">
        <v>11222</v>
      </c>
      <c r="BB1064" t="s">
        <v>11224</v>
      </c>
      <c r="BC1064" t="s">
        <v>11334</v>
      </c>
      <c r="BE1064" t="s">
        <v>12316</v>
      </c>
      <c r="BG1064" t="s">
        <v>14654</v>
      </c>
      <c r="BM1064" t="s">
        <v>15650</v>
      </c>
    </row>
    <row r="1065" spans="1:65">
      <c r="A1065" s="1">
        <f>HYPERLINK("https://lsnyc.legalserver.org/matter/dynamic-profile/view/1837952","17-1837952")</f>
        <v>0</v>
      </c>
      <c r="B1065" t="s">
        <v>113</v>
      </c>
      <c r="C1065" t="s">
        <v>248</v>
      </c>
      <c r="D1065" t="s">
        <v>376</v>
      </c>
      <c r="F1065" t="s">
        <v>1525</v>
      </c>
      <c r="G1065" t="s">
        <v>3418</v>
      </c>
      <c r="H1065" t="s">
        <v>5203</v>
      </c>
      <c r="I1065">
        <v>2448</v>
      </c>
      <c r="J1065" t="s">
        <v>7174</v>
      </c>
      <c r="K1065">
        <v>11224</v>
      </c>
      <c r="M1065" t="s">
        <v>7226</v>
      </c>
      <c r="N1065" t="s">
        <v>7237</v>
      </c>
      <c r="O1065" t="s">
        <v>7992</v>
      </c>
      <c r="P1065">
        <v>2</v>
      </c>
      <c r="Q1065">
        <v>0</v>
      </c>
      <c r="R1065">
        <v>55.64</v>
      </c>
      <c r="U1065">
        <v>9036</v>
      </c>
      <c r="W1065">
        <v>36.15</v>
      </c>
      <c r="X1065" t="s">
        <v>844</v>
      </c>
      <c r="Y1065" t="s">
        <v>10890</v>
      </c>
      <c r="Z1065" t="s">
        <v>10972</v>
      </c>
      <c r="AA1065" t="s">
        <v>10975</v>
      </c>
      <c r="AD1065" t="s">
        <v>11082</v>
      </c>
      <c r="AF1065" t="s">
        <v>11118</v>
      </c>
      <c r="AG1065" t="s">
        <v>11124</v>
      </c>
      <c r="AI1065" t="s">
        <v>11126</v>
      </c>
      <c r="AK1065" t="s">
        <v>7225</v>
      </c>
      <c r="AM1065">
        <v>1697</v>
      </c>
      <c r="AN1065" t="s">
        <v>11151</v>
      </c>
      <c r="AO1065" t="s">
        <v>11153</v>
      </c>
      <c r="AQ1065" t="s">
        <v>11161</v>
      </c>
      <c r="AR1065" t="s">
        <v>11172</v>
      </c>
      <c r="AU1065">
        <v>22</v>
      </c>
      <c r="AW1065" t="s">
        <v>11187</v>
      </c>
      <c r="AX1065" t="s">
        <v>11212</v>
      </c>
      <c r="AZ1065" t="s">
        <v>11221</v>
      </c>
      <c r="BE1065" t="s">
        <v>12317</v>
      </c>
      <c r="BF1065" t="s">
        <v>14364</v>
      </c>
      <c r="BG1065" t="s">
        <v>14655</v>
      </c>
      <c r="BM1065" t="s">
        <v>15650</v>
      </c>
    </row>
    <row r="1066" spans="1:65">
      <c r="A1066" s="1">
        <f>HYPERLINK("https://lsnyc.legalserver.org/matter/dynamic-profile/view/1908818","19-1908818")</f>
        <v>0</v>
      </c>
      <c r="B1066" t="s">
        <v>113</v>
      </c>
      <c r="C1066" t="s">
        <v>248</v>
      </c>
      <c r="D1066" t="s">
        <v>422</v>
      </c>
      <c r="F1066" t="s">
        <v>1379</v>
      </c>
      <c r="G1066" t="s">
        <v>3419</v>
      </c>
      <c r="H1066" t="s">
        <v>5204</v>
      </c>
      <c r="I1066" t="s">
        <v>6676</v>
      </c>
      <c r="J1066" t="s">
        <v>7174</v>
      </c>
      <c r="K1066">
        <v>11207</v>
      </c>
      <c r="N1066" t="s">
        <v>7237</v>
      </c>
      <c r="O1066" t="s">
        <v>7993</v>
      </c>
      <c r="P1066">
        <v>1</v>
      </c>
      <c r="Q1066">
        <v>0</v>
      </c>
      <c r="R1066">
        <v>17.58</v>
      </c>
      <c r="U1066">
        <v>2196</v>
      </c>
      <c r="W1066">
        <v>0</v>
      </c>
      <c r="Y1066" t="s">
        <v>10874</v>
      </c>
      <c r="AA1066" t="s">
        <v>10974</v>
      </c>
      <c r="AB1066" t="s">
        <v>635</v>
      </c>
      <c r="AD1066" t="s">
        <v>11083</v>
      </c>
      <c r="AF1066" t="s">
        <v>11119</v>
      </c>
      <c r="AH1066" t="s">
        <v>10975</v>
      </c>
      <c r="AJ1066" t="s">
        <v>11138</v>
      </c>
      <c r="AK1066" t="s">
        <v>7225</v>
      </c>
      <c r="AM1066">
        <v>800</v>
      </c>
      <c r="AN1066" t="s">
        <v>11151</v>
      </c>
      <c r="AO1066" t="s">
        <v>11153</v>
      </c>
      <c r="AP1066" t="s">
        <v>11155</v>
      </c>
      <c r="AR1066" t="s">
        <v>11172</v>
      </c>
      <c r="AT1066" t="s">
        <v>11184</v>
      </c>
      <c r="AU1066">
        <v>0</v>
      </c>
      <c r="AW1066" t="s">
        <v>11187</v>
      </c>
      <c r="BA1066" t="s">
        <v>11222</v>
      </c>
      <c r="BE1066" t="s">
        <v>12318</v>
      </c>
      <c r="BG1066" t="s">
        <v>14656</v>
      </c>
      <c r="BM1066" t="s">
        <v>15650</v>
      </c>
    </row>
    <row r="1067" spans="1:65">
      <c r="A1067" s="1">
        <f>HYPERLINK("https://lsnyc.legalserver.org/matter/dynamic-profile/view/0812483","16-0812483")</f>
        <v>0</v>
      </c>
      <c r="B1067" t="s">
        <v>113</v>
      </c>
      <c r="C1067" t="s">
        <v>248</v>
      </c>
      <c r="D1067" t="s">
        <v>647</v>
      </c>
      <c r="F1067" t="s">
        <v>1655</v>
      </c>
      <c r="G1067" t="s">
        <v>3293</v>
      </c>
      <c r="H1067" t="s">
        <v>5205</v>
      </c>
      <c r="I1067" t="s">
        <v>6637</v>
      </c>
      <c r="J1067" t="s">
        <v>7174</v>
      </c>
      <c r="K1067">
        <v>11233</v>
      </c>
      <c r="N1067" t="s">
        <v>7237</v>
      </c>
      <c r="O1067" t="s">
        <v>7994</v>
      </c>
      <c r="P1067">
        <v>3</v>
      </c>
      <c r="Q1067">
        <v>0</v>
      </c>
      <c r="R1067">
        <v>99.37</v>
      </c>
      <c r="U1067">
        <v>20032</v>
      </c>
      <c r="V1067" t="s">
        <v>10301</v>
      </c>
      <c r="W1067">
        <v>313.26</v>
      </c>
      <c r="X1067" t="s">
        <v>555</v>
      </c>
      <c r="Y1067" t="s">
        <v>225</v>
      </c>
      <c r="Z1067" t="s">
        <v>10973</v>
      </c>
      <c r="AA1067" t="s">
        <v>10975</v>
      </c>
      <c r="AB1067" t="s">
        <v>736</v>
      </c>
      <c r="AD1067" t="s">
        <v>11083</v>
      </c>
      <c r="AF1067" t="s">
        <v>11118</v>
      </c>
      <c r="AH1067" t="s">
        <v>10974</v>
      </c>
      <c r="AJ1067" t="s">
        <v>11145</v>
      </c>
      <c r="AK1067" t="s">
        <v>7225</v>
      </c>
      <c r="AM1067">
        <v>484</v>
      </c>
      <c r="AO1067">
        <v>6</v>
      </c>
      <c r="AQ1067" t="s">
        <v>11157</v>
      </c>
      <c r="AS1067" t="s">
        <v>11173</v>
      </c>
      <c r="AU1067">
        <v>1</v>
      </c>
      <c r="AW1067" t="s">
        <v>11187</v>
      </c>
      <c r="AZ1067" t="s">
        <v>11221</v>
      </c>
      <c r="BE1067" t="s">
        <v>12319</v>
      </c>
      <c r="BG1067" t="s">
        <v>14657</v>
      </c>
      <c r="BM1067" t="s">
        <v>15650</v>
      </c>
    </row>
    <row r="1068" spans="1:65">
      <c r="A1068" s="1">
        <f>HYPERLINK("https://lsnyc.legalserver.org/matter/dynamic-profile/view/1859694","18-1859694")</f>
        <v>0</v>
      </c>
      <c r="B1068" t="s">
        <v>113</v>
      </c>
      <c r="C1068" t="s">
        <v>248</v>
      </c>
      <c r="D1068" t="s">
        <v>453</v>
      </c>
      <c r="F1068" t="s">
        <v>1656</v>
      </c>
      <c r="G1068" t="s">
        <v>3420</v>
      </c>
      <c r="H1068" t="s">
        <v>5206</v>
      </c>
      <c r="I1068" t="s">
        <v>6677</v>
      </c>
      <c r="J1068" t="s">
        <v>7174</v>
      </c>
      <c r="K1068">
        <v>11206</v>
      </c>
      <c r="N1068" t="s">
        <v>7237</v>
      </c>
      <c r="O1068" t="s">
        <v>7995</v>
      </c>
      <c r="P1068">
        <v>1</v>
      </c>
      <c r="Q1068">
        <v>0</v>
      </c>
      <c r="R1068">
        <v>0</v>
      </c>
      <c r="U1068">
        <v>0</v>
      </c>
      <c r="W1068">
        <v>7.4</v>
      </c>
      <c r="X1068" t="s">
        <v>974</v>
      </c>
      <c r="Y1068" t="s">
        <v>10913</v>
      </c>
      <c r="AA1068" t="s">
        <v>10974</v>
      </c>
      <c r="AB1068" t="s">
        <v>852</v>
      </c>
      <c r="AD1068" t="s">
        <v>11082</v>
      </c>
      <c r="AF1068" t="s">
        <v>11118</v>
      </c>
      <c r="AH1068" t="s">
        <v>10975</v>
      </c>
      <c r="AJ1068" t="s">
        <v>11128</v>
      </c>
      <c r="AK1068" t="s">
        <v>7225</v>
      </c>
      <c r="AM1068">
        <v>572</v>
      </c>
      <c r="AO1068">
        <v>267</v>
      </c>
      <c r="AP1068" t="s">
        <v>11155</v>
      </c>
      <c r="AR1068" t="s">
        <v>11172</v>
      </c>
      <c r="AU1068">
        <v>15</v>
      </c>
      <c r="AW1068" t="s">
        <v>11187</v>
      </c>
      <c r="AZ1068" t="s">
        <v>11221</v>
      </c>
      <c r="BE1068" t="s">
        <v>12320</v>
      </c>
      <c r="BG1068" t="s">
        <v>14658</v>
      </c>
      <c r="BM1068" t="s">
        <v>15650</v>
      </c>
    </row>
    <row r="1069" spans="1:65">
      <c r="A1069" s="1">
        <f>HYPERLINK("https://lsnyc.legalserver.org/matter/dynamic-profile/view/1835508","17-1835508")</f>
        <v>0</v>
      </c>
      <c r="B1069" t="s">
        <v>114</v>
      </c>
      <c r="C1069" t="s">
        <v>248</v>
      </c>
      <c r="D1069" t="s">
        <v>648</v>
      </c>
      <c r="F1069" t="s">
        <v>1657</v>
      </c>
      <c r="G1069" t="s">
        <v>3421</v>
      </c>
      <c r="H1069" t="s">
        <v>5207</v>
      </c>
      <c r="I1069" t="s">
        <v>6548</v>
      </c>
      <c r="J1069" t="s">
        <v>7174</v>
      </c>
      <c r="K1069">
        <v>11216</v>
      </c>
      <c r="N1069" t="s">
        <v>7237</v>
      </c>
      <c r="O1069" t="s">
        <v>7996</v>
      </c>
      <c r="P1069">
        <v>1</v>
      </c>
      <c r="Q1069">
        <v>0</v>
      </c>
      <c r="R1069">
        <v>88.36</v>
      </c>
      <c r="U1069">
        <v>10656</v>
      </c>
      <c r="W1069">
        <v>17.75</v>
      </c>
      <c r="X1069" t="s">
        <v>735</v>
      </c>
      <c r="Y1069" t="s">
        <v>10917</v>
      </c>
      <c r="AA1069" t="s">
        <v>10974</v>
      </c>
      <c r="AB1069" t="s">
        <v>374</v>
      </c>
      <c r="AC1069" t="s">
        <v>11081</v>
      </c>
      <c r="AF1069" t="s">
        <v>11122</v>
      </c>
      <c r="AG1069" t="s">
        <v>11124</v>
      </c>
      <c r="AI1069" t="s">
        <v>11126</v>
      </c>
      <c r="AK1069" t="s">
        <v>7225</v>
      </c>
      <c r="AL1069" t="s">
        <v>11150</v>
      </c>
      <c r="AM1069">
        <v>0</v>
      </c>
      <c r="AO1069">
        <v>6</v>
      </c>
      <c r="AP1069" t="s">
        <v>11155</v>
      </c>
      <c r="AR1069" t="s">
        <v>11172</v>
      </c>
      <c r="AT1069" t="s">
        <v>11184</v>
      </c>
      <c r="AU1069">
        <v>0</v>
      </c>
      <c r="AW1069" t="s">
        <v>11187</v>
      </c>
      <c r="AZ1069" t="s">
        <v>11221</v>
      </c>
      <c r="BE1069" t="s">
        <v>12321</v>
      </c>
      <c r="BF1069" t="s">
        <v>14364</v>
      </c>
      <c r="BM1069" t="s">
        <v>15650</v>
      </c>
    </row>
    <row r="1070" spans="1:65">
      <c r="A1070" s="1">
        <f>HYPERLINK("https://lsnyc.legalserver.org/matter/dynamic-profile/view/0802902","16-0802902")</f>
        <v>0</v>
      </c>
      <c r="B1070" t="s">
        <v>114</v>
      </c>
      <c r="C1070" t="s">
        <v>248</v>
      </c>
      <c r="D1070" t="s">
        <v>649</v>
      </c>
      <c r="F1070" t="s">
        <v>1658</v>
      </c>
      <c r="G1070" t="s">
        <v>3422</v>
      </c>
      <c r="H1070" t="s">
        <v>5208</v>
      </c>
      <c r="I1070">
        <v>23</v>
      </c>
      <c r="J1070" t="s">
        <v>7174</v>
      </c>
      <c r="K1070">
        <v>11225</v>
      </c>
      <c r="M1070" t="s">
        <v>7226</v>
      </c>
      <c r="N1070" t="s">
        <v>7237</v>
      </c>
      <c r="O1070" t="s">
        <v>7997</v>
      </c>
      <c r="P1070">
        <v>1</v>
      </c>
      <c r="Q1070">
        <v>0</v>
      </c>
      <c r="R1070">
        <v>150.31</v>
      </c>
      <c r="U1070">
        <v>17857.06</v>
      </c>
      <c r="W1070">
        <v>81.3</v>
      </c>
      <c r="X1070" t="s">
        <v>264</v>
      </c>
      <c r="Y1070" t="s">
        <v>10918</v>
      </c>
      <c r="AA1070" t="s">
        <v>10974</v>
      </c>
      <c r="AB1070" t="s">
        <v>10990</v>
      </c>
      <c r="AD1070" t="s">
        <v>11083</v>
      </c>
      <c r="AF1070" t="s">
        <v>11118</v>
      </c>
      <c r="AG1070" t="s">
        <v>11124</v>
      </c>
      <c r="AI1070" t="s">
        <v>11126</v>
      </c>
      <c r="AK1070" t="s">
        <v>7225</v>
      </c>
      <c r="AL1070" t="s">
        <v>11150</v>
      </c>
      <c r="AM1070">
        <v>0</v>
      </c>
      <c r="AO1070">
        <v>80</v>
      </c>
      <c r="AP1070" t="s">
        <v>11155</v>
      </c>
      <c r="AR1070" t="s">
        <v>11172</v>
      </c>
      <c r="AT1070" t="s">
        <v>11184</v>
      </c>
      <c r="AU1070">
        <v>0</v>
      </c>
      <c r="AW1070" t="s">
        <v>11187</v>
      </c>
      <c r="AZ1070" t="s">
        <v>11221</v>
      </c>
      <c r="BE1070" t="s">
        <v>12322</v>
      </c>
      <c r="BG1070" t="s">
        <v>14659</v>
      </c>
      <c r="BM1070" t="s">
        <v>15650</v>
      </c>
    </row>
    <row r="1071" spans="1:65">
      <c r="A1071" s="1">
        <f>HYPERLINK("https://lsnyc.legalserver.org/matter/dynamic-profile/view/1915656","19-1915656")</f>
        <v>0</v>
      </c>
      <c r="B1071" t="s">
        <v>114</v>
      </c>
      <c r="C1071" t="s">
        <v>248</v>
      </c>
      <c r="D1071" t="s">
        <v>272</v>
      </c>
      <c r="F1071" t="s">
        <v>1625</v>
      </c>
      <c r="G1071" t="s">
        <v>3423</v>
      </c>
      <c r="H1071" t="s">
        <v>5209</v>
      </c>
      <c r="I1071">
        <v>1</v>
      </c>
      <c r="J1071" t="s">
        <v>7174</v>
      </c>
      <c r="K1071">
        <v>11233</v>
      </c>
      <c r="N1071" t="s">
        <v>7237</v>
      </c>
      <c r="O1071" t="s">
        <v>7998</v>
      </c>
      <c r="P1071">
        <v>1</v>
      </c>
      <c r="Q1071">
        <v>0</v>
      </c>
      <c r="R1071">
        <v>76.77</v>
      </c>
      <c r="U1071">
        <v>9588</v>
      </c>
      <c r="W1071">
        <v>0.25</v>
      </c>
      <c r="X1071" t="s">
        <v>528</v>
      </c>
      <c r="Y1071" t="s">
        <v>10917</v>
      </c>
      <c r="AA1071" t="s">
        <v>10974</v>
      </c>
      <c r="AD1071" t="s">
        <v>11082</v>
      </c>
      <c r="AE1071" t="s">
        <v>11117</v>
      </c>
      <c r="AH1071" t="s">
        <v>10975</v>
      </c>
      <c r="AJ1071" t="s">
        <v>11135</v>
      </c>
      <c r="AK1071" t="s">
        <v>7225</v>
      </c>
      <c r="AM1071">
        <v>1550</v>
      </c>
      <c r="AO1071">
        <v>5</v>
      </c>
      <c r="AQ1071" t="s">
        <v>11156</v>
      </c>
      <c r="AS1071" t="s">
        <v>11177</v>
      </c>
      <c r="AU1071">
        <v>2</v>
      </c>
      <c r="AW1071" t="s">
        <v>11187</v>
      </c>
      <c r="AY1071" t="s">
        <v>11213</v>
      </c>
      <c r="BA1071" t="s">
        <v>11222</v>
      </c>
      <c r="BE1071" t="s">
        <v>12323</v>
      </c>
      <c r="BG1071" t="s">
        <v>14660</v>
      </c>
      <c r="BM1071" t="s">
        <v>15650</v>
      </c>
    </row>
    <row r="1072" spans="1:65">
      <c r="A1072" s="1">
        <f>HYPERLINK("https://lsnyc.legalserver.org/matter/dynamic-profile/view/1902419","19-1902419")</f>
        <v>0</v>
      </c>
      <c r="B1072" t="s">
        <v>115</v>
      </c>
      <c r="C1072" t="s">
        <v>245</v>
      </c>
      <c r="D1072" t="s">
        <v>650</v>
      </c>
      <c r="F1072" t="s">
        <v>1659</v>
      </c>
      <c r="G1072" t="s">
        <v>2877</v>
      </c>
      <c r="H1072" t="s">
        <v>5210</v>
      </c>
      <c r="I1072" t="s">
        <v>6433</v>
      </c>
      <c r="J1072" t="s">
        <v>7169</v>
      </c>
      <c r="K1072">
        <v>10029</v>
      </c>
      <c r="N1072" t="s">
        <v>7237</v>
      </c>
      <c r="O1072" t="s">
        <v>7999</v>
      </c>
      <c r="P1072">
        <v>1</v>
      </c>
      <c r="Q1072">
        <v>0</v>
      </c>
      <c r="R1072">
        <v>74.08</v>
      </c>
      <c r="U1072">
        <v>9252</v>
      </c>
      <c r="W1072">
        <v>3.3</v>
      </c>
      <c r="X1072" t="s">
        <v>267</v>
      </c>
      <c r="Y1072" t="s">
        <v>10862</v>
      </c>
      <c r="AA1072" t="s">
        <v>10974</v>
      </c>
      <c r="AB1072" t="s">
        <v>650</v>
      </c>
      <c r="AD1072" t="s">
        <v>11082</v>
      </c>
      <c r="AF1072" t="s">
        <v>11118</v>
      </c>
      <c r="AH1072" t="s">
        <v>10975</v>
      </c>
      <c r="AJ1072" t="s">
        <v>11138</v>
      </c>
      <c r="AK1072" t="s">
        <v>7225</v>
      </c>
      <c r="AM1072">
        <v>369.12</v>
      </c>
      <c r="AN1072" t="s">
        <v>11151</v>
      </c>
      <c r="AO1072" t="s">
        <v>11153</v>
      </c>
      <c r="AQ1072" t="s">
        <v>11164</v>
      </c>
      <c r="AS1072" t="s">
        <v>11173</v>
      </c>
      <c r="AU1072">
        <v>7</v>
      </c>
      <c r="AW1072" t="s">
        <v>11189</v>
      </c>
      <c r="BA1072" t="s">
        <v>11222</v>
      </c>
      <c r="BE1072" t="s">
        <v>12324</v>
      </c>
      <c r="BG1072" t="s">
        <v>14661</v>
      </c>
      <c r="BM1072" t="s">
        <v>15650</v>
      </c>
    </row>
    <row r="1073" spans="1:67">
      <c r="A1073" s="1">
        <f>HYPERLINK("https://lsnyc.legalserver.org/matter/dynamic-profile/view/1902484","19-1902484")</f>
        <v>0</v>
      </c>
      <c r="B1073" t="s">
        <v>115</v>
      </c>
      <c r="C1073" t="s">
        <v>245</v>
      </c>
      <c r="D1073" t="s">
        <v>650</v>
      </c>
      <c r="F1073" t="s">
        <v>1277</v>
      </c>
      <c r="G1073" t="s">
        <v>3424</v>
      </c>
      <c r="H1073" t="s">
        <v>5211</v>
      </c>
      <c r="I1073" t="s">
        <v>6678</v>
      </c>
      <c r="J1073" t="s">
        <v>7169</v>
      </c>
      <c r="K1073">
        <v>10036</v>
      </c>
      <c r="N1073" t="s">
        <v>7237</v>
      </c>
      <c r="O1073" t="s">
        <v>8000</v>
      </c>
      <c r="P1073">
        <v>2</v>
      </c>
      <c r="Q1073">
        <v>0</v>
      </c>
      <c r="R1073">
        <v>60.25</v>
      </c>
      <c r="U1073">
        <v>10188</v>
      </c>
      <c r="W1073">
        <v>21.4</v>
      </c>
      <c r="X1073" t="s">
        <v>599</v>
      </c>
      <c r="Y1073" t="s">
        <v>10885</v>
      </c>
      <c r="AA1073" t="s">
        <v>10974</v>
      </c>
      <c r="AB1073" t="s">
        <v>650</v>
      </c>
      <c r="AD1073" t="s">
        <v>11083</v>
      </c>
      <c r="AF1073" t="s">
        <v>11118</v>
      </c>
      <c r="AH1073" t="s">
        <v>10975</v>
      </c>
      <c r="AJ1073" t="s">
        <v>11138</v>
      </c>
      <c r="AK1073" t="s">
        <v>7225</v>
      </c>
      <c r="AM1073">
        <v>949.62</v>
      </c>
      <c r="AN1073" t="s">
        <v>11151</v>
      </c>
      <c r="AO1073" t="s">
        <v>11153</v>
      </c>
      <c r="AQ1073" t="s">
        <v>11157</v>
      </c>
      <c r="AS1073" t="s">
        <v>11177</v>
      </c>
      <c r="AU1073">
        <v>2</v>
      </c>
      <c r="AW1073" t="s">
        <v>11187</v>
      </c>
      <c r="BA1073" t="s">
        <v>11223</v>
      </c>
      <c r="BC1073" t="s">
        <v>11335</v>
      </c>
      <c r="BE1073" t="s">
        <v>12325</v>
      </c>
      <c r="BG1073" t="s">
        <v>14662</v>
      </c>
      <c r="BM1073" t="s">
        <v>15650</v>
      </c>
    </row>
    <row r="1074" spans="1:67">
      <c r="A1074" s="1">
        <f>HYPERLINK("https://lsnyc.legalserver.org/matter/dynamic-profile/view/1902417","19-1902417")</f>
        <v>0</v>
      </c>
      <c r="B1074" t="s">
        <v>115</v>
      </c>
      <c r="C1074" t="s">
        <v>245</v>
      </c>
      <c r="D1074" t="s">
        <v>650</v>
      </c>
      <c r="F1074" t="s">
        <v>1660</v>
      </c>
      <c r="G1074" t="s">
        <v>3425</v>
      </c>
      <c r="H1074" t="s">
        <v>5212</v>
      </c>
      <c r="I1074" t="s">
        <v>6468</v>
      </c>
      <c r="J1074" t="s">
        <v>7169</v>
      </c>
      <c r="K1074">
        <v>10029</v>
      </c>
      <c r="N1074" t="s">
        <v>7241</v>
      </c>
      <c r="O1074" t="s">
        <v>8001</v>
      </c>
      <c r="P1074">
        <v>1</v>
      </c>
      <c r="Q1074">
        <v>0</v>
      </c>
      <c r="R1074">
        <v>200.16</v>
      </c>
      <c r="U1074">
        <v>25000</v>
      </c>
      <c r="W1074">
        <v>1.7</v>
      </c>
      <c r="X1074" t="s">
        <v>659</v>
      </c>
      <c r="Y1074" t="s">
        <v>10862</v>
      </c>
      <c r="AA1074" t="s">
        <v>10974</v>
      </c>
      <c r="AB1074" t="s">
        <v>650</v>
      </c>
      <c r="AD1074" t="s">
        <v>11083</v>
      </c>
      <c r="AF1074" t="s">
        <v>11119</v>
      </c>
      <c r="AH1074" t="s">
        <v>10975</v>
      </c>
      <c r="AI1074" t="s">
        <v>11126</v>
      </c>
      <c r="AK1074" t="s">
        <v>7225</v>
      </c>
      <c r="AM1074">
        <v>1124</v>
      </c>
      <c r="AN1074" t="s">
        <v>11151</v>
      </c>
      <c r="AO1074" t="s">
        <v>11153</v>
      </c>
      <c r="AQ1074" t="s">
        <v>11161</v>
      </c>
      <c r="AS1074" t="s">
        <v>11174</v>
      </c>
      <c r="AU1074">
        <v>2</v>
      </c>
      <c r="AW1074" t="s">
        <v>11187</v>
      </c>
      <c r="BA1074" t="s">
        <v>11222</v>
      </c>
      <c r="BE1074" t="s">
        <v>12326</v>
      </c>
      <c r="BG1074" t="s">
        <v>14663</v>
      </c>
      <c r="BM1074" t="s">
        <v>15650</v>
      </c>
    </row>
    <row r="1075" spans="1:67">
      <c r="A1075" s="1">
        <f>HYPERLINK("https://lsnyc.legalserver.org/matter/dynamic-profile/view/1903617","19-1903617")</f>
        <v>0</v>
      </c>
      <c r="B1075" t="s">
        <v>115</v>
      </c>
      <c r="C1075" t="s">
        <v>245</v>
      </c>
      <c r="D1075" t="s">
        <v>651</v>
      </c>
      <c r="F1075" t="s">
        <v>1661</v>
      </c>
      <c r="G1075" t="s">
        <v>2458</v>
      </c>
      <c r="H1075" t="s">
        <v>4859</v>
      </c>
      <c r="I1075" t="s">
        <v>6421</v>
      </c>
      <c r="J1075" t="s">
        <v>7169</v>
      </c>
      <c r="K1075">
        <v>10033</v>
      </c>
      <c r="N1075" t="s">
        <v>7237</v>
      </c>
      <c r="O1075" t="s">
        <v>8002</v>
      </c>
      <c r="P1075">
        <v>1</v>
      </c>
      <c r="Q1075">
        <v>0</v>
      </c>
      <c r="R1075">
        <v>124.89</v>
      </c>
      <c r="U1075">
        <v>15598.8</v>
      </c>
      <c r="W1075">
        <v>11.05</v>
      </c>
      <c r="X1075" t="s">
        <v>270</v>
      </c>
      <c r="Y1075" t="s">
        <v>10893</v>
      </c>
      <c r="AA1075" t="s">
        <v>10974</v>
      </c>
      <c r="AB1075" t="s">
        <v>575</v>
      </c>
      <c r="AD1075" t="s">
        <v>11083</v>
      </c>
      <c r="AF1075" t="s">
        <v>11118</v>
      </c>
      <c r="AH1075" t="s">
        <v>10975</v>
      </c>
      <c r="AI1075" t="s">
        <v>11126</v>
      </c>
      <c r="AK1075" t="s">
        <v>7225</v>
      </c>
      <c r="AM1075">
        <v>1123.72</v>
      </c>
      <c r="AO1075">
        <v>53</v>
      </c>
      <c r="AP1075" t="s">
        <v>11155</v>
      </c>
      <c r="AR1075" t="s">
        <v>11172</v>
      </c>
      <c r="AU1075">
        <v>29</v>
      </c>
      <c r="AW1075" t="s">
        <v>11189</v>
      </c>
      <c r="BA1075" t="s">
        <v>11222</v>
      </c>
      <c r="BE1075" t="s">
        <v>12327</v>
      </c>
      <c r="BG1075" t="s">
        <v>14664</v>
      </c>
      <c r="BM1075" t="s">
        <v>15650</v>
      </c>
    </row>
    <row r="1076" spans="1:67">
      <c r="A1076" s="1">
        <f>HYPERLINK("https://lsnyc.legalserver.org/matter/dynamic-profile/view/1912758","19-1912758")</f>
        <v>0</v>
      </c>
      <c r="B1076" t="s">
        <v>116</v>
      </c>
      <c r="C1076" t="s">
        <v>249</v>
      </c>
      <c r="D1076" t="s">
        <v>634</v>
      </c>
      <c r="F1076" t="s">
        <v>1662</v>
      </c>
      <c r="G1076" t="s">
        <v>3426</v>
      </c>
      <c r="H1076" t="s">
        <v>5213</v>
      </c>
      <c r="I1076" t="s">
        <v>6679</v>
      </c>
      <c r="J1076" t="s">
        <v>7179</v>
      </c>
      <c r="K1076">
        <v>10304</v>
      </c>
      <c r="N1076" t="s">
        <v>7237</v>
      </c>
      <c r="O1076" t="s">
        <v>8003</v>
      </c>
      <c r="P1076">
        <v>1</v>
      </c>
      <c r="Q1076">
        <v>2</v>
      </c>
      <c r="R1076">
        <v>0</v>
      </c>
      <c r="S1076" t="s">
        <v>10254</v>
      </c>
      <c r="T1076" t="s">
        <v>10275</v>
      </c>
      <c r="U1076">
        <v>0</v>
      </c>
      <c r="W1076">
        <v>0.2</v>
      </c>
      <c r="X1076" t="s">
        <v>336</v>
      </c>
      <c r="Y1076" t="s">
        <v>116</v>
      </c>
      <c r="Z1076" t="s">
        <v>10972</v>
      </c>
      <c r="AA1076" t="s">
        <v>10975</v>
      </c>
      <c r="AD1076" t="s">
        <v>11086</v>
      </c>
      <c r="AF1076" t="s">
        <v>11119</v>
      </c>
      <c r="AH1076" t="s">
        <v>10975</v>
      </c>
      <c r="AJ1076" t="s">
        <v>11133</v>
      </c>
      <c r="AK1076" t="s">
        <v>11149</v>
      </c>
      <c r="AM1076">
        <v>1100</v>
      </c>
      <c r="AO1076">
        <v>1</v>
      </c>
      <c r="AP1076" t="s">
        <v>11155</v>
      </c>
      <c r="AS1076" t="s">
        <v>11173</v>
      </c>
      <c r="AU1076">
        <v>3</v>
      </c>
      <c r="AW1076" t="s">
        <v>11187</v>
      </c>
      <c r="AY1076" t="s">
        <v>11213</v>
      </c>
      <c r="AZ1076" t="s">
        <v>11221</v>
      </c>
      <c r="BA1076" t="s">
        <v>11173</v>
      </c>
      <c r="BE1076" t="s">
        <v>11236</v>
      </c>
      <c r="BF1076" t="s">
        <v>14364</v>
      </c>
      <c r="BG1076" t="s">
        <v>14410</v>
      </c>
      <c r="BM1076" t="s">
        <v>15650</v>
      </c>
    </row>
    <row r="1077" spans="1:67">
      <c r="A1077" s="1">
        <f>HYPERLINK("https://lsnyc.legalserver.org/matter/dynamic-profile/view/1833741","17-1833741")</f>
        <v>0</v>
      </c>
      <c r="B1077" t="s">
        <v>116</v>
      </c>
      <c r="C1077" t="s">
        <v>249</v>
      </c>
      <c r="D1077" t="s">
        <v>652</v>
      </c>
      <c r="F1077" t="s">
        <v>1663</v>
      </c>
      <c r="G1077" t="s">
        <v>3112</v>
      </c>
      <c r="H1077" t="s">
        <v>5214</v>
      </c>
      <c r="J1077" t="s">
        <v>7179</v>
      </c>
      <c r="K1077">
        <v>10303</v>
      </c>
      <c r="N1077" t="s">
        <v>7246</v>
      </c>
      <c r="O1077" t="s">
        <v>8004</v>
      </c>
      <c r="P1077">
        <v>2</v>
      </c>
      <c r="Q1077">
        <v>2</v>
      </c>
      <c r="R1077">
        <v>228.78</v>
      </c>
      <c r="S1077" t="s">
        <v>10254</v>
      </c>
      <c r="T1077" t="s">
        <v>10275</v>
      </c>
      <c r="U1077">
        <v>56280</v>
      </c>
      <c r="W1077">
        <v>151.56</v>
      </c>
      <c r="X1077" t="s">
        <v>406</v>
      </c>
      <c r="Y1077" t="s">
        <v>10895</v>
      </c>
      <c r="Z1077" t="s">
        <v>10972</v>
      </c>
      <c r="AA1077" t="s">
        <v>10976</v>
      </c>
      <c r="AB1077" t="s">
        <v>652</v>
      </c>
      <c r="AD1077" t="s">
        <v>11085</v>
      </c>
      <c r="AF1077" t="s">
        <v>11118</v>
      </c>
      <c r="AH1077" t="s">
        <v>10974</v>
      </c>
      <c r="AJ1077" t="s">
        <v>11133</v>
      </c>
      <c r="AK1077" t="s">
        <v>11149</v>
      </c>
      <c r="AL1077" t="s">
        <v>11150</v>
      </c>
      <c r="AM1077">
        <v>0</v>
      </c>
      <c r="AO1077">
        <v>3</v>
      </c>
      <c r="AQ1077" t="s">
        <v>11156</v>
      </c>
      <c r="AR1077" t="s">
        <v>11172</v>
      </c>
      <c r="AU1077">
        <v>18</v>
      </c>
      <c r="AW1077" t="s">
        <v>11187</v>
      </c>
      <c r="AZ1077" t="s">
        <v>11221</v>
      </c>
      <c r="BE1077" t="s">
        <v>12328</v>
      </c>
      <c r="BG1077" t="s">
        <v>14665</v>
      </c>
      <c r="BM1077" t="s">
        <v>15650</v>
      </c>
    </row>
    <row r="1078" spans="1:67">
      <c r="A1078" s="1">
        <f>HYPERLINK("https://lsnyc.legalserver.org/matter/dynamic-profile/view/1905355","19-1905355")</f>
        <v>0</v>
      </c>
      <c r="B1078" t="s">
        <v>116</v>
      </c>
      <c r="C1078" t="s">
        <v>249</v>
      </c>
      <c r="D1078" t="s">
        <v>653</v>
      </c>
      <c r="F1078" t="s">
        <v>1349</v>
      </c>
      <c r="G1078" t="s">
        <v>3427</v>
      </c>
      <c r="H1078" t="s">
        <v>5215</v>
      </c>
      <c r="I1078" t="s">
        <v>6680</v>
      </c>
      <c r="J1078" t="s">
        <v>7179</v>
      </c>
      <c r="K1078">
        <v>10304</v>
      </c>
      <c r="N1078" t="s">
        <v>7237</v>
      </c>
      <c r="O1078" t="s">
        <v>8005</v>
      </c>
      <c r="P1078">
        <v>2</v>
      </c>
      <c r="Q1078">
        <v>2</v>
      </c>
      <c r="R1078">
        <v>201.94</v>
      </c>
      <c r="U1078">
        <v>52000</v>
      </c>
      <c r="W1078">
        <v>12.45</v>
      </c>
      <c r="X1078" t="s">
        <v>449</v>
      </c>
      <c r="Y1078" t="s">
        <v>10881</v>
      </c>
      <c r="AA1078" t="s">
        <v>10974</v>
      </c>
      <c r="AD1078" t="s">
        <v>11082</v>
      </c>
      <c r="AF1078" t="s">
        <v>11118</v>
      </c>
      <c r="AH1078" t="s">
        <v>10975</v>
      </c>
      <c r="AJ1078" t="s">
        <v>11135</v>
      </c>
      <c r="AK1078" t="s">
        <v>7225</v>
      </c>
      <c r="AM1078">
        <v>941</v>
      </c>
      <c r="AN1078" t="s">
        <v>11151</v>
      </c>
      <c r="AO1078" t="s">
        <v>11153</v>
      </c>
      <c r="AQ1078" t="s">
        <v>11161</v>
      </c>
      <c r="AS1078" t="s">
        <v>11173</v>
      </c>
      <c r="AU1078">
        <v>10</v>
      </c>
      <c r="AW1078" t="s">
        <v>11187</v>
      </c>
      <c r="AY1078" t="s">
        <v>11213</v>
      </c>
      <c r="BA1078" t="s">
        <v>11222</v>
      </c>
      <c r="BE1078" t="s">
        <v>12329</v>
      </c>
      <c r="BG1078" t="s">
        <v>14666</v>
      </c>
      <c r="BI1078" t="s">
        <v>15609</v>
      </c>
      <c r="BK1078" t="s">
        <v>15625</v>
      </c>
      <c r="BM1078" t="s">
        <v>15650</v>
      </c>
      <c r="BN1078" t="s">
        <v>15652</v>
      </c>
      <c r="BO1078" t="s">
        <v>15674</v>
      </c>
    </row>
    <row r="1079" spans="1:67">
      <c r="A1079" s="1">
        <f>HYPERLINK("https://lsnyc.legalserver.org/matter/dynamic-profile/view/1911030","19-1911030")</f>
        <v>0</v>
      </c>
      <c r="B1079" t="s">
        <v>116</v>
      </c>
      <c r="C1079" t="s">
        <v>249</v>
      </c>
      <c r="D1079" t="s">
        <v>564</v>
      </c>
      <c r="F1079" t="s">
        <v>1442</v>
      </c>
      <c r="G1079" t="s">
        <v>3428</v>
      </c>
      <c r="H1079" t="s">
        <v>5216</v>
      </c>
      <c r="I1079" t="s">
        <v>6647</v>
      </c>
      <c r="J1079" t="s">
        <v>7179</v>
      </c>
      <c r="K1079">
        <v>10304</v>
      </c>
      <c r="N1079" t="s">
        <v>7237</v>
      </c>
      <c r="O1079" t="s">
        <v>8006</v>
      </c>
      <c r="P1079">
        <v>2</v>
      </c>
      <c r="Q1079">
        <v>1</v>
      </c>
      <c r="R1079">
        <v>74.26000000000001</v>
      </c>
      <c r="U1079">
        <v>15840</v>
      </c>
      <c r="W1079">
        <v>7.05</v>
      </c>
      <c r="X1079" t="s">
        <v>528</v>
      </c>
      <c r="Y1079" t="s">
        <v>10881</v>
      </c>
      <c r="Z1079" t="s">
        <v>10973</v>
      </c>
      <c r="AA1079" t="s">
        <v>10975</v>
      </c>
      <c r="AB1079" t="s">
        <v>564</v>
      </c>
      <c r="AD1079" t="s">
        <v>11082</v>
      </c>
      <c r="AE1079" t="s">
        <v>11117</v>
      </c>
      <c r="AH1079" t="s">
        <v>10975</v>
      </c>
      <c r="AJ1079" t="s">
        <v>11148</v>
      </c>
      <c r="AK1079" t="s">
        <v>7225</v>
      </c>
      <c r="AM1079">
        <v>661</v>
      </c>
      <c r="AO1079">
        <v>403</v>
      </c>
      <c r="AQ1079" t="s">
        <v>11161</v>
      </c>
      <c r="AS1079" t="s">
        <v>11173</v>
      </c>
      <c r="AU1079">
        <v>1</v>
      </c>
      <c r="AW1079" t="s">
        <v>11187</v>
      </c>
      <c r="AY1079" t="s">
        <v>11213</v>
      </c>
      <c r="AZ1079" t="s">
        <v>11221</v>
      </c>
      <c r="BA1079" t="s">
        <v>11173</v>
      </c>
      <c r="BE1079" t="s">
        <v>12330</v>
      </c>
      <c r="BG1079" t="s">
        <v>14667</v>
      </c>
      <c r="BM1079" t="s">
        <v>15650</v>
      </c>
    </row>
    <row r="1080" spans="1:67">
      <c r="A1080" s="1">
        <f>HYPERLINK("https://lsnyc.legalserver.org/matter/dynamic-profile/view/1849475","17-1849475")</f>
        <v>0</v>
      </c>
      <c r="B1080" t="s">
        <v>116</v>
      </c>
      <c r="C1080" t="s">
        <v>249</v>
      </c>
      <c r="D1080" t="s">
        <v>654</v>
      </c>
      <c r="F1080" t="s">
        <v>1664</v>
      </c>
      <c r="G1080" t="s">
        <v>3429</v>
      </c>
      <c r="H1080" t="s">
        <v>5217</v>
      </c>
      <c r="I1080" t="s">
        <v>6419</v>
      </c>
      <c r="J1080" t="s">
        <v>7179</v>
      </c>
      <c r="K1080">
        <v>10301</v>
      </c>
      <c r="N1080" t="s">
        <v>7237</v>
      </c>
      <c r="O1080" t="s">
        <v>8007</v>
      </c>
      <c r="P1080">
        <v>1</v>
      </c>
      <c r="Q1080">
        <v>0</v>
      </c>
      <c r="R1080">
        <v>65.97</v>
      </c>
      <c r="U1080">
        <v>7956</v>
      </c>
      <c r="W1080">
        <v>82.7</v>
      </c>
      <c r="X1080" t="s">
        <v>660</v>
      </c>
      <c r="Y1080" t="s">
        <v>10895</v>
      </c>
      <c r="AA1080" t="s">
        <v>10974</v>
      </c>
      <c r="AB1080" t="s">
        <v>654</v>
      </c>
      <c r="AD1080" t="s">
        <v>11083</v>
      </c>
      <c r="AF1080" t="s">
        <v>11118</v>
      </c>
      <c r="AH1080" t="s">
        <v>10975</v>
      </c>
      <c r="AJ1080" t="s">
        <v>11133</v>
      </c>
      <c r="AK1080" t="s">
        <v>7225</v>
      </c>
      <c r="AM1080">
        <v>1024</v>
      </c>
      <c r="AO1080">
        <v>17</v>
      </c>
      <c r="AQ1080" t="s">
        <v>11157</v>
      </c>
      <c r="AS1080" t="s">
        <v>11177</v>
      </c>
      <c r="AU1080">
        <v>4</v>
      </c>
      <c r="AW1080" t="s">
        <v>11187</v>
      </c>
      <c r="AZ1080" t="s">
        <v>11221</v>
      </c>
      <c r="BB1080" t="s">
        <v>11224</v>
      </c>
      <c r="BC1080" t="s">
        <v>11336</v>
      </c>
      <c r="BE1080" t="s">
        <v>12331</v>
      </c>
      <c r="BG1080" t="s">
        <v>14668</v>
      </c>
      <c r="BI1080" t="s">
        <v>15611</v>
      </c>
      <c r="BK1080" t="s">
        <v>15626</v>
      </c>
      <c r="BM1080" t="s">
        <v>15650</v>
      </c>
    </row>
    <row r="1081" spans="1:67">
      <c r="A1081" s="1">
        <f>HYPERLINK("https://lsnyc.legalserver.org/matter/dynamic-profile/view/1906837","19-1906837")</f>
        <v>0</v>
      </c>
      <c r="B1081" t="s">
        <v>116</v>
      </c>
      <c r="C1081" t="s">
        <v>249</v>
      </c>
      <c r="D1081" t="s">
        <v>655</v>
      </c>
      <c r="F1081" t="s">
        <v>1665</v>
      </c>
      <c r="G1081" t="s">
        <v>3293</v>
      </c>
      <c r="H1081" t="s">
        <v>5218</v>
      </c>
      <c r="I1081" t="s">
        <v>6681</v>
      </c>
      <c r="J1081" t="s">
        <v>7179</v>
      </c>
      <c r="K1081">
        <v>10304</v>
      </c>
      <c r="N1081" t="s">
        <v>7241</v>
      </c>
      <c r="O1081" t="s">
        <v>8008</v>
      </c>
      <c r="P1081">
        <v>1</v>
      </c>
      <c r="Q1081">
        <v>3</v>
      </c>
      <c r="R1081">
        <v>72.7</v>
      </c>
      <c r="U1081">
        <v>18720</v>
      </c>
      <c r="W1081">
        <v>37.25</v>
      </c>
      <c r="X1081" t="s">
        <v>426</v>
      </c>
      <c r="Y1081" t="s">
        <v>10881</v>
      </c>
      <c r="AA1081" t="s">
        <v>10974</v>
      </c>
      <c r="AD1081" t="s">
        <v>11082</v>
      </c>
      <c r="AE1081" t="s">
        <v>11117</v>
      </c>
      <c r="AH1081" t="s">
        <v>10975</v>
      </c>
      <c r="AJ1081" t="s">
        <v>11129</v>
      </c>
      <c r="AK1081" t="s">
        <v>7225</v>
      </c>
      <c r="AM1081">
        <v>1949</v>
      </c>
      <c r="AN1081" t="s">
        <v>11151</v>
      </c>
      <c r="AO1081" t="s">
        <v>11153</v>
      </c>
      <c r="AQ1081" t="s">
        <v>11161</v>
      </c>
      <c r="AS1081" t="s">
        <v>11173</v>
      </c>
      <c r="AU1081">
        <v>3</v>
      </c>
      <c r="AW1081" t="s">
        <v>11187</v>
      </c>
      <c r="AY1081" t="s">
        <v>11213</v>
      </c>
      <c r="BA1081" t="s">
        <v>11222</v>
      </c>
      <c r="BE1081" t="s">
        <v>12332</v>
      </c>
      <c r="BG1081" t="s">
        <v>14669</v>
      </c>
      <c r="BM1081" t="s">
        <v>15650</v>
      </c>
    </row>
    <row r="1082" spans="1:67">
      <c r="A1082" s="1">
        <f>HYPERLINK("https://lsnyc.legalserver.org/matter/dynamic-profile/view/1913271","19-1913271")</f>
        <v>0</v>
      </c>
      <c r="B1082" t="s">
        <v>116</v>
      </c>
      <c r="C1082" t="s">
        <v>249</v>
      </c>
      <c r="D1082" t="s">
        <v>272</v>
      </c>
      <c r="F1082" t="s">
        <v>1666</v>
      </c>
      <c r="G1082" t="s">
        <v>3430</v>
      </c>
      <c r="H1082" t="s">
        <v>5219</v>
      </c>
      <c r="I1082" t="s">
        <v>6516</v>
      </c>
      <c r="J1082" t="s">
        <v>7179</v>
      </c>
      <c r="K1082">
        <v>10305</v>
      </c>
      <c r="N1082" t="s">
        <v>7237</v>
      </c>
      <c r="O1082" t="s">
        <v>8009</v>
      </c>
      <c r="P1082">
        <v>1</v>
      </c>
      <c r="Q1082">
        <v>1</v>
      </c>
      <c r="R1082">
        <v>0</v>
      </c>
      <c r="U1082">
        <v>0</v>
      </c>
      <c r="W1082">
        <v>6.05</v>
      </c>
      <c r="X1082" t="s">
        <v>548</v>
      </c>
      <c r="Y1082" t="s">
        <v>10881</v>
      </c>
      <c r="AA1082" t="s">
        <v>10974</v>
      </c>
      <c r="AD1082" t="s">
        <v>11082</v>
      </c>
      <c r="AE1082" t="s">
        <v>11117</v>
      </c>
      <c r="AH1082" t="s">
        <v>10975</v>
      </c>
      <c r="AJ1082" t="s">
        <v>11148</v>
      </c>
      <c r="AK1082" t="s">
        <v>7225</v>
      </c>
      <c r="AM1082">
        <v>1557</v>
      </c>
      <c r="AO1082">
        <v>2</v>
      </c>
      <c r="AQ1082" t="s">
        <v>11156</v>
      </c>
      <c r="AR1082" t="s">
        <v>11172</v>
      </c>
      <c r="AU1082">
        <v>-1</v>
      </c>
      <c r="AW1082" t="s">
        <v>11204</v>
      </c>
      <c r="AY1082" t="s">
        <v>11213</v>
      </c>
      <c r="BA1082" t="s">
        <v>11222</v>
      </c>
      <c r="BE1082" t="s">
        <v>12333</v>
      </c>
      <c r="BG1082" t="s">
        <v>14670</v>
      </c>
      <c r="BK1082" t="s">
        <v>15618</v>
      </c>
      <c r="BM1082" t="s">
        <v>15650</v>
      </c>
      <c r="BN1082" t="s">
        <v>15652</v>
      </c>
      <c r="BO1082" t="s">
        <v>15675</v>
      </c>
    </row>
    <row r="1083" spans="1:67">
      <c r="A1083" s="1">
        <f>HYPERLINK("https://lsnyc.legalserver.org/matter/dynamic-profile/view/1904778","19-1904778")</f>
        <v>0</v>
      </c>
      <c r="B1083" t="s">
        <v>116</v>
      </c>
      <c r="C1083" t="s">
        <v>249</v>
      </c>
      <c r="D1083" t="s">
        <v>546</v>
      </c>
      <c r="F1083" t="s">
        <v>1352</v>
      </c>
      <c r="G1083" t="s">
        <v>2814</v>
      </c>
      <c r="H1083" t="s">
        <v>5220</v>
      </c>
      <c r="I1083" t="s">
        <v>6433</v>
      </c>
      <c r="J1083" t="s">
        <v>7179</v>
      </c>
      <c r="K1083">
        <v>10301</v>
      </c>
      <c r="N1083" t="s">
        <v>7241</v>
      </c>
      <c r="O1083" t="s">
        <v>8010</v>
      </c>
      <c r="P1083">
        <v>1</v>
      </c>
      <c r="Q1083">
        <v>0</v>
      </c>
      <c r="R1083">
        <v>68.89</v>
      </c>
      <c r="U1083">
        <v>8604</v>
      </c>
      <c r="W1083">
        <v>28.9</v>
      </c>
      <c r="X1083" t="s">
        <v>426</v>
      </c>
      <c r="Y1083" t="s">
        <v>10881</v>
      </c>
      <c r="AA1083" t="s">
        <v>10974</v>
      </c>
      <c r="AD1083" t="s">
        <v>11083</v>
      </c>
      <c r="AF1083" t="s">
        <v>11118</v>
      </c>
      <c r="AH1083" t="s">
        <v>10975</v>
      </c>
      <c r="AI1083" t="s">
        <v>11126</v>
      </c>
      <c r="AK1083" t="s">
        <v>7225</v>
      </c>
      <c r="AM1083">
        <v>243</v>
      </c>
      <c r="AN1083" t="s">
        <v>11151</v>
      </c>
      <c r="AO1083" t="s">
        <v>11153</v>
      </c>
      <c r="AQ1083" t="s">
        <v>11161</v>
      </c>
      <c r="AS1083" t="s">
        <v>11173</v>
      </c>
      <c r="AU1083">
        <v>3</v>
      </c>
      <c r="AW1083" t="s">
        <v>11187</v>
      </c>
      <c r="AY1083" t="s">
        <v>11213</v>
      </c>
      <c r="BA1083" t="s">
        <v>11222</v>
      </c>
      <c r="BE1083" t="s">
        <v>12334</v>
      </c>
      <c r="BG1083" t="s">
        <v>14671</v>
      </c>
      <c r="BM1083" t="s">
        <v>15650</v>
      </c>
    </row>
    <row r="1084" spans="1:67">
      <c r="A1084" s="1">
        <f>HYPERLINK("https://lsnyc.legalserver.org/matter/dynamic-profile/view/1904208","19-1904208")</f>
        <v>0</v>
      </c>
      <c r="B1084" t="s">
        <v>116</v>
      </c>
      <c r="C1084" t="s">
        <v>249</v>
      </c>
      <c r="D1084" t="s">
        <v>423</v>
      </c>
      <c r="F1084" t="s">
        <v>1157</v>
      </c>
      <c r="G1084" t="s">
        <v>3431</v>
      </c>
      <c r="H1084" t="s">
        <v>5221</v>
      </c>
      <c r="I1084">
        <v>210</v>
      </c>
      <c r="J1084" t="s">
        <v>7179</v>
      </c>
      <c r="K1084">
        <v>10303</v>
      </c>
      <c r="N1084" t="s">
        <v>7237</v>
      </c>
      <c r="O1084" t="s">
        <v>8011</v>
      </c>
      <c r="P1084">
        <v>1</v>
      </c>
      <c r="Q1084">
        <v>0</v>
      </c>
      <c r="R1084">
        <v>124.9</v>
      </c>
      <c r="U1084">
        <v>15600</v>
      </c>
      <c r="W1084">
        <v>37.05</v>
      </c>
      <c r="X1084" t="s">
        <v>634</v>
      </c>
      <c r="Y1084" t="s">
        <v>10881</v>
      </c>
      <c r="AA1084" t="s">
        <v>10974</v>
      </c>
      <c r="AD1084" t="s">
        <v>11083</v>
      </c>
      <c r="AF1084" t="s">
        <v>11118</v>
      </c>
      <c r="AH1084" t="s">
        <v>10975</v>
      </c>
      <c r="AJ1084" t="s">
        <v>11135</v>
      </c>
      <c r="AK1084" t="s">
        <v>7225</v>
      </c>
      <c r="AM1084">
        <v>1020</v>
      </c>
      <c r="AN1084" t="s">
        <v>11151</v>
      </c>
      <c r="AO1084" t="s">
        <v>11153</v>
      </c>
      <c r="AQ1084" t="s">
        <v>11167</v>
      </c>
      <c r="AS1084" t="s">
        <v>11173</v>
      </c>
      <c r="AU1084">
        <v>3</v>
      </c>
      <c r="AW1084" t="s">
        <v>11187</v>
      </c>
      <c r="AY1084" t="s">
        <v>11213</v>
      </c>
      <c r="BA1084" t="s">
        <v>11222</v>
      </c>
      <c r="BE1084" t="s">
        <v>12335</v>
      </c>
      <c r="BG1084" t="s">
        <v>14672</v>
      </c>
      <c r="BI1084" t="s">
        <v>15608</v>
      </c>
      <c r="BK1084" t="s">
        <v>15627</v>
      </c>
      <c r="BM1084" t="s">
        <v>15650</v>
      </c>
      <c r="BN1084" t="s">
        <v>15652</v>
      </c>
      <c r="BO1084" t="s">
        <v>15676</v>
      </c>
    </row>
    <row r="1085" spans="1:67">
      <c r="A1085" s="1">
        <f>HYPERLINK("https://lsnyc.legalserver.org/matter/dynamic-profile/view/1876833","18-1876833")</f>
        <v>0</v>
      </c>
      <c r="B1085" t="s">
        <v>117</v>
      </c>
      <c r="C1085" t="s">
        <v>248</v>
      </c>
      <c r="D1085" t="s">
        <v>656</v>
      </c>
      <c r="F1085" t="s">
        <v>1667</v>
      </c>
      <c r="G1085" t="s">
        <v>3432</v>
      </c>
      <c r="H1085" t="s">
        <v>5064</v>
      </c>
      <c r="I1085" t="s">
        <v>6477</v>
      </c>
      <c r="J1085" t="s">
        <v>7174</v>
      </c>
      <c r="K1085">
        <v>11216</v>
      </c>
      <c r="N1085" t="s">
        <v>7237</v>
      </c>
      <c r="O1085" t="s">
        <v>8012</v>
      </c>
      <c r="P1085">
        <v>1</v>
      </c>
      <c r="Q1085">
        <v>0</v>
      </c>
      <c r="R1085">
        <v>838.59</v>
      </c>
      <c r="U1085">
        <v>101805</v>
      </c>
      <c r="V1085" t="s">
        <v>10365</v>
      </c>
      <c r="W1085">
        <v>0</v>
      </c>
      <c r="Y1085" t="s">
        <v>225</v>
      </c>
      <c r="AA1085" t="s">
        <v>10974</v>
      </c>
      <c r="AB1085" t="s">
        <v>794</v>
      </c>
      <c r="AD1085" t="s">
        <v>11085</v>
      </c>
      <c r="AF1085" t="s">
        <v>11118</v>
      </c>
      <c r="AH1085" t="s">
        <v>10974</v>
      </c>
      <c r="AJ1085" t="s">
        <v>11134</v>
      </c>
      <c r="AK1085" t="s">
        <v>7225</v>
      </c>
      <c r="AM1085">
        <v>1400</v>
      </c>
      <c r="AO1085">
        <v>82</v>
      </c>
      <c r="AQ1085" t="s">
        <v>11157</v>
      </c>
      <c r="AS1085" t="s">
        <v>11173</v>
      </c>
      <c r="AU1085">
        <v>2</v>
      </c>
      <c r="AW1085" t="s">
        <v>11187</v>
      </c>
      <c r="AZ1085" t="s">
        <v>11221</v>
      </c>
      <c r="BE1085" t="s">
        <v>12336</v>
      </c>
      <c r="BG1085" t="s">
        <v>14673</v>
      </c>
      <c r="BM1085" t="s">
        <v>15650</v>
      </c>
    </row>
    <row r="1086" spans="1:67">
      <c r="A1086" s="1">
        <f>HYPERLINK("https://lsnyc.legalserver.org/matter/dynamic-profile/view/1876541","18-1876541")</f>
        <v>0</v>
      </c>
      <c r="B1086" t="s">
        <v>117</v>
      </c>
      <c r="C1086" t="s">
        <v>248</v>
      </c>
      <c r="D1086" t="s">
        <v>527</v>
      </c>
      <c r="F1086" t="s">
        <v>1668</v>
      </c>
      <c r="G1086" t="s">
        <v>3433</v>
      </c>
      <c r="H1086" t="s">
        <v>5064</v>
      </c>
      <c r="I1086" t="s">
        <v>6499</v>
      </c>
      <c r="J1086" t="s">
        <v>7174</v>
      </c>
      <c r="K1086">
        <v>11216</v>
      </c>
      <c r="N1086" t="s">
        <v>7237</v>
      </c>
      <c r="O1086" t="s">
        <v>8013</v>
      </c>
      <c r="P1086">
        <v>2</v>
      </c>
      <c r="Q1086">
        <v>0</v>
      </c>
      <c r="R1086">
        <v>820.17</v>
      </c>
      <c r="S1086" t="s">
        <v>372</v>
      </c>
      <c r="T1086" t="s">
        <v>10276</v>
      </c>
      <c r="U1086">
        <v>135000</v>
      </c>
      <c r="V1086" t="s">
        <v>10334</v>
      </c>
      <c r="W1086">
        <v>0</v>
      </c>
      <c r="Y1086" t="s">
        <v>225</v>
      </c>
      <c r="AA1086" t="s">
        <v>10974</v>
      </c>
      <c r="AB1086" t="s">
        <v>405</v>
      </c>
      <c r="AD1086" t="s">
        <v>11085</v>
      </c>
      <c r="AF1086" t="s">
        <v>11118</v>
      </c>
      <c r="AH1086" t="s">
        <v>10974</v>
      </c>
      <c r="AJ1086" t="s">
        <v>11134</v>
      </c>
      <c r="AK1086" t="s">
        <v>7225</v>
      </c>
      <c r="AM1086">
        <v>2300</v>
      </c>
      <c r="AO1086">
        <v>8</v>
      </c>
      <c r="AQ1086" t="s">
        <v>11157</v>
      </c>
      <c r="AS1086" t="s">
        <v>11173</v>
      </c>
      <c r="AU1086">
        <v>2</v>
      </c>
      <c r="AW1086" t="s">
        <v>11187</v>
      </c>
      <c r="AZ1086" t="s">
        <v>11221</v>
      </c>
      <c r="BE1086" t="s">
        <v>12337</v>
      </c>
      <c r="BG1086" t="s">
        <v>14673</v>
      </c>
      <c r="BM1086" t="s">
        <v>15650</v>
      </c>
    </row>
    <row r="1087" spans="1:67">
      <c r="A1087" s="1">
        <f>HYPERLINK("https://lsnyc.legalserver.org/matter/dynamic-profile/view/1876803","18-1876803")</f>
        <v>0</v>
      </c>
      <c r="B1087" t="s">
        <v>117</v>
      </c>
      <c r="C1087" t="s">
        <v>248</v>
      </c>
      <c r="D1087" t="s">
        <v>656</v>
      </c>
      <c r="F1087" t="s">
        <v>1669</v>
      </c>
      <c r="G1087" t="s">
        <v>3434</v>
      </c>
      <c r="H1087" t="s">
        <v>5064</v>
      </c>
      <c r="I1087" t="s">
        <v>6448</v>
      </c>
      <c r="J1087" t="s">
        <v>7174</v>
      </c>
      <c r="K1087">
        <v>11216</v>
      </c>
      <c r="N1087" t="s">
        <v>7237</v>
      </c>
      <c r="O1087" t="s">
        <v>8014</v>
      </c>
      <c r="P1087">
        <v>1</v>
      </c>
      <c r="Q1087">
        <v>0</v>
      </c>
      <c r="R1087">
        <v>823.72</v>
      </c>
      <c r="U1087">
        <v>100000</v>
      </c>
      <c r="V1087" t="s">
        <v>10366</v>
      </c>
      <c r="W1087">
        <v>0</v>
      </c>
      <c r="Y1087" t="s">
        <v>225</v>
      </c>
      <c r="AA1087" t="s">
        <v>10974</v>
      </c>
      <c r="AB1087" t="s">
        <v>518</v>
      </c>
      <c r="AD1087" t="s">
        <v>11085</v>
      </c>
      <c r="AF1087" t="s">
        <v>11118</v>
      </c>
      <c r="AH1087" t="s">
        <v>10974</v>
      </c>
      <c r="AJ1087" t="s">
        <v>11134</v>
      </c>
      <c r="AK1087" t="s">
        <v>7225</v>
      </c>
      <c r="AM1087">
        <v>1550</v>
      </c>
      <c r="AO1087">
        <v>82</v>
      </c>
      <c r="AQ1087" t="s">
        <v>11157</v>
      </c>
      <c r="AS1087" t="s">
        <v>11173</v>
      </c>
      <c r="AU1087">
        <v>1</v>
      </c>
      <c r="AW1087" t="s">
        <v>11187</v>
      </c>
      <c r="AZ1087" t="s">
        <v>11221</v>
      </c>
      <c r="BD1087" t="s">
        <v>11667</v>
      </c>
      <c r="BG1087" t="s">
        <v>14673</v>
      </c>
      <c r="BM1087" t="s">
        <v>15650</v>
      </c>
    </row>
    <row r="1088" spans="1:67">
      <c r="A1088" s="1">
        <f>HYPERLINK("https://lsnyc.legalserver.org/matter/dynamic-profile/view/1876799","18-1876799")</f>
        <v>0</v>
      </c>
      <c r="B1088" t="s">
        <v>117</v>
      </c>
      <c r="C1088" t="s">
        <v>248</v>
      </c>
      <c r="D1088" t="s">
        <v>656</v>
      </c>
      <c r="F1088" t="s">
        <v>1669</v>
      </c>
      <c r="G1088" t="s">
        <v>3434</v>
      </c>
      <c r="H1088" t="s">
        <v>5064</v>
      </c>
      <c r="I1088" t="s">
        <v>6448</v>
      </c>
      <c r="J1088" t="s">
        <v>7174</v>
      </c>
      <c r="K1088">
        <v>11216</v>
      </c>
      <c r="N1088" t="s">
        <v>7237</v>
      </c>
      <c r="O1088" t="s">
        <v>8014</v>
      </c>
      <c r="P1088">
        <v>1</v>
      </c>
      <c r="Q1088">
        <v>0</v>
      </c>
      <c r="R1088">
        <v>823.72</v>
      </c>
      <c r="U1088">
        <v>100000</v>
      </c>
      <c r="V1088" t="s">
        <v>10330</v>
      </c>
      <c r="W1088">
        <v>0</v>
      </c>
      <c r="Y1088" t="s">
        <v>225</v>
      </c>
      <c r="AA1088" t="s">
        <v>10974</v>
      </c>
      <c r="AB1088" t="s">
        <v>518</v>
      </c>
      <c r="AD1088" t="s">
        <v>11086</v>
      </c>
      <c r="AF1088" t="s">
        <v>10384</v>
      </c>
      <c r="AH1088" t="s">
        <v>10974</v>
      </c>
      <c r="AJ1088" t="s">
        <v>11134</v>
      </c>
      <c r="AK1088" t="s">
        <v>7225</v>
      </c>
      <c r="AM1088">
        <v>1550</v>
      </c>
      <c r="AO1088">
        <v>82</v>
      </c>
      <c r="AQ1088" t="s">
        <v>11157</v>
      </c>
      <c r="AS1088" t="s">
        <v>11173</v>
      </c>
      <c r="AU1088">
        <v>1</v>
      </c>
      <c r="AW1088" t="s">
        <v>11187</v>
      </c>
      <c r="AZ1088" t="s">
        <v>11221</v>
      </c>
      <c r="BD1088" t="s">
        <v>11667</v>
      </c>
      <c r="BF1088" t="s">
        <v>14364</v>
      </c>
      <c r="BM1088" t="s">
        <v>15650</v>
      </c>
    </row>
    <row r="1089" spans="1:65">
      <c r="A1089" s="1">
        <f>HYPERLINK("https://lsnyc.legalserver.org/matter/dynamic-profile/view/1898331","19-1898331")</f>
        <v>0</v>
      </c>
      <c r="B1089" t="s">
        <v>117</v>
      </c>
      <c r="C1089" t="s">
        <v>248</v>
      </c>
      <c r="D1089" t="s">
        <v>591</v>
      </c>
      <c r="F1089" t="s">
        <v>1670</v>
      </c>
      <c r="G1089" t="s">
        <v>3435</v>
      </c>
      <c r="H1089" t="s">
        <v>5064</v>
      </c>
      <c r="I1089" t="s">
        <v>6557</v>
      </c>
      <c r="J1089" t="s">
        <v>7174</v>
      </c>
      <c r="K1089">
        <v>11216</v>
      </c>
      <c r="N1089" t="s">
        <v>7237</v>
      </c>
      <c r="O1089" t="s">
        <v>8015</v>
      </c>
      <c r="P1089">
        <v>1</v>
      </c>
      <c r="Q1089">
        <v>0</v>
      </c>
      <c r="R1089">
        <v>391.71</v>
      </c>
      <c r="U1089">
        <v>48925</v>
      </c>
      <c r="V1089" t="s">
        <v>10367</v>
      </c>
      <c r="W1089">
        <v>0</v>
      </c>
      <c r="Y1089" t="s">
        <v>225</v>
      </c>
      <c r="AA1089" t="s">
        <v>10974</v>
      </c>
      <c r="AB1089" t="s">
        <v>594</v>
      </c>
      <c r="AD1089" t="s">
        <v>11085</v>
      </c>
      <c r="AF1089" t="s">
        <v>11118</v>
      </c>
      <c r="AH1089" t="s">
        <v>10974</v>
      </c>
      <c r="AJ1089" t="s">
        <v>11134</v>
      </c>
      <c r="AK1089" t="s">
        <v>7225</v>
      </c>
      <c r="AM1089">
        <v>2200</v>
      </c>
      <c r="AO1089">
        <v>82</v>
      </c>
      <c r="AQ1089" t="s">
        <v>11157</v>
      </c>
      <c r="AS1089" t="s">
        <v>11173</v>
      </c>
      <c r="AT1089" t="s">
        <v>11184</v>
      </c>
      <c r="AU1089">
        <v>0</v>
      </c>
      <c r="AW1089" t="s">
        <v>11187</v>
      </c>
      <c r="AY1089" t="s">
        <v>11213</v>
      </c>
      <c r="AZ1089" t="s">
        <v>11221</v>
      </c>
      <c r="BE1089" t="s">
        <v>12338</v>
      </c>
      <c r="BG1089" t="s">
        <v>14673</v>
      </c>
      <c r="BM1089" t="s">
        <v>15650</v>
      </c>
    </row>
    <row r="1090" spans="1:65">
      <c r="A1090" s="1">
        <f>HYPERLINK("https://lsnyc.legalserver.org/matter/dynamic-profile/view/1898333","19-1898333")</f>
        <v>0</v>
      </c>
      <c r="B1090" t="s">
        <v>117</v>
      </c>
      <c r="C1090" t="s">
        <v>248</v>
      </c>
      <c r="D1090" t="s">
        <v>591</v>
      </c>
      <c r="F1090" t="s">
        <v>1670</v>
      </c>
      <c r="G1090" t="s">
        <v>3435</v>
      </c>
      <c r="H1090" t="s">
        <v>5064</v>
      </c>
      <c r="I1090" t="s">
        <v>6557</v>
      </c>
      <c r="J1090" t="s">
        <v>7174</v>
      </c>
      <c r="K1090">
        <v>11216</v>
      </c>
      <c r="N1090" t="s">
        <v>7237</v>
      </c>
      <c r="O1090" t="s">
        <v>8015</v>
      </c>
      <c r="P1090">
        <v>1</v>
      </c>
      <c r="Q1090">
        <v>0</v>
      </c>
      <c r="R1090">
        <v>391.71</v>
      </c>
      <c r="U1090">
        <v>48925</v>
      </c>
      <c r="V1090" t="s">
        <v>10368</v>
      </c>
      <c r="W1090">
        <v>0</v>
      </c>
      <c r="Y1090" t="s">
        <v>225</v>
      </c>
      <c r="AA1090" t="s">
        <v>10974</v>
      </c>
      <c r="AB1090" t="s">
        <v>594</v>
      </c>
      <c r="AD1090" t="s">
        <v>11100</v>
      </c>
      <c r="AF1090" t="s">
        <v>10384</v>
      </c>
      <c r="AH1090" t="s">
        <v>10974</v>
      </c>
      <c r="AJ1090" t="s">
        <v>11134</v>
      </c>
      <c r="AK1090" t="s">
        <v>7225</v>
      </c>
      <c r="AM1090">
        <v>2200</v>
      </c>
      <c r="AO1090">
        <v>82</v>
      </c>
      <c r="AQ1090" t="s">
        <v>11157</v>
      </c>
      <c r="AS1090" t="s">
        <v>11173</v>
      </c>
      <c r="AT1090" t="s">
        <v>11184</v>
      </c>
      <c r="AU1090">
        <v>0</v>
      </c>
      <c r="AW1090" t="s">
        <v>11187</v>
      </c>
      <c r="AY1090" t="s">
        <v>11213</v>
      </c>
      <c r="AZ1090" t="s">
        <v>11221</v>
      </c>
      <c r="BE1090" t="s">
        <v>12338</v>
      </c>
      <c r="BF1090" t="s">
        <v>14364</v>
      </c>
      <c r="BM1090" t="s">
        <v>15650</v>
      </c>
    </row>
    <row r="1091" spans="1:65">
      <c r="A1091" s="1">
        <f>HYPERLINK("https://lsnyc.legalserver.org/matter/dynamic-profile/view/1876749","18-1876749")</f>
        <v>0</v>
      </c>
      <c r="B1091" t="s">
        <v>117</v>
      </c>
      <c r="C1091" t="s">
        <v>248</v>
      </c>
      <c r="D1091" t="s">
        <v>656</v>
      </c>
      <c r="F1091" t="s">
        <v>1671</v>
      </c>
      <c r="G1091" t="s">
        <v>3436</v>
      </c>
      <c r="H1091" t="s">
        <v>5064</v>
      </c>
      <c r="I1091" t="s">
        <v>6682</v>
      </c>
      <c r="J1091" t="s">
        <v>7174</v>
      </c>
      <c r="K1091">
        <v>11216</v>
      </c>
      <c r="N1091" t="s">
        <v>7237</v>
      </c>
      <c r="O1091" t="s">
        <v>8016</v>
      </c>
      <c r="P1091">
        <v>1</v>
      </c>
      <c r="Q1091">
        <v>0</v>
      </c>
      <c r="R1091">
        <v>535.42</v>
      </c>
      <c r="S1091" t="s">
        <v>372</v>
      </c>
      <c r="T1091" t="s">
        <v>10276</v>
      </c>
      <c r="U1091">
        <v>65000</v>
      </c>
      <c r="V1091" t="s">
        <v>10334</v>
      </c>
      <c r="W1091">
        <v>0</v>
      </c>
      <c r="Y1091" t="s">
        <v>225</v>
      </c>
      <c r="AA1091" t="s">
        <v>10974</v>
      </c>
      <c r="AB1091" t="s">
        <v>518</v>
      </c>
      <c r="AD1091" t="s">
        <v>11086</v>
      </c>
      <c r="AF1091" t="s">
        <v>10384</v>
      </c>
      <c r="AG1091" t="s">
        <v>11124</v>
      </c>
      <c r="AJ1091" t="s">
        <v>11134</v>
      </c>
      <c r="AK1091" t="s">
        <v>7225</v>
      </c>
      <c r="AM1091">
        <v>2450</v>
      </c>
      <c r="AO1091">
        <v>82</v>
      </c>
      <c r="AQ1091" t="s">
        <v>11157</v>
      </c>
      <c r="AS1091" t="s">
        <v>11173</v>
      </c>
      <c r="AU1091">
        <v>1</v>
      </c>
      <c r="AW1091" t="s">
        <v>11187</v>
      </c>
      <c r="AZ1091" t="s">
        <v>11221</v>
      </c>
      <c r="BD1091" t="s">
        <v>11667</v>
      </c>
      <c r="BF1091" t="s">
        <v>14364</v>
      </c>
      <c r="BM1091" t="s">
        <v>15650</v>
      </c>
    </row>
    <row r="1092" spans="1:65">
      <c r="A1092" s="1">
        <f>HYPERLINK("https://lsnyc.legalserver.org/matter/dynamic-profile/view/1876766","18-1876766")</f>
        <v>0</v>
      </c>
      <c r="B1092" t="s">
        <v>117</v>
      </c>
      <c r="C1092" t="s">
        <v>248</v>
      </c>
      <c r="D1092" t="s">
        <v>656</v>
      </c>
      <c r="F1092" t="s">
        <v>1671</v>
      </c>
      <c r="G1092" t="s">
        <v>3436</v>
      </c>
      <c r="H1092" t="s">
        <v>5064</v>
      </c>
      <c r="I1092" t="s">
        <v>6682</v>
      </c>
      <c r="J1092" t="s">
        <v>7174</v>
      </c>
      <c r="K1092">
        <v>11216</v>
      </c>
      <c r="N1092" t="s">
        <v>7237</v>
      </c>
      <c r="O1092" t="s">
        <v>8016</v>
      </c>
      <c r="P1092">
        <v>1</v>
      </c>
      <c r="Q1092">
        <v>0</v>
      </c>
      <c r="R1092">
        <v>535.42</v>
      </c>
      <c r="S1092" t="s">
        <v>372</v>
      </c>
      <c r="T1092" t="s">
        <v>10276</v>
      </c>
      <c r="U1092">
        <v>65000</v>
      </c>
      <c r="V1092" t="s">
        <v>10334</v>
      </c>
      <c r="W1092">
        <v>0</v>
      </c>
      <c r="Y1092" t="s">
        <v>225</v>
      </c>
      <c r="AA1092" t="s">
        <v>10974</v>
      </c>
      <c r="AB1092" t="s">
        <v>518</v>
      </c>
      <c r="AD1092" t="s">
        <v>11085</v>
      </c>
      <c r="AF1092" t="s">
        <v>11118</v>
      </c>
      <c r="AH1092" t="s">
        <v>10974</v>
      </c>
      <c r="AJ1092" t="s">
        <v>11134</v>
      </c>
      <c r="AK1092" t="s">
        <v>7225</v>
      </c>
      <c r="AM1092">
        <v>2450</v>
      </c>
      <c r="AO1092">
        <v>82</v>
      </c>
      <c r="AQ1092" t="s">
        <v>11157</v>
      </c>
      <c r="AS1092" t="s">
        <v>11173</v>
      </c>
      <c r="AU1092">
        <v>1</v>
      </c>
      <c r="AW1092" t="s">
        <v>11187</v>
      </c>
      <c r="AZ1092" t="s">
        <v>11221</v>
      </c>
      <c r="BD1092" t="s">
        <v>11667</v>
      </c>
      <c r="BG1092" t="s">
        <v>14673</v>
      </c>
      <c r="BM1092" t="s">
        <v>15650</v>
      </c>
    </row>
    <row r="1093" spans="1:65">
      <c r="A1093" s="1">
        <f>HYPERLINK("https://lsnyc.legalserver.org/matter/dynamic-profile/view/1896502","19-1896502")</f>
        <v>0</v>
      </c>
      <c r="B1093" t="s">
        <v>117</v>
      </c>
      <c r="C1093" t="s">
        <v>248</v>
      </c>
      <c r="D1093" t="s">
        <v>427</v>
      </c>
      <c r="F1093" t="s">
        <v>1672</v>
      </c>
      <c r="G1093" t="s">
        <v>3437</v>
      </c>
      <c r="H1093" t="s">
        <v>5222</v>
      </c>
      <c r="I1093">
        <v>7</v>
      </c>
      <c r="J1093" t="s">
        <v>7186</v>
      </c>
      <c r="K1093">
        <v>11233</v>
      </c>
      <c r="N1093" t="s">
        <v>7237</v>
      </c>
      <c r="O1093" t="s">
        <v>7277</v>
      </c>
      <c r="P1093">
        <v>1</v>
      </c>
      <c r="Q1093">
        <v>0</v>
      </c>
      <c r="R1093">
        <v>74.36</v>
      </c>
      <c r="U1093">
        <v>9288</v>
      </c>
      <c r="W1093">
        <v>105.95</v>
      </c>
      <c r="X1093" t="s">
        <v>528</v>
      </c>
      <c r="Y1093" t="s">
        <v>144</v>
      </c>
      <c r="AA1093" t="s">
        <v>10974</v>
      </c>
      <c r="AB1093" t="s">
        <v>664</v>
      </c>
      <c r="AD1093" t="s">
        <v>11101</v>
      </c>
      <c r="AF1093" t="s">
        <v>11118</v>
      </c>
      <c r="AH1093" t="s">
        <v>10975</v>
      </c>
      <c r="AI1093" t="s">
        <v>11126</v>
      </c>
      <c r="AK1093" t="s">
        <v>7225</v>
      </c>
      <c r="AM1093">
        <v>859</v>
      </c>
      <c r="AO1093">
        <v>12</v>
      </c>
      <c r="AQ1093" t="s">
        <v>11157</v>
      </c>
      <c r="AS1093" t="s">
        <v>11174</v>
      </c>
      <c r="AT1093" t="s">
        <v>11184</v>
      </c>
      <c r="AU1093">
        <v>0</v>
      </c>
      <c r="AW1093" t="s">
        <v>11187</v>
      </c>
      <c r="AY1093" t="s">
        <v>11215</v>
      </c>
      <c r="AZ1093" t="s">
        <v>11221</v>
      </c>
      <c r="BE1093" t="s">
        <v>12339</v>
      </c>
      <c r="BF1093" t="s">
        <v>14364</v>
      </c>
      <c r="BG1093" t="s">
        <v>14674</v>
      </c>
      <c r="BM1093" t="s">
        <v>15650</v>
      </c>
    </row>
    <row r="1094" spans="1:65">
      <c r="A1094" s="1">
        <f>HYPERLINK("https://lsnyc.legalserver.org/matter/dynamic-profile/view/1876812","18-1876812")</f>
        <v>0</v>
      </c>
      <c r="B1094" t="s">
        <v>117</v>
      </c>
      <c r="C1094" t="s">
        <v>248</v>
      </c>
      <c r="D1094" t="s">
        <v>656</v>
      </c>
      <c r="F1094" t="s">
        <v>1673</v>
      </c>
      <c r="G1094" t="s">
        <v>3242</v>
      </c>
      <c r="H1094" t="s">
        <v>5064</v>
      </c>
      <c r="I1094" t="s">
        <v>6468</v>
      </c>
      <c r="J1094" t="s">
        <v>7174</v>
      </c>
      <c r="K1094">
        <v>11216</v>
      </c>
      <c r="N1094" t="s">
        <v>7237</v>
      </c>
      <c r="O1094" t="s">
        <v>8017</v>
      </c>
      <c r="P1094">
        <v>2</v>
      </c>
      <c r="Q1094">
        <v>2</v>
      </c>
      <c r="R1094">
        <v>378.49</v>
      </c>
      <c r="S1094" t="s">
        <v>372</v>
      </c>
      <c r="T1094" t="s">
        <v>10276</v>
      </c>
      <c r="U1094">
        <v>95000</v>
      </c>
      <c r="V1094" t="s">
        <v>10330</v>
      </c>
      <c r="W1094">
        <v>0</v>
      </c>
      <c r="Y1094" t="s">
        <v>225</v>
      </c>
      <c r="AA1094" t="s">
        <v>10974</v>
      </c>
      <c r="AB1094" t="s">
        <v>518</v>
      </c>
      <c r="AD1094" t="s">
        <v>11086</v>
      </c>
      <c r="AF1094" t="s">
        <v>10384</v>
      </c>
      <c r="AH1094" t="s">
        <v>10974</v>
      </c>
      <c r="AJ1094" t="s">
        <v>11134</v>
      </c>
      <c r="AK1094" t="s">
        <v>7225</v>
      </c>
      <c r="AM1094">
        <v>2350</v>
      </c>
      <c r="AO1094">
        <v>82</v>
      </c>
      <c r="AQ1094" t="s">
        <v>11157</v>
      </c>
      <c r="AS1094" t="s">
        <v>11173</v>
      </c>
      <c r="AU1094">
        <v>4</v>
      </c>
      <c r="AW1094" t="s">
        <v>11187</v>
      </c>
      <c r="AZ1094" t="s">
        <v>11221</v>
      </c>
      <c r="BE1094" t="s">
        <v>12340</v>
      </c>
      <c r="BF1094" t="s">
        <v>14364</v>
      </c>
      <c r="BG1094" t="s">
        <v>11086</v>
      </c>
      <c r="BM1094" t="s">
        <v>15650</v>
      </c>
    </row>
    <row r="1095" spans="1:65">
      <c r="A1095" s="1">
        <f>HYPERLINK("https://lsnyc.legalserver.org/matter/dynamic-profile/view/1878057","18-1878057")</f>
        <v>0</v>
      </c>
      <c r="B1095" t="s">
        <v>117</v>
      </c>
      <c r="C1095" t="s">
        <v>248</v>
      </c>
      <c r="D1095" t="s">
        <v>279</v>
      </c>
      <c r="F1095" t="s">
        <v>1459</v>
      </c>
      <c r="G1095" t="s">
        <v>3438</v>
      </c>
      <c r="H1095" t="s">
        <v>5064</v>
      </c>
      <c r="I1095" t="s">
        <v>6411</v>
      </c>
      <c r="J1095" t="s">
        <v>7174</v>
      </c>
      <c r="K1095">
        <v>11216</v>
      </c>
      <c r="N1095" t="s">
        <v>7237</v>
      </c>
      <c r="O1095" t="s">
        <v>8018</v>
      </c>
      <c r="P1095">
        <v>1</v>
      </c>
      <c r="Q1095">
        <v>0</v>
      </c>
      <c r="R1095">
        <v>428.34</v>
      </c>
      <c r="S1095" t="s">
        <v>372</v>
      </c>
      <c r="T1095" t="s">
        <v>10276</v>
      </c>
      <c r="U1095">
        <v>52000</v>
      </c>
      <c r="V1095" t="s">
        <v>10334</v>
      </c>
      <c r="W1095">
        <v>0</v>
      </c>
      <c r="Y1095" t="s">
        <v>225</v>
      </c>
      <c r="AA1095" t="s">
        <v>10974</v>
      </c>
      <c r="AB1095" t="s">
        <v>754</v>
      </c>
      <c r="AD1095" t="s">
        <v>11100</v>
      </c>
      <c r="AF1095" t="s">
        <v>10384</v>
      </c>
      <c r="AG1095" t="s">
        <v>11124</v>
      </c>
      <c r="AJ1095" t="s">
        <v>11134</v>
      </c>
      <c r="AK1095" t="s">
        <v>7225</v>
      </c>
      <c r="AM1095">
        <v>1088</v>
      </c>
      <c r="AO1095">
        <v>82</v>
      </c>
      <c r="AQ1095" t="s">
        <v>11157</v>
      </c>
      <c r="AS1095" t="s">
        <v>11173</v>
      </c>
      <c r="AT1095" t="s">
        <v>11184</v>
      </c>
      <c r="AU1095">
        <v>0</v>
      </c>
      <c r="AW1095" t="s">
        <v>11187</v>
      </c>
      <c r="AZ1095" t="s">
        <v>11221</v>
      </c>
      <c r="BD1095" t="s">
        <v>11667</v>
      </c>
      <c r="BF1095" t="s">
        <v>14364</v>
      </c>
      <c r="BG1095" t="s">
        <v>11086</v>
      </c>
      <c r="BM1095" t="s">
        <v>15650</v>
      </c>
    </row>
    <row r="1096" spans="1:65">
      <c r="A1096" s="1">
        <f>HYPERLINK("https://lsnyc.legalserver.org/matter/dynamic-profile/view/1889424","19-1889424")</f>
        <v>0</v>
      </c>
      <c r="B1096" t="s">
        <v>117</v>
      </c>
      <c r="C1096" t="s">
        <v>248</v>
      </c>
      <c r="D1096" t="s">
        <v>480</v>
      </c>
      <c r="F1096" t="s">
        <v>1674</v>
      </c>
      <c r="G1096" t="s">
        <v>3439</v>
      </c>
      <c r="H1096" t="s">
        <v>5223</v>
      </c>
      <c r="I1096" t="s">
        <v>6495</v>
      </c>
      <c r="J1096" t="s">
        <v>7174</v>
      </c>
      <c r="K1096">
        <v>11208</v>
      </c>
      <c r="N1096" t="s">
        <v>7237</v>
      </c>
      <c r="O1096" t="s">
        <v>8019</v>
      </c>
      <c r="P1096">
        <v>2</v>
      </c>
      <c r="Q1096">
        <v>3</v>
      </c>
      <c r="R1096">
        <v>64.43000000000001</v>
      </c>
      <c r="U1096">
        <v>19440</v>
      </c>
      <c r="V1096" t="s">
        <v>10369</v>
      </c>
      <c r="W1096">
        <v>8.6</v>
      </c>
      <c r="X1096" t="s">
        <v>362</v>
      </c>
      <c r="Y1096" t="s">
        <v>225</v>
      </c>
      <c r="AA1096" t="s">
        <v>10974</v>
      </c>
      <c r="AB1096" t="s">
        <v>721</v>
      </c>
      <c r="AD1096" t="s">
        <v>11098</v>
      </c>
      <c r="AF1096" t="s">
        <v>11122</v>
      </c>
      <c r="AH1096" t="s">
        <v>10975</v>
      </c>
      <c r="AJ1096" t="s">
        <v>11129</v>
      </c>
      <c r="AK1096" t="s">
        <v>7225</v>
      </c>
      <c r="AM1096">
        <v>1350</v>
      </c>
      <c r="AO1096">
        <v>15</v>
      </c>
      <c r="AQ1096" t="s">
        <v>11157</v>
      </c>
      <c r="AS1096" t="s">
        <v>11173</v>
      </c>
      <c r="AU1096">
        <v>2</v>
      </c>
      <c r="AW1096" t="s">
        <v>11187</v>
      </c>
      <c r="AY1096" t="s">
        <v>11213</v>
      </c>
      <c r="BA1096" t="s">
        <v>11222</v>
      </c>
      <c r="BE1096" t="s">
        <v>12341</v>
      </c>
      <c r="BF1096" t="s">
        <v>14364</v>
      </c>
      <c r="BG1096" t="s">
        <v>11086</v>
      </c>
      <c r="BM1096" t="s">
        <v>15650</v>
      </c>
    </row>
    <row r="1097" spans="1:65">
      <c r="A1097" s="1">
        <f>HYPERLINK("https://lsnyc.legalserver.org/matter/dynamic-profile/view/1876828","18-1876828")</f>
        <v>0</v>
      </c>
      <c r="B1097" t="s">
        <v>117</v>
      </c>
      <c r="C1097" t="s">
        <v>248</v>
      </c>
      <c r="D1097" t="s">
        <v>656</v>
      </c>
      <c r="F1097" t="s">
        <v>1667</v>
      </c>
      <c r="G1097" t="s">
        <v>3432</v>
      </c>
      <c r="H1097" t="s">
        <v>5064</v>
      </c>
      <c r="I1097" t="s">
        <v>6477</v>
      </c>
      <c r="J1097" t="s">
        <v>7174</v>
      </c>
      <c r="K1097">
        <v>11216</v>
      </c>
      <c r="N1097" t="s">
        <v>7237</v>
      </c>
      <c r="O1097" t="s">
        <v>8012</v>
      </c>
      <c r="P1097">
        <v>1</v>
      </c>
      <c r="Q1097">
        <v>0</v>
      </c>
      <c r="R1097">
        <v>838.59</v>
      </c>
      <c r="U1097">
        <v>101805</v>
      </c>
      <c r="V1097" t="s">
        <v>10330</v>
      </c>
      <c r="W1097">
        <v>0</v>
      </c>
      <c r="Y1097" t="s">
        <v>225</v>
      </c>
      <c r="AA1097" t="s">
        <v>10974</v>
      </c>
      <c r="AB1097" t="s">
        <v>518</v>
      </c>
      <c r="AD1097" t="s">
        <v>11086</v>
      </c>
      <c r="AF1097" t="s">
        <v>10384</v>
      </c>
      <c r="AH1097" t="s">
        <v>10974</v>
      </c>
      <c r="AJ1097" t="s">
        <v>11134</v>
      </c>
      <c r="AK1097" t="s">
        <v>7225</v>
      </c>
      <c r="AM1097">
        <v>1400</v>
      </c>
      <c r="AO1097">
        <v>82</v>
      </c>
      <c r="AQ1097" t="s">
        <v>11157</v>
      </c>
      <c r="AS1097" t="s">
        <v>11173</v>
      </c>
      <c r="AU1097">
        <v>2</v>
      </c>
      <c r="AW1097" t="s">
        <v>11187</v>
      </c>
      <c r="AZ1097" t="s">
        <v>11221</v>
      </c>
      <c r="BE1097" t="s">
        <v>12336</v>
      </c>
      <c r="BF1097" t="s">
        <v>14364</v>
      </c>
      <c r="BG1097" t="s">
        <v>11086</v>
      </c>
      <c r="BM1097" t="s">
        <v>15650</v>
      </c>
    </row>
    <row r="1098" spans="1:65">
      <c r="A1098" s="1">
        <f>HYPERLINK("https://lsnyc.legalserver.org/matter/dynamic-profile/view/1878058","18-1878058")</f>
        <v>0</v>
      </c>
      <c r="B1098" t="s">
        <v>117</v>
      </c>
      <c r="C1098" t="s">
        <v>248</v>
      </c>
      <c r="D1098" t="s">
        <v>279</v>
      </c>
      <c r="F1098" t="s">
        <v>1459</v>
      </c>
      <c r="G1098" t="s">
        <v>3438</v>
      </c>
      <c r="H1098" t="s">
        <v>5064</v>
      </c>
      <c r="I1098" t="s">
        <v>6411</v>
      </c>
      <c r="J1098" t="s">
        <v>7174</v>
      </c>
      <c r="K1098">
        <v>11216</v>
      </c>
      <c r="N1098" t="s">
        <v>7237</v>
      </c>
      <c r="O1098" t="s">
        <v>8018</v>
      </c>
      <c r="P1098">
        <v>1</v>
      </c>
      <c r="Q1098">
        <v>0</v>
      </c>
      <c r="R1098">
        <v>428.34</v>
      </c>
      <c r="S1098" t="s">
        <v>372</v>
      </c>
      <c r="T1098" t="s">
        <v>10276</v>
      </c>
      <c r="U1098">
        <v>52000</v>
      </c>
      <c r="V1098" t="s">
        <v>10334</v>
      </c>
      <c r="W1098">
        <v>0</v>
      </c>
      <c r="Y1098" t="s">
        <v>225</v>
      </c>
      <c r="AA1098" t="s">
        <v>10974</v>
      </c>
      <c r="AB1098" t="s">
        <v>754</v>
      </c>
      <c r="AD1098" t="s">
        <v>11085</v>
      </c>
      <c r="AF1098" t="s">
        <v>11118</v>
      </c>
      <c r="AH1098" t="s">
        <v>10974</v>
      </c>
      <c r="AJ1098" t="s">
        <v>11134</v>
      </c>
      <c r="AK1098" t="s">
        <v>7225</v>
      </c>
      <c r="AM1098">
        <v>1088</v>
      </c>
      <c r="AO1098">
        <v>82</v>
      </c>
      <c r="AQ1098" t="s">
        <v>11157</v>
      </c>
      <c r="AS1098" t="s">
        <v>11173</v>
      </c>
      <c r="AT1098" t="s">
        <v>11184</v>
      </c>
      <c r="AU1098">
        <v>0</v>
      </c>
      <c r="AW1098" t="s">
        <v>11187</v>
      </c>
      <c r="AZ1098" t="s">
        <v>11221</v>
      </c>
      <c r="BD1098" t="s">
        <v>11667</v>
      </c>
      <c r="BG1098" t="s">
        <v>14675</v>
      </c>
      <c r="BM1098" t="s">
        <v>15650</v>
      </c>
    </row>
    <row r="1099" spans="1:65">
      <c r="A1099" s="1">
        <f>HYPERLINK("https://lsnyc.legalserver.org/matter/dynamic-profile/view/1878074","18-1878074")</f>
        <v>0</v>
      </c>
      <c r="B1099" t="s">
        <v>117</v>
      </c>
      <c r="C1099" t="s">
        <v>248</v>
      </c>
      <c r="D1099" t="s">
        <v>279</v>
      </c>
      <c r="F1099" t="s">
        <v>1675</v>
      </c>
      <c r="G1099" t="s">
        <v>3440</v>
      </c>
      <c r="H1099" t="s">
        <v>5064</v>
      </c>
      <c r="I1099" t="s">
        <v>6520</v>
      </c>
      <c r="J1099" t="s">
        <v>7174</v>
      </c>
      <c r="K1099">
        <v>11216</v>
      </c>
      <c r="N1099" t="s">
        <v>7237</v>
      </c>
      <c r="O1099" t="s">
        <v>8020</v>
      </c>
      <c r="P1099">
        <v>2</v>
      </c>
      <c r="Q1099">
        <v>0</v>
      </c>
      <c r="R1099">
        <v>607.53</v>
      </c>
      <c r="U1099">
        <v>100000</v>
      </c>
      <c r="V1099" t="s">
        <v>10334</v>
      </c>
      <c r="W1099">
        <v>0</v>
      </c>
      <c r="Y1099" t="s">
        <v>225</v>
      </c>
      <c r="AA1099" t="s">
        <v>10974</v>
      </c>
      <c r="AB1099" t="s">
        <v>518</v>
      </c>
      <c r="AD1099" t="s">
        <v>11086</v>
      </c>
      <c r="AF1099" t="s">
        <v>10384</v>
      </c>
      <c r="AH1099" t="s">
        <v>10974</v>
      </c>
      <c r="AJ1099" t="s">
        <v>11134</v>
      </c>
      <c r="AK1099" t="s">
        <v>7225</v>
      </c>
      <c r="AM1099">
        <v>2300</v>
      </c>
      <c r="AO1099">
        <v>82</v>
      </c>
      <c r="AQ1099" t="s">
        <v>11157</v>
      </c>
      <c r="AS1099" t="s">
        <v>11173</v>
      </c>
      <c r="AU1099">
        <v>3</v>
      </c>
      <c r="AW1099" t="s">
        <v>11187</v>
      </c>
      <c r="AZ1099" t="s">
        <v>11221</v>
      </c>
      <c r="BE1099" t="s">
        <v>12342</v>
      </c>
      <c r="BF1099" t="s">
        <v>14364</v>
      </c>
      <c r="BG1099" t="s">
        <v>11086</v>
      </c>
      <c r="BM1099" t="s">
        <v>15650</v>
      </c>
    </row>
    <row r="1100" spans="1:65">
      <c r="A1100" s="1">
        <f>HYPERLINK("https://lsnyc.legalserver.org/matter/dynamic-profile/view/1902101","19-1902101")</f>
        <v>0</v>
      </c>
      <c r="B1100" t="s">
        <v>117</v>
      </c>
      <c r="C1100" t="s">
        <v>248</v>
      </c>
      <c r="D1100" t="s">
        <v>590</v>
      </c>
      <c r="F1100" t="s">
        <v>1676</v>
      </c>
      <c r="G1100" t="s">
        <v>3441</v>
      </c>
      <c r="H1100" t="s">
        <v>5064</v>
      </c>
      <c r="I1100" t="s">
        <v>6479</v>
      </c>
      <c r="J1100" t="s">
        <v>7174</v>
      </c>
      <c r="K1100">
        <v>11216</v>
      </c>
      <c r="N1100" t="s">
        <v>7237</v>
      </c>
      <c r="O1100" t="s">
        <v>8021</v>
      </c>
      <c r="P1100">
        <v>1</v>
      </c>
      <c r="Q1100">
        <v>0</v>
      </c>
      <c r="R1100">
        <v>426.31</v>
      </c>
      <c r="U1100">
        <v>53246.66</v>
      </c>
      <c r="V1100" t="s">
        <v>10370</v>
      </c>
      <c r="W1100">
        <v>1</v>
      </c>
      <c r="X1100" t="s">
        <v>345</v>
      </c>
      <c r="Y1100" t="s">
        <v>225</v>
      </c>
      <c r="AA1100" t="s">
        <v>10974</v>
      </c>
      <c r="AB1100" t="s">
        <v>590</v>
      </c>
      <c r="AD1100" t="s">
        <v>11085</v>
      </c>
      <c r="AF1100" t="s">
        <v>11118</v>
      </c>
      <c r="AH1100" t="s">
        <v>10974</v>
      </c>
      <c r="AJ1100" t="s">
        <v>11134</v>
      </c>
      <c r="AK1100" t="s">
        <v>7225</v>
      </c>
      <c r="AL1100" t="s">
        <v>11150</v>
      </c>
      <c r="AM1100">
        <v>0</v>
      </c>
      <c r="AO1100">
        <v>82</v>
      </c>
      <c r="AQ1100" t="s">
        <v>11157</v>
      </c>
      <c r="AS1100" t="s">
        <v>11173</v>
      </c>
      <c r="AT1100" t="s">
        <v>11184</v>
      </c>
      <c r="AU1100">
        <v>0</v>
      </c>
      <c r="AW1100" t="s">
        <v>11187</v>
      </c>
      <c r="AY1100" t="s">
        <v>11213</v>
      </c>
      <c r="BA1100" t="s">
        <v>11222</v>
      </c>
      <c r="BC1100" t="s">
        <v>11173</v>
      </c>
      <c r="BE1100" t="s">
        <v>12343</v>
      </c>
      <c r="BF1100" t="s">
        <v>14364</v>
      </c>
      <c r="BG1100" t="s">
        <v>14676</v>
      </c>
      <c r="BM1100" t="s">
        <v>15650</v>
      </c>
    </row>
    <row r="1101" spans="1:65">
      <c r="A1101" s="1">
        <f>HYPERLINK("https://lsnyc.legalserver.org/matter/dynamic-profile/view/1901391","19-1901391")</f>
        <v>0</v>
      </c>
      <c r="B1101" t="s">
        <v>117</v>
      </c>
      <c r="C1101" t="s">
        <v>248</v>
      </c>
      <c r="D1101" t="s">
        <v>589</v>
      </c>
      <c r="F1101" t="s">
        <v>1677</v>
      </c>
      <c r="G1101" t="s">
        <v>3442</v>
      </c>
      <c r="H1101" t="s">
        <v>5224</v>
      </c>
      <c r="I1101" t="s">
        <v>6413</v>
      </c>
      <c r="J1101" t="s">
        <v>7174</v>
      </c>
      <c r="K1101">
        <v>11212</v>
      </c>
      <c r="N1101" t="s">
        <v>7237</v>
      </c>
      <c r="O1101" t="s">
        <v>8022</v>
      </c>
      <c r="P1101">
        <v>1</v>
      </c>
      <c r="Q1101">
        <v>0</v>
      </c>
      <c r="R1101">
        <v>88.29000000000001</v>
      </c>
      <c r="U1101">
        <v>11028</v>
      </c>
      <c r="V1101" t="s">
        <v>10371</v>
      </c>
      <c r="W1101">
        <v>11.9</v>
      </c>
      <c r="X1101" t="s">
        <v>264</v>
      </c>
      <c r="Y1101" t="s">
        <v>225</v>
      </c>
      <c r="AA1101" t="s">
        <v>10974</v>
      </c>
      <c r="AB1101" t="s">
        <v>589</v>
      </c>
      <c r="AD1101" t="s">
        <v>11082</v>
      </c>
      <c r="AF1101" t="s">
        <v>11118</v>
      </c>
      <c r="AH1101" t="s">
        <v>10975</v>
      </c>
      <c r="AJ1101" t="s">
        <v>11134</v>
      </c>
      <c r="AK1101" t="s">
        <v>7225</v>
      </c>
      <c r="AL1101" t="s">
        <v>11150</v>
      </c>
      <c r="AM1101">
        <v>0</v>
      </c>
      <c r="AO1101">
        <v>23</v>
      </c>
      <c r="AQ1101" t="s">
        <v>11157</v>
      </c>
      <c r="AS1101" t="s">
        <v>11173</v>
      </c>
      <c r="AT1101" t="s">
        <v>11184</v>
      </c>
      <c r="AU1101">
        <v>0</v>
      </c>
      <c r="AW1101" t="s">
        <v>11187</v>
      </c>
      <c r="AY1101" t="s">
        <v>11213</v>
      </c>
      <c r="BA1101" t="s">
        <v>11222</v>
      </c>
      <c r="BE1101" t="s">
        <v>12344</v>
      </c>
      <c r="BG1101" t="s">
        <v>14677</v>
      </c>
      <c r="BM1101" t="s">
        <v>15650</v>
      </c>
    </row>
    <row r="1102" spans="1:65">
      <c r="A1102" s="1">
        <f>HYPERLINK("https://lsnyc.legalserver.org/matter/dynamic-profile/view/1878081","18-1878081")</f>
        <v>0</v>
      </c>
      <c r="B1102" t="s">
        <v>117</v>
      </c>
      <c r="C1102" t="s">
        <v>248</v>
      </c>
      <c r="D1102" t="s">
        <v>279</v>
      </c>
      <c r="F1102" t="s">
        <v>1675</v>
      </c>
      <c r="G1102" t="s">
        <v>3440</v>
      </c>
      <c r="H1102" t="s">
        <v>5064</v>
      </c>
      <c r="I1102" t="s">
        <v>6520</v>
      </c>
      <c r="J1102" t="s">
        <v>7174</v>
      </c>
      <c r="K1102">
        <v>11216</v>
      </c>
      <c r="N1102" t="s">
        <v>7237</v>
      </c>
      <c r="O1102" t="s">
        <v>8020</v>
      </c>
      <c r="P1102">
        <v>2</v>
      </c>
      <c r="Q1102">
        <v>0</v>
      </c>
      <c r="R1102">
        <v>607.53</v>
      </c>
      <c r="U1102">
        <v>100000</v>
      </c>
      <c r="V1102" t="s">
        <v>10352</v>
      </c>
      <c r="W1102">
        <v>0</v>
      </c>
      <c r="Y1102" t="s">
        <v>225</v>
      </c>
      <c r="AA1102" t="s">
        <v>10974</v>
      </c>
      <c r="AB1102" t="s">
        <v>794</v>
      </c>
      <c r="AD1102" t="s">
        <v>11085</v>
      </c>
      <c r="AF1102" t="s">
        <v>11118</v>
      </c>
      <c r="AH1102" t="s">
        <v>10974</v>
      </c>
      <c r="AJ1102" t="s">
        <v>11134</v>
      </c>
      <c r="AK1102" t="s">
        <v>7225</v>
      </c>
      <c r="AM1102">
        <v>2300</v>
      </c>
      <c r="AO1102">
        <v>82</v>
      </c>
      <c r="AQ1102" t="s">
        <v>11157</v>
      </c>
      <c r="AS1102" t="s">
        <v>11173</v>
      </c>
      <c r="AU1102">
        <v>3</v>
      </c>
      <c r="AW1102" t="s">
        <v>11187</v>
      </c>
      <c r="AZ1102" t="s">
        <v>11221</v>
      </c>
      <c r="BE1102" t="s">
        <v>12342</v>
      </c>
      <c r="BG1102" t="s">
        <v>14673</v>
      </c>
      <c r="BM1102" t="s">
        <v>15650</v>
      </c>
    </row>
    <row r="1103" spans="1:65">
      <c r="A1103" s="1">
        <f>HYPERLINK("https://lsnyc.legalserver.org/matter/dynamic-profile/view/1876797","18-1876797")</f>
        <v>0</v>
      </c>
      <c r="B1103" t="s">
        <v>117</v>
      </c>
      <c r="C1103" t="s">
        <v>248</v>
      </c>
      <c r="D1103" t="s">
        <v>656</v>
      </c>
      <c r="F1103" t="s">
        <v>1678</v>
      </c>
      <c r="G1103" t="s">
        <v>3443</v>
      </c>
      <c r="H1103" t="s">
        <v>5064</v>
      </c>
      <c r="I1103" t="s">
        <v>6416</v>
      </c>
      <c r="J1103" t="s">
        <v>7174</v>
      </c>
      <c r="K1103">
        <v>11216</v>
      </c>
      <c r="N1103" t="s">
        <v>7237</v>
      </c>
      <c r="O1103" t="s">
        <v>8023</v>
      </c>
      <c r="P1103">
        <v>1</v>
      </c>
      <c r="Q1103">
        <v>0</v>
      </c>
      <c r="R1103">
        <v>873.15</v>
      </c>
      <c r="U1103">
        <v>106000</v>
      </c>
      <c r="V1103" t="s">
        <v>10372</v>
      </c>
      <c r="W1103">
        <v>0</v>
      </c>
      <c r="Y1103" t="s">
        <v>225</v>
      </c>
      <c r="AA1103" t="s">
        <v>10974</v>
      </c>
      <c r="AB1103" t="s">
        <v>794</v>
      </c>
      <c r="AD1103" t="s">
        <v>11085</v>
      </c>
      <c r="AF1103" t="s">
        <v>11118</v>
      </c>
      <c r="AH1103" t="s">
        <v>10974</v>
      </c>
      <c r="AJ1103" t="s">
        <v>11134</v>
      </c>
      <c r="AK1103" t="s">
        <v>7225</v>
      </c>
      <c r="AM1103">
        <v>1450</v>
      </c>
      <c r="AN1103" t="s">
        <v>11151</v>
      </c>
      <c r="AO1103" t="s">
        <v>11153</v>
      </c>
      <c r="AQ1103" t="s">
        <v>11157</v>
      </c>
      <c r="AS1103" t="s">
        <v>11173</v>
      </c>
      <c r="AT1103" t="s">
        <v>11184</v>
      </c>
      <c r="AU1103">
        <v>0</v>
      </c>
      <c r="AW1103" t="s">
        <v>11205</v>
      </c>
      <c r="AZ1103" t="s">
        <v>11221</v>
      </c>
      <c r="BE1103" t="s">
        <v>12345</v>
      </c>
      <c r="BG1103" t="s">
        <v>14673</v>
      </c>
      <c r="BM1103" t="s">
        <v>15650</v>
      </c>
    </row>
    <row r="1104" spans="1:65">
      <c r="A1104" s="1">
        <f>HYPERLINK("https://lsnyc.legalserver.org/matter/dynamic-profile/view/1876793","18-1876793")</f>
        <v>0</v>
      </c>
      <c r="B1104" t="s">
        <v>117</v>
      </c>
      <c r="C1104" t="s">
        <v>248</v>
      </c>
      <c r="D1104" t="s">
        <v>656</v>
      </c>
      <c r="F1104" t="s">
        <v>1678</v>
      </c>
      <c r="G1104" t="s">
        <v>3443</v>
      </c>
      <c r="H1104" t="s">
        <v>5064</v>
      </c>
      <c r="I1104" t="s">
        <v>6416</v>
      </c>
      <c r="J1104" t="s">
        <v>7174</v>
      </c>
      <c r="K1104">
        <v>11216</v>
      </c>
      <c r="N1104" t="s">
        <v>7237</v>
      </c>
      <c r="O1104" t="s">
        <v>8023</v>
      </c>
      <c r="P1104">
        <v>1</v>
      </c>
      <c r="Q1104">
        <v>0</v>
      </c>
      <c r="R1104">
        <v>873.15</v>
      </c>
      <c r="U1104">
        <v>106000</v>
      </c>
      <c r="V1104" t="s">
        <v>10330</v>
      </c>
      <c r="W1104">
        <v>0</v>
      </c>
      <c r="Y1104" t="s">
        <v>225</v>
      </c>
      <c r="AA1104" t="s">
        <v>10974</v>
      </c>
      <c r="AB1104" t="s">
        <v>518</v>
      </c>
      <c r="AD1104" t="s">
        <v>11086</v>
      </c>
      <c r="AF1104" t="s">
        <v>10384</v>
      </c>
      <c r="AH1104" t="s">
        <v>10974</v>
      </c>
      <c r="AJ1104" t="s">
        <v>11134</v>
      </c>
      <c r="AK1104" t="s">
        <v>7225</v>
      </c>
      <c r="AM1104">
        <v>1450</v>
      </c>
      <c r="AO1104">
        <v>82</v>
      </c>
      <c r="AQ1104" t="s">
        <v>11157</v>
      </c>
      <c r="AS1104" t="s">
        <v>11173</v>
      </c>
      <c r="AT1104" t="s">
        <v>11184</v>
      </c>
      <c r="AU1104">
        <v>0</v>
      </c>
      <c r="AW1104" t="s">
        <v>11205</v>
      </c>
      <c r="AZ1104" t="s">
        <v>11221</v>
      </c>
      <c r="BE1104" t="s">
        <v>12345</v>
      </c>
      <c r="BF1104" t="s">
        <v>14364</v>
      </c>
      <c r="BG1104" t="s">
        <v>11086</v>
      </c>
      <c r="BM1104" t="s">
        <v>15650</v>
      </c>
    </row>
    <row r="1105" spans="1:65">
      <c r="A1105" s="1">
        <f>HYPERLINK("https://lsnyc.legalserver.org/matter/dynamic-profile/view/1871979","18-1871979")</f>
        <v>0</v>
      </c>
      <c r="B1105" t="s">
        <v>117</v>
      </c>
      <c r="C1105" t="s">
        <v>248</v>
      </c>
      <c r="D1105" t="s">
        <v>657</v>
      </c>
      <c r="F1105" t="s">
        <v>1679</v>
      </c>
      <c r="G1105" t="s">
        <v>2814</v>
      </c>
      <c r="H1105" t="s">
        <v>5225</v>
      </c>
      <c r="I1105" t="s">
        <v>6424</v>
      </c>
      <c r="J1105" t="s">
        <v>7174</v>
      </c>
      <c r="K1105">
        <v>11233</v>
      </c>
      <c r="N1105" t="s">
        <v>7237</v>
      </c>
      <c r="O1105" t="s">
        <v>8024</v>
      </c>
      <c r="P1105">
        <v>1</v>
      </c>
      <c r="Q1105">
        <v>0</v>
      </c>
      <c r="R1105">
        <v>41.19</v>
      </c>
      <c r="U1105">
        <v>5000</v>
      </c>
      <c r="W1105">
        <v>64</v>
      </c>
      <c r="X1105" t="s">
        <v>548</v>
      </c>
      <c r="Y1105" t="s">
        <v>117</v>
      </c>
      <c r="AA1105" t="s">
        <v>10974</v>
      </c>
      <c r="AB1105" t="s">
        <v>657</v>
      </c>
      <c r="AD1105" t="s">
        <v>11083</v>
      </c>
      <c r="AF1105" t="s">
        <v>11118</v>
      </c>
      <c r="AH1105" t="s">
        <v>10975</v>
      </c>
      <c r="AJ1105" t="s">
        <v>11129</v>
      </c>
      <c r="AK1105" t="s">
        <v>7225</v>
      </c>
      <c r="AM1105">
        <v>650.39</v>
      </c>
      <c r="AO1105">
        <v>23</v>
      </c>
      <c r="AQ1105" t="s">
        <v>11157</v>
      </c>
      <c r="AS1105" t="s">
        <v>11181</v>
      </c>
      <c r="AU1105">
        <v>4</v>
      </c>
      <c r="AW1105" t="s">
        <v>11187</v>
      </c>
      <c r="AY1105" t="s">
        <v>11213</v>
      </c>
      <c r="AZ1105" t="s">
        <v>11221</v>
      </c>
      <c r="BC1105" t="s">
        <v>11337</v>
      </c>
      <c r="BE1105" t="s">
        <v>12346</v>
      </c>
      <c r="BG1105" t="s">
        <v>14678</v>
      </c>
      <c r="BM1105" t="s">
        <v>15650</v>
      </c>
    </row>
    <row r="1106" spans="1:65">
      <c r="A1106" s="1">
        <f>HYPERLINK("https://lsnyc.legalserver.org/matter/dynamic-profile/view/1876947","18-1876947")</f>
        <v>0</v>
      </c>
      <c r="B1106" t="s">
        <v>117</v>
      </c>
      <c r="C1106" t="s">
        <v>248</v>
      </c>
      <c r="D1106" t="s">
        <v>658</v>
      </c>
      <c r="F1106" t="s">
        <v>1680</v>
      </c>
      <c r="G1106" t="s">
        <v>3444</v>
      </c>
      <c r="H1106" t="s">
        <v>5064</v>
      </c>
      <c r="I1106" t="s">
        <v>6419</v>
      </c>
      <c r="J1106" t="s">
        <v>7174</v>
      </c>
      <c r="K1106">
        <v>11216</v>
      </c>
      <c r="N1106" t="s">
        <v>7237</v>
      </c>
      <c r="O1106" t="s">
        <v>8025</v>
      </c>
      <c r="P1106">
        <v>1</v>
      </c>
      <c r="Q1106">
        <v>0</v>
      </c>
      <c r="R1106">
        <v>1087.31</v>
      </c>
      <c r="U1106">
        <v>132000</v>
      </c>
      <c r="V1106" t="s">
        <v>10373</v>
      </c>
      <c r="W1106">
        <v>0.5</v>
      </c>
      <c r="X1106" t="s">
        <v>1017</v>
      </c>
      <c r="Y1106" t="s">
        <v>225</v>
      </c>
      <c r="AA1106" t="s">
        <v>10974</v>
      </c>
      <c r="AB1106" t="s">
        <v>1022</v>
      </c>
      <c r="AD1106" t="s">
        <v>11085</v>
      </c>
      <c r="AF1106" t="s">
        <v>11118</v>
      </c>
      <c r="AH1106" t="s">
        <v>10974</v>
      </c>
      <c r="AJ1106" t="s">
        <v>11134</v>
      </c>
      <c r="AK1106" t="s">
        <v>7225</v>
      </c>
      <c r="AM1106">
        <v>2450</v>
      </c>
      <c r="AO1106">
        <v>82</v>
      </c>
      <c r="AQ1106" t="s">
        <v>11157</v>
      </c>
      <c r="AS1106" t="s">
        <v>11173</v>
      </c>
      <c r="AU1106">
        <v>3</v>
      </c>
      <c r="AW1106" t="s">
        <v>11187</v>
      </c>
      <c r="AZ1106" t="s">
        <v>11221</v>
      </c>
      <c r="BE1106" t="s">
        <v>12347</v>
      </c>
      <c r="BG1106" t="s">
        <v>14673</v>
      </c>
      <c r="BM1106" t="s">
        <v>15650</v>
      </c>
    </row>
    <row r="1107" spans="1:65">
      <c r="A1107" s="1">
        <f>HYPERLINK("https://lsnyc.legalserver.org/matter/dynamic-profile/view/1898336","19-1898336")</f>
        <v>0</v>
      </c>
      <c r="B1107" t="s">
        <v>117</v>
      </c>
      <c r="C1107" t="s">
        <v>248</v>
      </c>
      <c r="D1107" t="s">
        <v>591</v>
      </c>
      <c r="F1107" t="s">
        <v>1312</v>
      </c>
      <c r="G1107" t="s">
        <v>3445</v>
      </c>
      <c r="H1107" t="s">
        <v>5064</v>
      </c>
      <c r="I1107" t="s">
        <v>6433</v>
      </c>
      <c r="J1107" t="s">
        <v>7174</v>
      </c>
      <c r="K1107">
        <v>11216</v>
      </c>
      <c r="N1107" t="s">
        <v>7237</v>
      </c>
      <c r="O1107" t="s">
        <v>8026</v>
      </c>
      <c r="P1107">
        <v>2</v>
      </c>
      <c r="Q1107">
        <v>0</v>
      </c>
      <c r="R1107">
        <v>324.01</v>
      </c>
      <c r="U1107">
        <v>54790.06</v>
      </c>
      <c r="V1107" t="s">
        <v>10374</v>
      </c>
      <c r="W1107">
        <v>0</v>
      </c>
      <c r="Y1107" t="s">
        <v>225</v>
      </c>
      <c r="AA1107" t="s">
        <v>10974</v>
      </c>
      <c r="AB1107" t="s">
        <v>591</v>
      </c>
      <c r="AD1107" t="s">
        <v>11100</v>
      </c>
      <c r="AF1107" t="s">
        <v>10384</v>
      </c>
      <c r="AH1107" t="s">
        <v>10974</v>
      </c>
      <c r="AJ1107" t="s">
        <v>11134</v>
      </c>
      <c r="AK1107" t="s">
        <v>7225</v>
      </c>
      <c r="AM1107">
        <v>2075</v>
      </c>
      <c r="AO1107">
        <v>82</v>
      </c>
      <c r="AQ1107" t="s">
        <v>11157</v>
      </c>
      <c r="AS1107" t="s">
        <v>11173</v>
      </c>
      <c r="AU1107">
        <v>2</v>
      </c>
      <c r="AW1107" t="s">
        <v>11187</v>
      </c>
      <c r="AY1107" t="s">
        <v>11213</v>
      </c>
      <c r="AZ1107" t="s">
        <v>11221</v>
      </c>
      <c r="BE1107" t="s">
        <v>12348</v>
      </c>
      <c r="BF1107" t="s">
        <v>14364</v>
      </c>
      <c r="BM1107" t="s">
        <v>15650</v>
      </c>
    </row>
    <row r="1108" spans="1:65">
      <c r="A1108" s="1">
        <f>HYPERLINK("https://lsnyc.legalserver.org/matter/dynamic-profile/view/1876941","18-1876941")</f>
        <v>0</v>
      </c>
      <c r="B1108" t="s">
        <v>117</v>
      </c>
      <c r="C1108" t="s">
        <v>248</v>
      </c>
      <c r="D1108" t="s">
        <v>658</v>
      </c>
      <c r="F1108" t="s">
        <v>1680</v>
      </c>
      <c r="G1108" t="s">
        <v>3444</v>
      </c>
      <c r="H1108" t="s">
        <v>5064</v>
      </c>
      <c r="I1108" t="s">
        <v>6419</v>
      </c>
      <c r="J1108" t="s">
        <v>7174</v>
      </c>
      <c r="K1108">
        <v>11216</v>
      </c>
      <c r="N1108" t="s">
        <v>7237</v>
      </c>
      <c r="O1108" t="s">
        <v>8025</v>
      </c>
      <c r="P1108">
        <v>1</v>
      </c>
      <c r="Q1108">
        <v>0</v>
      </c>
      <c r="R1108">
        <v>1087.31</v>
      </c>
      <c r="U1108">
        <v>132000</v>
      </c>
      <c r="V1108" t="s">
        <v>10330</v>
      </c>
      <c r="W1108">
        <v>0</v>
      </c>
      <c r="Y1108" t="s">
        <v>225</v>
      </c>
      <c r="AA1108" t="s">
        <v>10974</v>
      </c>
      <c r="AB1108" t="s">
        <v>844</v>
      </c>
      <c r="AD1108" t="s">
        <v>11086</v>
      </c>
      <c r="AF1108" t="s">
        <v>10384</v>
      </c>
      <c r="AH1108" t="s">
        <v>10974</v>
      </c>
      <c r="AJ1108" t="s">
        <v>11134</v>
      </c>
      <c r="AK1108" t="s">
        <v>7225</v>
      </c>
      <c r="AM1108">
        <v>2450</v>
      </c>
      <c r="AO1108">
        <v>82</v>
      </c>
      <c r="AQ1108" t="s">
        <v>11157</v>
      </c>
      <c r="AS1108" t="s">
        <v>11173</v>
      </c>
      <c r="AU1108">
        <v>3</v>
      </c>
      <c r="AW1108" t="s">
        <v>11187</v>
      </c>
      <c r="AZ1108" t="s">
        <v>11221</v>
      </c>
      <c r="BE1108" t="s">
        <v>12347</v>
      </c>
      <c r="BF1108" t="s">
        <v>14364</v>
      </c>
      <c r="BG1108" t="s">
        <v>11086</v>
      </c>
      <c r="BM1108" t="s">
        <v>15650</v>
      </c>
    </row>
    <row r="1109" spans="1:65">
      <c r="A1109" s="1">
        <f>HYPERLINK("https://lsnyc.legalserver.org/matter/dynamic-profile/view/1876539","18-1876539")</f>
        <v>0</v>
      </c>
      <c r="B1109" t="s">
        <v>117</v>
      </c>
      <c r="C1109" t="s">
        <v>248</v>
      </c>
      <c r="D1109" t="s">
        <v>527</v>
      </c>
      <c r="F1109" t="s">
        <v>1668</v>
      </c>
      <c r="G1109" t="s">
        <v>3433</v>
      </c>
      <c r="H1109" t="s">
        <v>5064</v>
      </c>
      <c r="I1109" t="s">
        <v>6499</v>
      </c>
      <c r="J1109" t="s">
        <v>7174</v>
      </c>
      <c r="K1109">
        <v>11216</v>
      </c>
      <c r="N1109" t="s">
        <v>7237</v>
      </c>
      <c r="O1109" t="s">
        <v>8013</v>
      </c>
      <c r="P1109">
        <v>2</v>
      </c>
      <c r="Q1109">
        <v>2</v>
      </c>
      <c r="R1109">
        <v>537.85</v>
      </c>
      <c r="S1109" t="s">
        <v>372</v>
      </c>
      <c r="T1109" t="s">
        <v>10276</v>
      </c>
      <c r="U1109">
        <v>135000</v>
      </c>
      <c r="V1109" t="s">
        <v>10334</v>
      </c>
      <c r="W1109">
        <v>0</v>
      </c>
      <c r="Y1109" t="s">
        <v>225</v>
      </c>
      <c r="AA1109" t="s">
        <v>10974</v>
      </c>
      <c r="AB1109" t="s">
        <v>11010</v>
      </c>
      <c r="AD1109" t="s">
        <v>11086</v>
      </c>
      <c r="AF1109" t="s">
        <v>10384</v>
      </c>
      <c r="AH1109" t="s">
        <v>10974</v>
      </c>
      <c r="AJ1109" t="s">
        <v>11134</v>
      </c>
      <c r="AK1109" t="s">
        <v>7225</v>
      </c>
      <c r="AM1109">
        <v>2300</v>
      </c>
      <c r="AO1109">
        <v>8</v>
      </c>
      <c r="AQ1109" t="s">
        <v>11157</v>
      </c>
      <c r="AS1109" t="s">
        <v>11173</v>
      </c>
      <c r="AU1109">
        <v>2</v>
      </c>
      <c r="AW1109" t="s">
        <v>11187</v>
      </c>
      <c r="AZ1109" t="s">
        <v>11221</v>
      </c>
      <c r="BE1109" t="s">
        <v>12337</v>
      </c>
      <c r="BF1109" t="s">
        <v>14364</v>
      </c>
      <c r="BG1109" t="s">
        <v>11086</v>
      </c>
      <c r="BM1109" t="s">
        <v>15650</v>
      </c>
    </row>
    <row r="1110" spans="1:65">
      <c r="A1110" s="1">
        <f>HYPERLINK("https://lsnyc.legalserver.org/matter/dynamic-profile/view/1903202","19-1903202")</f>
        <v>0</v>
      </c>
      <c r="B1110" t="s">
        <v>117</v>
      </c>
      <c r="C1110" t="s">
        <v>248</v>
      </c>
      <c r="D1110" t="s">
        <v>659</v>
      </c>
      <c r="F1110" t="s">
        <v>1681</v>
      </c>
      <c r="G1110" t="s">
        <v>3446</v>
      </c>
      <c r="H1110" t="s">
        <v>5064</v>
      </c>
      <c r="I1110" t="s">
        <v>6584</v>
      </c>
      <c r="J1110" t="s">
        <v>7174</v>
      </c>
      <c r="K1110">
        <v>11216</v>
      </c>
      <c r="N1110" t="s">
        <v>7237</v>
      </c>
      <c r="O1110" t="s">
        <v>8027</v>
      </c>
      <c r="P1110">
        <v>2</v>
      </c>
      <c r="Q1110">
        <v>0</v>
      </c>
      <c r="R1110">
        <v>650.5</v>
      </c>
      <c r="U1110">
        <v>110000</v>
      </c>
      <c r="V1110" t="s">
        <v>10375</v>
      </c>
      <c r="W1110">
        <v>0</v>
      </c>
      <c r="Y1110" t="s">
        <v>225</v>
      </c>
      <c r="AA1110" t="s">
        <v>10974</v>
      </c>
      <c r="AB1110" t="s">
        <v>659</v>
      </c>
      <c r="AD1110" t="s">
        <v>11086</v>
      </c>
      <c r="AF1110" t="s">
        <v>10384</v>
      </c>
      <c r="AH1110" t="s">
        <v>10974</v>
      </c>
      <c r="AJ1110" t="s">
        <v>11134</v>
      </c>
      <c r="AK1110" t="s">
        <v>7225</v>
      </c>
      <c r="AM1110">
        <v>2500</v>
      </c>
      <c r="AO1110">
        <v>82</v>
      </c>
      <c r="AQ1110" t="s">
        <v>11157</v>
      </c>
      <c r="AS1110" t="s">
        <v>11173</v>
      </c>
      <c r="AU1110">
        <v>5</v>
      </c>
      <c r="AW1110" t="s">
        <v>11202</v>
      </c>
      <c r="AY1110" t="s">
        <v>11213</v>
      </c>
      <c r="BA1110" t="s">
        <v>11222</v>
      </c>
      <c r="BC1110" t="s">
        <v>11173</v>
      </c>
      <c r="BE1110" t="s">
        <v>12349</v>
      </c>
      <c r="BF1110" t="s">
        <v>14364</v>
      </c>
      <c r="BG1110" t="s">
        <v>14411</v>
      </c>
      <c r="BM1110" t="s">
        <v>15650</v>
      </c>
    </row>
    <row r="1111" spans="1:65">
      <c r="A1111" s="1">
        <f>HYPERLINK("https://lsnyc.legalserver.org/matter/dynamic-profile/view/1908228","19-1908228")</f>
        <v>0</v>
      </c>
      <c r="B1111" t="s">
        <v>117</v>
      </c>
      <c r="C1111" t="s">
        <v>248</v>
      </c>
      <c r="D1111" t="s">
        <v>660</v>
      </c>
      <c r="F1111" t="s">
        <v>1682</v>
      </c>
      <c r="G1111" t="s">
        <v>3447</v>
      </c>
      <c r="H1111" t="s">
        <v>5064</v>
      </c>
      <c r="I1111" t="s">
        <v>6683</v>
      </c>
      <c r="J1111" t="s">
        <v>7174</v>
      </c>
      <c r="K1111">
        <v>11216</v>
      </c>
      <c r="N1111" t="s">
        <v>7237</v>
      </c>
      <c r="O1111" t="s">
        <v>8028</v>
      </c>
      <c r="P1111">
        <v>1</v>
      </c>
      <c r="Q1111">
        <v>0</v>
      </c>
      <c r="R1111">
        <v>780.62</v>
      </c>
      <c r="U1111">
        <v>97500</v>
      </c>
      <c r="W1111">
        <v>0</v>
      </c>
      <c r="Y1111" t="s">
        <v>225</v>
      </c>
      <c r="AA1111" t="s">
        <v>10974</v>
      </c>
      <c r="AB1111" t="s">
        <v>302</v>
      </c>
      <c r="AD1111" t="s">
        <v>11100</v>
      </c>
      <c r="AF1111" t="s">
        <v>10384</v>
      </c>
      <c r="AH1111" t="s">
        <v>10974</v>
      </c>
      <c r="AJ1111" t="s">
        <v>11134</v>
      </c>
      <c r="AK1111" t="s">
        <v>7225</v>
      </c>
      <c r="AM1111">
        <v>1624.29</v>
      </c>
      <c r="AO1111">
        <v>82</v>
      </c>
      <c r="AQ1111" t="s">
        <v>11157</v>
      </c>
      <c r="AS1111" t="s">
        <v>11173</v>
      </c>
      <c r="AU1111">
        <v>-1</v>
      </c>
      <c r="AW1111" t="s">
        <v>11187</v>
      </c>
      <c r="AY1111" t="s">
        <v>11213</v>
      </c>
      <c r="BA1111" t="s">
        <v>11222</v>
      </c>
      <c r="BC1111" t="s">
        <v>11228</v>
      </c>
      <c r="BE1111" t="s">
        <v>12350</v>
      </c>
      <c r="BF1111" t="s">
        <v>14364</v>
      </c>
      <c r="BG1111" t="s">
        <v>11173</v>
      </c>
      <c r="BM1111" t="s">
        <v>15650</v>
      </c>
    </row>
    <row r="1112" spans="1:65">
      <c r="A1112" s="1">
        <f>HYPERLINK("https://lsnyc.legalserver.org/matter/dynamic-profile/view/1908229","19-1908229")</f>
        <v>0</v>
      </c>
      <c r="B1112" t="s">
        <v>117</v>
      </c>
      <c r="C1112" t="s">
        <v>248</v>
      </c>
      <c r="D1112" t="s">
        <v>660</v>
      </c>
      <c r="F1112" t="s">
        <v>1682</v>
      </c>
      <c r="G1112" t="s">
        <v>3447</v>
      </c>
      <c r="H1112" t="s">
        <v>5064</v>
      </c>
      <c r="I1112" t="s">
        <v>6683</v>
      </c>
      <c r="J1112" t="s">
        <v>7174</v>
      </c>
      <c r="K1112">
        <v>11216</v>
      </c>
      <c r="N1112" t="s">
        <v>7237</v>
      </c>
      <c r="O1112" t="s">
        <v>8028</v>
      </c>
      <c r="P1112">
        <v>1</v>
      </c>
      <c r="Q1112">
        <v>0</v>
      </c>
      <c r="R1112">
        <v>780.62</v>
      </c>
      <c r="U1112">
        <v>97500</v>
      </c>
      <c r="W1112">
        <v>0</v>
      </c>
      <c r="Y1112" t="s">
        <v>225</v>
      </c>
      <c r="AA1112" t="s">
        <v>10974</v>
      </c>
      <c r="AB1112" t="s">
        <v>728</v>
      </c>
      <c r="AD1112" t="s">
        <v>11085</v>
      </c>
      <c r="AF1112" t="s">
        <v>11118</v>
      </c>
      <c r="AH1112" t="s">
        <v>10974</v>
      </c>
      <c r="AJ1112" t="s">
        <v>11134</v>
      </c>
      <c r="AK1112" t="s">
        <v>7225</v>
      </c>
      <c r="AM1112">
        <v>1624.29</v>
      </c>
      <c r="AO1112">
        <v>82</v>
      </c>
      <c r="AQ1112" t="s">
        <v>11157</v>
      </c>
      <c r="AR1112" t="s">
        <v>11172</v>
      </c>
      <c r="AU1112">
        <v>-1</v>
      </c>
      <c r="AW1112" t="s">
        <v>11187</v>
      </c>
      <c r="AY1112" t="s">
        <v>11213</v>
      </c>
      <c r="BA1112" t="s">
        <v>11222</v>
      </c>
      <c r="BC1112" t="s">
        <v>11228</v>
      </c>
      <c r="BE1112" t="s">
        <v>12350</v>
      </c>
      <c r="BG1112" t="s">
        <v>14673</v>
      </c>
      <c r="BM1112" t="s">
        <v>15650</v>
      </c>
    </row>
    <row r="1113" spans="1:65">
      <c r="A1113" s="1">
        <f>HYPERLINK("https://lsnyc.legalserver.org/matter/dynamic-profile/view/1876925","18-1876925")</f>
        <v>0</v>
      </c>
      <c r="B1113" t="s">
        <v>117</v>
      </c>
      <c r="C1113" t="s">
        <v>248</v>
      </c>
      <c r="D1113" t="s">
        <v>658</v>
      </c>
      <c r="F1113" t="s">
        <v>1519</v>
      </c>
      <c r="G1113" t="s">
        <v>3448</v>
      </c>
      <c r="H1113" t="s">
        <v>5064</v>
      </c>
      <c r="I1113" t="s">
        <v>6525</v>
      </c>
      <c r="J1113" t="s">
        <v>7174</v>
      </c>
      <c r="K1113">
        <v>11216</v>
      </c>
      <c r="N1113" t="s">
        <v>7237</v>
      </c>
      <c r="O1113" t="s">
        <v>8029</v>
      </c>
      <c r="P1113">
        <v>1</v>
      </c>
      <c r="Q1113">
        <v>0</v>
      </c>
      <c r="R1113">
        <v>453.05</v>
      </c>
      <c r="S1113" t="s">
        <v>372</v>
      </c>
      <c r="T1113" t="s">
        <v>10276</v>
      </c>
      <c r="U1113">
        <v>55000</v>
      </c>
      <c r="V1113" t="s">
        <v>10330</v>
      </c>
      <c r="W1113">
        <v>0</v>
      </c>
      <c r="Y1113" t="s">
        <v>225</v>
      </c>
      <c r="AA1113" t="s">
        <v>10974</v>
      </c>
      <c r="AB1113" t="s">
        <v>371</v>
      </c>
      <c r="AD1113" t="s">
        <v>11086</v>
      </c>
      <c r="AF1113" t="s">
        <v>10384</v>
      </c>
      <c r="AH1113" t="s">
        <v>10974</v>
      </c>
      <c r="AJ1113" t="s">
        <v>11134</v>
      </c>
      <c r="AK1113" t="s">
        <v>7225</v>
      </c>
      <c r="AM1113">
        <v>1450</v>
      </c>
      <c r="AO1113">
        <v>82</v>
      </c>
      <c r="AQ1113" t="s">
        <v>11157</v>
      </c>
      <c r="AS1113" t="s">
        <v>11173</v>
      </c>
      <c r="AU1113">
        <v>1</v>
      </c>
      <c r="AW1113" t="s">
        <v>11187</v>
      </c>
      <c r="AZ1113" t="s">
        <v>11221</v>
      </c>
      <c r="BD1113" t="s">
        <v>11667</v>
      </c>
      <c r="BF1113" t="s">
        <v>14364</v>
      </c>
      <c r="BM1113" t="s">
        <v>15650</v>
      </c>
    </row>
    <row r="1114" spans="1:65">
      <c r="A1114" s="1">
        <f>HYPERLINK("https://lsnyc.legalserver.org/matter/dynamic-profile/view/1876927","18-1876927")</f>
        <v>0</v>
      </c>
      <c r="B1114" t="s">
        <v>117</v>
      </c>
      <c r="C1114" t="s">
        <v>248</v>
      </c>
      <c r="D1114" t="s">
        <v>658</v>
      </c>
      <c r="F1114" t="s">
        <v>1519</v>
      </c>
      <c r="G1114" t="s">
        <v>3448</v>
      </c>
      <c r="H1114" t="s">
        <v>5064</v>
      </c>
      <c r="I1114" t="s">
        <v>6525</v>
      </c>
      <c r="J1114" t="s">
        <v>7174</v>
      </c>
      <c r="K1114">
        <v>11216</v>
      </c>
      <c r="N1114" t="s">
        <v>7237</v>
      </c>
      <c r="O1114" t="s">
        <v>8029</v>
      </c>
      <c r="P1114">
        <v>1</v>
      </c>
      <c r="Q1114">
        <v>0</v>
      </c>
      <c r="R1114">
        <v>453.05</v>
      </c>
      <c r="S1114" t="s">
        <v>372</v>
      </c>
      <c r="T1114" t="s">
        <v>10276</v>
      </c>
      <c r="U1114">
        <v>55000</v>
      </c>
      <c r="V1114" t="s">
        <v>10376</v>
      </c>
      <c r="W1114">
        <v>0</v>
      </c>
      <c r="Y1114" t="s">
        <v>225</v>
      </c>
      <c r="AA1114" t="s">
        <v>10974</v>
      </c>
      <c r="AB1114" t="s">
        <v>371</v>
      </c>
      <c r="AD1114" t="s">
        <v>11085</v>
      </c>
      <c r="AF1114" t="s">
        <v>11118</v>
      </c>
      <c r="AH1114" t="s">
        <v>10974</v>
      </c>
      <c r="AJ1114" t="s">
        <v>11134</v>
      </c>
      <c r="AK1114" t="s">
        <v>7225</v>
      </c>
      <c r="AM1114">
        <v>1450</v>
      </c>
      <c r="AO1114">
        <v>82</v>
      </c>
      <c r="AQ1114" t="s">
        <v>11157</v>
      </c>
      <c r="AS1114" t="s">
        <v>11173</v>
      </c>
      <c r="AU1114">
        <v>1</v>
      </c>
      <c r="AW1114" t="s">
        <v>11187</v>
      </c>
      <c r="AZ1114" t="s">
        <v>11221</v>
      </c>
      <c r="BD1114" t="s">
        <v>11667</v>
      </c>
      <c r="BG1114" t="s">
        <v>14673</v>
      </c>
      <c r="BM1114" t="s">
        <v>15650</v>
      </c>
    </row>
    <row r="1115" spans="1:65">
      <c r="A1115" s="1">
        <f>HYPERLINK("https://lsnyc.legalserver.org/matter/dynamic-profile/view/1876913","18-1876913")</f>
        <v>0</v>
      </c>
      <c r="B1115" t="s">
        <v>117</v>
      </c>
      <c r="C1115" t="s">
        <v>248</v>
      </c>
      <c r="D1115" t="s">
        <v>658</v>
      </c>
      <c r="F1115" t="s">
        <v>1683</v>
      </c>
      <c r="G1115" t="s">
        <v>3449</v>
      </c>
      <c r="H1115" t="s">
        <v>5064</v>
      </c>
      <c r="I1115" t="s">
        <v>6471</v>
      </c>
      <c r="J1115" t="s">
        <v>7174</v>
      </c>
      <c r="K1115">
        <v>11216</v>
      </c>
      <c r="N1115" t="s">
        <v>7237</v>
      </c>
      <c r="O1115" t="s">
        <v>8030</v>
      </c>
      <c r="P1115">
        <v>1</v>
      </c>
      <c r="Q1115">
        <v>0</v>
      </c>
      <c r="R1115">
        <v>494.23</v>
      </c>
      <c r="S1115" t="s">
        <v>372</v>
      </c>
      <c r="T1115" t="s">
        <v>10276</v>
      </c>
      <c r="U1115">
        <v>60000</v>
      </c>
      <c r="V1115" t="s">
        <v>10330</v>
      </c>
      <c r="W1115">
        <v>0</v>
      </c>
      <c r="Y1115" t="s">
        <v>225</v>
      </c>
      <c r="AA1115" t="s">
        <v>10974</v>
      </c>
      <c r="AB1115" t="s">
        <v>518</v>
      </c>
      <c r="AD1115" t="s">
        <v>11086</v>
      </c>
      <c r="AF1115" t="s">
        <v>10384</v>
      </c>
      <c r="AH1115" t="s">
        <v>10974</v>
      </c>
      <c r="AJ1115" t="s">
        <v>11134</v>
      </c>
      <c r="AK1115" t="s">
        <v>7225</v>
      </c>
      <c r="AM1115">
        <v>2200</v>
      </c>
      <c r="AO1115">
        <v>82</v>
      </c>
      <c r="AQ1115" t="s">
        <v>11157</v>
      </c>
      <c r="AS1115" t="s">
        <v>11173</v>
      </c>
      <c r="AU1115">
        <v>1</v>
      </c>
      <c r="AW1115" t="s">
        <v>11187</v>
      </c>
      <c r="AZ1115" t="s">
        <v>11221</v>
      </c>
      <c r="BE1115" t="s">
        <v>12351</v>
      </c>
      <c r="BF1115" t="s">
        <v>14364</v>
      </c>
      <c r="BG1115" t="s">
        <v>11086</v>
      </c>
      <c r="BM1115" t="s">
        <v>15650</v>
      </c>
    </row>
    <row r="1116" spans="1:65">
      <c r="A1116" s="1">
        <f>HYPERLINK("https://lsnyc.legalserver.org/matter/dynamic-profile/view/1845306","17-1845306")</f>
        <v>0</v>
      </c>
      <c r="B1116" t="s">
        <v>117</v>
      </c>
      <c r="C1116" t="s">
        <v>248</v>
      </c>
      <c r="D1116" t="s">
        <v>661</v>
      </c>
      <c r="F1116" t="s">
        <v>1684</v>
      </c>
      <c r="G1116" t="s">
        <v>3450</v>
      </c>
      <c r="H1116" t="s">
        <v>5226</v>
      </c>
      <c r="I1116">
        <v>21</v>
      </c>
      <c r="J1116" t="s">
        <v>7174</v>
      </c>
      <c r="K1116">
        <v>11201</v>
      </c>
      <c r="N1116" t="s">
        <v>7237</v>
      </c>
      <c r="O1116" t="s">
        <v>8031</v>
      </c>
      <c r="P1116">
        <v>2</v>
      </c>
      <c r="Q1116">
        <v>0</v>
      </c>
      <c r="R1116">
        <v>69.31</v>
      </c>
      <c r="S1116" t="s">
        <v>940</v>
      </c>
      <c r="U1116">
        <v>11256</v>
      </c>
      <c r="W1116">
        <v>46</v>
      </c>
      <c r="X1116" t="s">
        <v>650</v>
      </c>
      <c r="Y1116" t="s">
        <v>225</v>
      </c>
      <c r="AA1116" t="s">
        <v>10974</v>
      </c>
      <c r="AB1116" t="s">
        <v>940</v>
      </c>
      <c r="AD1116" t="s">
        <v>11082</v>
      </c>
      <c r="AF1116" t="s">
        <v>11118</v>
      </c>
      <c r="AH1116" t="s">
        <v>10975</v>
      </c>
      <c r="AJ1116" t="s">
        <v>11129</v>
      </c>
      <c r="AK1116" t="s">
        <v>7225</v>
      </c>
      <c r="AM1116">
        <v>733</v>
      </c>
      <c r="AO1116">
        <v>25</v>
      </c>
      <c r="AQ1116" t="s">
        <v>11160</v>
      </c>
      <c r="AS1116" t="s">
        <v>11175</v>
      </c>
      <c r="AU1116">
        <v>48</v>
      </c>
      <c r="AW1116" t="s">
        <v>11189</v>
      </c>
      <c r="AZ1116" t="s">
        <v>11221</v>
      </c>
      <c r="BC1116" t="s">
        <v>11338</v>
      </c>
      <c r="BE1116" t="s">
        <v>12352</v>
      </c>
      <c r="BG1116" t="s">
        <v>14679</v>
      </c>
      <c r="BM1116" t="s">
        <v>15650</v>
      </c>
    </row>
    <row r="1117" spans="1:65">
      <c r="A1117" s="1">
        <f>HYPERLINK("https://lsnyc.legalserver.org/matter/dynamic-profile/view/1876613","18-1876613")</f>
        <v>0</v>
      </c>
      <c r="B1117" t="s">
        <v>117</v>
      </c>
      <c r="C1117" t="s">
        <v>248</v>
      </c>
      <c r="D1117" t="s">
        <v>662</v>
      </c>
      <c r="F1117" t="s">
        <v>1177</v>
      </c>
      <c r="G1117" t="s">
        <v>3180</v>
      </c>
      <c r="H1117" t="s">
        <v>5064</v>
      </c>
      <c r="I1117" t="s">
        <v>6684</v>
      </c>
      <c r="J1117" t="s">
        <v>7174</v>
      </c>
      <c r="K1117">
        <v>11216</v>
      </c>
      <c r="N1117" t="s">
        <v>7237</v>
      </c>
      <c r="O1117" t="s">
        <v>8032</v>
      </c>
      <c r="P1117">
        <v>2</v>
      </c>
      <c r="Q1117">
        <v>0</v>
      </c>
      <c r="R1117">
        <v>543.74</v>
      </c>
      <c r="U1117">
        <v>89500</v>
      </c>
      <c r="V1117" t="s">
        <v>10334</v>
      </c>
      <c r="W1117">
        <v>0</v>
      </c>
      <c r="Y1117" t="s">
        <v>225</v>
      </c>
      <c r="AA1117" t="s">
        <v>10974</v>
      </c>
      <c r="AB1117" t="s">
        <v>518</v>
      </c>
      <c r="AD1117" t="s">
        <v>11086</v>
      </c>
      <c r="AF1117" t="s">
        <v>10384</v>
      </c>
      <c r="AG1117" t="s">
        <v>11124</v>
      </c>
      <c r="AJ1117" t="s">
        <v>11134</v>
      </c>
      <c r="AK1117" t="s">
        <v>7225</v>
      </c>
      <c r="AM1117">
        <v>2100</v>
      </c>
      <c r="AO1117">
        <v>82</v>
      </c>
      <c r="AQ1117" t="s">
        <v>11157</v>
      </c>
      <c r="AS1117" t="s">
        <v>11173</v>
      </c>
      <c r="AU1117">
        <v>4</v>
      </c>
      <c r="AW1117" t="s">
        <v>11187</v>
      </c>
      <c r="AZ1117" t="s">
        <v>11221</v>
      </c>
      <c r="BE1117" t="s">
        <v>12353</v>
      </c>
      <c r="BF1117" t="s">
        <v>14364</v>
      </c>
      <c r="BG1117" t="s">
        <v>11086</v>
      </c>
      <c r="BM1117" t="s">
        <v>15650</v>
      </c>
    </row>
    <row r="1118" spans="1:65">
      <c r="A1118" s="1">
        <f>HYPERLINK("https://lsnyc.legalserver.org/matter/dynamic-profile/view/1866708","18-1866708")</f>
        <v>0</v>
      </c>
      <c r="B1118" t="s">
        <v>117</v>
      </c>
      <c r="C1118" t="s">
        <v>248</v>
      </c>
      <c r="D1118" t="s">
        <v>387</v>
      </c>
      <c r="F1118" t="s">
        <v>1679</v>
      </c>
      <c r="G1118" t="s">
        <v>2814</v>
      </c>
      <c r="H1118" t="s">
        <v>5225</v>
      </c>
      <c r="I1118" t="s">
        <v>6424</v>
      </c>
      <c r="J1118" t="s">
        <v>7174</v>
      </c>
      <c r="K1118">
        <v>11233</v>
      </c>
      <c r="N1118" t="s">
        <v>7237</v>
      </c>
      <c r="O1118" t="s">
        <v>8024</v>
      </c>
      <c r="P1118">
        <v>1</v>
      </c>
      <c r="Q1118">
        <v>0</v>
      </c>
      <c r="R1118">
        <v>192.75</v>
      </c>
      <c r="U1118">
        <v>23400</v>
      </c>
      <c r="V1118" t="s">
        <v>10377</v>
      </c>
      <c r="W1118">
        <v>5.5</v>
      </c>
      <c r="X1118" t="s">
        <v>789</v>
      </c>
      <c r="Y1118" t="s">
        <v>10890</v>
      </c>
      <c r="AA1118" t="s">
        <v>10974</v>
      </c>
      <c r="AB1118" t="s">
        <v>667</v>
      </c>
      <c r="AD1118" t="s">
        <v>11100</v>
      </c>
      <c r="AF1118" t="s">
        <v>10384</v>
      </c>
      <c r="AH1118" t="s">
        <v>10975</v>
      </c>
      <c r="AJ1118" t="s">
        <v>11143</v>
      </c>
      <c r="AK1118" t="s">
        <v>7225</v>
      </c>
      <c r="AM1118">
        <v>647</v>
      </c>
      <c r="AO1118">
        <v>23</v>
      </c>
      <c r="AQ1118" t="s">
        <v>11157</v>
      </c>
      <c r="AS1118" t="s">
        <v>11181</v>
      </c>
      <c r="AU1118">
        <v>4</v>
      </c>
      <c r="AW1118" t="s">
        <v>11187</v>
      </c>
      <c r="AZ1118" t="s">
        <v>11221</v>
      </c>
      <c r="BC1118" t="s">
        <v>11337</v>
      </c>
      <c r="BE1118" t="s">
        <v>12346</v>
      </c>
      <c r="BF1118" t="s">
        <v>14364</v>
      </c>
      <c r="BG1118" t="s">
        <v>11173</v>
      </c>
      <c r="BM1118" t="s">
        <v>15650</v>
      </c>
    </row>
    <row r="1119" spans="1:65">
      <c r="A1119" s="1">
        <f>HYPERLINK("https://lsnyc.legalserver.org/matter/dynamic-profile/view/1876618","18-1876618")</f>
        <v>0</v>
      </c>
      <c r="B1119" t="s">
        <v>117</v>
      </c>
      <c r="C1119" t="s">
        <v>248</v>
      </c>
      <c r="D1119" t="s">
        <v>662</v>
      </c>
      <c r="F1119" t="s">
        <v>1177</v>
      </c>
      <c r="G1119" t="s">
        <v>3180</v>
      </c>
      <c r="H1119" t="s">
        <v>5064</v>
      </c>
      <c r="I1119" t="s">
        <v>6684</v>
      </c>
      <c r="J1119" t="s">
        <v>7174</v>
      </c>
      <c r="K1119">
        <v>11216</v>
      </c>
      <c r="N1119" t="s">
        <v>7237</v>
      </c>
      <c r="O1119" t="s">
        <v>8032</v>
      </c>
      <c r="P1119">
        <v>2</v>
      </c>
      <c r="Q1119">
        <v>0</v>
      </c>
      <c r="R1119">
        <v>543.74</v>
      </c>
      <c r="U1119">
        <v>89500</v>
      </c>
      <c r="V1119" t="s">
        <v>10334</v>
      </c>
      <c r="W1119">
        <v>0</v>
      </c>
      <c r="Y1119" t="s">
        <v>225</v>
      </c>
      <c r="AA1119" t="s">
        <v>10974</v>
      </c>
      <c r="AB1119" t="s">
        <v>794</v>
      </c>
      <c r="AD1119" t="s">
        <v>11085</v>
      </c>
      <c r="AF1119" t="s">
        <v>11118</v>
      </c>
      <c r="AH1119" t="s">
        <v>10974</v>
      </c>
      <c r="AJ1119" t="s">
        <v>11134</v>
      </c>
      <c r="AK1119" t="s">
        <v>7225</v>
      </c>
      <c r="AM1119">
        <v>2100</v>
      </c>
      <c r="AO1119">
        <v>82</v>
      </c>
      <c r="AQ1119" t="s">
        <v>11157</v>
      </c>
      <c r="AS1119" t="s">
        <v>11173</v>
      </c>
      <c r="AU1119">
        <v>4</v>
      </c>
      <c r="AW1119" t="s">
        <v>11187</v>
      </c>
      <c r="AZ1119" t="s">
        <v>11221</v>
      </c>
      <c r="BE1119" t="s">
        <v>12353</v>
      </c>
      <c r="BG1119" t="s">
        <v>14673</v>
      </c>
      <c r="BM1119" t="s">
        <v>15650</v>
      </c>
    </row>
    <row r="1120" spans="1:65">
      <c r="A1120" s="1">
        <f>HYPERLINK("https://lsnyc.legalserver.org/matter/dynamic-profile/view/1876814","18-1876814")</f>
        <v>0</v>
      </c>
      <c r="B1120" t="s">
        <v>117</v>
      </c>
      <c r="C1120" t="s">
        <v>248</v>
      </c>
      <c r="D1120" t="s">
        <v>656</v>
      </c>
      <c r="F1120" t="s">
        <v>1673</v>
      </c>
      <c r="G1120" t="s">
        <v>3242</v>
      </c>
      <c r="H1120" t="s">
        <v>5064</v>
      </c>
      <c r="I1120" t="s">
        <v>6468</v>
      </c>
      <c r="J1120" t="s">
        <v>7174</v>
      </c>
      <c r="K1120">
        <v>11216</v>
      </c>
      <c r="N1120" t="s">
        <v>7237</v>
      </c>
      <c r="O1120" t="s">
        <v>8017</v>
      </c>
      <c r="P1120">
        <v>2</v>
      </c>
      <c r="Q1120">
        <v>2</v>
      </c>
      <c r="R1120">
        <v>378.49</v>
      </c>
      <c r="S1120" t="s">
        <v>372</v>
      </c>
      <c r="T1120" t="s">
        <v>10276</v>
      </c>
      <c r="U1120">
        <v>95000</v>
      </c>
      <c r="V1120" t="s">
        <v>10334</v>
      </c>
      <c r="W1120">
        <v>0</v>
      </c>
      <c r="Y1120" t="s">
        <v>225</v>
      </c>
      <c r="AA1120" t="s">
        <v>10974</v>
      </c>
      <c r="AB1120" t="s">
        <v>794</v>
      </c>
      <c r="AD1120" t="s">
        <v>11085</v>
      </c>
      <c r="AF1120" t="s">
        <v>11118</v>
      </c>
      <c r="AH1120" t="s">
        <v>10974</v>
      </c>
      <c r="AJ1120" t="s">
        <v>11134</v>
      </c>
      <c r="AK1120" t="s">
        <v>7225</v>
      </c>
      <c r="AM1120">
        <v>2350</v>
      </c>
      <c r="AO1120">
        <v>82</v>
      </c>
      <c r="AQ1120" t="s">
        <v>11157</v>
      </c>
      <c r="AS1120" t="s">
        <v>11173</v>
      </c>
      <c r="AU1120">
        <v>4</v>
      </c>
      <c r="AW1120" t="s">
        <v>11187</v>
      </c>
      <c r="AZ1120" t="s">
        <v>11221</v>
      </c>
      <c r="BE1120" t="s">
        <v>12340</v>
      </c>
      <c r="BG1120" t="s">
        <v>14673</v>
      </c>
      <c r="BM1120" t="s">
        <v>15650</v>
      </c>
    </row>
    <row r="1121" spans="1:65">
      <c r="A1121" s="1">
        <f>HYPERLINK("https://lsnyc.legalserver.org/matter/dynamic-profile/view/1876606","18-1876606")</f>
        <v>0</v>
      </c>
      <c r="B1121" t="s">
        <v>117</v>
      </c>
      <c r="C1121" t="s">
        <v>248</v>
      </c>
      <c r="D1121" t="s">
        <v>662</v>
      </c>
      <c r="F1121" t="s">
        <v>1240</v>
      </c>
      <c r="G1121" t="s">
        <v>3451</v>
      </c>
      <c r="H1121" t="s">
        <v>5064</v>
      </c>
      <c r="I1121" t="s">
        <v>6684</v>
      </c>
      <c r="J1121" t="s">
        <v>7174</v>
      </c>
      <c r="K1121">
        <v>11216</v>
      </c>
      <c r="N1121" t="s">
        <v>7237</v>
      </c>
      <c r="O1121" t="s">
        <v>7390</v>
      </c>
      <c r="P1121">
        <v>2</v>
      </c>
      <c r="Q1121">
        <v>0</v>
      </c>
      <c r="R1121">
        <v>546.78</v>
      </c>
      <c r="U1121">
        <v>90000</v>
      </c>
      <c r="V1121" t="s">
        <v>10334</v>
      </c>
      <c r="W1121">
        <v>0</v>
      </c>
      <c r="Y1121" t="s">
        <v>225</v>
      </c>
      <c r="AA1121" t="s">
        <v>10974</v>
      </c>
      <c r="AB1121" t="s">
        <v>794</v>
      </c>
      <c r="AD1121" t="s">
        <v>11085</v>
      </c>
      <c r="AF1121" t="s">
        <v>11118</v>
      </c>
      <c r="AH1121" t="s">
        <v>10974</v>
      </c>
      <c r="AJ1121" t="s">
        <v>11134</v>
      </c>
      <c r="AK1121" t="s">
        <v>7225</v>
      </c>
      <c r="AM1121">
        <v>2100</v>
      </c>
      <c r="AO1121">
        <v>82</v>
      </c>
      <c r="AQ1121" t="s">
        <v>11157</v>
      </c>
      <c r="AS1121" t="s">
        <v>11173</v>
      </c>
      <c r="AU1121">
        <v>4</v>
      </c>
      <c r="AW1121" t="s">
        <v>11187</v>
      </c>
      <c r="AZ1121" t="s">
        <v>11221</v>
      </c>
      <c r="BE1121" t="s">
        <v>12354</v>
      </c>
      <c r="BG1121" t="s">
        <v>14673</v>
      </c>
      <c r="BM1121" t="s">
        <v>15650</v>
      </c>
    </row>
    <row r="1122" spans="1:65">
      <c r="A1122" s="1">
        <f>HYPERLINK("https://lsnyc.legalserver.org/matter/dynamic-profile/view/1876744","18-1876744")</f>
        <v>0</v>
      </c>
      <c r="B1122" t="s">
        <v>117</v>
      </c>
      <c r="C1122" t="s">
        <v>248</v>
      </c>
      <c r="D1122" t="s">
        <v>656</v>
      </c>
      <c r="F1122" t="s">
        <v>1685</v>
      </c>
      <c r="G1122" t="s">
        <v>3452</v>
      </c>
      <c r="H1122" t="s">
        <v>5064</v>
      </c>
      <c r="I1122" t="s">
        <v>6685</v>
      </c>
      <c r="J1122" t="s">
        <v>7174</v>
      </c>
      <c r="K1122">
        <v>11216</v>
      </c>
      <c r="N1122" t="s">
        <v>7237</v>
      </c>
      <c r="O1122" t="s">
        <v>8033</v>
      </c>
      <c r="P1122">
        <v>1</v>
      </c>
      <c r="Q1122">
        <v>0</v>
      </c>
      <c r="R1122">
        <v>543.66</v>
      </c>
      <c r="S1122" t="s">
        <v>372</v>
      </c>
      <c r="T1122" t="s">
        <v>10276</v>
      </c>
      <c r="U1122">
        <v>66000</v>
      </c>
      <c r="V1122" t="s">
        <v>10334</v>
      </c>
      <c r="W1122">
        <v>0</v>
      </c>
      <c r="Y1122" t="s">
        <v>225</v>
      </c>
      <c r="AA1122" t="s">
        <v>10974</v>
      </c>
      <c r="AB1122" t="s">
        <v>518</v>
      </c>
      <c r="AD1122" t="s">
        <v>11086</v>
      </c>
      <c r="AF1122" t="s">
        <v>10384</v>
      </c>
      <c r="AG1122" t="s">
        <v>11124</v>
      </c>
      <c r="AJ1122" t="s">
        <v>11134</v>
      </c>
      <c r="AK1122" t="s">
        <v>7225</v>
      </c>
      <c r="AM1122">
        <v>1575</v>
      </c>
      <c r="AO1122">
        <v>82</v>
      </c>
      <c r="AQ1122" t="s">
        <v>11157</v>
      </c>
      <c r="AS1122" t="s">
        <v>11173</v>
      </c>
      <c r="AU1122">
        <v>2</v>
      </c>
      <c r="AW1122" t="s">
        <v>11187</v>
      </c>
      <c r="AZ1122" t="s">
        <v>11221</v>
      </c>
      <c r="BE1122" t="s">
        <v>12355</v>
      </c>
      <c r="BF1122" t="s">
        <v>14364</v>
      </c>
      <c r="BG1122" t="s">
        <v>11086</v>
      </c>
      <c r="BM1122" t="s">
        <v>15650</v>
      </c>
    </row>
    <row r="1123" spans="1:65">
      <c r="A1123" s="1">
        <f>HYPERLINK("https://lsnyc.legalserver.org/matter/dynamic-profile/view/1903783","19-1903783")</f>
        <v>0</v>
      </c>
      <c r="B1123" t="s">
        <v>117</v>
      </c>
      <c r="C1123" t="s">
        <v>248</v>
      </c>
      <c r="D1123" t="s">
        <v>311</v>
      </c>
      <c r="F1123" t="s">
        <v>1674</v>
      </c>
      <c r="G1123" t="s">
        <v>3439</v>
      </c>
      <c r="H1123" t="s">
        <v>5223</v>
      </c>
      <c r="I1123" t="s">
        <v>6495</v>
      </c>
      <c r="J1123" t="s">
        <v>7174</v>
      </c>
      <c r="K1123">
        <v>11208</v>
      </c>
      <c r="N1123" t="s">
        <v>7237</v>
      </c>
      <c r="O1123" t="s">
        <v>8019</v>
      </c>
      <c r="P1123">
        <v>2</v>
      </c>
      <c r="Q1123">
        <v>3</v>
      </c>
      <c r="R1123">
        <v>165.81</v>
      </c>
      <c r="U1123">
        <v>50024</v>
      </c>
      <c r="W1123">
        <v>0.1</v>
      </c>
      <c r="X1123" t="s">
        <v>260</v>
      </c>
      <c r="Y1123" t="s">
        <v>225</v>
      </c>
      <c r="AA1123" t="s">
        <v>10974</v>
      </c>
      <c r="AB1123" t="s">
        <v>311</v>
      </c>
      <c r="AD1123" t="s">
        <v>11100</v>
      </c>
      <c r="AF1123" t="s">
        <v>10384</v>
      </c>
      <c r="AH1123" t="s">
        <v>10975</v>
      </c>
      <c r="AJ1123" t="s">
        <v>11129</v>
      </c>
      <c r="AK1123" t="s">
        <v>7225</v>
      </c>
      <c r="AM1123">
        <v>1350</v>
      </c>
      <c r="AO1123">
        <v>15</v>
      </c>
      <c r="AQ1123" t="s">
        <v>11157</v>
      </c>
      <c r="AS1123" t="s">
        <v>11173</v>
      </c>
      <c r="AU1123">
        <v>2</v>
      </c>
      <c r="AW1123" t="s">
        <v>11187</v>
      </c>
      <c r="AY1123" t="s">
        <v>11213</v>
      </c>
      <c r="BA1123" t="s">
        <v>11223</v>
      </c>
      <c r="BC1123" t="s">
        <v>11339</v>
      </c>
      <c r="BE1123" t="s">
        <v>12341</v>
      </c>
      <c r="BF1123" t="s">
        <v>14364</v>
      </c>
      <c r="BG1123" t="s">
        <v>14411</v>
      </c>
      <c r="BM1123" t="s">
        <v>15650</v>
      </c>
    </row>
    <row r="1124" spans="1:65">
      <c r="A1124" s="1">
        <f>HYPERLINK("https://lsnyc.legalserver.org/matter/dynamic-profile/view/1881503","18-1881503")</f>
        <v>0</v>
      </c>
      <c r="B1124" t="s">
        <v>117</v>
      </c>
      <c r="C1124" t="s">
        <v>248</v>
      </c>
      <c r="D1124" t="s">
        <v>663</v>
      </c>
      <c r="F1124" t="s">
        <v>1266</v>
      </c>
      <c r="G1124" t="s">
        <v>1347</v>
      </c>
      <c r="H1124" t="s">
        <v>5064</v>
      </c>
      <c r="I1124" t="s">
        <v>6405</v>
      </c>
      <c r="J1124" t="s">
        <v>7174</v>
      </c>
      <c r="K1124">
        <v>11216</v>
      </c>
      <c r="N1124" t="s">
        <v>7237</v>
      </c>
      <c r="O1124" t="s">
        <v>8034</v>
      </c>
      <c r="P1124">
        <v>1</v>
      </c>
      <c r="Q1124">
        <v>0</v>
      </c>
      <c r="R1124">
        <v>708.4</v>
      </c>
      <c r="T1124" t="s">
        <v>10276</v>
      </c>
      <c r="U1124">
        <v>86000</v>
      </c>
      <c r="V1124" t="s">
        <v>10378</v>
      </c>
      <c r="W1124">
        <v>0</v>
      </c>
      <c r="Y1124" t="s">
        <v>225</v>
      </c>
      <c r="AA1124" t="s">
        <v>10974</v>
      </c>
      <c r="AB1124" t="s">
        <v>473</v>
      </c>
      <c r="AD1124" t="s">
        <v>11085</v>
      </c>
      <c r="AF1124" t="s">
        <v>11118</v>
      </c>
      <c r="AH1124" t="s">
        <v>10974</v>
      </c>
      <c r="AJ1124" t="s">
        <v>11134</v>
      </c>
      <c r="AK1124" t="s">
        <v>7225</v>
      </c>
      <c r="AM1124">
        <v>1450</v>
      </c>
      <c r="AO1124">
        <v>8</v>
      </c>
      <c r="AQ1124" t="s">
        <v>11157</v>
      </c>
      <c r="AS1124" t="s">
        <v>11173</v>
      </c>
      <c r="AU1124">
        <v>2</v>
      </c>
      <c r="AW1124" t="s">
        <v>11187</v>
      </c>
      <c r="AY1124" t="s">
        <v>11213</v>
      </c>
      <c r="AZ1124" t="s">
        <v>11221</v>
      </c>
      <c r="BC1124" t="s">
        <v>11173</v>
      </c>
      <c r="BE1124" t="s">
        <v>12356</v>
      </c>
      <c r="BG1124" t="s">
        <v>14673</v>
      </c>
      <c r="BM1124" t="s">
        <v>15650</v>
      </c>
    </row>
    <row r="1125" spans="1:65">
      <c r="A1125" s="1">
        <f>HYPERLINK("https://lsnyc.legalserver.org/matter/dynamic-profile/view/1876602","18-1876602")</f>
        <v>0</v>
      </c>
      <c r="B1125" t="s">
        <v>117</v>
      </c>
      <c r="C1125" t="s">
        <v>248</v>
      </c>
      <c r="D1125" t="s">
        <v>662</v>
      </c>
      <c r="F1125" t="s">
        <v>1240</v>
      </c>
      <c r="G1125" t="s">
        <v>3451</v>
      </c>
      <c r="H1125" t="s">
        <v>5064</v>
      </c>
      <c r="I1125" t="s">
        <v>6684</v>
      </c>
      <c r="J1125" t="s">
        <v>7174</v>
      </c>
      <c r="K1125">
        <v>11216</v>
      </c>
      <c r="N1125" t="s">
        <v>7237</v>
      </c>
      <c r="O1125" t="s">
        <v>7390</v>
      </c>
      <c r="P1125">
        <v>2</v>
      </c>
      <c r="Q1125">
        <v>0</v>
      </c>
      <c r="R1125">
        <v>546.78</v>
      </c>
      <c r="U1125">
        <v>90000</v>
      </c>
      <c r="V1125" t="s">
        <v>10334</v>
      </c>
      <c r="W1125">
        <v>0</v>
      </c>
      <c r="Y1125" t="s">
        <v>225</v>
      </c>
      <c r="AA1125" t="s">
        <v>10974</v>
      </c>
      <c r="AB1125" t="s">
        <v>518</v>
      </c>
      <c r="AD1125" t="s">
        <v>11086</v>
      </c>
      <c r="AF1125" t="s">
        <v>10384</v>
      </c>
      <c r="AH1125" t="s">
        <v>10974</v>
      </c>
      <c r="AJ1125" t="s">
        <v>11134</v>
      </c>
      <c r="AK1125" t="s">
        <v>7225</v>
      </c>
      <c r="AM1125">
        <v>2100</v>
      </c>
      <c r="AO1125">
        <v>82</v>
      </c>
      <c r="AQ1125" t="s">
        <v>11157</v>
      </c>
      <c r="AS1125" t="s">
        <v>11173</v>
      </c>
      <c r="AU1125">
        <v>4</v>
      </c>
      <c r="AW1125" t="s">
        <v>11187</v>
      </c>
      <c r="AZ1125" t="s">
        <v>11221</v>
      </c>
      <c r="BE1125" t="s">
        <v>12354</v>
      </c>
      <c r="BF1125" t="s">
        <v>14364</v>
      </c>
      <c r="BG1125" t="s">
        <v>11086</v>
      </c>
      <c r="BM1125" t="s">
        <v>15650</v>
      </c>
    </row>
    <row r="1126" spans="1:65">
      <c r="A1126" s="1">
        <f>HYPERLINK("https://lsnyc.legalserver.org/matter/dynamic-profile/view/1910038","19-1910038")</f>
        <v>0</v>
      </c>
      <c r="B1126" t="s">
        <v>117</v>
      </c>
      <c r="C1126" t="s">
        <v>248</v>
      </c>
      <c r="D1126" t="s">
        <v>335</v>
      </c>
      <c r="F1126" t="s">
        <v>1136</v>
      </c>
      <c r="G1126" t="s">
        <v>3047</v>
      </c>
      <c r="H1126" t="s">
        <v>5227</v>
      </c>
      <c r="J1126" t="s">
        <v>7174</v>
      </c>
      <c r="K1126">
        <v>11212</v>
      </c>
      <c r="N1126" t="s">
        <v>7237</v>
      </c>
      <c r="O1126" t="s">
        <v>8035</v>
      </c>
      <c r="P1126">
        <v>3</v>
      </c>
      <c r="Q1126">
        <v>1</v>
      </c>
      <c r="R1126">
        <v>161.48</v>
      </c>
      <c r="U1126">
        <v>41580</v>
      </c>
      <c r="W1126">
        <v>4.4</v>
      </c>
      <c r="X1126" t="s">
        <v>728</v>
      </c>
      <c r="Y1126" t="s">
        <v>10873</v>
      </c>
      <c r="AA1126" t="s">
        <v>10974</v>
      </c>
      <c r="AB1126" t="s">
        <v>554</v>
      </c>
      <c r="AD1126" t="s">
        <v>11083</v>
      </c>
      <c r="AF1126" t="s">
        <v>10384</v>
      </c>
      <c r="AH1126" t="s">
        <v>10975</v>
      </c>
      <c r="AI1126" t="s">
        <v>11126</v>
      </c>
      <c r="AK1126" t="s">
        <v>7225</v>
      </c>
      <c r="AM1126">
        <v>900</v>
      </c>
      <c r="AO1126">
        <v>2</v>
      </c>
      <c r="AQ1126" t="s">
        <v>11156</v>
      </c>
      <c r="AS1126" t="s">
        <v>11104</v>
      </c>
      <c r="AU1126">
        <v>17</v>
      </c>
      <c r="AW1126" t="s">
        <v>11187</v>
      </c>
      <c r="AY1126" t="s">
        <v>11213</v>
      </c>
      <c r="BA1126" t="s">
        <v>11222</v>
      </c>
      <c r="BC1126" t="s">
        <v>11230</v>
      </c>
      <c r="BE1126" t="s">
        <v>12357</v>
      </c>
      <c r="BG1126" t="s">
        <v>14680</v>
      </c>
      <c r="BM1126" t="s">
        <v>15650</v>
      </c>
    </row>
    <row r="1127" spans="1:65">
      <c r="A1127" s="1">
        <f>HYPERLINK("https://lsnyc.legalserver.org/matter/dynamic-profile/view/1876746","18-1876746")</f>
        <v>0</v>
      </c>
      <c r="B1127" t="s">
        <v>117</v>
      </c>
      <c r="C1127" t="s">
        <v>248</v>
      </c>
      <c r="D1127" t="s">
        <v>656</v>
      </c>
      <c r="F1127" t="s">
        <v>1685</v>
      </c>
      <c r="G1127" t="s">
        <v>3452</v>
      </c>
      <c r="H1127" t="s">
        <v>5064</v>
      </c>
      <c r="I1127" t="s">
        <v>6685</v>
      </c>
      <c r="J1127" t="s">
        <v>7174</v>
      </c>
      <c r="K1127">
        <v>11216</v>
      </c>
      <c r="N1127" t="s">
        <v>7237</v>
      </c>
      <c r="O1127" t="s">
        <v>8033</v>
      </c>
      <c r="P1127">
        <v>1</v>
      </c>
      <c r="Q1127">
        <v>0</v>
      </c>
      <c r="R1127">
        <v>543.66</v>
      </c>
      <c r="S1127" t="s">
        <v>372</v>
      </c>
      <c r="T1127" t="s">
        <v>10276</v>
      </c>
      <c r="U1127">
        <v>66000</v>
      </c>
      <c r="V1127" t="s">
        <v>10334</v>
      </c>
      <c r="W1127">
        <v>0</v>
      </c>
      <c r="Y1127" t="s">
        <v>225</v>
      </c>
      <c r="AA1127" t="s">
        <v>10974</v>
      </c>
      <c r="AB1127" t="s">
        <v>794</v>
      </c>
      <c r="AD1127" t="s">
        <v>11085</v>
      </c>
      <c r="AF1127" t="s">
        <v>11118</v>
      </c>
      <c r="AH1127" t="s">
        <v>10974</v>
      </c>
      <c r="AJ1127" t="s">
        <v>11134</v>
      </c>
      <c r="AK1127" t="s">
        <v>7225</v>
      </c>
      <c r="AM1127">
        <v>1575</v>
      </c>
      <c r="AO1127">
        <v>82</v>
      </c>
      <c r="AQ1127" t="s">
        <v>11157</v>
      </c>
      <c r="AS1127" t="s">
        <v>11173</v>
      </c>
      <c r="AU1127">
        <v>2</v>
      </c>
      <c r="AW1127" t="s">
        <v>11187</v>
      </c>
      <c r="AZ1127" t="s">
        <v>11221</v>
      </c>
      <c r="BE1127" t="s">
        <v>12355</v>
      </c>
      <c r="BG1127" t="s">
        <v>14673</v>
      </c>
      <c r="BM1127" t="s">
        <v>15650</v>
      </c>
    </row>
    <row r="1128" spans="1:65">
      <c r="A1128" s="1">
        <f>HYPERLINK("https://lsnyc.legalserver.org/matter/dynamic-profile/view/1881496","18-1881496")</f>
        <v>0</v>
      </c>
      <c r="B1128" t="s">
        <v>117</v>
      </c>
      <c r="C1128" t="s">
        <v>248</v>
      </c>
      <c r="D1128" t="s">
        <v>663</v>
      </c>
      <c r="F1128" t="s">
        <v>1266</v>
      </c>
      <c r="G1128" t="s">
        <v>1347</v>
      </c>
      <c r="H1128" t="s">
        <v>5064</v>
      </c>
      <c r="I1128" t="s">
        <v>6405</v>
      </c>
      <c r="J1128" t="s">
        <v>7174</v>
      </c>
      <c r="K1128">
        <v>11216</v>
      </c>
      <c r="N1128" t="s">
        <v>7237</v>
      </c>
      <c r="O1128" t="s">
        <v>8034</v>
      </c>
      <c r="P1128">
        <v>1</v>
      </c>
      <c r="Q1128">
        <v>0</v>
      </c>
      <c r="R1128">
        <v>708.4</v>
      </c>
      <c r="T1128" t="s">
        <v>10276</v>
      </c>
      <c r="U1128">
        <v>86000</v>
      </c>
      <c r="V1128" t="s">
        <v>10379</v>
      </c>
      <c r="W1128">
        <v>0</v>
      </c>
      <c r="Y1128" t="s">
        <v>225</v>
      </c>
      <c r="AA1128" t="s">
        <v>10974</v>
      </c>
      <c r="AB1128" t="s">
        <v>473</v>
      </c>
      <c r="AD1128" t="s">
        <v>11086</v>
      </c>
      <c r="AF1128" t="s">
        <v>10384</v>
      </c>
      <c r="AH1128" t="s">
        <v>10974</v>
      </c>
      <c r="AJ1128" t="s">
        <v>11134</v>
      </c>
      <c r="AK1128" t="s">
        <v>7225</v>
      </c>
      <c r="AM1128">
        <v>1450</v>
      </c>
      <c r="AO1128">
        <v>8</v>
      </c>
      <c r="AQ1128" t="s">
        <v>11157</v>
      </c>
      <c r="AS1128" t="s">
        <v>11173</v>
      </c>
      <c r="AU1128">
        <v>2</v>
      </c>
      <c r="AW1128" t="s">
        <v>11187</v>
      </c>
      <c r="AY1128" t="s">
        <v>11213</v>
      </c>
      <c r="AZ1128" t="s">
        <v>11221</v>
      </c>
      <c r="BC1128" t="s">
        <v>11173</v>
      </c>
      <c r="BE1128" t="s">
        <v>12356</v>
      </c>
      <c r="BF1128" t="s">
        <v>14364</v>
      </c>
      <c r="BG1128" t="s">
        <v>11086</v>
      </c>
      <c r="BM1128" t="s">
        <v>15650</v>
      </c>
    </row>
    <row r="1129" spans="1:65">
      <c r="A1129" s="1">
        <f>HYPERLINK("https://lsnyc.legalserver.org/matter/dynamic-profile/view/1915683","19-1915683")</f>
        <v>0</v>
      </c>
      <c r="B1129" t="s">
        <v>117</v>
      </c>
      <c r="C1129" t="s">
        <v>248</v>
      </c>
      <c r="D1129" t="s">
        <v>528</v>
      </c>
      <c r="F1129" t="s">
        <v>1686</v>
      </c>
      <c r="G1129" t="s">
        <v>2913</v>
      </c>
      <c r="H1129" t="s">
        <v>5228</v>
      </c>
      <c r="I1129">
        <v>1</v>
      </c>
      <c r="J1129" t="s">
        <v>7174</v>
      </c>
      <c r="K1129">
        <v>11207</v>
      </c>
      <c r="N1129" t="s">
        <v>7237</v>
      </c>
      <c r="O1129" t="s">
        <v>8036</v>
      </c>
      <c r="P1129">
        <v>2</v>
      </c>
      <c r="Q1129">
        <v>2</v>
      </c>
      <c r="R1129">
        <v>121.17</v>
      </c>
      <c r="U1129">
        <v>31200</v>
      </c>
      <c r="W1129">
        <v>0</v>
      </c>
      <c r="Y1129" t="s">
        <v>101</v>
      </c>
      <c r="Z1129" t="s">
        <v>10972</v>
      </c>
      <c r="AA1129" t="s">
        <v>10976</v>
      </c>
      <c r="AD1129" t="s">
        <v>11083</v>
      </c>
      <c r="AE1129" t="s">
        <v>11117</v>
      </c>
      <c r="AH1129" t="s">
        <v>10975</v>
      </c>
      <c r="AJ1129" t="s">
        <v>11130</v>
      </c>
      <c r="AK1129" t="s">
        <v>7225</v>
      </c>
      <c r="AM1129">
        <v>2400</v>
      </c>
      <c r="AO1129">
        <v>2</v>
      </c>
      <c r="AQ1129" t="s">
        <v>11156</v>
      </c>
      <c r="AS1129" t="s">
        <v>11173</v>
      </c>
      <c r="AU1129">
        <v>4</v>
      </c>
      <c r="AW1129" t="s">
        <v>11187</v>
      </c>
      <c r="AX1129" t="s">
        <v>11212</v>
      </c>
      <c r="AZ1129" t="s">
        <v>11221</v>
      </c>
      <c r="BC1129" t="s">
        <v>11173</v>
      </c>
      <c r="BE1129" t="s">
        <v>12358</v>
      </c>
      <c r="BG1129" t="s">
        <v>14681</v>
      </c>
      <c r="BM1129" t="s">
        <v>15650</v>
      </c>
    </row>
    <row r="1130" spans="1:65">
      <c r="A1130" s="1">
        <f>HYPERLINK("https://lsnyc.legalserver.org/matter/dynamic-profile/view/1876621","18-1876621")</f>
        <v>0</v>
      </c>
      <c r="B1130" t="s">
        <v>117</v>
      </c>
      <c r="C1130" t="s">
        <v>248</v>
      </c>
      <c r="D1130" t="s">
        <v>662</v>
      </c>
      <c r="F1130" t="s">
        <v>1545</v>
      </c>
      <c r="G1130" t="s">
        <v>3453</v>
      </c>
      <c r="H1130" t="s">
        <v>5064</v>
      </c>
      <c r="I1130" t="s">
        <v>6682</v>
      </c>
      <c r="J1130" t="s">
        <v>7174</v>
      </c>
      <c r="K1130">
        <v>11216</v>
      </c>
      <c r="N1130" t="s">
        <v>7237</v>
      </c>
      <c r="O1130" t="s">
        <v>8037</v>
      </c>
      <c r="P1130">
        <v>1</v>
      </c>
      <c r="Q1130">
        <v>0</v>
      </c>
      <c r="R1130">
        <v>373.9</v>
      </c>
      <c r="S1130" t="s">
        <v>372</v>
      </c>
      <c r="T1130" t="s">
        <v>10276</v>
      </c>
      <c r="U1130">
        <v>45392</v>
      </c>
      <c r="V1130" t="s">
        <v>10334</v>
      </c>
      <c r="W1130">
        <v>0</v>
      </c>
      <c r="Y1130" t="s">
        <v>225</v>
      </c>
      <c r="AA1130" t="s">
        <v>10974</v>
      </c>
      <c r="AB1130" t="s">
        <v>518</v>
      </c>
      <c r="AD1130" t="s">
        <v>11086</v>
      </c>
      <c r="AF1130" t="s">
        <v>10384</v>
      </c>
      <c r="AG1130" t="s">
        <v>11124</v>
      </c>
      <c r="AJ1130" t="s">
        <v>11134</v>
      </c>
      <c r="AK1130" t="s">
        <v>7225</v>
      </c>
      <c r="AM1130">
        <v>2450</v>
      </c>
      <c r="AO1130">
        <v>82</v>
      </c>
      <c r="AQ1130" t="s">
        <v>11157</v>
      </c>
      <c r="AS1130" t="s">
        <v>11173</v>
      </c>
      <c r="AU1130">
        <v>1</v>
      </c>
      <c r="AW1130" t="s">
        <v>11187</v>
      </c>
      <c r="AZ1130" t="s">
        <v>11221</v>
      </c>
      <c r="BE1130" t="s">
        <v>12359</v>
      </c>
      <c r="BF1130" t="s">
        <v>14364</v>
      </c>
      <c r="BG1130" t="s">
        <v>11086</v>
      </c>
      <c r="BM1130" t="s">
        <v>15650</v>
      </c>
    </row>
    <row r="1131" spans="1:65">
      <c r="A1131" s="1">
        <f>HYPERLINK("https://lsnyc.legalserver.org/matter/dynamic-profile/view/1908269","19-1908269")</f>
        <v>0</v>
      </c>
      <c r="B1131" t="s">
        <v>117</v>
      </c>
      <c r="C1131" t="s">
        <v>248</v>
      </c>
      <c r="D1131" t="s">
        <v>578</v>
      </c>
      <c r="F1131" t="s">
        <v>1671</v>
      </c>
      <c r="G1131" t="s">
        <v>3454</v>
      </c>
      <c r="H1131" t="s">
        <v>5222</v>
      </c>
      <c r="I1131">
        <v>5</v>
      </c>
      <c r="J1131" t="s">
        <v>7174</v>
      </c>
      <c r="K1131">
        <v>11233</v>
      </c>
      <c r="N1131" t="s">
        <v>7237</v>
      </c>
      <c r="O1131" t="s">
        <v>8038</v>
      </c>
      <c r="P1131">
        <v>1</v>
      </c>
      <c r="Q1131">
        <v>0</v>
      </c>
      <c r="R1131">
        <v>31.22</v>
      </c>
      <c r="U1131">
        <v>3900</v>
      </c>
      <c r="W1131">
        <v>0</v>
      </c>
      <c r="Y1131" t="s">
        <v>225</v>
      </c>
      <c r="AA1131" t="s">
        <v>10974</v>
      </c>
      <c r="AB1131" t="s">
        <v>660</v>
      </c>
      <c r="AD1131" t="s">
        <v>11100</v>
      </c>
      <c r="AF1131" t="s">
        <v>10384</v>
      </c>
      <c r="AH1131" t="s">
        <v>10975</v>
      </c>
      <c r="AI1131" t="s">
        <v>11126</v>
      </c>
      <c r="AK1131" t="s">
        <v>7225</v>
      </c>
      <c r="AM1131">
        <v>1550</v>
      </c>
      <c r="AO1131">
        <v>12</v>
      </c>
      <c r="AQ1131" t="s">
        <v>11157</v>
      </c>
      <c r="AS1131" t="s">
        <v>11177</v>
      </c>
      <c r="AU1131">
        <v>4</v>
      </c>
      <c r="AW1131" t="s">
        <v>11187</v>
      </c>
      <c r="AY1131" t="s">
        <v>11213</v>
      </c>
      <c r="BA1131" t="s">
        <v>11222</v>
      </c>
      <c r="BC1131" t="s">
        <v>11283</v>
      </c>
      <c r="BE1131" t="s">
        <v>12360</v>
      </c>
      <c r="BF1131" t="s">
        <v>14364</v>
      </c>
      <c r="BG1131" t="s">
        <v>11228</v>
      </c>
      <c r="BM1131" t="s">
        <v>15650</v>
      </c>
    </row>
    <row r="1132" spans="1:65">
      <c r="A1132" s="1">
        <f>HYPERLINK("https://lsnyc.legalserver.org/matter/dynamic-profile/view/1876570","18-1876570")</f>
        <v>0</v>
      </c>
      <c r="B1132" t="s">
        <v>117</v>
      </c>
      <c r="C1132" t="s">
        <v>248</v>
      </c>
      <c r="D1132" t="s">
        <v>662</v>
      </c>
      <c r="F1132" t="s">
        <v>1093</v>
      </c>
      <c r="G1132" t="s">
        <v>3455</v>
      </c>
      <c r="H1132" t="s">
        <v>5064</v>
      </c>
      <c r="I1132" t="s">
        <v>6499</v>
      </c>
      <c r="J1132" t="s">
        <v>7174</v>
      </c>
      <c r="K1132">
        <v>11216</v>
      </c>
      <c r="N1132" t="s">
        <v>7237</v>
      </c>
      <c r="O1132" t="s">
        <v>8039</v>
      </c>
      <c r="P1132">
        <v>2</v>
      </c>
      <c r="Q1132">
        <v>0</v>
      </c>
      <c r="R1132">
        <v>212.64</v>
      </c>
      <c r="S1132" t="s">
        <v>372</v>
      </c>
      <c r="T1132" t="s">
        <v>10276</v>
      </c>
      <c r="U1132">
        <v>35000</v>
      </c>
      <c r="V1132" t="s">
        <v>10334</v>
      </c>
      <c r="W1132">
        <v>0</v>
      </c>
      <c r="Y1132" t="s">
        <v>225</v>
      </c>
      <c r="AA1132" t="s">
        <v>10974</v>
      </c>
      <c r="AB1132" t="s">
        <v>678</v>
      </c>
      <c r="AD1132" t="s">
        <v>11085</v>
      </c>
      <c r="AF1132" t="s">
        <v>11118</v>
      </c>
      <c r="AH1132" t="s">
        <v>10974</v>
      </c>
      <c r="AJ1132" t="s">
        <v>11134</v>
      </c>
      <c r="AK1132" t="s">
        <v>7225</v>
      </c>
      <c r="AM1132">
        <v>2300</v>
      </c>
      <c r="AO1132">
        <v>8</v>
      </c>
      <c r="AQ1132" t="s">
        <v>11157</v>
      </c>
      <c r="AS1132" t="s">
        <v>11173</v>
      </c>
      <c r="AU1132">
        <v>2</v>
      </c>
      <c r="AW1132" t="s">
        <v>11187</v>
      </c>
      <c r="AZ1132" t="s">
        <v>11221</v>
      </c>
      <c r="BE1132" t="s">
        <v>12361</v>
      </c>
      <c r="BG1132" t="s">
        <v>14673</v>
      </c>
      <c r="BM1132" t="s">
        <v>15650</v>
      </c>
    </row>
    <row r="1133" spans="1:65">
      <c r="A1133" s="1">
        <f>HYPERLINK("https://lsnyc.legalserver.org/matter/dynamic-profile/view/1876567","18-1876567")</f>
        <v>0</v>
      </c>
      <c r="B1133" t="s">
        <v>117</v>
      </c>
      <c r="C1133" t="s">
        <v>248</v>
      </c>
      <c r="D1133" t="s">
        <v>662</v>
      </c>
      <c r="F1133" t="s">
        <v>1093</v>
      </c>
      <c r="G1133" t="s">
        <v>3455</v>
      </c>
      <c r="H1133" t="s">
        <v>5064</v>
      </c>
      <c r="I1133" t="s">
        <v>6499</v>
      </c>
      <c r="J1133" t="s">
        <v>7174</v>
      </c>
      <c r="K1133">
        <v>11216</v>
      </c>
      <c r="N1133" t="s">
        <v>7237</v>
      </c>
      <c r="O1133" t="s">
        <v>8039</v>
      </c>
      <c r="P1133">
        <v>2</v>
      </c>
      <c r="Q1133">
        <v>0</v>
      </c>
      <c r="R1133">
        <v>212.64</v>
      </c>
      <c r="S1133" t="s">
        <v>372</v>
      </c>
      <c r="T1133" t="s">
        <v>10276</v>
      </c>
      <c r="U1133">
        <v>35000</v>
      </c>
      <c r="V1133" t="s">
        <v>10334</v>
      </c>
      <c r="W1133">
        <v>0</v>
      </c>
      <c r="Y1133" t="s">
        <v>225</v>
      </c>
      <c r="AA1133" t="s">
        <v>10974</v>
      </c>
      <c r="AB1133" t="s">
        <v>508</v>
      </c>
      <c r="AD1133" t="s">
        <v>11090</v>
      </c>
      <c r="AF1133" t="s">
        <v>10384</v>
      </c>
      <c r="AH1133" t="s">
        <v>10974</v>
      </c>
      <c r="AJ1133" t="s">
        <v>11134</v>
      </c>
      <c r="AK1133" t="s">
        <v>7225</v>
      </c>
      <c r="AM1133">
        <v>2300</v>
      </c>
      <c r="AO1133">
        <v>8</v>
      </c>
      <c r="AQ1133" t="s">
        <v>11157</v>
      </c>
      <c r="AS1133" t="s">
        <v>11173</v>
      </c>
      <c r="AU1133">
        <v>2</v>
      </c>
      <c r="AW1133" t="s">
        <v>11187</v>
      </c>
      <c r="AZ1133" t="s">
        <v>11221</v>
      </c>
      <c r="BE1133" t="s">
        <v>12361</v>
      </c>
      <c r="BF1133" t="s">
        <v>14364</v>
      </c>
      <c r="BG1133" t="s">
        <v>11086</v>
      </c>
      <c r="BM1133" t="s">
        <v>15650</v>
      </c>
    </row>
    <row r="1134" spans="1:65">
      <c r="A1134" s="1">
        <f>HYPERLINK("https://lsnyc.legalserver.org/matter/dynamic-profile/view/1902106","19-1902106")</f>
        <v>0</v>
      </c>
      <c r="B1134" t="s">
        <v>117</v>
      </c>
      <c r="C1134" t="s">
        <v>248</v>
      </c>
      <c r="D1134" t="s">
        <v>590</v>
      </c>
      <c r="F1134" t="s">
        <v>1687</v>
      </c>
      <c r="G1134" t="s">
        <v>3456</v>
      </c>
      <c r="H1134" t="s">
        <v>5064</v>
      </c>
      <c r="I1134" t="s">
        <v>6449</v>
      </c>
      <c r="J1134" t="s">
        <v>7174</v>
      </c>
      <c r="K1134">
        <v>11216</v>
      </c>
      <c r="N1134" t="s">
        <v>7237</v>
      </c>
      <c r="O1134" t="s">
        <v>8040</v>
      </c>
      <c r="P1134">
        <v>1</v>
      </c>
      <c r="Q1134">
        <v>0</v>
      </c>
      <c r="R1134">
        <v>730.1799999999999</v>
      </c>
      <c r="U1134">
        <v>91200</v>
      </c>
      <c r="V1134" t="s">
        <v>10370</v>
      </c>
      <c r="W1134">
        <v>0</v>
      </c>
      <c r="Y1134" t="s">
        <v>225</v>
      </c>
      <c r="AA1134" t="s">
        <v>10974</v>
      </c>
      <c r="AB1134" t="s">
        <v>590</v>
      </c>
      <c r="AD1134" t="s">
        <v>11085</v>
      </c>
      <c r="AF1134" t="s">
        <v>11118</v>
      </c>
      <c r="AH1134" t="s">
        <v>10974</v>
      </c>
      <c r="AJ1134" t="s">
        <v>11134</v>
      </c>
      <c r="AK1134" t="s">
        <v>7225</v>
      </c>
      <c r="AL1134" t="s">
        <v>11150</v>
      </c>
      <c r="AM1134">
        <v>0</v>
      </c>
      <c r="AO1134">
        <v>82</v>
      </c>
      <c r="AQ1134" t="s">
        <v>11157</v>
      </c>
      <c r="AS1134" t="s">
        <v>11173</v>
      </c>
      <c r="AT1134" t="s">
        <v>11184</v>
      </c>
      <c r="AU1134">
        <v>0</v>
      </c>
      <c r="AW1134" t="s">
        <v>11205</v>
      </c>
      <c r="AY1134" t="s">
        <v>11213</v>
      </c>
      <c r="BA1134" t="s">
        <v>11222</v>
      </c>
      <c r="BC1134" t="s">
        <v>11228</v>
      </c>
      <c r="BE1134" t="s">
        <v>12362</v>
      </c>
      <c r="BF1134" t="s">
        <v>14364</v>
      </c>
      <c r="BG1134" t="s">
        <v>14676</v>
      </c>
      <c r="BM1134" t="s">
        <v>15650</v>
      </c>
    </row>
    <row r="1135" spans="1:65">
      <c r="A1135" s="1">
        <f>HYPERLINK("https://lsnyc.legalserver.org/matter/dynamic-profile/view/1908272","19-1908272")</f>
        <v>0</v>
      </c>
      <c r="B1135" t="s">
        <v>117</v>
      </c>
      <c r="C1135" t="s">
        <v>248</v>
      </c>
      <c r="D1135" t="s">
        <v>578</v>
      </c>
      <c r="F1135" t="s">
        <v>1671</v>
      </c>
      <c r="G1135" t="s">
        <v>3454</v>
      </c>
      <c r="H1135" t="s">
        <v>5222</v>
      </c>
      <c r="I1135">
        <v>5</v>
      </c>
      <c r="J1135" t="s">
        <v>7174</v>
      </c>
      <c r="K1135">
        <v>11233</v>
      </c>
      <c r="N1135" t="s">
        <v>7237</v>
      </c>
      <c r="O1135" t="s">
        <v>8038</v>
      </c>
      <c r="P1135">
        <v>1</v>
      </c>
      <c r="Q1135">
        <v>0</v>
      </c>
      <c r="R1135">
        <v>31.22</v>
      </c>
      <c r="U1135">
        <v>3900</v>
      </c>
      <c r="W1135">
        <v>10.4</v>
      </c>
      <c r="X1135" t="s">
        <v>306</v>
      </c>
      <c r="Y1135" t="s">
        <v>225</v>
      </c>
      <c r="AA1135" t="s">
        <v>10974</v>
      </c>
      <c r="AB1135" t="s">
        <v>384</v>
      </c>
      <c r="AD1135" t="s">
        <v>11101</v>
      </c>
      <c r="AF1135" t="s">
        <v>11118</v>
      </c>
      <c r="AH1135" t="s">
        <v>10975</v>
      </c>
      <c r="AI1135" t="s">
        <v>11126</v>
      </c>
      <c r="AK1135" t="s">
        <v>7225</v>
      </c>
      <c r="AM1135">
        <v>1550</v>
      </c>
      <c r="AO1135">
        <v>12</v>
      </c>
      <c r="AQ1135" t="s">
        <v>11157</v>
      </c>
      <c r="AS1135" t="s">
        <v>11177</v>
      </c>
      <c r="AU1135">
        <v>4</v>
      </c>
      <c r="AW1135" t="s">
        <v>11187</v>
      </c>
      <c r="AY1135" t="s">
        <v>11213</v>
      </c>
      <c r="BA1135" t="s">
        <v>11222</v>
      </c>
      <c r="BC1135" t="s">
        <v>11234</v>
      </c>
      <c r="BE1135" t="s">
        <v>12360</v>
      </c>
      <c r="BF1135" t="s">
        <v>14364</v>
      </c>
      <c r="BM1135" t="s">
        <v>15650</v>
      </c>
    </row>
    <row r="1136" spans="1:65">
      <c r="A1136" s="1">
        <f>HYPERLINK("https://lsnyc.legalserver.org/matter/dynamic-profile/view/1906138","19-1906138")</f>
        <v>0</v>
      </c>
      <c r="B1136" t="s">
        <v>117</v>
      </c>
      <c r="C1136" t="s">
        <v>248</v>
      </c>
      <c r="D1136" t="s">
        <v>349</v>
      </c>
      <c r="F1136" t="s">
        <v>1688</v>
      </c>
      <c r="G1136" t="s">
        <v>3457</v>
      </c>
      <c r="H1136" t="s">
        <v>5064</v>
      </c>
      <c r="I1136" t="s">
        <v>6610</v>
      </c>
      <c r="J1136" t="s">
        <v>7174</v>
      </c>
      <c r="K1136">
        <v>11216</v>
      </c>
      <c r="N1136" t="s">
        <v>7237</v>
      </c>
      <c r="O1136" t="s">
        <v>8041</v>
      </c>
      <c r="P1136">
        <v>2</v>
      </c>
      <c r="Q1136">
        <v>0</v>
      </c>
      <c r="R1136">
        <v>236.55</v>
      </c>
      <c r="T1136" t="s">
        <v>10276</v>
      </c>
      <c r="U1136">
        <v>40000</v>
      </c>
      <c r="W1136">
        <v>0</v>
      </c>
      <c r="Y1136" t="s">
        <v>225</v>
      </c>
      <c r="AA1136" t="s">
        <v>10974</v>
      </c>
      <c r="AB1136" t="s">
        <v>349</v>
      </c>
      <c r="AD1136" t="s">
        <v>11086</v>
      </c>
      <c r="AF1136" t="s">
        <v>10384</v>
      </c>
      <c r="AH1136" t="s">
        <v>10974</v>
      </c>
      <c r="AJ1136" t="s">
        <v>11134</v>
      </c>
      <c r="AK1136" t="s">
        <v>7225</v>
      </c>
      <c r="AL1136" t="s">
        <v>11150</v>
      </c>
      <c r="AM1136">
        <v>0</v>
      </c>
      <c r="AO1136">
        <v>82</v>
      </c>
      <c r="AQ1136" t="s">
        <v>11157</v>
      </c>
      <c r="AS1136" t="s">
        <v>11173</v>
      </c>
      <c r="AU1136">
        <v>1</v>
      </c>
      <c r="AW1136" t="s">
        <v>11187</v>
      </c>
      <c r="AY1136" t="s">
        <v>11213</v>
      </c>
      <c r="BA1136" t="s">
        <v>11222</v>
      </c>
      <c r="BC1136" t="s">
        <v>11228</v>
      </c>
      <c r="BE1136" t="s">
        <v>12363</v>
      </c>
      <c r="BF1136" t="s">
        <v>14364</v>
      </c>
      <c r="BG1136" t="s">
        <v>11086</v>
      </c>
      <c r="BM1136" t="s">
        <v>15650</v>
      </c>
    </row>
    <row r="1137" spans="1:65">
      <c r="A1137" s="1">
        <f>HYPERLINK("https://lsnyc.legalserver.org/matter/dynamic-profile/view/1876806","18-1876806")</f>
        <v>0</v>
      </c>
      <c r="B1137" t="s">
        <v>117</v>
      </c>
      <c r="C1137" t="s">
        <v>248</v>
      </c>
      <c r="D1137" t="s">
        <v>656</v>
      </c>
      <c r="F1137" t="s">
        <v>1689</v>
      </c>
      <c r="G1137" t="s">
        <v>3458</v>
      </c>
      <c r="H1137" t="s">
        <v>5064</v>
      </c>
      <c r="I1137" t="s">
        <v>6408</v>
      </c>
      <c r="J1137" t="s">
        <v>7174</v>
      </c>
      <c r="K1137">
        <v>11216</v>
      </c>
      <c r="N1137" t="s">
        <v>7237</v>
      </c>
      <c r="O1137" t="s">
        <v>8042</v>
      </c>
      <c r="P1137">
        <v>1</v>
      </c>
      <c r="Q1137">
        <v>0</v>
      </c>
      <c r="R1137">
        <v>577.11</v>
      </c>
      <c r="U1137">
        <v>70061</v>
      </c>
      <c r="V1137" t="s">
        <v>10334</v>
      </c>
      <c r="W1137">
        <v>0.1</v>
      </c>
      <c r="X1137" t="s">
        <v>562</v>
      </c>
      <c r="Y1137" t="s">
        <v>225</v>
      </c>
      <c r="AA1137" t="s">
        <v>10974</v>
      </c>
      <c r="AB1137" t="s">
        <v>878</v>
      </c>
      <c r="AD1137" t="s">
        <v>11086</v>
      </c>
      <c r="AF1137" t="s">
        <v>10384</v>
      </c>
      <c r="AH1137" t="s">
        <v>10974</v>
      </c>
      <c r="AJ1137" t="s">
        <v>11134</v>
      </c>
      <c r="AK1137" t="s">
        <v>7225</v>
      </c>
      <c r="AM1137">
        <v>1350</v>
      </c>
      <c r="AO1137">
        <v>82</v>
      </c>
      <c r="AQ1137" t="s">
        <v>11157</v>
      </c>
      <c r="AS1137" t="s">
        <v>11173</v>
      </c>
      <c r="AU1137">
        <v>1</v>
      </c>
      <c r="AW1137" t="s">
        <v>11187</v>
      </c>
      <c r="AZ1137" t="s">
        <v>11221</v>
      </c>
      <c r="BE1137" t="s">
        <v>12364</v>
      </c>
      <c r="BF1137" t="s">
        <v>14364</v>
      </c>
      <c r="BG1137" t="s">
        <v>11086</v>
      </c>
      <c r="BM1137" t="s">
        <v>15650</v>
      </c>
    </row>
    <row r="1138" spans="1:65">
      <c r="A1138" s="1">
        <f>HYPERLINK("https://lsnyc.legalserver.org/matter/dynamic-profile/view/1876914","18-1876914")</f>
        <v>0</v>
      </c>
      <c r="B1138" t="s">
        <v>117</v>
      </c>
      <c r="C1138" t="s">
        <v>248</v>
      </c>
      <c r="D1138" t="s">
        <v>658</v>
      </c>
      <c r="F1138" t="s">
        <v>1683</v>
      </c>
      <c r="G1138" t="s">
        <v>3449</v>
      </c>
      <c r="H1138" t="s">
        <v>5064</v>
      </c>
      <c r="I1138" t="s">
        <v>6471</v>
      </c>
      <c r="J1138" t="s">
        <v>7174</v>
      </c>
      <c r="K1138">
        <v>11216</v>
      </c>
      <c r="N1138" t="s">
        <v>7237</v>
      </c>
      <c r="O1138" t="s">
        <v>8030</v>
      </c>
      <c r="P1138">
        <v>1</v>
      </c>
      <c r="Q1138">
        <v>0</v>
      </c>
      <c r="R1138">
        <v>494.23</v>
      </c>
      <c r="S1138" t="s">
        <v>372</v>
      </c>
      <c r="T1138" t="s">
        <v>10276</v>
      </c>
      <c r="U1138">
        <v>60000</v>
      </c>
      <c r="V1138" t="s">
        <v>10380</v>
      </c>
      <c r="W1138">
        <v>0</v>
      </c>
      <c r="Y1138" t="s">
        <v>225</v>
      </c>
      <c r="AA1138" t="s">
        <v>10974</v>
      </c>
      <c r="AB1138" t="s">
        <v>794</v>
      </c>
      <c r="AD1138" t="s">
        <v>11085</v>
      </c>
      <c r="AF1138" t="s">
        <v>11118</v>
      </c>
      <c r="AH1138" t="s">
        <v>10974</v>
      </c>
      <c r="AJ1138" t="s">
        <v>11134</v>
      </c>
      <c r="AK1138" t="s">
        <v>7225</v>
      </c>
      <c r="AM1138">
        <v>2200</v>
      </c>
      <c r="AO1138">
        <v>82</v>
      </c>
      <c r="AQ1138" t="s">
        <v>11157</v>
      </c>
      <c r="AS1138" t="s">
        <v>11173</v>
      </c>
      <c r="AU1138">
        <v>1</v>
      </c>
      <c r="AW1138" t="s">
        <v>11187</v>
      </c>
      <c r="AZ1138" t="s">
        <v>11221</v>
      </c>
      <c r="BE1138" t="s">
        <v>12351</v>
      </c>
      <c r="BG1138" t="s">
        <v>14673</v>
      </c>
      <c r="BM1138" t="s">
        <v>15650</v>
      </c>
    </row>
    <row r="1139" spans="1:65">
      <c r="A1139" s="1">
        <f>HYPERLINK("https://lsnyc.legalserver.org/matter/dynamic-profile/view/1893325","19-1893325")</f>
        <v>0</v>
      </c>
      <c r="B1139" t="s">
        <v>117</v>
      </c>
      <c r="C1139" t="s">
        <v>248</v>
      </c>
      <c r="D1139" t="s">
        <v>567</v>
      </c>
      <c r="F1139" t="s">
        <v>1690</v>
      </c>
      <c r="G1139" t="s">
        <v>3459</v>
      </c>
      <c r="H1139" t="s">
        <v>5229</v>
      </c>
      <c r="I1139" t="s">
        <v>6686</v>
      </c>
      <c r="J1139" t="s">
        <v>7174</v>
      </c>
      <c r="K1139">
        <v>11212</v>
      </c>
      <c r="N1139" t="s">
        <v>7237</v>
      </c>
      <c r="O1139" t="s">
        <v>8043</v>
      </c>
      <c r="P1139">
        <v>2</v>
      </c>
      <c r="Q1139">
        <v>0</v>
      </c>
      <c r="R1139">
        <v>351.79</v>
      </c>
      <c r="U1139">
        <v>59488</v>
      </c>
      <c r="V1139" t="s">
        <v>10381</v>
      </c>
      <c r="W1139">
        <v>0.1</v>
      </c>
      <c r="X1139" t="s">
        <v>650</v>
      </c>
      <c r="Y1139" t="s">
        <v>101</v>
      </c>
      <c r="AA1139" t="s">
        <v>10974</v>
      </c>
      <c r="AB1139" t="s">
        <v>403</v>
      </c>
      <c r="AD1139" t="s">
        <v>11098</v>
      </c>
      <c r="AF1139" t="s">
        <v>11119</v>
      </c>
      <c r="AH1139" t="s">
        <v>10974</v>
      </c>
      <c r="AJ1139" t="s">
        <v>11141</v>
      </c>
      <c r="AK1139" t="s">
        <v>7225</v>
      </c>
      <c r="AM1139">
        <v>1489</v>
      </c>
      <c r="AO1139">
        <v>38</v>
      </c>
      <c r="AQ1139" t="s">
        <v>11157</v>
      </c>
      <c r="AS1139" t="s">
        <v>11173</v>
      </c>
      <c r="AU1139">
        <v>6</v>
      </c>
      <c r="AW1139" t="s">
        <v>11187</v>
      </c>
      <c r="AY1139" t="s">
        <v>11213</v>
      </c>
      <c r="BA1139" t="s">
        <v>11222</v>
      </c>
      <c r="BC1139" t="s">
        <v>11173</v>
      </c>
      <c r="BE1139" t="s">
        <v>12365</v>
      </c>
      <c r="BF1139" t="s">
        <v>14364</v>
      </c>
      <c r="BG1139" t="s">
        <v>14410</v>
      </c>
      <c r="BM1139" t="s">
        <v>15650</v>
      </c>
    </row>
    <row r="1140" spans="1:65">
      <c r="A1140" s="1">
        <f>HYPERLINK("https://lsnyc.legalserver.org/matter/dynamic-profile/view/1879530","18-1879530")</f>
        <v>0</v>
      </c>
      <c r="B1140" t="s">
        <v>117</v>
      </c>
      <c r="C1140" t="s">
        <v>248</v>
      </c>
      <c r="D1140" t="s">
        <v>600</v>
      </c>
      <c r="F1140" t="s">
        <v>1691</v>
      </c>
      <c r="G1140" t="s">
        <v>3234</v>
      </c>
      <c r="H1140" t="s">
        <v>5064</v>
      </c>
      <c r="I1140" t="s">
        <v>6404</v>
      </c>
      <c r="J1140" t="s">
        <v>7174</v>
      </c>
      <c r="K1140">
        <v>11216</v>
      </c>
      <c r="N1140" t="s">
        <v>7237</v>
      </c>
      <c r="O1140" t="s">
        <v>8044</v>
      </c>
      <c r="P1140">
        <v>2</v>
      </c>
      <c r="Q1140">
        <v>5</v>
      </c>
      <c r="R1140">
        <v>315.29</v>
      </c>
      <c r="S1140" t="s">
        <v>372</v>
      </c>
      <c r="T1140" t="s">
        <v>10276</v>
      </c>
      <c r="U1140">
        <v>120000</v>
      </c>
      <c r="V1140" t="s">
        <v>10334</v>
      </c>
      <c r="W1140">
        <v>0</v>
      </c>
      <c r="Y1140" t="s">
        <v>225</v>
      </c>
      <c r="AA1140" t="s">
        <v>10974</v>
      </c>
      <c r="AB1140" t="s">
        <v>577</v>
      </c>
      <c r="AD1140" t="s">
        <v>11085</v>
      </c>
      <c r="AF1140" t="s">
        <v>11118</v>
      </c>
      <c r="AH1140" t="s">
        <v>10974</v>
      </c>
      <c r="AJ1140" t="s">
        <v>11134</v>
      </c>
      <c r="AK1140" t="s">
        <v>7225</v>
      </c>
      <c r="AM1140">
        <v>2200</v>
      </c>
      <c r="AO1140">
        <v>82</v>
      </c>
      <c r="AQ1140" t="s">
        <v>11157</v>
      </c>
      <c r="AS1140" t="s">
        <v>11173</v>
      </c>
      <c r="AU1140">
        <v>5</v>
      </c>
      <c r="AW1140" t="s">
        <v>11187</v>
      </c>
      <c r="AY1140" t="s">
        <v>11213</v>
      </c>
      <c r="AZ1140" t="s">
        <v>11221</v>
      </c>
      <c r="BE1140" t="s">
        <v>12366</v>
      </c>
      <c r="BG1140" t="s">
        <v>14673</v>
      </c>
      <c r="BM1140" t="s">
        <v>15650</v>
      </c>
    </row>
    <row r="1141" spans="1:65">
      <c r="A1141" s="1">
        <f>HYPERLINK("https://lsnyc.legalserver.org/matter/dynamic-profile/view/1897435","19-1897435")</f>
        <v>0</v>
      </c>
      <c r="B1141" t="s">
        <v>117</v>
      </c>
      <c r="C1141" t="s">
        <v>248</v>
      </c>
      <c r="D1141" t="s">
        <v>664</v>
      </c>
      <c r="F1141" t="s">
        <v>1692</v>
      </c>
      <c r="G1141" t="s">
        <v>3460</v>
      </c>
      <c r="H1141" t="s">
        <v>5230</v>
      </c>
      <c r="I1141" t="s">
        <v>6430</v>
      </c>
      <c r="J1141" t="s">
        <v>7174</v>
      </c>
      <c r="K1141">
        <v>11233</v>
      </c>
      <c r="N1141" t="s">
        <v>7237</v>
      </c>
      <c r="O1141" t="s">
        <v>8045</v>
      </c>
      <c r="P1141">
        <v>1</v>
      </c>
      <c r="Q1141">
        <v>0</v>
      </c>
      <c r="R1141">
        <v>80.06</v>
      </c>
      <c r="U1141">
        <v>10000</v>
      </c>
      <c r="V1141" t="s">
        <v>10382</v>
      </c>
      <c r="W1141">
        <v>0</v>
      </c>
      <c r="Y1141" t="s">
        <v>225</v>
      </c>
      <c r="AA1141" t="s">
        <v>10974</v>
      </c>
      <c r="AB1141" t="s">
        <v>664</v>
      </c>
      <c r="AD1141" t="s">
        <v>11086</v>
      </c>
      <c r="AF1141" t="s">
        <v>10384</v>
      </c>
      <c r="AH1141" t="s">
        <v>10975</v>
      </c>
      <c r="AI1141" t="s">
        <v>11126</v>
      </c>
      <c r="AK1141" t="s">
        <v>7225</v>
      </c>
      <c r="AL1141" t="s">
        <v>11150</v>
      </c>
      <c r="AM1141">
        <v>0</v>
      </c>
      <c r="AO1141">
        <v>6</v>
      </c>
      <c r="AQ1141" t="s">
        <v>11157</v>
      </c>
      <c r="AR1141" t="s">
        <v>11172</v>
      </c>
      <c r="AT1141" t="s">
        <v>11184</v>
      </c>
      <c r="AU1141">
        <v>0</v>
      </c>
      <c r="AW1141" t="s">
        <v>11187</v>
      </c>
      <c r="AY1141" t="s">
        <v>11213</v>
      </c>
      <c r="AZ1141" t="s">
        <v>11221</v>
      </c>
      <c r="BE1141" t="s">
        <v>12367</v>
      </c>
      <c r="BF1141" t="s">
        <v>14364</v>
      </c>
      <c r="BG1141" t="s">
        <v>14410</v>
      </c>
      <c r="BM1141" t="s">
        <v>15650</v>
      </c>
    </row>
    <row r="1142" spans="1:65">
      <c r="A1142" s="1">
        <f>HYPERLINK("https://lsnyc.legalserver.org/matter/dynamic-profile/view/1879577","18-1879577")</f>
        <v>0</v>
      </c>
      <c r="B1142" t="s">
        <v>117</v>
      </c>
      <c r="C1142" t="s">
        <v>248</v>
      </c>
      <c r="D1142" t="s">
        <v>600</v>
      </c>
      <c r="F1142" t="s">
        <v>1493</v>
      </c>
      <c r="G1142" t="s">
        <v>3461</v>
      </c>
      <c r="H1142" t="s">
        <v>5231</v>
      </c>
      <c r="I1142" t="s">
        <v>6436</v>
      </c>
      <c r="J1142" t="s">
        <v>7174</v>
      </c>
      <c r="K1142">
        <v>11212</v>
      </c>
      <c r="N1142" t="s">
        <v>7237</v>
      </c>
      <c r="O1142" t="s">
        <v>8046</v>
      </c>
      <c r="P1142">
        <v>2</v>
      </c>
      <c r="Q1142">
        <v>2</v>
      </c>
      <c r="R1142">
        <v>141.61</v>
      </c>
      <c r="U1142">
        <v>35543</v>
      </c>
      <c r="W1142">
        <v>0.7</v>
      </c>
      <c r="X1142" t="s">
        <v>511</v>
      </c>
      <c r="Y1142" t="s">
        <v>225</v>
      </c>
      <c r="AA1142" t="s">
        <v>10974</v>
      </c>
      <c r="AB1142" t="s">
        <v>775</v>
      </c>
      <c r="AD1142" t="s">
        <v>11085</v>
      </c>
      <c r="AF1142" t="s">
        <v>11118</v>
      </c>
      <c r="AG1142" t="s">
        <v>11124</v>
      </c>
      <c r="AJ1142" t="s">
        <v>11129</v>
      </c>
      <c r="AK1142" t="s">
        <v>7225</v>
      </c>
      <c r="AM1142">
        <v>1350</v>
      </c>
      <c r="AO1142">
        <v>6</v>
      </c>
      <c r="AQ1142" t="s">
        <v>11157</v>
      </c>
      <c r="AR1142" t="s">
        <v>11172</v>
      </c>
      <c r="AU1142">
        <v>4</v>
      </c>
      <c r="AW1142" t="s">
        <v>11187</v>
      </c>
      <c r="AZ1142" t="s">
        <v>11221</v>
      </c>
      <c r="BE1142" t="s">
        <v>12368</v>
      </c>
      <c r="BF1142" t="s">
        <v>14364</v>
      </c>
      <c r="BM1142" t="s">
        <v>15650</v>
      </c>
    </row>
    <row r="1143" spans="1:65">
      <c r="A1143" s="1">
        <f>HYPERLINK("https://lsnyc.legalserver.org/matter/dynamic-profile/view/1876389","18-1876389")</f>
        <v>0</v>
      </c>
      <c r="B1143" t="s">
        <v>117</v>
      </c>
      <c r="C1143" t="s">
        <v>248</v>
      </c>
      <c r="D1143" t="s">
        <v>491</v>
      </c>
      <c r="F1143" t="s">
        <v>1693</v>
      </c>
      <c r="G1143" t="s">
        <v>3462</v>
      </c>
      <c r="H1143" t="s">
        <v>5064</v>
      </c>
      <c r="I1143" t="s">
        <v>6667</v>
      </c>
      <c r="J1143" t="s">
        <v>7174</v>
      </c>
      <c r="K1143">
        <v>11216</v>
      </c>
      <c r="N1143" t="s">
        <v>7237</v>
      </c>
      <c r="O1143" t="s">
        <v>8047</v>
      </c>
      <c r="P1143">
        <v>1</v>
      </c>
      <c r="Q1143">
        <v>0</v>
      </c>
      <c r="R1143">
        <v>82.37</v>
      </c>
      <c r="U1143">
        <v>10000</v>
      </c>
      <c r="V1143" t="s">
        <v>10383</v>
      </c>
      <c r="W1143">
        <v>256.55</v>
      </c>
      <c r="X1143" t="s">
        <v>426</v>
      </c>
      <c r="Y1143" t="s">
        <v>117</v>
      </c>
      <c r="AA1143" t="s">
        <v>10974</v>
      </c>
      <c r="AB1143" t="s">
        <v>844</v>
      </c>
      <c r="AD1143" t="s">
        <v>11085</v>
      </c>
      <c r="AF1143" t="s">
        <v>11118</v>
      </c>
      <c r="AH1143" t="s">
        <v>10974</v>
      </c>
      <c r="AJ1143" t="s">
        <v>11129</v>
      </c>
      <c r="AK1143" t="s">
        <v>7225</v>
      </c>
      <c r="AM1143">
        <v>952.42</v>
      </c>
      <c r="AO1143">
        <v>82</v>
      </c>
      <c r="AQ1143" t="s">
        <v>11157</v>
      </c>
      <c r="AS1143" t="s">
        <v>11173</v>
      </c>
      <c r="AU1143">
        <v>7</v>
      </c>
      <c r="AW1143" t="s">
        <v>11187</v>
      </c>
      <c r="AY1143" t="s">
        <v>11213</v>
      </c>
      <c r="AZ1143" t="s">
        <v>11221</v>
      </c>
      <c r="BE1143" t="s">
        <v>12369</v>
      </c>
      <c r="BG1143" t="s">
        <v>14673</v>
      </c>
      <c r="BM1143" t="s">
        <v>15650</v>
      </c>
    </row>
    <row r="1144" spans="1:65">
      <c r="A1144" s="1">
        <f>HYPERLINK("https://lsnyc.legalserver.org/matter/dynamic-profile/view/1876808","18-1876808")</f>
        <v>0</v>
      </c>
      <c r="B1144" t="s">
        <v>117</v>
      </c>
      <c r="C1144" t="s">
        <v>248</v>
      </c>
      <c r="D1144" t="s">
        <v>656</v>
      </c>
      <c r="F1144" t="s">
        <v>1689</v>
      </c>
      <c r="G1144" t="s">
        <v>3458</v>
      </c>
      <c r="H1144" t="s">
        <v>5064</v>
      </c>
      <c r="I1144" t="s">
        <v>6408</v>
      </c>
      <c r="J1144" t="s">
        <v>7174</v>
      </c>
      <c r="K1144">
        <v>11216</v>
      </c>
      <c r="N1144" t="s">
        <v>7237</v>
      </c>
      <c r="O1144" t="s">
        <v>8042</v>
      </c>
      <c r="P1144">
        <v>1</v>
      </c>
      <c r="Q1144">
        <v>0</v>
      </c>
      <c r="R1144">
        <v>577.11</v>
      </c>
      <c r="U1144">
        <v>70061</v>
      </c>
      <c r="V1144" t="s">
        <v>10334</v>
      </c>
      <c r="W1144">
        <v>0</v>
      </c>
      <c r="Y1144" t="s">
        <v>225</v>
      </c>
      <c r="AA1144" t="s">
        <v>10974</v>
      </c>
      <c r="AB1144" t="s">
        <v>10998</v>
      </c>
      <c r="AD1144" t="s">
        <v>11085</v>
      </c>
      <c r="AF1144" t="s">
        <v>11118</v>
      </c>
      <c r="AH1144" t="s">
        <v>10974</v>
      </c>
      <c r="AJ1144" t="s">
        <v>11134</v>
      </c>
      <c r="AK1144" t="s">
        <v>7225</v>
      </c>
      <c r="AM1144">
        <v>1350</v>
      </c>
      <c r="AO1144">
        <v>82</v>
      </c>
      <c r="AQ1144" t="s">
        <v>11157</v>
      </c>
      <c r="AS1144" t="s">
        <v>11173</v>
      </c>
      <c r="AU1144">
        <v>1</v>
      </c>
      <c r="AW1144" t="s">
        <v>11187</v>
      </c>
      <c r="AZ1144" t="s">
        <v>11221</v>
      </c>
      <c r="BE1144" t="s">
        <v>12364</v>
      </c>
      <c r="BG1144" t="s">
        <v>14673</v>
      </c>
      <c r="BM1144" t="s">
        <v>15650</v>
      </c>
    </row>
    <row r="1145" spans="1:65">
      <c r="A1145" s="1">
        <f>HYPERLINK("https://lsnyc.legalserver.org/matter/dynamic-profile/view/1897431","19-1897431")</f>
        <v>0</v>
      </c>
      <c r="B1145" t="s">
        <v>117</v>
      </c>
      <c r="C1145" t="s">
        <v>248</v>
      </c>
      <c r="D1145" t="s">
        <v>664</v>
      </c>
      <c r="F1145" t="s">
        <v>1692</v>
      </c>
      <c r="G1145" t="s">
        <v>3460</v>
      </c>
      <c r="H1145" t="s">
        <v>5230</v>
      </c>
      <c r="I1145" t="s">
        <v>6430</v>
      </c>
      <c r="J1145" t="s">
        <v>7174</v>
      </c>
      <c r="K1145">
        <v>11233</v>
      </c>
      <c r="N1145" t="s">
        <v>7237</v>
      </c>
      <c r="O1145" t="s">
        <v>8045</v>
      </c>
      <c r="P1145">
        <v>1</v>
      </c>
      <c r="Q1145">
        <v>0</v>
      </c>
      <c r="R1145">
        <v>80.06</v>
      </c>
      <c r="U1145">
        <v>10000</v>
      </c>
      <c r="W1145">
        <v>33.5</v>
      </c>
      <c r="X1145" t="s">
        <v>798</v>
      </c>
      <c r="Y1145" t="s">
        <v>225</v>
      </c>
      <c r="AA1145" t="s">
        <v>10974</v>
      </c>
      <c r="AB1145" t="s">
        <v>503</v>
      </c>
      <c r="AD1145" t="s">
        <v>11100</v>
      </c>
      <c r="AF1145" t="s">
        <v>10384</v>
      </c>
      <c r="AH1145" t="s">
        <v>10975</v>
      </c>
      <c r="AJ1145" t="s">
        <v>11129</v>
      </c>
      <c r="AK1145" t="s">
        <v>7225</v>
      </c>
      <c r="AL1145" t="s">
        <v>11150</v>
      </c>
      <c r="AM1145">
        <v>0</v>
      </c>
      <c r="AO1145">
        <v>6</v>
      </c>
      <c r="AQ1145" t="s">
        <v>11157</v>
      </c>
      <c r="AR1145" t="s">
        <v>11172</v>
      </c>
      <c r="AT1145" t="s">
        <v>11184</v>
      </c>
      <c r="AU1145">
        <v>0</v>
      </c>
      <c r="AW1145" t="s">
        <v>11187</v>
      </c>
      <c r="AY1145" t="s">
        <v>11213</v>
      </c>
      <c r="AZ1145" t="s">
        <v>11221</v>
      </c>
      <c r="BE1145" t="s">
        <v>12367</v>
      </c>
      <c r="BF1145" t="s">
        <v>14364</v>
      </c>
      <c r="BM1145" t="s">
        <v>15650</v>
      </c>
    </row>
    <row r="1146" spans="1:65">
      <c r="A1146" s="1">
        <f>HYPERLINK("https://lsnyc.legalserver.org/matter/dynamic-profile/view/1871418","18-1871418")</f>
        <v>0</v>
      </c>
      <c r="B1146" t="s">
        <v>117</v>
      </c>
      <c r="C1146" t="s">
        <v>248</v>
      </c>
      <c r="D1146" t="s">
        <v>555</v>
      </c>
      <c r="F1146" t="s">
        <v>1493</v>
      </c>
      <c r="G1146" t="s">
        <v>3461</v>
      </c>
      <c r="H1146" t="s">
        <v>5231</v>
      </c>
      <c r="I1146" t="s">
        <v>6436</v>
      </c>
      <c r="J1146" t="s">
        <v>7174</v>
      </c>
      <c r="K1146">
        <v>11212</v>
      </c>
      <c r="N1146" t="s">
        <v>7237</v>
      </c>
      <c r="O1146" t="s">
        <v>8046</v>
      </c>
      <c r="P1146">
        <v>1</v>
      </c>
      <c r="Q1146">
        <v>3</v>
      </c>
      <c r="R1146">
        <v>144.48</v>
      </c>
      <c r="U1146">
        <v>35543</v>
      </c>
      <c r="W1146">
        <v>98.59999999999999</v>
      </c>
      <c r="X1146" t="s">
        <v>1008</v>
      </c>
      <c r="Y1146" t="s">
        <v>117</v>
      </c>
      <c r="AA1146" t="s">
        <v>10974</v>
      </c>
      <c r="AB1146" t="s">
        <v>775</v>
      </c>
      <c r="AD1146" t="s">
        <v>11101</v>
      </c>
      <c r="AF1146" t="s">
        <v>11118</v>
      </c>
      <c r="AH1146" t="s">
        <v>10974</v>
      </c>
      <c r="AJ1146" t="s">
        <v>11129</v>
      </c>
      <c r="AK1146" t="s">
        <v>7225</v>
      </c>
      <c r="AM1146">
        <v>1350</v>
      </c>
      <c r="AO1146">
        <v>6</v>
      </c>
      <c r="AQ1146" t="s">
        <v>11157</v>
      </c>
      <c r="AR1146" t="s">
        <v>11172</v>
      </c>
      <c r="AU1146">
        <v>4</v>
      </c>
      <c r="AW1146" t="s">
        <v>11187</v>
      </c>
      <c r="BA1146" t="s">
        <v>11222</v>
      </c>
      <c r="BE1146" t="s">
        <v>12368</v>
      </c>
      <c r="BF1146" t="s">
        <v>14364</v>
      </c>
      <c r="BG1146" t="s">
        <v>14682</v>
      </c>
      <c r="BM1146" t="s">
        <v>15650</v>
      </c>
    </row>
    <row r="1147" spans="1:65">
      <c r="A1147" s="1">
        <f>HYPERLINK("https://lsnyc.legalserver.org/matter/dynamic-profile/view/1876587","18-1876587")</f>
        <v>0</v>
      </c>
      <c r="B1147" t="s">
        <v>117</v>
      </c>
      <c r="C1147" t="s">
        <v>248</v>
      </c>
      <c r="D1147" t="s">
        <v>662</v>
      </c>
      <c r="F1147" t="s">
        <v>1694</v>
      </c>
      <c r="G1147" t="s">
        <v>3463</v>
      </c>
      <c r="H1147" t="s">
        <v>5064</v>
      </c>
      <c r="I1147" t="s">
        <v>6628</v>
      </c>
      <c r="J1147" t="s">
        <v>7174</v>
      </c>
      <c r="K1147">
        <v>11216</v>
      </c>
      <c r="N1147" t="s">
        <v>7237</v>
      </c>
      <c r="O1147" t="s">
        <v>8048</v>
      </c>
      <c r="P1147">
        <v>1</v>
      </c>
      <c r="Q1147">
        <v>0</v>
      </c>
      <c r="R1147">
        <v>576.61</v>
      </c>
      <c r="U1147">
        <v>70000</v>
      </c>
      <c r="V1147" t="s">
        <v>10334</v>
      </c>
      <c r="W1147">
        <v>0</v>
      </c>
      <c r="Y1147" t="s">
        <v>225</v>
      </c>
      <c r="AA1147" t="s">
        <v>10974</v>
      </c>
      <c r="AB1147" t="s">
        <v>508</v>
      </c>
      <c r="AD1147" t="s">
        <v>11086</v>
      </c>
      <c r="AF1147" t="s">
        <v>10384</v>
      </c>
      <c r="AH1147" t="s">
        <v>10974</v>
      </c>
      <c r="AJ1147" t="s">
        <v>11134</v>
      </c>
      <c r="AK1147" t="s">
        <v>7225</v>
      </c>
      <c r="AM1147">
        <v>1500</v>
      </c>
      <c r="AO1147">
        <v>8</v>
      </c>
      <c r="AQ1147" t="s">
        <v>11157</v>
      </c>
      <c r="AS1147" t="s">
        <v>11173</v>
      </c>
      <c r="AU1147">
        <v>1</v>
      </c>
      <c r="AW1147" t="s">
        <v>11187</v>
      </c>
      <c r="AZ1147" t="s">
        <v>11221</v>
      </c>
      <c r="BD1147" t="s">
        <v>11667</v>
      </c>
      <c r="BF1147" t="s">
        <v>14364</v>
      </c>
      <c r="BM1147" t="s">
        <v>15650</v>
      </c>
    </row>
    <row r="1148" spans="1:65">
      <c r="A1148" s="1">
        <f>HYPERLINK("https://lsnyc.legalserver.org/matter/dynamic-profile/view/1878068","18-1878068")</f>
        <v>0</v>
      </c>
      <c r="B1148" t="s">
        <v>117</v>
      </c>
      <c r="C1148" t="s">
        <v>248</v>
      </c>
      <c r="D1148" t="s">
        <v>279</v>
      </c>
      <c r="F1148" t="s">
        <v>1333</v>
      </c>
      <c r="G1148" t="s">
        <v>3464</v>
      </c>
      <c r="H1148" t="s">
        <v>5064</v>
      </c>
      <c r="I1148" t="s">
        <v>6497</v>
      </c>
      <c r="J1148" t="s">
        <v>7174</v>
      </c>
      <c r="K1148">
        <v>11216</v>
      </c>
      <c r="N1148" t="s">
        <v>7237</v>
      </c>
      <c r="O1148" t="s">
        <v>8049</v>
      </c>
      <c r="P1148">
        <v>2</v>
      </c>
      <c r="Q1148">
        <v>0</v>
      </c>
      <c r="R1148">
        <v>516.4</v>
      </c>
      <c r="S1148" t="s">
        <v>372</v>
      </c>
      <c r="T1148" t="s">
        <v>10276</v>
      </c>
      <c r="U1148">
        <v>85000</v>
      </c>
      <c r="V1148" t="s">
        <v>10334</v>
      </c>
      <c r="W1148">
        <v>0</v>
      </c>
      <c r="Y1148" t="s">
        <v>225</v>
      </c>
      <c r="AA1148" t="s">
        <v>10974</v>
      </c>
      <c r="AB1148" t="s">
        <v>668</v>
      </c>
      <c r="AD1148" t="s">
        <v>11085</v>
      </c>
      <c r="AF1148" t="s">
        <v>11118</v>
      </c>
      <c r="AG1148" t="s">
        <v>11124</v>
      </c>
      <c r="AJ1148" t="s">
        <v>11134</v>
      </c>
      <c r="AK1148" t="s">
        <v>7225</v>
      </c>
      <c r="AM1148">
        <v>1390.98</v>
      </c>
      <c r="AO1148">
        <v>82</v>
      </c>
      <c r="AQ1148" t="s">
        <v>11157</v>
      </c>
      <c r="AS1148" t="s">
        <v>11173</v>
      </c>
      <c r="AU1148">
        <v>7</v>
      </c>
      <c r="AW1148" t="s">
        <v>11187</v>
      </c>
      <c r="AZ1148" t="s">
        <v>11221</v>
      </c>
      <c r="BE1148" t="s">
        <v>12370</v>
      </c>
      <c r="BG1148" t="s">
        <v>14673</v>
      </c>
      <c r="BM1148" t="s">
        <v>15650</v>
      </c>
    </row>
    <row r="1149" spans="1:65">
      <c r="A1149" s="1">
        <f>HYPERLINK("https://lsnyc.legalserver.org/matter/dynamic-profile/view/1881489","18-1881489")</f>
        <v>0</v>
      </c>
      <c r="B1149" t="s">
        <v>117</v>
      </c>
      <c r="C1149" t="s">
        <v>248</v>
      </c>
      <c r="D1149" t="s">
        <v>663</v>
      </c>
      <c r="F1149" t="s">
        <v>1122</v>
      </c>
      <c r="G1149" t="s">
        <v>3465</v>
      </c>
      <c r="H1149" t="s">
        <v>5064</v>
      </c>
      <c r="I1149" t="s">
        <v>6502</v>
      </c>
      <c r="J1149" t="s">
        <v>7174</v>
      </c>
      <c r="K1149">
        <v>11216</v>
      </c>
      <c r="N1149" t="s">
        <v>7237</v>
      </c>
      <c r="O1149" t="s">
        <v>8050</v>
      </c>
      <c r="P1149">
        <v>1</v>
      </c>
      <c r="Q1149">
        <v>0</v>
      </c>
      <c r="R1149">
        <v>82.37</v>
      </c>
      <c r="U1149">
        <v>9999.959999999999</v>
      </c>
      <c r="V1149" t="s">
        <v>10334</v>
      </c>
      <c r="W1149">
        <v>0</v>
      </c>
      <c r="Y1149" t="s">
        <v>225</v>
      </c>
      <c r="AA1149" t="s">
        <v>10974</v>
      </c>
      <c r="AB1149" t="s">
        <v>531</v>
      </c>
      <c r="AD1149" t="s">
        <v>11085</v>
      </c>
      <c r="AF1149" t="s">
        <v>11118</v>
      </c>
      <c r="AH1149" t="s">
        <v>10974</v>
      </c>
      <c r="AJ1149" t="s">
        <v>11134</v>
      </c>
      <c r="AK1149" t="s">
        <v>7225</v>
      </c>
      <c r="AM1149">
        <v>1650</v>
      </c>
      <c r="AO1149">
        <v>8</v>
      </c>
      <c r="AQ1149" t="s">
        <v>11157</v>
      </c>
      <c r="AS1149" t="s">
        <v>11173</v>
      </c>
      <c r="AU1149">
        <v>1</v>
      </c>
      <c r="AW1149" t="s">
        <v>11187</v>
      </c>
      <c r="AY1149" t="s">
        <v>11213</v>
      </c>
      <c r="AZ1149" t="s">
        <v>11221</v>
      </c>
      <c r="BC1149" t="s">
        <v>11228</v>
      </c>
      <c r="BE1149" t="s">
        <v>12371</v>
      </c>
      <c r="BG1149" t="s">
        <v>14673</v>
      </c>
      <c r="BM1149" t="s">
        <v>15650</v>
      </c>
    </row>
    <row r="1150" spans="1:65">
      <c r="A1150" s="1">
        <f>HYPERLINK("https://lsnyc.legalserver.org/matter/dynamic-profile/view/1878112","18-1878112")</f>
        <v>0</v>
      </c>
      <c r="B1150" t="s">
        <v>117</v>
      </c>
      <c r="C1150" t="s">
        <v>248</v>
      </c>
      <c r="D1150" t="s">
        <v>279</v>
      </c>
      <c r="F1150" t="s">
        <v>1106</v>
      </c>
      <c r="G1150" t="s">
        <v>3466</v>
      </c>
      <c r="H1150" t="s">
        <v>5064</v>
      </c>
      <c r="I1150" t="s">
        <v>6491</v>
      </c>
      <c r="J1150" t="s">
        <v>7174</v>
      </c>
      <c r="K1150">
        <v>11216</v>
      </c>
      <c r="N1150" t="s">
        <v>7237</v>
      </c>
      <c r="O1150" t="s">
        <v>8051</v>
      </c>
      <c r="P1150">
        <v>1</v>
      </c>
      <c r="Q1150">
        <v>0</v>
      </c>
      <c r="R1150">
        <v>556.01</v>
      </c>
      <c r="U1150">
        <v>67500</v>
      </c>
      <c r="V1150" t="s">
        <v>10384</v>
      </c>
      <c r="W1150">
        <v>1.9</v>
      </c>
      <c r="X1150" t="s">
        <v>560</v>
      </c>
      <c r="Y1150" t="s">
        <v>225</v>
      </c>
      <c r="AA1150" t="s">
        <v>10974</v>
      </c>
      <c r="AB1150" t="s">
        <v>778</v>
      </c>
      <c r="AD1150" t="s">
        <v>11086</v>
      </c>
      <c r="AF1150" t="s">
        <v>10384</v>
      </c>
      <c r="AH1150" t="s">
        <v>10974</v>
      </c>
      <c r="AJ1150" t="s">
        <v>11134</v>
      </c>
      <c r="AK1150" t="s">
        <v>7225</v>
      </c>
      <c r="AM1150">
        <v>1400</v>
      </c>
      <c r="AO1150">
        <v>82</v>
      </c>
      <c r="AQ1150" t="s">
        <v>11157</v>
      </c>
      <c r="AS1150" t="s">
        <v>11173</v>
      </c>
      <c r="AU1150">
        <v>3</v>
      </c>
      <c r="AW1150" t="s">
        <v>11187</v>
      </c>
      <c r="BA1150" t="s">
        <v>11222</v>
      </c>
      <c r="BD1150" t="s">
        <v>11667</v>
      </c>
      <c r="BF1150" t="s">
        <v>14364</v>
      </c>
      <c r="BG1150" t="s">
        <v>14410</v>
      </c>
      <c r="BM1150" t="s">
        <v>15650</v>
      </c>
    </row>
    <row r="1151" spans="1:65">
      <c r="A1151" s="1">
        <f>HYPERLINK("https://lsnyc.legalserver.org/matter/dynamic-profile/view/1893317","19-1893317")</f>
        <v>0</v>
      </c>
      <c r="B1151" t="s">
        <v>117</v>
      </c>
      <c r="C1151" t="s">
        <v>248</v>
      </c>
      <c r="D1151" t="s">
        <v>567</v>
      </c>
      <c r="F1151" t="s">
        <v>1690</v>
      </c>
      <c r="G1151" t="s">
        <v>3459</v>
      </c>
      <c r="H1151" t="s">
        <v>5229</v>
      </c>
      <c r="I1151" t="s">
        <v>6686</v>
      </c>
      <c r="J1151" t="s">
        <v>7174</v>
      </c>
      <c r="K1151">
        <v>11212</v>
      </c>
      <c r="N1151" t="s">
        <v>7237</v>
      </c>
      <c r="O1151" t="s">
        <v>8043</v>
      </c>
      <c r="P1151">
        <v>2</v>
      </c>
      <c r="Q1151">
        <v>0</v>
      </c>
      <c r="R1151">
        <v>351.79</v>
      </c>
      <c r="U1151">
        <v>59488</v>
      </c>
      <c r="W1151">
        <v>0.1</v>
      </c>
      <c r="X1151" t="s">
        <v>650</v>
      </c>
      <c r="Y1151" t="s">
        <v>101</v>
      </c>
      <c r="AA1151" t="s">
        <v>10974</v>
      </c>
      <c r="AB1151" t="s">
        <v>403</v>
      </c>
      <c r="AD1151" t="s">
        <v>11101</v>
      </c>
      <c r="AF1151" t="s">
        <v>11119</v>
      </c>
      <c r="AH1151" t="s">
        <v>10974</v>
      </c>
      <c r="AJ1151" t="s">
        <v>11141</v>
      </c>
      <c r="AK1151" t="s">
        <v>7225</v>
      </c>
      <c r="AM1151">
        <v>1489</v>
      </c>
      <c r="AO1151">
        <v>38</v>
      </c>
      <c r="AQ1151" t="s">
        <v>11157</v>
      </c>
      <c r="AS1151" t="s">
        <v>11173</v>
      </c>
      <c r="AU1151">
        <v>6</v>
      </c>
      <c r="AW1151" t="s">
        <v>11187</v>
      </c>
      <c r="AY1151" t="s">
        <v>11213</v>
      </c>
      <c r="AZ1151" t="s">
        <v>11221</v>
      </c>
      <c r="BE1151" t="s">
        <v>12365</v>
      </c>
      <c r="BF1151" t="s">
        <v>14364</v>
      </c>
      <c r="BG1151" t="s">
        <v>11086</v>
      </c>
      <c r="BM1151" t="s">
        <v>15650</v>
      </c>
    </row>
    <row r="1152" spans="1:65">
      <c r="A1152" s="1">
        <f>HYPERLINK("https://lsnyc.legalserver.org/matter/dynamic-profile/view/1879525","18-1879525")</f>
        <v>0</v>
      </c>
      <c r="B1152" t="s">
        <v>117</v>
      </c>
      <c r="C1152" t="s">
        <v>248</v>
      </c>
      <c r="D1152" t="s">
        <v>600</v>
      </c>
      <c r="F1152" t="s">
        <v>1691</v>
      </c>
      <c r="G1152" t="s">
        <v>3234</v>
      </c>
      <c r="H1152" t="s">
        <v>5064</v>
      </c>
      <c r="I1152" t="s">
        <v>6404</v>
      </c>
      <c r="J1152" t="s">
        <v>7174</v>
      </c>
      <c r="K1152">
        <v>11216</v>
      </c>
      <c r="N1152" t="s">
        <v>7237</v>
      </c>
      <c r="O1152" t="s">
        <v>8044</v>
      </c>
      <c r="P1152">
        <v>2</v>
      </c>
      <c r="Q1152">
        <v>5</v>
      </c>
      <c r="R1152">
        <v>315.29</v>
      </c>
      <c r="S1152" t="s">
        <v>372</v>
      </c>
      <c r="T1152" t="s">
        <v>10276</v>
      </c>
      <c r="U1152">
        <v>120000</v>
      </c>
      <c r="V1152" t="s">
        <v>10334</v>
      </c>
      <c r="W1152">
        <v>0</v>
      </c>
      <c r="Y1152" t="s">
        <v>225</v>
      </c>
      <c r="AA1152" t="s">
        <v>10974</v>
      </c>
      <c r="AB1152" t="s">
        <v>577</v>
      </c>
      <c r="AD1152" t="s">
        <v>11100</v>
      </c>
      <c r="AF1152" t="s">
        <v>10384</v>
      </c>
      <c r="AH1152" t="s">
        <v>10974</v>
      </c>
      <c r="AJ1152" t="s">
        <v>11134</v>
      </c>
      <c r="AK1152" t="s">
        <v>7225</v>
      </c>
      <c r="AM1152">
        <v>2200</v>
      </c>
      <c r="AO1152">
        <v>82</v>
      </c>
      <c r="AQ1152" t="s">
        <v>11157</v>
      </c>
      <c r="AS1152" t="s">
        <v>11173</v>
      </c>
      <c r="AU1152">
        <v>5</v>
      </c>
      <c r="AW1152" t="s">
        <v>11187</v>
      </c>
      <c r="AZ1152" t="s">
        <v>11221</v>
      </c>
      <c r="BE1152" t="s">
        <v>12366</v>
      </c>
      <c r="BF1152" t="s">
        <v>14364</v>
      </c>
      <c r="BG1152" t="s">
        <v>11086</v>
      </c>
      <c r="BM1152" t="s">
        <v>15650</v>
      </c>
    </row>
    <row r="1153" spans="1:65">
      <c r="A1153" s="1">
        <f>HYPERLINK("https://lsnyc.legalserver.org/matter/dynamic-profile/view/1895338","19-1895338")</f>
        <v>0</v>
      </c>
      <c r="B1153" t="s">
        <v>117</v>
      </c>
      <c r="C1153" t="s">
        <v>248</v>
      </c>
      <c r="D1153" t="s">
        <v>299</v>
      </c>
      <c r="F1153" t="s">
        <v>1695</v>
      </c>
      <c r="G1153" t="s">
        <v>3467</v>
      </c>
      <c r="H1153" t="s">
        <v>4800</v>
      </c>
      <c r="I1153" t="s">
        <v>6440</v>
      </c>
      <c r="J1153" t="s">
        <v>7174</v>
      </c>
      <c r="K1153">
        <v>11221</v>
      </c>
      <c r="N1153" t="s">
        <v>7242</v>
      </c>
      <c r="O1153" t="s">
        <v>8052</v>
      </c>
      <c r="P1153">
        <v>1</v>
      </c>
      <c r="Q1153">
        <v>0</v>
      </c>
      <c r="R1153">
        <v>147.93</v>
      </c>
      <c r="U1153">
        <v>18476.9</v>
      </c>
      <c r="W1153">
        <v>15.9</v>
      </c>
      <c r="X1153" t="s">
        <v>312</v>
      </c>
      <c r="Y1153" t="s">
        <v>225</v>
      </c>
      <c r="AA1153" t="s">
        <v>10974</v>
      </c>
      <c r="AB1153" t="s">
        <v>299</v>
      </c>
      <c r="AD1153" t="s">
        <v>11097</v>
      </c>
      <c r="AF1153" t="s">
        <v>11123</v>
      </c>
      <c r="AH1153" t="s">
        <v>10974</v>
      </c>
      <c r="AJ1153" t="s">
        <v>11141</v>
      </c>
      <c r="AK1153" t="s">
        <v>7225</v>
      </c>
      <c r="AM1153">
        <v>1091.82</v>
      </c>
      <c r="AO1153">
        <v>12</v>
      </c>
      <c r="AQ1153" t="s">
        <v>11157</v>
      </c>
      <c r="AS1153" t="s">
        <v>11174</v>
      </c>
      <c r="AU1153">
        <v>12</v>
      </c>
      <c r="AW1153" t="s">
        <v>11187</v>
      </c>
      <c r="AY1153" t="s">
        <v>11213</v>
      </c>
      <c r="BA1153" t="s">
        <v>11222</v>
      </c>
      <c r="BC1153" t="s">
        <v>11230</v>
      </c>
      <c r="BE1153" t="s">
        <v>12372</v>
      </c>
      <c r="BF1153" t="s">
        <v>14364</v>
      </c>
      <c r="BM1153" t="s">
        <v>15650</v>
      </c>
    </row>
    <row r="1154" spans="1:65">
      <c r="A1154" s="1">
        <f>HYPERLINK("https://lsnyc.legalserver.org/matter/dynamic-profile/view/1897447","19-1897447")</f>
        <v>0</v>
      </c>
      <c r="B1154" t="s">
        <v>117</v>
      </c>
      <c r="C1154" t="s">
        <v>248</v>
      </c>
      <c r="D1154" t="s">
        <v>664</v>
      </c>
      <c r="F1154" t="s">
        <v>1692</v>
      </c>
      <c r="G1154" t="s">
        <v>3460</v>
      </c>
      <c r="H1154" t="s">
        <v>5230</v>
      </c>
      <c r="I1154" t="s">
        <v>6430</v>
      </c>
      <c r="J1154" t="s">
        <v>7174</v>
      </c>
      <c r="K1154">
        <v>11233</v>
      </c>
      <c r="N1154" t="s">
        <v>7237</v>
      </c>
      <c r="O1154" t="s">
        <v>8045</v>
      </c>
      <c r="P1154">
        <v>1</v>
      </c>
      <c r="Q1154">
        <v>0</v>
      </c>
      <c r="R1154">
        <v>80.06</v>
      </c>
      <c r="U1154">
        <v>10000</v>
      </c>
      <c r="V1154" t="s">
        <v>10382</v>
      </c>
      <c r="W1154">
        <v>1.5</v>
      </c>
      <c r="X1154" t="s">
        <v>422</v>
      </c>
      <c r="Y1154" t="s">
        <v>225</v>
      </c>
      <c r="AA1154" t="s">
        <v>10974</v>
      </c>
      <c r="AB1154" t="s">
        <v>10979</v>
      </c>
      <c r="AD1154" t="s">
        <v>11088</v>
      </c>
      <c r="AF1154" t="s">
        <v>10384</v>
      </c>
      <c r="AH1154" t="s">
        <v>10975</v>
      </c>
      <c r="AI1154" t="s">
        <v>11126</v>
      </c>
      <c r="AK1154" t="s">
        <v>7225</v>
      </c>
      <c r="AL1154" t="s">
        <v>11150</v>
      </c>
      <c r="AM1154">
        <v>0</v>
      </c>
      <c r="AO1154">
        <v>6</v>
      </c>
      <c r="AQ1154" t="s">
        <v>11157</v>
      </c>
      <c r="AR1154" t="s">
        <v>11172</v>
      </c>
      <c r="AT1154" t="s">
        <v>11184</v>
      </c>
      <c r="AU1154">
        <v>0</v>
      </c>
      <c r="AW1154" t="s">
        <v>11187</v>
      </c>
      <c r="AY1154" t="s">
        <v>11213</v>
      </c>
      <c r="AZ1154" t="s">
        <v>11221</v>
      </c>
      <c r="BE1154" t="s">
        <v>12367</v>
      </c>
      <c r="BF1154" t="s">
        <v>14364</v>
      </c>
      <c r="BM1154" t="s">
        <v>15650</v>
      </c>
    </row>
    <row r="1155" spans="1:65">
      <c r="A1155" s="1">
        <f>HYPERLINK("https://lsnyc.legalserver.org/matter/dynamic-profile/view/1883103","18-1883103")</f>
        <v>0</v>
      </c>
      <c r="B1155" t="s">
        <v>117</v>
      </c>
      <c r="C1155" t="s">
        <v>248</v>
      </c>
      <c r="D1155" t="s">
        <v>616</v>
      </c>
      <c r="F1155" t="s">
        <v>1693</v>
      </c>
      <c r="G1155" t="s">
        <v>3462</v>
      </c>
      <c r="H1155" t="s">
        <v>5064</v>
      </c>
      <c r="I1155" t="s">
        <v>6667</v>
      </c>
      <c r="J1155" t="s">
        <v>7174</v>
      </c>
      <c r="K1155">
        <v>11216</v>
      </c>
      <c r="N1155" t="s">
        <v>7237</v>
      </c>
      <c r="O1155" t="s">
        <v>8047</v>
      </c>
      <c r="P1155">
        <v>1</v>
      </c>
      <c r="Q1155">
        <v>0</v>
      </c>
      <c r="R1155">
        <v>82.37</v>
      </c>
      <c r="U1155">
        <v>10000</v>
      </c>
      <c r="W1155">
        <v>0</v>
      </c>
      <c r="Y1155" t="s">
        <v>101</v>
      </c>
      <c r="AA1155" t="s">
        <v>10974</v>
      </c>
      <c r="AB1155" t="s">
        <v>844</v>
      </c>
      <c r="AD1155" t="s">
        <v>11100</v>
      </c>
      <c r="AF1155" t="s">
        <v>10384</v>
      </c>
      <c r="AH1155" t="s">
        <v>10974</v>
      </c>
      <c r="AJ1155" t="s">
        <v>11129</v>
      </c>
      <c r="AK1155" t="s">
        <v>7225</v>
      </c>
      <c r="AM1155">
        <v>952.42</v>
      </c>
      <c r="AO1155">
        <v>82</v>
      </c>
      <c r="AQ1155" t="s">
        <v>11157</v>
      </c>
      <c r="AS1155" t="s">
        <v>11173</v>
      </c>
      <c r="AU1155">
        <v>7</v>
      </c>
      <c r="AW1155" t="s">
        <v>11187</v>
      </c>
      <c r="AY1155" t="s">
        <v>11213</v>
      </c>
      <c r="AZ1155" t="s">
        <v>11221</v>
      </c>
      <c r="BE1155" t="s">
        <v>12369</v>
      </c>
      <c r="BF1155" t="s">
        <v>14364</v>
      </c>
      <c r="BM1155" t="s">
        <v>15650</v>
      </c>
    </row>
    <row r="1156" spans="1:65">
      <c r="A1156" s="1">
        <f>HYPERLINK("https://lsnyc.legalserver.org/matter/dynamic-profile/view/1881486","18-1881486")</f>
        <v>0</v>
      </c>
      <c r="B1156" t="s">
        <v>117</v>
      </c>
      <c r="C1156" t="s">
        <v>248</v>
      </c>
      <c r="D1156" t="s">
        <v>663</v>
      </c>
      <c r="F1156" t="s">
        <v>1122</v>
      </c>
      <c r="G1156" t="s">
        <v>3465</v>
      </c>
      <c r="H1156" t="s">
        <v>5064</v>
      </c>
      <c r="I1156" t="s">
        <v>6502</v>
      </c>
      <c r="J1156" t="s">
        <v>7174</v>
      </c>
      <c r="K1156">
        <v>11216</v>
      </c>
      <c r="N1156" t="s">
        <v>7237</v>
      </c>
      <c r="O1156" t="s">
        <v>8050</v>
      </c>
      <c r="P1156">
        <v>1</v>
      </c>
      <c r="Q1156">
        <v>0</v>
      </c>
      <c r="R1156">
        <v>82.37</v>
      </c>
      <c r="T1156" t="s">
        <v>10278</v>
      </c>
      <c r="U1156">
        <v>9999.959999999999</v>
      </c>
      <c r="V1156" t="s">
        <v>10334</v>
      </c>
      <c r="W1156">
        <v>0</v>
      </c>
      <c r="Y1156" t="s">
        <v>225</v>
      </c>
      <c r="AA1156" t="s">
        <v>10974</v>
      </c>
      <c r="AB1156" t="s">
        <v>531</v>
      </c>
      <c r="AD1156" t="s">
        <v>11086</v>
      </c>
      <c r="AF1156" t="s">
        <v>10384</v>
      </c>
      <c r="AH1156" t="s">
        <v>10974</v>
      </c>
      <c r="AJ1156" t="s">
        <v>11134</v>
      </c>
      <c r="AK1156" t="s">
        <v>7225</v>
      </c>
      <c r="AM1156">
        <v>1650</v>
      </c>
      <c r="AO1156">
        <v>8</v>
      </c>
      <c r="AQ1156" t="s">
        <v>11157</v>
      </c>
      <c r="AS1156" t="s">
        <v>11173</v>
      </c>
      <c r="AU1156">
        <v>1</v>
      </c>
      <c r="AW1156" t="s">
        <v>11187</v>
      </c>
      <c r="AY1156" t="s">
        <v>11213</v>
      </c>
      <c r="AZ1156" t="s">
        <v>11221</v>
      </c>
      <c r="BC1156" t="s">
        <v>11173</v>
      </c>
      <c r="BE1156" t="s">
        <v>12371</v>
      </c>
      <c r="BF1156" t="s">
        <v>14364</v>
      </c>
      <c r="BG1156" t="s">
        <v>11086</v>
      </c>
      <c r="BM1156" t="s">
        <v>15650</v>
      </c>
    </row>
    <row r="1157" spans="1:65">
      <c r="A1157" s="1">
        <f>HYPERLINK("https://lsnyc.legalserver.org/matter/dynamic-profile/view/1876838","18-1876838")</f>
        <v>0</v>
      </c>
      <c r="B1157" t="s">
        <v>117</v>
      </c>
      <c r="C1157" t="s">
        <v>248</v>
      </c>
      <c r="D1157" t="s">
        <v>656</v>
      </c>
      <c r="F1157" t="s">
        <v>1696</v>
      </c>
      <c r="G1157" t="s">
        <v>1656</v>
      </c>
      <c r="H1157" t="s">
        <v>5064</v>
      </c>
      <c r="I1157" t="s">
        <v>6471</v>
      </c>
      <c r="J1157" t="s">
        <v>7174</v>
      </c>
      <c r="K1157">
        <v>11216</v>
      </c>
      <c r="N1157" t="s">
        <v>7237</v>
      </c>
      <c r="O1157" t="s">
        <v>8053</v>
      </c>
      <c r="P1157">
        <v>1</v>
      </c>
      <c r="Q1157">
        <v>0</v>
      </c>
      <c r="R1157">
        <v>568.37</v>
      </c>
      <c r="U1157">
        <v>69000</v>
      </c>
      <c r="V1157" t="s">
        <v>10334</v>
      </c>
      <c r="W1157">
        <v>0</v>
      </c>
      <c r="Y1157" t="s">
        <v>225</v>
      </c>
      <c r="AA1157" t="s">
        <v>10974</v>
      </c>
      <c r="AB1157" t="s">
        <v>794</v>
      </c>
      <c r="AD1157" t="s">
        <v>11085</v>
      </c>
      <c r="AF1157" t="s">
        <v>11118</v>
      </c>
      <c r="AH1157" t="s">
        <v>10974</v>
      </c>
      <c r="AJ1157" t="s">
        <v>11134</v>
      </c>
      <c r="AK1157" t="s">
        <v>7225</v>
      </c>
      <c r="AM1157">
        <v>2200</v>
      </c>
      <c r="AO1157">
        <v>82</v>
      </c>
      <c r="AQ1157" t="s">
        <v>11157</v>
      </c>
      <c r="AS1157" t="s">
        <v>11173</v>
      </c>
      <c r="AU1157">
        <v>1</v>
      </c>
      <c r="AW1157" t="s">
        <v>11187</v>
      </c>
      <c r="AZ1157" t="s">
        <v>11221</v>
      </c>
      <c r="BE1157" t="s">
        <v>12373</v>
      </c>
      <c r="BG1157" t="s">
        <v>14673</v>
      </c>
      <c r="BM1157" t="s">
        <v>15650</v>
      </c>
    </row>
    <row r="1158" spans="1:65">
      <c r="A1158" s="1">
        <f>HYPERLINK("https://lsnyc.legalserver.org/matter/dynamic-profile/view/1883130","18-1883130")</f>
        <v>0</v>
      </c>
      <c r="B1158" t="s">
        <v>117</v>
      </c>
      <c r="C1158" t="s">
        <v>248</v>
      </c>
      <c r="D1158" t="s">
        <v>616</v>
      </c>
      <c r="F1158" t="s">
        <v>1693</v>
      </c>
      <c r="G1158" t="s">
        <v>3462</v>
      </c>
      <c r="H1158" t="s">
        <v>5064</v>
      </c>
      <c r="I1158" t="s">
        <v>6667</v>
      </c>
      <c r="J1158" t="s">
        <v>7174</v>
      </c>
      <c r="K1158">
        <v>11216</v>
      </c>
      <c r="N1158" t="s">
        <v>7237</v>
      </c>
      <c r="O1158" t="s">
        <v>8047</v>
      </c>
      <c r="P1158">
        <v>1</v>
      </c>
      <c r="Q1158">
        <v>0</v>
      </c>
      <c r="R1158">
        <v>82.37</v>
      </c>
      <c r="U1158">
        <v>10000</v>
      </c>
      <c r="W1158">
        <v>104.3</v>
      </c>
      <c r="X1158" t="s">
        <v>297</v>
      </c>
      <c r="Y1158" t="s">
        <v>101</v>
      </c>
      <c r="AA1158" t="s">
        <v>10974</v>
      </c>
      <c r="AB1158" t="s">
        <v>844</v>
      </c>
      <c r="AD1158" t="s">
        <v>11101</v>
      </c>
      <c r="AF1158" t="s">
        <v>11118</v>
      </c>
      <c r="AH1158" t="s">
        <v>10975</v>
      </c>
      <c r="AJ1158" t="s">
        <v>11129</v>
      </c>
      <c r="AK1158" t="s">
        <v>7225</v>
      </c>
      <c r="AM1158">
        <v>952.42</v>
      </c>
      <c r="AO1158">
        <v>82</v>
      </c>
      <c r="AQ1158" t="s">
        <v>11157</v>
      </c>
      <c r="AS1158" t="s">
        <v>11173</v>
      </c>
      <c r="AU1158">
        <v>7</v>
      </c>
      <c r="AW1158" t="s">
        <v>11187</v>
      </c>
      <c r="AY1158" t="s">
        <v>11213</v>
      </c>
      <c r="AZ1158" t="s">
        <v>11221</v>
      </c>
      <c r="BE1158" t="s">
        <v>12369</v>
      </c>
      <c r="BG1158" t="s">
        <v>14683</v>
      </c>
      <c r="BM1158" t="s">
        <v>15650</v>
      </c>
    </row>
    <row r="1159" spans="1:65">
      <c r="A1159" s="1">
        <f>HYPERLINK("https://lsnyc.legalserver.org/matter/dynamic-profile/view/1876837","18-1876837")</f>
        <v>0</v>
      </c>
      <c r="B1159" t="s">
        <v>117</v>
      </c>
      <c r="C1159" t="s">
        <v>248</v>
      </c>
      <c r="D1159" t="s">
        <v>656</v>
      </c>
      <c r="F1159" t="s">
        <v>1696</v>
      </c>
      <c r="G1159" t="s">
        <v>1656</v>
      </c>
      <c r="H1159" t="s">
        <v>5064</v>
      </c>
      <c r="I1159" t="s">
        <v>6471</v>
      </c>
      <c r="J1159" t="s">
        <v>7174</v>
      </c>
      <c r="K1159">
        <v>11216</v>
      </c>
      <c r="N1159" t="s">
        <v>7237</v>
      </c>
      <c r="O1159" t="s">
        <v>8053</v>
      </c>
      <c r="P1159">
        <v>1</v>
      </c>
      <c r="Q1159">
        <v>0</v>
      </c>
      <c r="R1159">
        <v>568.37</v>
      </c>
      <c r="U1159">
        <v>69000</v>
      </c>
      <c r="V1159" t="s">
        <v>10330</v>
      </c>
      <c r="W1159">
        <v>0</v>
      </c>
      <c r="Y1159" t="s">
        <v>225</v>
      </c>
      <c r="AA1159" t="s">
        <v>10974</v>
      </c>
      <c r="AB1159" t="s">
        <v>518</v>
      </c>
      <c r="AD1159" t="s">
        <v>11086</v>
      </c>
      <c r="AF1159" t="s">
        <v>10384</v>
      </c>
      <c r="AH1159" t="s">
        <v>10974</v>
      </c>
      <c r="AJ1159" t="s">
        <v>11134</v>
      </c>
      <c r="AK1159" t="s">
        <v>7225</v>
      </c>
      <c r="AM1159">
        <v>2200</v>
      </c>
      <c r="AO1159">
        <v>82</v>
      </c>
      <c r="AQ1159" t="s">
        <v>11157</v>
      </c>
      <c r="AS1159" t="s">
        <v>11173</v>
      </c>
      <c r="AU1159">
        <v>1</v>
      </c>
      <c r="AW1159" t="s">
        <v>11187</v>
      </c>
      <c r="AZ1159" t="s">
        <v>11221</v>
      </c>
      <c r="BE1159" t="s">
        <v>12373</v>
      </c>
      <c r="BF1159" t="s">
        <v>14364</v>
      </c>
      <c r="BG1159" t="s">
        <v>11086</v>
      </c>
      <c r="BM1159" t="s">
        <v>15650</v>
      </c>
    </row>
    <row r="1160" spans="1:65">
      <c r="A1160" s="1">
        <f>HYPERLINK("https://lsnyc.legalserver.org/matter/dynamic-profile/view/1897637","19-1897637")</f>
        <v>0</v>
      </c>
      <c r="B1160" t="s">
        <v>117</v>
      </c>
      <c r="C1160" t="s">
        <v>248</v>
      </c>
      <c r="D1160" t="s">
        <v>389</v>
      </c>
      <c r="F1160" t="s">
        <v>1692</v>
      </c>
      <c r="G1160" t="s">
        <v>3460</v>
      </c>
      <c r="H1160" t="s">
        <v>5230</v>
      </c>
      <c r="I1160" t="s">
        <v>6430</v>
      </c>
      <c r="J1160" t="s">
        <v>7174</v>
      </c>
      <c r="K1160">
        <v>11233</v>
      </c>
      <c r="N1160" t="s">
        <v>7237</v>
      </c>
      <c r="O1160" t="s">
        <v>8045</v>
      </c>
      <c r="P1160">
        <v>1</v>
      </c>
      <c r="Q1160">
        <v>0</v>
      </c>
      <c r="R1160">
        <v>80.06</v>
      </c>
      <c r="U1160">
        <v>10000</v>
      </c>
      <c r="W1160">
        <v>0.7</v>
      </c>
      <c r="X1160" t="s">
        <v>653</v>
      </c>
      <c r="Y1160" t="s">
        <v>117</v>
      </c>
      <c r="AA1160" t="s">
        <v>10974</v>
      </c>
      <c r="AB1160" t="s">
        <v>389</v>
      </c>
      <c r="AD1160" t="s">
        <v>11098</v>
      </c>
      <c r="AF1160" t="s">
        <v>11122</v>
      </c>
      <c r="AH1160" t="s">
        <v>10975</v>
      </c>
      <c r="AI1160" t="s">
        <v>11126</v>
      </c>
      <c r="AK1160" t="s">
        <v>7225</v>
      </c>
      <c r="AM1160">
        <v>606</v>
      </c>
      <c r="AO1160">
        <v>6</v>
      </c>
      <c r="AQ1160" t="s">
        <v>11157</v>
      </c>
      <c r="AS1160" t="s">
        <v>11173</v>
      </c>
      <c r="AU1160">
        <v>40</v>
      </c>
      <c r="AW1160" t="s">
        <v>11187</v>
      </c>
      <c r="AZ1160" t="s">
        <v>11221</v>
      </c>
      <c r="BE1160" t="s">
        <v>12367</v>
      </c>
      <c r="BF1160" t="s">
        <v>14364</v>
      </c>
      <c r="BM1160" t="s">
        <v>15650</v>
      </c>
    </row>
    <row r="1161" spans="1:65">
      <c r="A1161" s="1">
        <f>HYPERLINK("https://lsnyc.legalserver.org/matter/dynamic-profile/view/1893328","19-1893328")</f>
        <v>0</v>
      </c>
      <c r="B1161" t="s">
        <v>117</v>
      </c>
      <c r="C1161" t="s">
        <v>248</v>
      </c>
      <c r="D1161" t="s">
        <v>567</v>
      </c>
      <c r="F1161" t="s">
        <v>1690</v>
      </c>
      <c r="G1161" t="s">
        <v>3459</v>
      </c>
      <c r="H1161" t="s">
        <v>5229</v>
      </c>
      <c r="I1161" t="s">
        <v>6686</v>
      </c>
      <c r="J1161" t="s">
        <v>7174</v>
      </c>
      <c r="K1161">
        <v>11212</v>
      </c>
      <c r="N1161" t="s">
        <v>7237</v>
      </c>
      <c r="O1161" t="s">
        <v>8043</v>
      </c>
      <c r="P1161">
        <v>2</v>
      </c>
      <c r="Q1161">
        <v>0</v>
      </c>
      <c r="R1161">
        <v>351.79</v>
      </c>
      <c r="U1161">
        <v>59488</v>
      </c>
      <c r="V1161" t="s">
        <v>10381</v>
      </c>
      <c r="W1161">
        <v>0</v>
      </c>
      <c r="Y1161" t="s">
        <v>101</v>
      </c>
      <c r="AA1161" t="s">
        <v>10974</v>
      </c>
      <c r="AB1161" t="s">
        <v>403</v>
      </c>
      <c r="AD1161" t="s">
        <v>11086</v>
      </c>
      <c r="AF1161" t="s">
        <v>10384</v>
      </c>
      <c r="AH1161" t="s">
        <v>10974</v>
      </c>
      <c r="AJ1161" t="s">
        <v>11141</v>
      </c>
      <c r="AK1161" t="s">
        <v>7225</v>
      </c>
      <c r="AM1161">
        <v>1489</v>
      </c>
      <c r="AO1161">
        <v>38</v>
      </c>
      <c r="AQ1161" t="s">
        <v>11157</v>
      </c>
      <c r="AS1161" t="s">
        <v>11173</v>
      </c>
      <c r="AU1161">
        <v>6</v>
      </c>
      <c r="AW1161" t="s">
        <v>11187</v>
      </c>
      <c r="AY1161" t="s">
        <v>11213</v>
      </c>
      <c r="BA1161" t="s">
        <v>11222</v>
      </c>
      <c r="BC1161" t="s">
        <v>11173</v>
      </c>
      <c r="BE1161" t="s">
        <v>12365</v>
      </c>
      <c r="BF1161" t="s">
        <v>14364</v>
      </c>
      <c r="BG1161" t="s">
        <v>11173</v>
      </c>
      <c r="BM1161" t="s">
        <v>15650</v>
      </c>
    </row>
    <row r="1162" spans="1:65">
      <c r="A1162" s="1">
        <f>HYPERLINK("https://lsnyc.legalserver.org/matter/dynamic-profile/view/1876591","18-1876591")</f>
        <v>0</v>
      </c>
      <c r="B1162" t="s">
        <v>117</v>
      </c>
      <c r="C1162" t="s">
        <v>248</v>
      </c>
      <c r="D1162" t="s">
        <v>662</v>
      </c>
      <c r="F1162" t="s">
        <v>1694</v>
      </c>
      <c r="G1162" t="s">
        <v>3463</v>
      </c>
      <c r="H1162" t="s">
        <v>5064</v>
      </c>
      <c r="I1162" t="s">
        <v>6628</v>
      </c>
      <c r="J1162" t="s">
        <v>7174</v>
      </c>
      <c r="K1162">
        <v>11216</v>
      </c>
      <c r="N1162" t="s">
        <v>7237</v>
      </c>
      <c r="O1162" t="s">
        <v>8048</v>
      </c>
      <c r="P1162">
        <v>1</v>
      </c>
      <c r="Q1162">
        <v>0</v>
      </c>
      <c r="R1162">
        <v>576.61</v>
      </c>
      <c r="U1162">
        <v>70000</v>
      </c>
      <c r="V1162" t="s">
        <v>10334</v>
      </c>
      <c r="W1162">
        <v>0</v>
      </c>
      <c r="Y1162" t="s">
        <v>225</v>
      </c>
      <c r="AA1162" t="s">
        <v>10974</v>
      </c>
      <c r="AB1162" t="s">
        <v>508</v>
      </c>
      <c r="AD1162" t="s">
        <v>11085</v>
      </c>
      <c r="AF1162" t="s">
        <v>11118</v>
      </c>
      <c r="AH1162" t="s">
        <v>10974</v>
      </c>
      <c r="AJ1162" t="s">
        <v>11134</v>
      </c>
      <c r="AK1162" t="s">
        <v>7225</v>
      </c>
      <c r="AM1162">
        <v>1500</v>
      </c>
      <c r="AO1162">
        <v>8</v>
      </c>
      <c r="AQ1162" t="s">
        <v>11157</v>
      </c>
      <c r="AS1162" t="s">
        <v>11173</v>
      </c>
      <c r="AU1162">
        <v>1</v>
      </c>
      <c r="AW1162" t="s">
        <v>11187</v>
      </c>
      <c r="AZ1162" t="s">
        <v>11221</v>
      </c>
      <c r="BD1162" t="s">
        <v>11667</v>
      </c>
      <c r="BG1162" t="s">
        <v>14673</v>
      </c>
      <c r="BM1162" t="s">
        <v>15650</v>
      </c>
    </row>
    <row r="1163" spans="1:65">
      <c r="A1163" s="1">
        <f>HYPERLINK("https://lsnyc.legalserver.org/matter/dynamic-profile/view/1878063","18-1878063")</f>
        <v>0</v>
      </c>
      <c r="B1163" t="s">
        <v>117</v>
      </c>
      <c r="C1163" t="s">
        <v>248</v>
      </c>
      <c r="D1163" t="s">
        <v>279</v>
      </c>
      <c r="F1163" t="s">
        <v>1333</v>
      </c>
      <c r="G1163" t="s">
        <v>3464</v>
      </c>
      <c r="H1163" t="s">
        <v>5064</v>
      </c>
      <c r="I1163" t="s">
        <v>6497</v>
      </c>
      <c r="J1163" t="s">
        <v>7174</v>
      </c>
      <c r="K1163">
        <v>11216</v>
      </c>
      <c r="N1163" t="s">
        <v>7237</v>
      </c>
      <c r="O1163" t="s">
        <v>8049</v>
      </c>
      <c r="P1163">
        <v>2</v>
      </c>
      <c r="Q1163">
        <v>0</v>
      </c>
      <c r="R1163">
        <v>516.4</v>
      </c>
      <c r="S1163" t="s">
        <v>372</v>
      </c>
      <c r="T1163" t="s">
        <v>10276</v>
      </c>
      <c r="U1163">
        <v>85000</v>
      </c>
      <c r="V1163" t="s">
        <v>10334</v>
      </c>
      <c r="W1163">
        <v>0</v>
      </c>
      <c r="Y1163" t="s">
        <v>225</v>
      </c>
      <c r="AA1163" t="s">
        <v>10974</v>
      </c>
      <c r="AB1163" t="s">
        <v>656</v>
      </c>
      <c r="AD1163" t="s">
        <v>11086</v>
      </c>
      <c r="AF1163" t="s">
        <v>10384</v>
      </c>
      <c r="AG1163" t="s">
        <v>11124</v>
      </c>
      <c r="AJ1163" t="s">
        <v>11134</v>
      </c>
      <c r="AK1163" t="s">
        <v>7225</v>
      </c>
      <c r="AM1163">
        <v>1390</v>
      </c>
      <c r="AO1163">
        <v>82</v>
      </c>
      <c r="AQ1163" t="s">
        <v>11157</v>
      </c>
      <c r="AS1163" t="s">
        <v>11173</v>
      </c>
      <c r="AU1163">
        <v>7</v>
      </c>
      <c r="AW1163" t="s">
        <v>11187</v>
      </c>
      <c r="AZ1163" t="s">
        <v>11221</v>
      </c>
      <c r="BE1163" t="s">
        <v>12370</v>
      </c>
      <c r="BF1163" t="s">
        <v>14364</v>
      </c>
      <c r="BG1163" t="s">
        <v>11086</v>
      </c>
      <c r="BM1163" t="s">
        <v>15650</v>
      </c>
    </row>
    <row r="1164" spans="1:65">
      <c r="A1164" s="1">
        <f>HYPERLINK("https://lsnyc.legalserver.org/matter/dynamic-profile/view/1838874","17-1838874")</f>
        <v>0</v>
      </c>
      <c r="B1164" t="s">
        <v>117</v>
      </c>
      <c r="C1164" t="s">
        <v>248</v>
      </c>
      <c r="D1164" t="s">
        <v>486</v>
      </c>
      <c r="F1164" t="s">
        <v>1692</v>
      </c>
      <c r="G1164" t="s">
        <v>3468</v>
      </c>
      <c r="H1164" t="s">
        <v>5230</v>
      </c>
      <c r="I1164" t="s">
        <v>6430</v>
      </c>
      <c r="J1164" t="s">
        <v>7174</v>
      </c>
      <c r="K1164">
        <v>11233</v>
      </c>
      <c r="N1164" t="s">
        <v>7237</v>
      </c>
      <c r="O1164" t="s">
        <v>8045</v>
      </c>
      <c r="P1164">
        <v>1</v>
      </c>
      <c r="Q1164">
        <v>0</v>
      </c>
      <c r="R1164">
        <v>59.7</v>
      </c>
      <c r="U1164">
        <v>7200</v>
      </c>
      <c r="W1164">
        <v>87.15000000000001</v>
      </c>
      <c r="X1164" t="s">
        <v>444</v>
      </c>
      <c r="Y1164" t="s">
        <v>10913</v>
      </c>
      <c r="AA1164" t="s">
        <v>10974</v>
      </c>
      <c r="AB1164" t="s">
        <v>983</v>
      </c>
      <c r="AD1164" t="s">
        <v>11083</v>
      </c>
      <c r="AF1164" t="s">
        <v>11118</v>
      </c>
      <c r="AH1164" t="s">
        <v>10975</v>
      </c>
      <c r="AJ1164" t="s">
        <v>11128</v>
      </c>
      <c r="AK1164" t="s">
        <v>7225</v>
      </c>
      <c r="AM1164">
        <v>600</v>
      </c>
      <c r="AO1164">
        <v>6</v>
      </c>
      <c r="AQ1164" t="s">
        <v>11157</v>
      </c>
      <c r="AS1164" t="s">
        <v>11173</v>
      </c>
      <c r="AU1164">
        <v>35</v>
      </c>
      <c r="AW1164" t="s">
        <v>11187</v>
      </c>
      <c r="AZ1164" t="s">
        <v>11221</v>
      </c>
      <c r="BE1164" t="s">
        <v>12367</v>
      </c>
      <c r="BG1164" t="s">
        <v>14684</v>
      </c>
      <c r="BM1164" t="s">
        <v>15650</v>
      </c>
    </row>
    <row r="1165" spans="1:65">
      <c r="A1165" s="1">
        <f>HYPERLINK("https://lsnyc.legalserver.org/matter/dynamic-profile/view/1900610","19-1900610")</f>
        <v>0</v>
      </c>
      <c r="B1165" t="s">
        <v>118</v>
      </c>
      <c r="C1165" t="s">
        <v>246</v>
      </c>
      <c r="D1165" t="s">
        <v>549</v>
      </c>
      <c r="F1165" t="s">
        <v>1697</v>
      </c>
      <c r="G1165" t="s">
        <v>1412</v>
      </c>
      <c r="H1165" t="s">
        <v>4971</v>
      </c>
      <c r="I1165" t="s">
        <v>6687</v>
      </c>
      <c r="J1165" t="s">
        <v>7170</v>
      </c>
      <c r="K1165">
        <v>10460</v>
      </c>
      <c r="N1165" t="s">
        <v>7237</v>
      </c>
      <c r="O1165" t="s">
        <v>8054</v>
      </c>
      <c r="P1165">
        <v>2</v>
      </c>
      <c r="Q1165">
        <v>0</v>
      </c>
      <c r="R1165">
        <v>54.64</v>
      </c>
      <c r="U1165">
        <v>9240</v>
      </c>
      <c r="W1165">
        <v>0.2</v>
      </c>
      <c r="X1165" t="s">
        <v>313</v>
      </c>
      <c r="Y1165" t="s">
        <v>10865</v>
      </c>
      <c r="AA1165" t="s">
        <v>10974</v>
      </c>
      <c r="AB1165" t="s">
        <v>10979</v>
      </c>
      <c r="AD1165" t="s">
        <v>11086</v>
      </c>
      <c r="AF1165" t="s">
        <v>11120</v>
      </c>
      <c r="AH1165" t="s">
        <v>10974</v>
      </c>
      <c r="AJ1165" t="s">
        <v>11129</v>
      </c>
      <c r="AK1165" t="s">
        <v>7225</v>
      </c>
      <c r="AM1165">
        <v>242</v>
      </c>
      <c r="AO1165">
        <v>168</v>
      </c>
      <c r="AQ1165" t="s">
        <v>11164</v>
      </c>
      <c r="AS1165" t="s">
        <v>11104</v>
      </c>
      <c r="AU1165">
        <v>1</v>
      </c>
      <c r="AW1165" t="s">
        <v>11187</v>
      </c>
      <c r="BA1165" t="s">
        <v>11222</v>
      </c>
      <c r="BE1165" t="s">
        <v>12374</v>
      </c>
      <c r="BF1165" t="s">
        <v>14364</v>
      </c>
      <c r="BG1165" t="s">
        <v>11228</v>
      </c>
      <c r="BM1165" t="s">
        <v>15650</v>
      </c>
    </row>
    <row r="1166" spans="1:65">
      <c r="A1166" s="1">
        <f>HYPERLINK("https://lsnyc.legalserver.org/matter/dynamic-profile/view/1896633","19-1896633")</f>
        <v>0</v>
      </c>
      <c r="B1166" t="s">
        <v>118</v>
      </c>
      <c r="C1166" t="s">
        <v>246</v>
      </c>
      <c r="D1166" t="s">
        <v>585</v>
      </c>
      <c r="F1166" t="s">
        <v>1698</v>
      </c>
      <c r="G1166" t="s">
        <v>3469</v>
      </c>
      <c r="H1166" t="s">
        <v>4976</v>
      </c>
      <c r="I1166" t="s">
        <v>6423</v>
      </c>
      <c r="J1166" t="s">
        <v>7170</v>
      </c>
      <c r="K1166">
        <v>10453</v>
      </c>
      <c r="N1166" t="s">
        <v>7237</v>
      </c>
      <c r="O1166" t="s">
        <v>8055</v>
      </c>
      <c r="P1166">
        <v>1</v>
      </c>
      <c r="Q1166">
        <v>0</v>
      </c>
      <c r="R1166">
        <v>0</v>
      </c>
      <c r="U1166">
        <v>0</v>
      </c>
      <c r="W1166">
        <v>0</v>
      </c>
      <c r="Y1166" t="s">
        <v>216</v>
      </c>
      <c r="AA1166" t="s">
        <v>10974</v>
      </c>
      <c r="AB1166" t="s">
        <v>10979</v>
      </c>
      <c r="AD1166" t="s">
        <v>11086</v>
      </c>
      <c r="AF1166" t="s">
        <v>10384</v>
      </c>
      <c r="AH1166" t="s">
        <v>10974</v>
      </c>
      <c r="AJ1166" t="s">
        <v>11141</v>
      </c>
      <c r="AK1166" t="s">
        <v>7225</v>
      </c>
      <c r="AM1166">
        <v>169</v>
      </c>
      <c r="AO1166">
        <v>99</v>
      </c>
      <c r="AQ1166" t="s">
        <v>11157</v>
      </c>
      <c r="AS1166" t="s">
        <v>11174</v>
      </c>
      <c r="AU1166">
        <v>6</v>
      </c>
      <c r="AW1166" t="s">
        <v>11187</v>
      </c>
      <c r="BA1166" t="s">
        <v>11222</v>
      </c>
      <c r="BD1166" t="s">
        <v>11667</v>
      </c>
      <c r="BF1166" t="s">
        <v>14364</v>
      </c>
      <c r="BM1166" t="s">
        <v>15650</v>
      </c>
    </row>
    <row r="1167" spans="1:65">
      <c r="A1167" s="1">
        <f>HYPERLINK("https://lsnyc.legalserver.org/matter/dynamic-profile/view/1861088","18-1861088")</f>
        <v>0</v>
      </c>
      <c r="B1167" t="s">
        <v>118</v>
      </c>
      <c r="C1167" t="s">
        <v>246</v>
      </c>
      <c r="D1167" t="s">
        <v>419</v>
      </c>
      <c r="F1167" t="s">
        <v>1122</v>
      </c>
      <c r="G1167" t="s">
        <v>3032</v>
      </c>
      <c r="H1167" t="s">
        <v>5232</v>
      </c>
      <c r="J1167" t="s">
        <v>7170</v>
      </c>
      <c r="K1167">
        <v>10452</v>
      </c>
      <c r="N1167" t="s">
        <v>7237</v>
      </c>
      <c r="O1167" t="s">
        <v>8056</v>
      </c>
      <c r="P1167">
        <v>2</v>
      </c>
      <c r="Q1167">
        <v>0</v>
      </c>
      <c r="R1167">
        <v>83.69</v>
      </c>
      <c r="U1167">
        <v>13776</v>
      </c>
      <c r="W1167">
        <v>0</v>
      </c>
      <c r="Y1167" t="s">
        <v>118</v>
      </c>
      <c r="AA1167" t="s">
        <v>10974</v>
      </c>
      <c r="AB1167" t="s">
        <v>419</v>
      </c>
      <c r="AD1167" t="s">
        <v>11082</v>
      </c>
      <c r="AF1167" t="s">
        <v>11119</v>
      </c>
      <c r="AH1167" t="s">
        <v>10975</v>
      </c>
      <c r="AI1167" t="s">
        <v>11126</v>
      </c>
      <c r="AK1167" t="s">
        <v>7225</v>
      </c>
      <c r="AL1167" t="s">
        <v>11150</v>
      </c>
      <c r="AM1167">
        <v>0</v>
      </c>
      <c r="AO1167">
        <v>8</v>
      </c>
      <c r="AP1167" t="s">
        <v>11155</v>
      </c>
      <c r="AS1167" t="s">
        <v>11173</v>
      </c>
      <c r="AT1167" t="s">
        <v>11184</v>
      </c>
      <c r="AU1167">
        <v>0</v>
      </c>
      <c r="AW1167" t="s">
        <v>11187</v>
      </c>
      <c r="AZ1167" t="s">
        <v>11221</v>
      </c>
      <c r="BD1167" t="s">
        <v>11667</v>
      </c>
      <c r="BG1167" t="s">
        <v>14685</v>
      </c>
      <c r="BM1167" t="s">
        <v>15650</v>
      </c>
    </row>
    <row r="1168" spans="1:65">
      <c r="A1168" s="1">
        <f>HYPERLINK("https://lsnyc.legalserver.org/matter/dynamic-profile/view/1885992","18-1885992")</f>
        <v>0</v>
      </c>
      <c r="B1168" t="s">
        <v>118</v>
      </c>
      <c r="C1168" t="s">
        <v>246</v>
      </c>
      <c r="D1168" t="s">
        <v>446</v>
      </c>
      <c r="E1168" t="s">
        <v>426</v>
      </c>
      <c r="F1168" t="s">
        <v>1699</v>
      </c>
      <c r="G1168" t="s">
        <v>3470</v>
      </c>
      <c r="H1168" t="s">
        <v>4971</v>
      </c>
      <c r="I1168" t="s">
        <v>6688</v>
      </c>
      <c r="J1168" t="s">
        <v>7170</v>
      </c>
      <c r="K1168">
        <v>10460</v>
      </c>
      <c r="L1168" t="s">
        <v>7219</v>
      </c>
      <c r="N1168" t="s">
        <v>7237</v>
      </c>
      <c r="O1168" t="s">
        <v>8057</v>
      </c>
      <c r="P1168">
        <v>1</v>
      </c>
      <c r="Q1168">
        <v>1</v>
      </c>
      <c r="R1168">
        <v>212.64</v>
      </c>
      <c r="U1168">
        <v>35000</v>
      </c>
      <c r="W1168">
        <v>0.25</v>
      </c>
      <c r="X1168" t="s">
        <v>426</v>
      </c>
      <c r="Y1168" t="s">
        <v>10903</v>
      </c>
      <c r="AA1168" t="s">
        <v>10974</v>
      </c>
      <c r="AB1168" t="s">
        <v>370</v>
      </c>
      <c r="AD1168" t="s">
        <v>11101</v>
      </c>
      <c r="AF1168" t="s">
        <v>11118</v>
      </c>
      <c r="AH1168" t="s">
        <v>10974</v>
      </c>
      <c r="AJ1168" t="s">
        <v>11141</v>
      </c>
      <c r="AK1168" t="s">
        <v>7225</v>
      </c>
      <c r="AM1168">
        <v>1960</v>
      </c>
      <c r="AO1168">
        <v>169</v>
      </c>
      <c r="AQ1168" t="s">
        <v>11161</v>
      </c>
      <c r="AS1168" t="s">
        <v>11174</v>
      </c>
      <c r="AU1168">
        <v>11</v>
      </c>
      <c r="AW1168" t="s">
        <v>11187</v>
      </c>
      <c r="AZ1168" t="s">
        <v>11221</v>
      </c>
      <c r="BE1168" t="s">
        <v>12375</v>
      </c>
      <c r="BG1168" t="s">
        <v>14686</v>
      </c>
      <c r="BJ1168" t="s">
        <v>15615</v>
      </c>
      <c r="BM1168" t="s">
        <v>15651</v>
      </c>
    </row>
    <row r="1169" spans="1:67">
      <c r="A1169" s="1">
        <f>HYPERLINK("https://lsnyc.legalserver.org/matter/dynamic-profile/view/1885569","18-1885569")</f>
        <v>0</v>
      </c>
      <c r="B1169" t="s">
        <v>118</v>
      </c>
      <c r="C1169" t="s">
        <v>246</v>
      </c>
      <c r="D1169" t="s">
        <v>665</v>
      </c>
      <c r="E1169" t="s">
        <v>735</v>
      </c>
      <c r="F1169" t="s">
        <v>1171</v>
      </c>
      <c r="G1169" t="s">
        <v>3471</v>
      </c>
      <c r="H1169" t="s">
        <v>4971</v>
      </c>
      <c r="I1169" t="s">
        <v>6689</v>
      </c>
      <c r="J1169" t="s">
        <v>7170</v>
      </c>
      <c r="K1169">
        <v>10460</v>
      </c>
      <c r="L1169" t="s">
        <v>7219</v>
      </c>
      <c r="N1169" t="s">
        <v>7237</v>
      </c>
      <c r="O1169" t="s">
        <v>8058</v>
      </c>
      <c r="P1169">
        <v>1</v>
      </c>
      <c r="Q1169">
        <v>0</v>
      </c>
      <c r="R1169">
        <v>148.27</v>
      </c>
      <c r="U1169">
        <v>18000</v>
      </c>
      <c r="W1169">
        <v>0.25</v>
      </c>
      <c r="X1169" t="s">
        <v>735</v>
      </c>
      <c r="Y1169" t="s">
        <v>216</v>
      </c>
      <c r="AA1169" t="s">
        <v>10974</v>
      </c>
      <c r="AB1169" t="s">
        <v>370</v>
      </c>
      <c r="AD1169" t="s">
        <v>11101</v>
      </c>
      <c r="AF1169" t="s">
        <v>11118</v>
      </c>
      <c r="AH1169" t="s">
        <v>10974</v>
      </c>
      <c r="AJ1169" t="s">
        <v>11141</v>
      </c>
      <c r="AK1169" t="s">
        <v>7225</v>
      </c>
      <c r="AM1169">
        <v>500</v>
      </c>
      <c r="AO1169">
        <v>168</v>
      </c>
      <c r="AQ1169" t="s">
        <v>11164</v>
      </c>
      <c r="AS1169" t="s">
        <v>11174</v>
      </c>
      <c r="AU1169">
        <v>5</v>
      </c>
      <c r="AW1169" t="s">
        <v>11187</v>
      </c>
      <c r="BA1169" t="s">
        <v>11222</v>
      </c>
      <c r="BE1169" t="s">
        <v>12376</v>
      </c>
      <c r="BG1169" t="s">
        <v>14686</v>
      </c>
      <c r="BJ1169" t="s">
        <v>15615</v>
      </c>
      <c r="BM1169" t="s">
        <v>15651</v>
      </c>
    </row>
    <row r="1170" spans="1:67">
      <c r="A1170" s="1">
        <f>HYPERLINK("https://lsnyc.legalserver.org/matter/dynamic-profile/view/1886038","18-1886038")</f>
        <v>0</v>
      </c>
      <c r="B1170" t="s">
        <v>118</v>
      </c>
      <c r="C1170" t="s">
        <v>246</v>
      </c>
      <c r="D1170" t="s">
        <v>612</v>
      </c>
      <c r="F1170" t="s">
        <v>1535</v>
      </c>
      <c r="G1170" t="s">
        <v>3472</v>
      </c>
      <c r="H1170" t="s">
        <v>4971</v>
      </c>
      <c r="I1170" t="s">
        <v>6690</v>
      </c>
      <c r="J1170" t="s">
        <v>7170</v>
      </c>
      <c r="K1170">
        <v>10460</v>
      </c>
      <c r="N1170" t="s">
        <v>7237</v>
      </c>
      <c r="O1170" t="s">
        <v>8059</v>
      </c>
      <c r="P1170">
        <v>1</v>
      </c>
      <c r="Q1170">
        <v>0</v>
      </c>
      <c r="R1170">
        <v>257</v>
      </c>
      <c r="U1170">
        <v>31200</v>
      </c>
      <c r="W1170">
        <v>0</v>
      </c>
      <c r="Y1170" t="s">
        <v>10903</v>
      </c>
      <c r="AA1170" t="s">
        <v>10974</v>
      </c>
      <c r="AB1170" t="s">
        <v>612</v>
      </c>
      <c r="AD1170" t="s">
        <v>11101</v>
      </c>
      <c r="AF1170" t="s">
        <v>11118</v>
      </c>
      <c r="AH1170" t="s">
        <v>10974</v>
      </c>
      <c r="AJ1170" t="s">
        <v>11141</v>
      </c>
      <c r="AK1170" t="s">
        <v>7225</v>
      </c>
      <c r="AM1170">
        <v>955</v>
      </c>
      <c r="AO1170">
        <v>169</v>
      </c>
      <c r="AQ1170" t="s">
        <v>11157</v>
      </c>
      <c r="AS1170" t="s">
        <v>11174</v>
      </c>
      <c r="AU1170">
        <v>34</v>
      </c>
      <c r="AW1170" t="s">
        <v>11187</v>
      </c>
      <c r="AZ1170" t="s">
        <v>11221</v>
      </c>
      <c r="BE1170" t="s">
        <v>12377</v>
      </c>
      <c r="BG1170" t="s">
        <v>14686</v>
      </c>
      <c r="BM1170" t="s">
        <v>15650</v>
      </c>
    </row>
    <row r="1171" spans="1:67">
      <c r="A1171" s="1">
        <f>HYPERLINK("https://lsnyc.legalserver.org/matter/dynamic-profile/view/1886012","18-1886012")</f>
        <v>0</v>
      </c>
      <c r="B1171" t="s">
        <v>118</v>
      </c>
      <c r="C1171" t="s">
        <v>246</v>
      </c>
      <c r="D1171" t="s">
        <v>612</v>
      </c>
      <c r="E1171" t="s">
        <v>426</v>
      </c>
      <c r="F1171" t="s">
        <v>1328</v>
      </c>
      <c r="G1171" t="s">
        <v>3110</v>
      </c>
      <c r="H1171" t="s">
        <v>4971</v>
      </c>
      <c r="I1171" t="s">
        <v>6538</v>
      </c>
      <c r="J1171" t="s">
        <v>7170</v>
      </c>
      <c r="K1171">
        <v>10460</v>
      </c>
      <c r="L1171" t="s">
        <v>7219</v>
      </c>
      <c r="N1171" t="s">
        <v>7237</v>
      </c>
      <c r="O1171" t="s">
        <v>7535</v>
      </c>
      <c r="P1171">
        <v>2</v>
      </c>
      <c r="Q1171">
        <v>0</v>
      </c>
      <c r="R1171">
        <v>212.64</v>
      </c>
      <c r="U1171">
        <v>35000</v>
      </c>
      <c r="W1171">
        <v>0.25</v>
      </c>
      <c r="X1171" t="s">
        <v>426</v>
      </c>
      <c r="Y1171" t="s">
        <v>10903</v>
      </c>
      <c r="AA1171" t="s">
        <v>10974</v>
      </c>
      <c r="AB1171" t="s">
        <v>370</v>
      </c>
      <c r="AD1171" t="s">
        <v>11101</v>
      </c>
      <c r="AF1171" t="s">
        <v>11118</v>
      </c>
      <c r="AH1171" t="s">
        <v>10974</v>
      </c>
      <c r="AJ1171" t="s">
        <v>11141</v>
      </c>
      <c r="AK1171" t="s">
        <v>7225</v>
      </c>
      <c r="AM1171">
        <v>1169</v>
      </c>
      <c r="AO1171">
        <v>169</v>
      </c>
      <c r="AQ1171" t="s">
        <v>11157</v>
      </c>
      <c r="AS1171" t="s">
        <v>11174</v>
      </c>
      <c r="AT1171" t="s">
        <v>11184</v>
      </c>
      <c r="AU1171">
        <v>0</v>
      </c>
      <c r="AW1171" t="s">
        <v>11187</v>
      </c>
      <c r="AZ1171" t="s">
        <v>11221</v>
      </c>
      <c r="BD1171" t="s">
        <v>11667</v>
      </c>
      <c r="BG1171" t="s">
        <v>14686</v>
      </c>
      <c r="BJ1171" t="s">
        <v>15615</v>
      </c>
      <c r="BM1171" t="s">
        <v>15651</v>
      </c>
    </row>
    <row r="1172" spans="1:67">
      <c r="A1172" s="1">
        <f>HYPERLINK("https://lsnyc.legalserver.org/matter/dynamic-profile/view/1882345","18-1882345")</f>
        <v>0</v>
      </c>
      <c r="B1172" t="s">
        <v>118</v>
      </c>
      <c r="C1172" t="s">
        <v>246</v>
      </c>
      <c r="D1172" t="s">
        <v>569</v>
      </c>
      <c r="F1172" t="s">
        <v>1282</v>
      </c>
      <c r="G1172" t="s">
        <v>2913</v>
      </c>
      <c r="H1172" t="s">
        <v>4976</v>
      </c>
      <c r="I1172" t="s">
        <v>6422</v>
      </c>
      <c r="J1172" t="s">
        <v>7170</v>
      </c>
      <c r="K1172">
        <v>10453</v>
      </c>
      <c r="N1172" t="s">
        <v>7237</v>
      </c>
      <c r="O1172" t="s">
        <v>8060</v>
      </c>
      <c r="P1172">
        <v>1</v>
      </c>
      <c r="Q1172">
        <v>1</v>
      </c>
      <c r="R1172">
        <v>212.64</v>
      </c>
      <c r="U1172">
        <v>35000</v>
      </c>
      <c r="V1172" t="s">
        <v>10385</v>
      </c>
      <c r="W1172">
        <v>0</v>
      </c>
      <c r="Y1172" t="s">
        <v>216</v>
      </c>
      <c r="AA1172" t="s">
        <v>10974</v>
      </c>
      <c r="AB1172" t="s">
        <v>10979</v>
      </c>
      <c r="AD1172" t="s">
        <v>11086</v>
      </c>
      <c r="AF1172" t="s">
        <v>10384</v>
      </c>
      <c r="AG1172" t="s">
        <v>11124</v>
      </c>
      <c r="AJ1172" t="s">
        <v>11141</v>
      </c>
      <c r="AK1172" t="s">
        <v>7225</v>
      </c>
      <c r="AM1172">
        <v>1400</v>
      </c>
      <c r="AO1172">
        <v>99</v>
      </c>
      <c r="AQ1172" t="s">
        <v>11157</v>
      </c>
      <c r="AS1172" t="s">
        <v>11174</v>
      </c>
      <c r="AT1172" t="s">
        <v>11184</v>
      </c>
      <c r="AU1172">
        <v>0</v>
      </c>
      <c r="AW1172" t="s">
        <v>11187</v>
      </c>
      <c r="BA1172" t="s">
        <v>11222</v>
      </c>
      <c r="BD1172" t="s">
        <v>11667</v>
      </c>
      <c r="BF1172" t="s">
        <v>14364</v>
      </c>
      <c r="BM1172" t="s">
        <v>15650</v>
      </c>
    </row>
    <row r="1173" spans="1:67">
      <c r="A1173" s="1">
        <f>HYPERLINK("https://lsnyc.legalserver.org/matter/dynamic-profile/view/1885677","18-1885677")</f>
        <v>0</v>
      </c>
      <c r="B1173" t="s">
        <v>118</v>
      </c>
      <c r="C1173" t="s">
        <v>246</v>
      </c>
      <c r="D1173" t="s">
        <v>579</v>
      </c>
      <c r="E1173" t="s">
        <v>735</v>
      </c>
      <c r="F1173" t="s">
        <v>1700</v>
      </c>
      <c r="G1173" t="s">
        <v>3473</v>
      </c>
      <c r="H1173" t="s">
        <v>4971</v>
      </c>
      <c r="I1173" t="s">
        <v>6424</v>
      </c>
      <c r="J1173" t="s">
        <v>7170</v>
      </c>
      <c r="K1173">
        <v>10460</v>
      </c>
      <c r="L1173" t="s">
        <v>7219</v>
      </c>
      <c r="N1173" t="s">
        <v>7237</v>
      </c>
      <c r="O1173" t="s">
        <v>7597</v>
      </c>
      <c r="P1173">
        <v>1</v>
      </c>
      <c r="Q1173">
        <v>0</v>
      </c>
      <c r="R1173">
        <v>127.31</v>
      </c>
      <c r="U1173">
        <v>15456</v>
      </c>
      <c r="W1173">
        <v>0.25</v>
      </c>
      <c r="X1173" t="s">
        <v>735</v>
      </c>
      <c r="Y1173" t="s">
        <v>10865</v>
      </c>
      <c r="AA1173" t="s">
        <v>10974</v>
      </c>
      <c r="AB1173" t="s">
        <v>370</v>
      </c>
      <c r="AD1173" t="s">
        <v>11101</v>
      </c>
      <c r="AF1173" t="s">
        <v>11118</v>
      </c>
      <c r="AH1173" t="s">
        <v>10974</v>
      </c>
      <c r="AJ1173" t="s">
        <v>11141</v>
      </c>
      <c r="AK1173" t="s">
        <v>7225</v>
      </c>
      <c r="AM1173">
        <v>377</v>
      </c>
      <c r="AO1173">
        <v>168</v>
      </c>
      <c r="AQ1173" t="s">
        <v>11164</v>
      </c>
      <c r="AS1173" t="s">
        <v>11104</v>
      </c>
      <c r="AU1173">
        <v>10</v>
      </c>
      <c r="AW1173" t="s">
        <v>11187</v>
      </c>
      <c r="AZ1173" t="s">
        <v>11221</v>
      </c>
      <c r="BE1173" t="s">
        <v>12378</v>
      </c>
      <c r="BG1173" t="s">
        <v>14686</v>
      </c>
      <c r="BJ1173" t="s">
        <v>15615</v>
      </c>
      <c r="BM1173" t="s">
        <v>15651</v>
      </c>
    </row>
    <row r="1174" spans="1:67">
      <c r="A1174" s="1">
        <f>HYPERLINK("https://lsnyc.legalserver.org/matter/dynamic-profile/view/1900130","19-1900130")</f>
        <v>0</v>
      </c>
      <c r="B1174" t="s">
        <v>118</v>
      </c>
      <c r="C1174" t="s">
        <v>246</v>
      </c>
      <c r="D1174" t="s">
        <v>666</v>
      </c>
      <c r="F1174" t="s">
        <v>1135</v>
      </c>
      <c r="G1174" t="s">
        <v>3474</v>
      </c>
      <c r="H1174" t="s">
        <v>4971</v>
      </c>
      <c r="I1174" t="s">
        <v>6691</v>
      </c>
      <c r="J1174" t="s">
        <v>7170</v>
      </c>
      <c r="K1174">
        <v>10460</v>
      </c>
      <c r="N1174" t="s">
        <v>7237</v>
      </c>
      <c r="O1174" t="s">
        <v>8061</v>
      </c>
      <c r="P1174">
        <v>1</v>
      </c>
      <c r="Q1174">
        <v>0</v>
      </c>
      <c r="R1174">
        <v>73.31</v>
      </c>
      <c r="U1174">
        <v>9156</v>
      </c>
      <c r="W1174">
        <v>0</v>
      </c>
      <c r="Y1174" t="s">
        <v>10897</v>
      </c>
      <c r="AA1174" t="s">
        <v>10974</v>
      </c>
      <c r="AB1174" t="s">
        <v>10979</v>
      </c>
      <c r="AD1174" t="s">
        <v>11086</v>
      </c>
      <c r="AF1174" t="s">
        <v>11120</v>
      </c>
      <c r="AH1174" t="s">
        <v>10974</v>
      </c>
      <c r="AJ1174" t="s">
        <v>11141</v>
      </c>
      <c r="AK1174" t="s">
        <v>7225</v>
      </c>
      <c r="AM1174">
        <v>1694</v>
      </c>
      <c r="AO1174">
        <v>168</v>
      </c>
      <c r="AQ1174" t="s">
        <v>11157</v>
      </c>
      <c r="AS1174" t="s">
        <v>11174</v>
      </c>
      <c r="AU1174">
        <v>35</v>
      </c>
      <c r="AW1174" t="s">
        <v>11187</v>
      </c>
      <c r="BA1174" t="s">
        <v>11222</v>
      </c>
      <c r="BE1174" t="s">
        <v>12379</v>
      </c>
      <c r="BF1174" t="s">
        <v>14364</v>
      </c>
      <c r="BG1174" t="s">
        <v>11228</v>
      </c>
      <c r="BM1174" t="s">
        <v>15650</v>
      </c>
    </row>
    <row r="1175" spans="1:67">
      <c r="A1175" s="1">
        <f>HYPERLINK("https://lsnyc.legalserver.org/matter/dynamic-profile/view/1877914","18-1877914")</f>
        <v>0</v>
      </c>
      <c r="B1175" t="s">
        <v>118</v>
      </c>
      <c r="C1175" t="s">
        <v>246</v>
      </c>
      <c r="D1175" t="s">
        <v>667</v>
      </c>
      <c r="F1175" t="s">
        <v>1701</v>
      </c>
      <c r="G1175" t="s">
        <v>3475</v>
      </c>
      <c r="H1175" t="s">
        <v>4976</v>
      </c>
      <c r="I1175" t="s">
        <v>6628</v>
      </c>
      <c r="J1175" t="s">
        <v>7170</v>
      </c>
      <c r="K1175">
        <v>10453</v>
      </c>
      <c r="N1175" t="s">
        <v>7237</v>
      </c>
      <c r="O1175" t="s">
        <v>8062</v>
      </c>
      <c r="P1175">
        <v>1</v>
      </c>
      <c r="Q1175">
        <v>2</v>
      </c>
      <c r="R1175">
        <v>95.09</v>
      </c>
      <c r="U1175">
        <v>19760</v>
      </c>
      <c r="W1175">
        <v>90.59999999999999</v>
      </c>
      <c r="X1175" t="s">
        <v>578</v>
      </c>
      <c r="Y1175" t="s">
        <v>216</v>
      </c>
      <c r="AA1175" t="s">
        <v>10974</v>
      </c>
      <c r="AB1175" t="s">
        <v>10979</v>
      </c>
      <c r="AD1175" t="s">
        <v>11086</v>
      </c>
      <c r="AF1175" t="s">
        <v>10384</v>
      </c>
      <c r="AH1175" t="s">
        <v>10974</v>
      </c>
      <c r="AJ1175" t="s">
        <v>11141</v>
      </c>
      <c r="AK1175" t="s">
        <v>7225</v>
      </c>
      <c r="AM1175">
        <v>669</v>
      </c>
      <c r="AO1175">
        <v>99</v>
      </c>
      <c r="AQ1175" t="s">
        <v>11157</v>
      </c>
      <c r="AS1175" t="s">
        <v>11174</v>
      </c>
      <c r="AU1175">
        <v>9</v>
      </c>
      <c r="AW1175" t="s">
        <v>11187</v>
      </c>
      <c r="BA1175" t="s">
        <v>11222</v>
      </c>
      <c r="BB1175" t="s">
        <v>11224</v>
      </c>
      <c r="BC1175" t="s">
        <v>11340</v>
      </c>
      <c r="BE1175" t="s">
        <v>12380</v>
      </c>
      <c r="BF1175" t="s">
        <v>14364</v>
      </c>
      <c r="BM1175" t="s">
        <v>15650</v>
      </c>
    </row>
    <row r="1176" spans="1:67">
      <c r="A1176" s="1">
        <f>HYPERLINK("https://lsnyc.legalserver.org/matter/dynamic-profile/view/1900542","19-1900542")</f>
        <v>0</v>
      </c>
      <c r="B1176" t="s">
        <v>118</v>
      </c>
      <c r="C1176" t="s">
        <v>246</v>
      </c>
      <c r="D1176" t="s">
        <v>549</v>
      </c>
      <c r="F1176" t="s">
        <v>1702</v>
      </c>
      <c r="G1176" t="s">
        <v>3476</v>
      </c>
      <c r="H1176" t="s">
        <v>4971</v>
      </c>
      <c r="I1176" t="s">
        <v>6573</v>
      </c>
      <c r="J1176" t="s">
        <v>7170</v>
      </c>
      <c r="K1176">
        <v>10460</v>
      </c>
      <c r="N1176" t="s">
        <v>7237</v>
      </c>
      <c r="O1176" t="s">
        <v>8063</v>
      </c>
      <c r="P1176">
        <v>2</v>
      </c>
      <c r="Q1176">
        <v>0</v>
      </c>
      <c r="R1176">
        <v>127.38</v>
      </c>
      <c r="U1176">
        <v>21540</v>
      </c>
      <c r="W1176">
        <v>0</v>
      </c>
      <c r="Y1176" t="s">
        <v>10865</v>
      </c>
      <c r="AA1176" t="s">
        <v>10974</v>
      </c>
      <c r="AB1176" t="s">
        <v>10979</v>
      </c>
      <c r="AD1176" t="s">
        <v>11086</v>
      </c>
      <c r="AF1176" t="s">
        <v>11120</v>
      </c>
      <c r="AH1176" t="s">
        <v>10974</v>
      </c>
      <c r="AJ1176" t="s">
        <v>11129</v>
      </c>
      <c r="AK1176" t="s">
        <v>7225</v>
      </c>
      <c r="AM1176">
        <v>1796</v>
      </c>
      <c r="AO1176">
        <v>168</v>
      </c>
      <c r="AQ1176" t="s">
        <v>11157</v>
      </c>
      <c r="AS1176" t="s">
        <v>11174</v>
      </c>
      <c r="AU1176">
        <v>23</v>
      </c>
      <c r="AW1176" t="s">
        <v>11187</v>
      </c>
      <c r="BA1176" t="s">
        <v>11222</v>
      </c>
      <c r="BD1176" t="s">
        <v>11667</v>
      </c>
      <c r="BF1176" t="s">
        <v>14364</v>
      </c>
      <c r="BG1176" t="s">
        <v>11228</v>
      </c>
      <c r="BM1176" t="s">
        <v>15650</v>
      </c>
    </row>
    <row r="1177" spans="1:67">
      <c r="A1177" s="1">
        <f>HYPERLINK("https://lsnyc.legalserver.org/matter/dynamic-profile/view/1879919","18-1879919")</f>
        <v>0</v>
      </c>
      <c r="B1177" t="s">
        <v>118</v>
      </c>
      <c r="C1177" t="s">
        <v>246</v>
      </c>
      <c r="D1177" t="s">
        <v>595</v>
      </c>
      <c r="F1177" t="s">
        <v>1108</v>
      </c>
      <c r="G1177" t="s">
        <v>3477</v>
      </c>
      <c r="H1177" t="s">
        <v>5233</v>
      </c>
      <c r="I1177" t="s">
        <v>6407</v>
      </c>
      <c r="J1177" t="s">
        <v>7170</v>
      </c>
      <c r="K1177">
        <v>10453</v>
      </c>
      <c r="N1177" t="s">
        <v>7237</v>
      </c>
      <c r="O1177" t="s">
        <v>8064</v>
      </c>
      <c r="P1177">
        <v>3</v>
      </c>
      <c r="Q1177">
        <v>2</v>
      </c>
      <c r="R1177">
        <v>37.08</v>
      </c>
      <c r="U1177">
        <v>10908</v>
      </c>
      <c r="W1177">
        <v>9.199999999999999</v>
      </c>
      <c r="X1177" t="s">
        <v>585</v>
      </c>
      <c r="Y1177" t="s">
        <v>10897</v>
      </c>
      <c r="AA1177" t="s">
        <v>10974</v>
      </c>
      <c r="AB1177" t="s">
        <v>595</v>
      </c>
      <c r="AD1177" t="s">
        <v>11083</v>
      </c>
      <c r="AF1177" t="s">
        <v>11118</v>
      </c>
      <c r="AH1177" t="s">
        <v>10975</v>
      </c>
      <c r="AJ1177" t="s">
        <v>11132</v>
      </c>
      <c r="AK1177" t="s">
        <v>7225</v>
      </c>
      <c r="AL1177" t="s">
        <v>11150</v>
      </c>
      <c r="AM1177">
        <v>0</v>
      </c>
      <c r="AN1177" t="s">
        <v>11151</v>
      </c>
      <c r="AO1177" t="s">
        <v>11153</v>
      </c>
      <c r="AQ1177" t="s">
        <v>11157</v>
      </c>
      <c r="AS1177" t="s">
        <v>11174</v>
      </c>
      <c r="AU1177">
        <v>14</v>
      </c>
      <c r="AW1177" t="s">
        <v>11187</v>
      </c>
      <c r="AZ1177" t="s">
        <v>11221</v>
      </c>
      <c r="BC1177" t="s">
        <v>11341</v>
      </c>
      <c r="BE1177" t="s">
        <v>12381</v>
      </c>
      <c r="BG1177" t="s">
        <v>14687</v>
      </c>
      <c r="BM1177" t="s">
        <v>15650</v>
      </c>
    </row>
    <row r="1178" spans="1:67">
      <c r="A1178" s="1">
        <f>HYPERLINK("https://lsnyc.legalserver.org/matter/dynamic-profile/view/1861172","18-1861172")</f>
        <v>0</v>
      </c>
      <c r="B1178" t="s">
        <v>118</v>
      </c>
      <c r="C1178" t="s">
        <v>246</v>
      </c>
      <c r="D1178" t="s">
        <v>414</v>
      </c>
      <c r="F1178" t="s">
        <v>1352</v>
      </c>
      <c r="G1178" t="s">
        <v>3478</v>
      </c>
      <c r="H1178" t="s">
        <v>5234</v>
      </c>
      <c r="I1178" t="s">
        <v>6692</v>
      </c>
      <c r="J1178" t="s">
        <v>7170</v>
      </c>
      <c r="K1178">
        <v>10453</v>
      </c>
      <c r="N1178" t="s">
        <v>7237</v>
      </c>
      <c r="O1178" t="s">
        <v>8065</v>
      </c>
      <c r="P1178">
        <v>1</v>
      </c>
      <c r="Q1178">
        <v>3</v>
      </c>
      <c r="R1178">
        <v>128.45</v>
      </c>
      <c r="U1178">
        <v>32240</v>
      </c>
      <c r="W1178">
        <v>12.7</v>
      </c>
      <c r="X1178" t="s">
        <v>321</v>
      </c>
      <c r="Y1178" t="s">
        <v>10892</v>
      </c>
      <c r="AA1178" t="s">
        <v>10974</v>
      </c>
      <c r="AB1178" t="s">
        <v>253</v>
      </c>
      <c r="AD1178" t="s">
        <v>11082</v>
      </c>
      <c r="AF1178" t="s">
        <v>11118</v>
      </c>
      <c r="AH1178" t="s">
        <v>10975</v>
      </c>
      <c r="AJ1178" t="s">
        <v>11140</v>
      </c>
      <c r="AK1178" t="s">
        <v>7225</v>
      </c>
      <c r="AM1178">
        <v>1054</v>
      </c>
      <c r="AO1178">
        <v>36</v>
      </c>
      <c r="AQ1178" t="s">
        <v>11157</v>
      </c>
      <c r="AS1178" t="s">
        <v>11173</v>
      </c>
      <c r="AU1178">
        <v>8</v>
      </c>
      <c r="AW1178" t="s">
        <v>11187</v>
      </c>
      <c r="AZ1178" t="s">
        <v>11221</v>
      </c>
      <c r="BE1178" t="s">
        <v>12382</v>
      </c>
      <c r="BG1178" t="s">
        <v>14688</v>
      </c>
      <c r="BI1178" t="s">
        <v>15609</v>
      </c>
      <c r="BK1178" t="s">
        <v>15617</v>
      </c>
      <c r="BM1178" t="s">
        <v>15650</v>
      </c>
      <c r="BN1178" t="s">
        <v>15652</v>
      </c>
      <c r="BO1178" t="s">
        <v>15677</v>
      </c>
    </row>
    <row r="1179" spans="1:67">
      <c r="A1179" s="1">
        <f>HYPERLINK("https://lsnyc.legalserver.org/matter/dynamic-profile/view/1886107","18-1886107")</f>
        <v>0</v>
      </c>
      <c r="B1179" t="s">
        <v>118</v>
      </c>
      <c r="C1179" t="s">
        <v>246</v>
      </c>
      <c r="D1179" t="s">
        <v>612</v>
      </c>
      <c r="E1179" t="s">
        <v>449</v>
      </c>
      <c r="F1179" t="s">
        <v>1280</v>
      </c>
      <c r="G1179" t="s">
        <v>3060</v>
      </c>
      <c r="H1179" t="s">
        <v>4971</v>
      </c>
      <c r="I1179" t="s">
        <v>6693</v>
      </c>
      <c r="J1179" t="s">
        <v>7170</v>
      </c>
      <c r="K1179">
        <v>10460</v>
      </c>
      <c r="L1179" t="s">
        <v>7219</v>
      </c>
      <c r="N1179" t="s">
        <v>7237</v>
      </c>
      <c r="O1179" t="s">
        <v>8066</v>
      </c>
      <c r="P1179">
        <v>1</v>
      </c>
      <c r="Q1179">
        <v>0</v>
      </c>
      <c r="R1179">
        <v>116.14</v>
      </c>
      <c r="U1179">
        <v>14100</v>
      </c>
      <c r="W1179">
        <v>1</v>
      </c>
      <c r="X1179" t="s">
        <v>449</v>
      </c>
      <c r="Y1179" t="s">
        <v>10903</v>
      </c>
      <c r="AA1179" t="s">
        <v>10974</v>
      </c>
      <c r="AB1179" t="s">
        <v>370</v>
      </c>
      <c r="AD1179" t="s">
        <v>11101</v>
      </c>
      <c r="AF1179" t="s">
        <v>11118</v>
      </c>
      <c r="AH1179" t="s">
        <v>10974</v>
      </c>
      <c r="AJ1179" t="s">
        <v>11141</v>
      </c>
      <c r="AK1179" t="s">
        <v>7225</v>
      </c>
      <c r="AM1179">
        <v>343</v>
      </c>
      <c r="AO1179">
        <v>169</v>
      </c>
      <c r="AQ1179" t="s">
        <v>11164</v>
      </c>
      <c r="AS1179" t="s">
        <v>11174</v>
      </c>
      <c r="AU1179">
        <v>1</v>
      </c>
      <c r="AW1179" t="s">
        <v>11189</v>
      </c>
      <c r="AZ1179" t="s">
        <v>11221</v>
      </c>
      <c r="BE1179" t="s">
        <v>12383</v>
      </c>
      <c r="BG1179" t="s">
        <v>14686</v>
      </c>
      <c r="BJ1179" t="s">
        <v>15615</v>
      </c>
      <c r="BM1179" t="s">
        <v>15651</v>
      </c>
    </row>
    <row r="1180" spans="1:67">
      <c r="A1180" s="1">
        <f>HYPERLINK("https://lsnyc.legalserver.org/matter/dynamic-profile/view/1884809","18-1884809")</f>
        <v>0</v>
      </c>
      <c r="B1180" t="s">
        <v>118</v>
      </c>
      <c r="C1180" t="s">
        <v>246</v>
      </c>
      <c r="D1180" t="s">
        <v>668</v>
      </c>
      <c r="F1180" t="s">
        <v>1703</v>
      </c>
      <c r="G1180" t="s">
        <v>3479</v>
      </c>
      <c r="H1180" t="s">
        <v>4971</v>
      </c>
      <c r="I1180" t="s">
        <v>6694</v>
      </c>
      <c r="J1180" t="s">
        <v>7170</v>
      </c>
      <c r="K1180">
        <v>10460</v>
      </c>
      <c r="N1180" t="s">
        <v>7237</v>
      </c>
      <c r="O1180" t="s">
        <v>8067</v>
      </c>
      <c r="P1180">
        <v>2</v>
      </c>
      <c r="Q1180">
        <v>0</v>
      </c>
      <c r="R1180">
        <v>72.90000000000001</v>
      </c>
      <c r="U1180">
        <v>12000</v>
      </c>
      <c r="W1180">
        <v>683.74</v>
      </c>
      <c r="X1180" t="s">
        <v>638</v>
      </c>
      <c r="Y1180" t="s">
        <v>200</v>
      </c>
      <c r="AA1180" t="s">
        <v>10974</v>
      </c>
      <c r="AB1180" t="s">
        <v>370</v>
      </c>
      <c r="AD1180" t="s">
        <v>11101</v>
      </c>
      <c r="AF1180" t="s">
        <v>11118</v>
      </c>
      <c r="AH1180" t="s">
        <v>10974</v>
      </c>
      <c r="AJ1180" t="s">
        <v>11141</v>
      </c>
      <c r="AK1180" t="s">
        <v>7225</v>
      </c>
      <c r="AM1180">
        <v>150</v>
      </c>
      <c r="AO1180">
        <v>168</v>
      </c>
      <c r="AQ1180" t="s">
        <v>11163</v>
      </c>
      <c r="AS1180" t="s">
        <v>11177</v>
      </c>
      <c r="AU1180">
        <v>25</v>
      </c>
      <c r="AW1180" t="s">
        <v>11187</v>
      </c>
      <c r="AZ1180" t="s">
        <v>11221</v>
      </c>
      <c r="BE1180" t="s">
        <v>12384</v>
      </c>
      <c r="BG1180" t="s">
        <v>14686</v>
      </c>
      <c r="BM1180" t="s">
        <v>15650</v>
      </c>
    </row>
    <row r="1181" spans="1:67">
      <c r="A1181" s="1">
        <f>HYPERLINK("https://lsnyc.legalserver.org/matter/dynamic-profile/view/1899820","19-1899820")</f>
        <v>0</v>
      </c>
      <c r="B1181" t="s">
        <v>118</v>
      </c>
      <c r="C1181" t="s">
        <v>246</v>
      </c>
      <c r="D1181" t="s">
        <v>382</v>
      </c>
      <c r="F1181" t="s">
        <v>1704</v>
      </c>
      <c r="G1181" t="s">
        <v>3480</v>
      </c>
      <c r="H1181" t="s">
        <v>4971</v>
      </c>
      <c r="I1181" t="s">
        <v>6695</v>
      </c>
      <c r="J1181" t="s">
        <v>7170</v>
      </c>
      <c r="K1181">
        <v>10460</v>
      </c>
      <c r="N1181" t="s">
        <v>7237</v>
      </c>
      <c r="O1181" t="s">
        <v>8068</v>
      </c>
      <c r="P1181">
        <v>2</v>
      </c>
      <c r="Q1181">
        <v>1</v>
      </c>
      <c r="R1181">
        <v>306.14</v>
      </c>
      <c r="U1181">
        <v>65300</v>
      </c>
      <c r="W1181">
        <v>0</v>
      </c>
      <c r="Y1181" t="s">
        <v>216</v>
      </c>
      <c r="AA1181" t="s">
        <v>10974</v>
      </c>
      <c r="AB1181" t="s">
        <v>10979</v>
      </c>
      <c r="AD1181" t="s">
        <v>11086</v>
      </c>
      <c r="AF1181" t="s">
        <v>11120</v>
      </c>
      <c r="AH1181" t="s">
        <v>10974</v>
      </c>
      <c r="AJ1181" t="s">
        <v>11141</v>
      </c>
      <c r="AK1181" t="s">
        <v>7225</v>
      </c>
      <c r="AM1181">
        <v>378</v>
      </c>
      <c r="AO1181">
        <v>168</v>
      </c>
      <c r="AQ1181" t="s">
        <v>11161</v>
      </c>
      <c r="AS1181" t="s">
        <v>11174</v>
      </c>
      <c r="AU1181">
        <v>14</v>
      </c>
      <c r="AW1181" t="s">
        <v>11187</v>
      </c>
      <c r="BA1181" t="s">
        <v>11222</v>
      </c>
      <c r="BD1181" t="s">
        <v>11667</v>
      </c>
      <c r="BF1181" t="s">
        <v>14364</v>
      </c>
      <c r="BG1181" t="s">
        <v>11228</v>
      </c>
      <c r="BM1181" t="s">
        <v>15650</v>
      </c>
    </row>
    <row r="1182" spans="1:67">
      <c r="A1182" s="1">
        <f>HYPERLINK("https://lsnyc.legalserver.org/matter/dynamic-profile/view/1915496","19-1915496")</f>
        <v>0</v>
      </c>
      <c r="B1182" t="s">
        <v>118</v>
      </c>
      <c r="C1182" t="s">
        <v>246</v>
      </c>
      <c r="D1182" t="s">
        <v>669</v>
      </c>
      <c r="E1182" t="s">
        <v>669</v>
      </c>
      <c r="F1182" t="s">
        <v>1705</v>
      </c>
      <c r="G1182" t="s">
        <v>3481</v>
      </c>
      <c r="H1182" t="s">
        <v>5235</v>
      </c>
      <c r="J1182" t="s">
        <v>7170</v>
      </c>
      <c r="K1182">
        <v>10462</v>
      </c>
      <c r="L1182" t="s">
        <v>7216</v>
      </c>
      <c r="N1182" t="s">
        <v>7237</v>
      </c>
      <c r="O1182" t="s">
        <v>8069</v>
      </c>
      <c r="P1182">
        <v>1</v>
      </c>
      <c r="Q1182">
        <v>0</v>
      </c>
      <c r="R1182">
        <v>96.08</v>
      </c>
      <c r="U1182">
        <v>12000</v>
      </c>
      <c r="W1182">
        <v>0.5</v>
      </c>
      <c r="X1182" t="s">
        <v>669</v>
      </c>
      <c r="Y1182" t="s">
        <v>118</v>
      </c>
      <c r="AA1182" t="s">
        <v>10974</v>
      </c>
      <c r="AD1182" t="s">
        <v>11102</v>
      </c>
      <c r="AF1182" t="s">
        <v>11119</v>
      </c>
      <c r="AG1182" t="s">
        <v>11124</v>
      </c>
      <c r="AJ1182" t="s">
        <v>11141</v>
      </c>
      <c r="AK1182" t="s">
        <v>7225</v>
      </c>
      <c r="AM1182">
        <v>1</v>
      </c>
      <c r="AO1182">
        <v>3</v>
      </c>
      <c r="AQ1182" t="s">
        <v>11165</v>
      </c>
      <c r="AR1182" t="s">
        <v>11172</v>
      </c>
      <c r="AU1182">
        <v>3</v>
      </c>
      <c r="AW1182" t="s">
        <v>11187</v>
      </c>
      <c r="AY1182" t="s">
        <v>11213</v>
      </c>
      <c r="BA1182" t="s">
        <v>11222</v>
      </c>
      <c r="BE1182" t="s">
        <v>12385</v>
      </c>
      <c r="BF1182" t="s">
        <v>14364</v>
      </c>
      <c r="BM1182" t="s">
        <v>15651</v>
      </c>
    </row>
    <row r="1183" spans="1:67">
      <c r="A1183" s="1">
        <f>HYPERLINK("https://lsnyc.legalserver.org/matter/dynamic-profile/view/1885922","18-1885922")</f>
        <v>0</v>
      </c>
      <c r="B1183" t="s">
        <v>118</v>
      </c>
      <c r="C1183" t="s">
        <v>246</v>
      </c>
      <c r="D1183" t="s">
        <v>552</v>
      </c>
      <c r="E1183" t="s">
        <v>449</v>
      </c>
      <c r="F1183" t="s">
        <v>1359</v>
      </c>
      <c r="G1183" t="s">
        <v>3482</v>
      </c>
      <c r="H1183" t="s">
        <v>4971</v>
      </c>
      <c r="I1183" t="s">
        <v>6696</v>
      </c>
      <c r="J1183" t="s">
        <v>7170</v>
      </c>
      <c r="K1183">
        <v>10460</v>
      </c>
      <c r="L1183" t="s">
        <v>7219</v>
      </c>
      <c r="N1183" t="s">
        <v>7237</v>
      </c>
      <c r="O1183" t="s">
        <v>8070</v>
      </c>
      <c r="P1183">
        <v>1</v>
      </c>
      <c r="Q1183">
        <v>0</v>
      </c>
      <c r="R1183">
        <v>81.65000000000001</v>
      </c>
      <c r="U1183">
        <v>9912</v>
      </c>
      <c r="W1183">
        <v>0.75</v>
      </c>
      <c r="X1183" t="s">
        <v>449</v>
      </c>
      <c r="Y1183" t="s">
        <v>10903</v>
      </c>
      <c r="AA1183" t="s">
        <v>10974</v>
      </c>
      <c r="AB1183" t="s">
        <v>370</v>
      </c>
      <c r="AD1183" t="s">
        <v>11101</v>
      </c>
      <c r="AF1183" t="s">
        <v>11118</v>
      </c>
      <c r="AH1183" t="s">
        <v>10974</v>
      </c>
      <c r="AJ1183" t="s">
        <v>11141</v>
      </c>
      <c r="AK1183" t="s">
        <v>7225</v>
      </c>
      <c r="AM1183">
        <v>238</v>
      </c>
      <c r="AO1183">
        <v>169</v>
      </c>
      <c r="AQ1183" t="s">
        <v>11163</v>
      </c>
      <c r="AS1183" t="s">
        <v>11174</v>
      </c>
      <c r="AU1183">
        <v>24</v>
      </c>
      <c r="AW1183" t="s">
        <v>11187</v>
      </c>
      <c r="AZ1183" t="s">
        <v>11221</v>
      </c>
      <c r="BB1183" t="s">
        <v>11224</v>
      </c>
      <c r="BC1183" t="s">
        <v>11342</v>
      </c>
      <c r="BE1183" t="s">
        <v>12386</v>
      </c>
      <c r="BG1183" t="s">
        <v>14686</v>
      </c>
      <c r="BJ1183" t="s">
        <v>15615</v>
      </c>
      <c r="BM1183" t="s">
        <v>15651</v>
      </c>
    </row>
    <row r="1184" spans="1:67">
      <c r="A1184" s="1">
        <f>HYPERLINK("https://lsnyc.legalserver.org/matter/dynamic-profile/view/1886672","18-1886672")</f>
        <v>0</v>
      </c>
      <c r="B1184" t="s">
        <v>118</v>
      </c>
      <c r="C1184" t="s">
        <v>246</v>
      </c>
      <c r="D1184" t="s">
        <v>670</v>
      </c>
      <c r="F1184" t="s">
        <v>1706</v>
      </c>
      <c r="G1184" t="s">
        <v>3483</v>
      </c>
      <c r="H1184" t="s">
        <v>4971</v>
      </c>
      <c r="I1184" t="s">
        <v>6485</v>
      </c>
      <c r="J1184" t="s">
        <v>7170</v>
      </c>
      <c r="K1184">
        <v>10460</v>
      </c>
      <c r="N1184" t="s">
        <v>7237</v>
      </c>
      <c r="O1184" t="s">
        <v>8071</v>
      </c>
      <c r="P1184">
        <v>1</v>
      </c>
      <c r="Q1184">
        <v>0</v>
      </c>
      <c r="R1184">
        <v>70.18000000000001</v>
      </c>
      <c r="U1184">
        <v>8520</v>
      </c>
      <c r="W1184">
        <v>0</v>
      </c>
      <c r="Y1184" t="s">
        <v>10903</v>
      </c>
      <c r="AA1184" t="s">
        <v>10974</v>
      </c>
      <c r="AB1184" t="s">
        <v>370</v>
      </c>
      <c r="AD1184" t="s">
        <v>11101</v>
      </c>
      <c r="AF1184" t="s">
        <v>11118</v>
      </c>
      <c r="AH1184" t="s">
        <v>10974</v>
      </c>
      <c r="AJ1184" t="s">
        <v>11141</v>
      </c>
      <c r="AK1184" t="s">
        <v>7225</v>
      </c>
      <c r="AM1184">
        <v>266.5</v>
      </c>
      <c r="AO1184">
        <v>168</v>
      </c>
      <c r="AQ1184" t="s">
        <v>11157</v>
      </c>
      <c r="AS1184" t="s">
        <v>11174</v>
      </c>
      <c r="AU1184">
        <v>8</v>
      </c>
      <c r="AW1184" t="s">
        <v>11189</v>
      </c>
      <c r="AZ1184" t="s">
        <v>11221</v>
      </c>
      <c r="BE1184" t="s">
        <v>12387</v>
      </c>
      <c r="BG1184" t="s">
        <v>14686</v>
      </c>
      <c r="BM1184" t="s">
        <v>15650</v>
      </c>
    </row>
    <row r="1185" spans="1:65">
      <c r="A1185" s="1">
        <f>HYPERLINK("https://lsnyc.legalserver.org/matter/dynamic-profile/view/1911242","19-1911242")</f>
        <v>0</v>
      </c>
      <c r="B1185" t="s">
        <v>118</v>
      </c>
      <c r="C1185" t="s">
        <v>246</v>
      </c>
      <c r="D1185" t="s">
        <v>671</v>
      </c>
      <c r="E1185" t="s">
        <v>669</v>
      </c>
      <c r="F1185" t="s">
        <v>1211</v>
      </c>
      <c r="G1185" t="s">
        <v>3484</v>
      </c>
      <c r="H1185" t="s">
        <v>5236</v>
      </c>
      <c r="I1185" t="s">
        <v>6430</v>
      </c>
      <c r="J1185" t="s">
        <v>7170</v>
      </c>
      <c r="K1185">
        <v>10459</v>
      </c>
      <c r="L1185" t="s">
        <v>7216</v>
      </c>
      <c r="N1185" t="s">
        <v>7237</v>
      </c>
      <c r="O1185" t="s">
        <v>8072</v>
      </c>
      <c r="P1185">
        <v>1</v>
      </c>
      <c r="Q1185">
        <v>0</v>
      </c>
      <c r="R1185">
        <v>81.18000000000001</v>
      </c>
      <c r="U1185">
        <v>10140</v>
      </c>
      <c r="W1185">
        <v>1.05</v>
      </c>
      <c r="X1185" t="s">
        <v>669</v>
      </c>
      <c r="Y1185" t="s">
        <v>10882</v>
      </c>
      <c r="AA1185" t="s">
        <v>10974</v>
      </c>
      <c r="AD1185" t="s">
        <v>11086</v>
      </c>
      <c r="AF1185" t="s">
        <v>11119</v>
      </c>
      <c r="AH1185" t="s">
        <v>10975</v>
      </c>
      <c r="AI1185" t="s">
        <v>11126</v>
      </c>
      <c r="AK1185" t="s">
        <v>7225</v>
      </c>
      <c r="AM1185">
        <v>171</v>
      </c>
      <c r="AO1185">
        <v>4</v>
      </c>
      <c r="AQ1185" t="s">
        <v>11161</v>
      </c>
      <c r="AS1185" t="s">
        <v>11174</v>
      </c>
      <c r="AU1185">
        <v>16</v>
      </c>
      <c r="AW1185" t="s">
        <v>11189</v>
      </c>
      <c r="AX1185" t="s">
        <v>11212</v>
      </c>
      <c r="BA1185" t="s">
        <v>11222</v>
      </c>
      <c r="BE1185" t="s">
        <v>12388</v>
      </c>
      <c r="BF1185" t="s">
        <v>14364</v>
      </c>
      <c r="BM1185" t="s">
        <v>15651</v>
      </c>
    </row>
    <row r="1186" spans="1:65">
      <c r="A1186" s="1">
        <f>HYPERLINK("https://lsnyc.legalserver.org/matter/dynamic-profile/view/1882380","18-1882380")</f>
        <v>0</v>
      </c>
      <c r="B1186" t="s">
        <v>118</v>
      </c>
      <c r="C1186" t="s">
        <v>246</v>
      </c>
      <c r="D1186" t="s">
        <v>569</v>
      </c>
      <c r="F1186" t="s">
        <v>1212</v>
      </c>
      <c r="G1186" t="s">
        <v>2998</v>
      </c>
      <c r="H1186" t="s">
        <v>4976</v>
      </c>
      <c r="I1186" t="s">
        <v>6697</v>
      </c>
      <c r="J1186" t="s">
        <v>7170</v>
      </c>
      <c r="K1186">
        <v>10453</v>
      </c>
      <c r="N1186" t="s">
        <v>7237</v>
      </c>
      <c r="O1186" t="s">
        <v>8073</v>
      </c>
      <c r="P1186">
        <v>2</v>
      </c>
      <c r="Q1186">
        <v>0</v>
      </c>
      <c r="R1186">
        <v>99.64</v>
      </c>
      <c r="U1186">
        <v>16400</v>
      </c>
      <c r="V1186" t="s">
        <v>10385</v>
      </c>
      <c r="W1186">
        <v>0</v>
      </c>
      <c r="Y1186" t="s">
        <v>216</v>
      </c>
      <c r="AA1186" t="s">
        <v>10974</v>
      </c>
      <c r="AB1186" t="s">
        <v>10979</v>
      </c>
      <c r="AD1186" t="s">
        <v>11086</v>
      </c>
      <c r="AF1186" t="s">
        <v>10384</v>
      </c>
      <c r="AG1186" t="s">
        <v>11124</v>
      </c>
      <c r="AJ1186" t="s">
        <v>11141</v>
      </c>
      <c r="AK1186" t="s">
        <v>7225</v>
      </c>
      <c r="AM1186">
        <v>1060</v>
      </c>
      <c r="AO1186">
        <v>99</v>
      </c>
      <c r="AQ1186" t="s">
        <v>11157</v>
      </c>
      <c r="AS1186" t="s">
        <v>11174</v>
      </c>
      <c r="AU1186">
        <v>10</v>
      </c>
      <c r="AW1186" t="s">
        <v>11187</v>
      </c>
      <c r="BA1186" t="s">
        <v>11222</v>
      </c>
      <c r="BD1186" t="s">
        <v>11667</v>
      </c>
      <c r="BF1186" t="s">
        <v>14364</v>
      </c>
      <c r="BM1186" t="s">
        <v>15650</v>
      </c>
    </row>
    <row r="1187" spans="1:65">
      <c r="A1187" s="1">
        <f>HYPERLINK("https://lsnyc.legalserver.org/matter/dynamic-profile/view/1885588","18-1885588")</f>
        <v>0</v>
      </c>
      <c r="B1187" t="s">
        <v>118</v>
      </c>
      <c r="C1187" t="s">
        <v>246</v>
      </c>
      <c r="D1187" t="s">
        <v>672</v>
      </c>
      <c r="E1187" t="s">
        <v>735</v>
      </c>
      <c r="F1187" t="s">
        <v>1707</v>
      </c>
      <c r="G1187" t="s">
        <v>1187</v>
      </c>
      <c r="H1187" t="s">
        <v>4971</v>
      </c>
      <c r="I1187" t="s">
        <v>6678</v>
      </c>
      <c r="J1187" t="s">
        <v>7170</v>
      </c>
      <c r="K1187">
        <v>10460</v>
      </c>
      <c r="L1187" t="s">
        <v>7219</v>
      </c>
      <c r="N1187" t="s">
        <v>7237</v>
      </c>
      <c r="O1187" t="s">
        <v>8074</v>
      </c>
      <c r="P1187">
        <v>1</v>
      </c>
      <c r="Q1187">
        <v>1</v>
      </c>
      <c r="R1187">
        <v>164.28</v>
      </c>
      <c r="U1187">
        <v>27040</v>
      </c>
      <c r="W1187">
        <v>2.45</v>
      </c>
      <c r="X1187" t="s">
        <v>735</v>
      </c>
      <c r="Y1187" t="s">
        <v>216</v>
      </c>
      <c r="AA1187" t="s">
        <v>10974</v>
      </c>
      <c r="AB1187" t="s">
        <v>370</v>
      </c>
      <c r="AD1187" t="s">
        <v>11101</v>
      </c>
      <c r="AF1187" t="s">
        <v>11118</v>
      </c>
      <c r="AH1187" t="s">
        <v>10974</v>
      </c>
      <c r="AJ1187" t="s">
        <v>11141</v>
      </c>
      <c r="AK1187" t="s">
        <v>7225</v>
      </c>
      <c r="AM1187">
        <v>485</v>
      </c>
      <c r="AO1187">
        <v>169</v>
      </c>
      <c r="AP1187" t="s">
        <v>11155</v>
      </c>
      <c r="AS1187" t="s">
        <v>11174</v>
      </c>
      <c r="AU1187">
        <v>12</v>
      </c>
      <c r="AW1187" t="s">
        <v>11187</v>
      </c>
      <c r="AZ1187" t="s">
        <v>11221</v>
      </c>
      <c r="BE1187" t="s">
        <v>12389</v>
      </c>
      <c r="BG1187" t="s">
        <v>14686</v>
      </c>
      <c r="BJ1187" t="s">
        <v>15615</v>
      </c>
      <c r="BM1187" t="s">
        <v>15651</v>
      </c>
    </row>
    <row r="1188" spans="1:65">
      <c r="A1188" s="1">
        <f>HYPERLINK("https://lsnyc.legalserver.org/matter/dynamic-profile/view/1905740","19-1905740")</f>
        <v>0</v>
      </c>
      <c r="B1188" t="s">
        <v>118</v>
      </c>
      <c r="C1188" t="s">
        <v>246</v>
      </c>
      <c r="D1188" t="s">
        <v>511</v>
      </c>
      <c r="E1188" t="s">
        <v>449</v>
      </c>
      <c r="F1188" t="s">
        <v>1098</v>
      </c>
      <c r="G1188" t="s">
        <v>3333</v>
      </c>
      <c r="H1188" t="s">
        <v>4976</v>
      </c>
      <c r="I1188" t="s">
        <v>6499</v>
      </c>
      <c r="J1188" t="s">
        <v>7170</v>
      </c>
      <c r="K1188">
        <v>10453</v>
      </c>
      <c r="L1188" t="s">
        <v>7219</v>
      </c>
      <c r="N1188" t="s">
        <v>7237</v>
      </c>
      <c r="O1188" t="s">
        <v>8075</v>
      </c>
      <c r="P1188">
        <v>1</v>
      </c>
      <c r="Q1188">
        <v>0</v>
      </c>
      <c r="R1188">
        <v>33.82</v>
      </c>
      <c r="U1188">
        <v>4224</v>
      </c>
      <c r="W1188">
        <v>24.35</v>
      </c>
      <c r="X1188" t="s">
        <v>273</v>
      </c>
      <c r="Y1188" t="s">
        <v>139</v>
      </c>
      <c r="Z1188" t="s">
        <v>10972</v>
      </c>
      <c r="AA1188" t="s">
        <v>10976</v>
      </c>
      <c r="AD1188" t="s">
        <v>11082</v>
      </c>
      <c r="AF1188" t="s">
        <v>11118</v>
      </c>
      <c r="AH1188" t="s">
        <v>10975</v>
      </c>
      <c r="AJ1188" t="s">
        <v>11141</v>
      </c>
      <c r="AK1188" t="s">
        <v>7225</v>
      </c>
      <c r="AM1188">
        <v>1250</v>
      </c>
      <c r="AO1188">
        <v>50</v>
      </c>
      <c r="AQ1188" t="s">
        <v>11157</v>
      </c>
      <c r="AS1188" t="s">
        <v>11180</v>
      </c>
      <c r="AU1188">
        <v>2</v>
      </c>
      <c r="AW1188" t="s">
        <v>11187</v>
      </c>
      <c r="AY1188" t="s">
        <v>11215</v>
      </c>
      <c r="AZ1188" t="s">
        <v>11221</v>
      </c>
      <c r="BC1188" t="s">
        <v>11343</v>
      </c>
      <c r="BE1188" t="s">
        <v>12390</v>
      </c>
      <c r="BG1188" t="s">
        <v>14689</v>
      </c>
      <c r="BH1188" t="s">
        <v>15605</v>
      </c>
      <c r="BJ1188" t="s">
        <v>15615</v>
      </c>
      <c r="BL1188" t="s">
        <v>15648</v>
      </c>
      <c r="BM1188" t="s">
        <v>15651</v>
      </c>
    </row>
    <row r="1189" spans="1:65">
      <c r="A1189" s="1">
        <f>HYPERLINK("https://lsnyc.legalserver.org/matter/dynamic-profile/view/1889425","19-1889425")</f>
        <v>0</v>
      </c>
      <c r="B1189" t="s">
        <v>118</v>
      </c>
      <c r="C1189" t="s">
        <v>246</v>
      </c>
      <c r="D1189" t="s">
        <v>480</v>
      </c>
      <c r="F1189" t="s">
        <v>1708</v>
      </c>
      <c r="G1189" t="s">
        <v>1762</v>
      </c>
      <c r="H1189" t="s">
        <v>5237</v>
      </c>
      <c r="I1189">
        <v>305</v>
      </c>
      <c r="J1189" t="s">
        <v>7170</v>
      </c>
      <c r="K1189">
        <v>10452</v>
      </c>
      <c r="N1189" t="s">
        <v>7237</v>
      </c>
      <c r="O1189" t="s">
        <v>8076</v>
      </c>
      <c r="P1189">
        <v>4</v>
      </c>
      <c r="Q1189">
        <v>0</v>
      </c>
      <c r="R1189">
        <v>123.26</v>
      </c>
      <c r="U1189">
        <v>31740</v>
      </c>
      <c r="V1189" t="s">
        <v>10386</v>
      </c>
      <c r="W1189">
        <v>57.79</v>
      </c>
      <c r="X1189" t="s">
        <v>548</v>
      </c>
      <c r="Y1189" t="s">
        <v>10897</v>
      </c>
      <c r="AA1189" t="s">
        <v>10974</v>
      </c>
      <c r="AB1189" t="s">
        <v>10979</v>
      </c>
      <c r="AD1189" t="s">
        <v>11083</v>
      </c>
      <c r="AF1189" t="s">
        <v>11118</v>
      </c>
      <c r="AH1189" t="s">
        <v>10975</v>
      </c>
      <c r="AJ1189" t="s">
        <v>11132</v>
      </c>
      <c r="AK1189" t="s">
        <v>7225</v>
      </c>
      <c r="AM1189">
        <v>995</v>
      </c>
      <c r="AO1189">
        <v>163</v>
      </c>
      <c r="AQ1189" t="s">
        <v>11157</v>
      </c>
      <c r="AS1189" t="s">
        <v>11174</v>
      </c>
      <c r="AU1189">
        <v>9</v>
      </c>
      <c r="AW1189" t="s">
        <v>11189</v>
      </c>
      <c r="AY1189" t="s">
        <v>11213</v>
      </c>
      <c r="BA1189" t="s">
        <v>11222</v>
      </c>
      <c r="BC1189" t="s">
        <v>11344</v>
      </c>
      <c r="BE1189" t="s">
        <v>12391</v>
      </c>
      <c r="BF1189" t="s">
        <v>14364</v>
      </c>
      <c r="BG1189" t="s">
        <v>14690</v>
      </c>
      <c r="BM1189" t="s">
        <v>15650</v>
      </c>
    </row>
    <row r="1190" spans="1:65">
      <c r="A1190" s="1">
        <f>HYPERLINK("https://lsnyc.legalserver.org/matter/dynamic-profile/view/1885754","18-1885754")</f>
        <v>0</v>
      </c>
      <c r="B1190" t="s">
        <v>118</v>
      </c>
      <c r="C1190" t="s">
        <v>246</v>
      </c>
      <c r="D1190" t="s">
        <v>579</v>
      </c>
      <c r="E1190" t="s">
        <v>264</v>
      </c>
      <c r="F1190" t="s">
        <v>1697</v>
      </c>
      <c r="G1190" t="s">
        <v>1412</v>
      </c>
      <c r="H1190" t="s">
        <v>4971</v>
      </c>
      <c r="I1190" t="s">
        <v>6687</v>
      </c>
      <c r="J1190" t="s">
        <v>7170</v>
      </c>
      <c r="K1190">
        <v>10460</v>
      </c>
      <c r="L1190" t="s">
        <v>7219</v>
      </c>
      <c r="N1190" t="s">
        <v>7237</v>
      </c>
      <c r="O1190" t="s">
        <v>8054</v>
      </c>
      <c r="P1190">
        <v>2</v>
      </c>
      <c r="Q1190">
        <v>0</v>
      </c>
      <c r="R1190">
        <v>56.14</v>
      </c>
      <c r="U1190">
        <v>9240</v>
      </c>
      <c r="W1190">
        <v>0.25</v>
      </c>
      <c r="X1190" t="s">
        <v>264</v>
      </c>
      <c r="Y1190" t="s">
        <v>10865</v>
      </c>
      <c r="AA1190" t="s">
        <v>10974</v>
      </c>
      <c r="AB1190" t="s">
        <v>370</v>
      </c>
      <c r="AD1190" t="s">
        <v>11101</v>
      </c>
      <c r="AF1190" t="s">
        <v>11118</v>
      </c>
      <c r="AH1190" t="s">
        <v>10974</v>
      </c>
      <c r="AJ1190" t="s">
        <v>11141</v>
      </c>
      <c r="AK1190" t="s">
        <v>7225</v>
      </c>
      <c r="AM1190">
        <v>242</v>
      </c>
      <c r="AO1190">
        <v>168</v>
      </c>
      <c r="AQ1190" t="s">
        <v>11164</v>
      </c>
      <c r="AS1190" t="s">
        <v>11104</v>
      </c>
      <c r="AU1190">
        <v>1</v>
      </c>
      <c r="AW1190" t="s">
        <v>11187</v>
      </c>
      <c r="AZ1190" t="s">
        <v>11221</v>
      </c>
      <c r="BE1190" t="s">
        <v>12374</v>
      </c>
      <c r="BG1190" t="s">
        <v>14686</v>
      </c>
      <c r="BJ1190" t="s">
        <v>15615</v>
      </c>
      <c r="BM1190" t="s">
        <v>15651</v>
      </c>
    </row>
    <row r="1191" spans="1:65">
      <c r="A1191" s="1">
        <f>HYPERLINK("https://lsnyc.legalserver.org/matter/dynamic-profile/view/1877963","18-1877963")</f>
        <v>0</v>
      </c>
      <c r="B1191" t="s">
        <v>118</v>
      </c>
      <c r="C1191" t="s">
        <v>246</v>
      </c>
      <c r="D1191" t="s">
        <v>667</v>
      </c>
      <c r="F1191" t="s">
        <v>1709</v>
      </c>
      <c r="G1191" t="s">
        <v>3485</v>
      </c>
      <c r="H1191" t="s">
        <v>4976</v>
      </c>
      <c r="I1191" t="s">
        <v>6666</v>
      </c>
      <c r="J1191" t="s">
        <v>7170</v>
      </c>
      <c r="K1191">
        <v>10453</v>
      </c>
      <c r="N1191" t="s">
        <v>7237</v>
      </c>
      <c r="O1191" t="s">
        <v>8077</v>
      </c>
      <c r="P1191">
        <v>3</v>
      </c>
      <c r="Q1191">
        <v>1</v>
      </c>
      <c r="R1191">
        <v>123.51</v>
      </c>
      <c r="U1191">
        <v>31000</v>
      </c>
      <c r="W1191">
        <v>0</v>
      </c>
      <c r="Y1191" t="s">
        <v>216</v>
      </c>
      <c r="AA1191" t="s">
        <v>10974</v>
      </c>
      <c r="AB1191" t="s">
        <v>10979</v>
      </c>
      <c r="AD1191" t="s">
        <v>11086</v>
      </c>
      <c r="AF1191" t="s">
        <v>10384</v>
      </c>
      <c r="AH1191" t="s">
        <v>10974</v>
      </c>
      <c r="AJ1191" t="s">
        <v>11141</v>
      </c>
      <c r="AK1191" t="s">
        <v>7225</v>
      </c>
      <c r="AM1191">
        <v>1600</v>
      </c>
      <c r="AO1191">
        <v>99</v>
      </c>
      <c r="AQ1191" t="s">
        <v>11157</v>
      </c>
      <c r="AS1191" t="s">
        <v>11173</v>
      </c>
      <c r="AU1191">
        <v>2</v>
      </c>
      <c r="AW1191" t="s">
        <v>11189</v>
      </c>
      <c r="AZ1191" t="s">
        <v>11221</v>
      </c>
      <c r="BD1191" t="s">
        <v>11667</v>
      </c>
      <c r="BF1191" t="s">
        <v>14364</v>
      </c>
      <c r="BM1191" t="s">
        <v>15650</v>
      </c>
    </row>
    <row r="1192" spans="1:65">
      <c r="A1192" s="1">
        <f>HYPERLINK("https://lsnyc.legalserver.org/matter/dynamic-profile/view/1900520","19-1900520")</f>
        <v>0</v>
      </c>
      <c r="B1192" t="s">
        <v>118</v>
      </c>
      <c r="C1192" t="s">
        <v>246</v>
      </c>
      <c r="D1192" t="s">
        <v>549</v>
      </c>
      <c r="F1192" t="s">
        <v>1700</v>
      </c>
      <c r="G1192" t="s">
        <v>3473</v>
      </c>
      <c r="H1192" t="s">
        <v>4971</v>
      </c>
      <c r="I1192" t="s">
        <v>6424</v>
      </c>
      <c r="J1192" t="s">
        <v>7170</v>
      </c>
      <c r="K1192">
        <v>10460</v>
      </c>
      <c r="N1192" t="s">
        <v>7237</v>
      </c>
      <c r="O1192" t="s">
        <v>7597</v>
      </c>
      <c r="P1192">
        <v>1</v>
      </c>
      <c r="Q1192">
        <v>0</v>
      </c>
      <c r="R1192">
        <v>123.75</v>
      </c>
      <c r="U1192">
        <v>15456</v>
      </c>
      <c r="W1192">
        <v>0</v>
      </c>
      <c r="Y1192" t="s">
        <v>10865</v>
      </c>
      <c r="AA1192" t="s">
        <v>10974</v>
      </c>
      <c r="AB1192" t="s">
        <v>10979</v>
      </c>
      <c r="AD1192" t="s">
        <v>11086</v>
      </c>
      <c r="AF1192" t="s">
        <v>11120</v>
      </c>
      <c r="AH1192" t="s">
        <v>10974</v>
      </c>
      <c r="AJ1192" t="s">
        <v>11129</v>
      </c>
      <c r="AK1192" t="s">
        <v>7225</v>
      </c>
      <c r="AM1192">
        <v>377</v>
      </c>
      <c r="AO1192">
        <v>248</v>
      </c>
      <c r="AQ1192" t="s">
        <v>11164</v>
      </c>
      <c r="AS1192" t="s">
        <v>11104</v>
      </c>
      <c r="AU1192">
        <v>10</v>
      </c>
      <c r="AW1192" t="s">
        <v>11187</v>
      </c>
      <c r="BA1192" t="s">
        <v>11222</v>
      </c>
      <c r="BE1192" t="s">
        <v>12378</v>
      </c>
      <c r="BF1192" t="s">
        <v>14364</v>
      </c>
      <c r="BG1192" t="s">
        <v>11228</v>
      </c>
      <c r="BM1192" t="s">
        <v>15650</v>
      </c>
    </row>
    <row r="1193" spans="1:65">
      <c r="A1193" s="1">
        <f>HYPERLINK("https://lsnyc.legalserver.org/matter/dynamic-profile/view/1900129","19-1900129")</f>
        <v>0</v>
      </c>
      <c r="B1193" t="s">
        <v>118</v>
      </c>
      <c r="C1193" t="s">
        <v>246</v>
      </c>
      <c r="D1193" t="s">
        <v>666</v>
      </c>
      <c r="F1193" t="s">
        <v>1545</v>
      </c>
      <c r="G1193" t="s">
        <v>3486</v>
      </c>
      <c r="H1193" t="s">
        <v>4971</v>
      </c>
      <c r="I1193" t="s">
        <v>6611</v>
      </c>
      <c r="J1193" t="s">
        <v>7170</v>
      </c>
      <c r="K1193">
        <v>10460</v>
      </c>
      <c r="N1193" t="s">
        <v>7237</v>
      </c>
      <c r="O1193" t="s">
        <v>8078</v>
      </c>
      <c r="P1193">
        <v>1</v>
      </c>
      <c r="Q1193">
        <v>0</v>
      </c>
      <c r="R1193">
        <v>81.67</v>
      </c>
      <c r="U1193">
        <v>10200</v>
      </c>
      <c r="W1193">
        <v>7</v>
      </c>
      <c r="X1193" t="s">
        <v>273</v>
      </c>
      <c r="Y1193" t="s">
        <v>10897</v>
      </c>
      <c r="AA1193" t="s">
        <v>10974</v>
      </c>
      <c r="AB1193" t="s">
        <v>10979</v>
      </c>
      <c r="AD1193" t="s">
        <v>11086</v>
      </c>
      <c r="AF1193" t="s">
        <v>11120</v>
      </c>
      <c r="AH1193" t="s">
        <v>10974</v>
      </c>
      <c r="AJ1193" t="s">
        <v>11141</v>
      </c>
      <c r="AK1193" t="s">
        <v>7225</v>
      </c>
      <c r="AM1193">
        <v>1200</v>
      </c>
      <c r="AO1193">
        <v>168</v>
      </c>
      <c r="AQ1193" t="s">
        <v>11157</v>
      </c>
      <c r="AS1193" t="s">
        <v>11174</v>
      </c>
      <c r="AU1193">
        <v>4</v>
      </c>
      <c r="AW1193" t="s">
        <v>11187</v>
      </c>
      <c r="BA1193" t="s">
        <v>11222</v>
      </c>
      <c r="BE1193" t="s">
        <v>12392</v>
      </c>
      <c r="BF1193" t="s">
        <v>14364</v>
      </c>
      <c r="BG1193" t="s">
        <v>11228</v>
      </c>
      <c r="BM1193" t="s">
        <v>15650</v>
      </c>
    </row>
    <row r="1194" spans="1:65">
      <c r="A1194" s="1">
        <f>HYPERLINK("https://lsnyc.legalserver.org/matter/dynamic-profile/view/1911250","19-1911250")</f>
        <v>0</v>
      </c>
      <c r="B1194" t="s">
        <v>118</v>
      </c>
      <c r="C1194" t="s">
        <v>246</v>
      </c>
      <c r="D1194" t="s">
        <v>671</v>
      </c>
      <c r="E1194" t="s">
        <v>669</v>
      </c>
      <c r="F1194" t="s">
        <v>1388</v>
      </c>
      <c r="G1194" t="s">
        <v>3487</v>
      </c>
      <c r="H1194" t="s">
        <v>5238</v>
      </c>
      <c r="I1194" t="s">
        <v>6467</v>
      </c>
      <c r="J1194" t="s">
        <v>7170</v>
      </c>
      <c r="K1194">
        <v>10453</v>
      </c>
      <c r="L1194" t="s">
        <v>7216</v>
      </c>
      <c r="N1194" t="s">
        <v>7237</v>
      </c>
      <c r="O1194" t="s">
        <v>8079</v>
      </c>
      <c r="P1194">
        <v>1</v>
      </c>
      <c r="Q1194">
        <v>1</v>
      </c>
      <c r="R1194">
        <v>34.59</v>
      </c>
      <c r="U1194">
        <v>5850</v>
      </c>
      <c r="W1194">
        <v>0.44</v>
      </c>
      <c r="X1194" t="s">
        <v>671</v>
      </c>
      <c r="Y1194" t="s">
        <v>10914</v>
      </c>
      <c r="AA1194" t="s">
        <v>10974</v>
      </c>
      <c r="AD1194" t="s">
        <v>11090</v>
      </c>
      <c r="AF1194" t="s">
        <v>11119</v>
      </c>
      <c r="AH1194" t="s">
        <v>10974</v>
      </c>
      <c r="AJ1194" t="s">
        <v>11131</v>
      </c>
      <c r="AK1194" t="s">
        <v>7225</v>
      </c>
      <c r="AM1194">
        <v>1300</v>
      </c>
      <c r="AO1194">
        <v>12</v>
      </c>
      <c r="AQ1194" t="s">
        <v>11161</v>
      </c>
      <c r="AS1194" t="s">
        <v>11174</v>
      </c>
      <c r="AU1194">
        <v>10</v>
      </c>
      <c r="AW1194" t="s">
        <v>11187</v>
      </c>
      <c r="AX1194" t="s">
        <v>11212</v>
      </c>
      <c r="BA1194" t="s">
        <v>11222</v>
      </c>
      <c r="BE1194" t="s">
        <v>12393</v>
      </c>
      <c r="BF1194" t="s">
        <v>14364</v>
      </c>
      <c r="BM1194" t="s">
        <v>15651</v>
      </c>
    </row>
    <row r="1195" spans="1:65">
      <c r="A1195" s="1">
        <f>HYPERLINK("https://lsnyc.legalserver.org/matter/dynamic-profile/view/1899885","19-1899885")</f>
        <v>0</v>
      </c>
      <c r="B1195" t="s">
        <v>118</v>
      </c>
      <c r="C1195" t="s">
        <v>246</v>
      </c>
      <c r="D1195" t="s">
        <v>382</v>
      </c>
      <c r="F1195" t="s">
        <v>1710</v>
      </c>
      <c r="G1195" t="s">
        <v>3488</v>
      </c>
      <c r="H1195" t="s">
        <v>4971</v>
      </c>
      <c r="I1195" t="s">
        <v>6698</v>
      </c>
      <c r="J1195" t="s">
        <v>7170</v>
      </c>
      <c r="K1195">
        <v>10460</v>
      </c>
      <c r="N1195" t="s">
        <v>7237</v>
      </c>
      <c r="O1195" t="s">
        <v>8080</v>
      </c>
      <c r="P1195">
        <v>1</v>
      </c>
      <c r="Q1195">
        <v>0</v>
      </c>
      <c r="R1195">
        <v>98.19</v>
      </c>
      <c r="U1195">
        <v>12264</v>
      </c>
      <c r="W1195">
        <v>0</v>
      </c>
      <c r="Y1195" t="s">
        <v>10897</v>
      </c>
      <c r="AA1195" t="s">
        <v>10974</v>
      </c>
      <c r="AB1195" t="s">
        <v>10979</v>
      </c>
      <c r="AD1195" t="s">
        <v>11086</v>
      </c>
      <c r="AF1195" t="s">
        <v>11120</v>
      </c>
      <c r="AH1195" t="s">
        <v>10974</v>
      </c>
      <c r="AJ1195" t="s">
        <v>11141</v>
      </c>
      <c r="AK1195" t="s">
        <v>7225</v>
      </c>
      <c r="AM1195">
        <v>397</v>
      </c>
      <c r="AO1195">
        <v>168</v>
      </c>
      <c r="AQ1195" t="s">
        <v>11157</v>
      </c>
      <c r="AS1195" t="s">
        <v>11174</v>
      </c>
      <c r="AU1195">
        <v>5</v>
      </c>
      <c r="AW1195" t="s">
        <v>11189</v>
      </c>
      <c r="BA1195" t="s">
        <v>11222</v>
      </c>
      <c r="BE1195" t="s">
        <v>12394</v>
      </c>
      <c r="BF1195" t="s">
        <v>14364</v>
      </c>
      <c r="BG1195" t="s">
        <v>11228</v>
      </c>
      <c r="BM1195" t="s">
        <v>15650</v>
      </c>
    </row>
    <row r="1196" spans="1:65">
      <c r="A1196" s="1">
        <f>HYPERLINK("https://lsnyc.legalserver.org/matter/dynamic-profile/view/1887677","18-1887677")</f>
        <v>0</v>
      </c>
      <c r="B1196" t="s">
        <v>118</v>
      </c>
      <c r="C1196" t="s">
        <v>246</v>
      </c>
      <c r="D1196" t="s">
        <v>559</v>
      </c>
      <c r="F1196" t="s">
        <v>1369</v>
      </c>
      <c r="G1196" t="s">
        <v>3489</v>
      </c>
      <c r="H1196" t="s">
        <v>4971</v>
      </c>
      <c r="I1196" t="s">
        <v>6463</v>
      </c>
      <c r="J1196" t="s">
        <v>7170</v>
      </c>
      <c r="K1196">
        <v>10460</v>
      </c>
      <c r="N1196" t="s">
        <v>7237</v>
      </c>
      <c r="O1196" t="s">
        <v>8081</v>
      </c>
      <c r="P1196">
        <v>1</v>
      </c>
      <c r="Q1196">
        <v>1</v>
      </c>
      <c r="R1196">
        <v>201.24</v>
      </c>
      <c r="U1196">
        <v>33124</v>
      </c>
      <c r="W1196">
        <v>2</v>
      </c>
      <c r="X1196" t="s">
        <v>280</v>
      </c>
      <c r="Y1196" t="s">
        <v>216</v>
      </c>
      <c r="AA1196" t="s">
        <v>10974</v>
      </c>
      <c r="AB1196" t="s">
        <v>370</v>
      </c>
      <c r="AD1196" t="s">
        <v>11101</v>
      </c>
      <c r="AF1196" t="s">
        <v>11118</v>
      </c>
      <c r="AH1196" t="s">
        <v>10974</v>
      </c>
      <c r="AJ1196" t="s">
        <v>11141</v>
      </c>
      <c r="AK1196" t="s">
        <v>7225</v>
      </c>
      <c r="AM1196">
        <v>1018</v>
      </c>
      <c r="AO1196">
        <v>168</v>
      </c>
      <c r="AQ1196" t="s">
        <v>11157</v>
      </c>
      <c r="AS1196" t="s">
        <v>11174</v>
      </c>
      <c r="AU1196">
        <v>14</v>
      </c>
      <c r="AW1196" t="s">
        <v>11187</v>
      </c>
      <c r="AZ1196" t="s">
        <v>11221</v>
      </c>
      <c r="BE1196" t="s">
        <v>12395</v>
      </c>
      <c r="BG1196" t="s">
        <v>14686</v>
      </c>
      <c r="BM1196" t="s">
        <v>15650</v>
      </c>
    </row>
    <row r="1197" spans="1:65">
      <c r="A1197" s="1">
        <f>HYPERLINK("https://lsnyc.legalserver.org/matter/dynamic-profile/view/1905559","19-1905559")</f>
        <v>0</v>
      </c>
      <c r="B1197" t="s">
        <v>118</v>
      </c>
      <c r="C1197" t="s">
        <v>246</v>
      </c>
      <c r="D1197" t="s">
        <v>546</v>
      </c>
      <c r="F1197" t="s">
        <v>1711</v>
      </c>
      <c r="G1197" t="s">
        <v>3490</v>
      </c>
      <c r="H1197" t="s">
        <v>5239</v>
      </c>
      <c r="I1197" t="s">
        <v>6448</v>
      </c>
      <c r="J1197" t="s">
        <v>7170</v>
      </c>
      <c r="K1197">
        <v>10453</v>
      </c>
      <c r="N1197" t="s">
        <v>7237</v>
      </c>
      <c r="O1197" t="s">
        <v>8082</v>
      </c>
      <c r="P1197">
        <v>4</v>
      </c>
      <c r="Q1197">
        <v>0</v>
      </c>
      <c r="R1197">
        <v>0</v>
      </c>
      <c r="U1197">
        <v>0</v>
      </c>
      <c r="W1197">
        <v>15.8</v>
      </c>
      <c r="X1197" t="s">
        <v>293</v>
      </c>
      <c r="Y1197" t="s">
        <v>118</v>
      </c>
      <c r="Z1197" t="s">
        <v>10972</v>
      </c>
      <c r="AA1197" t="s">
        <v>10976</v>
      </c>
      <c r="AD1197" t="s">
        <v>11082</v>
      </c>
      <c r="AF1197" t="s">
        <v>11118</v>
      </c>
      <c r="AH1197" t="s">
        <v>10975</v>
      </c>
      <c r="AI1197" t="s">
        <v>11126</v>
      </c>
      <c r="AK1197" t="s">
        <v>7225</v>
      </c>
      <c r="AL1197" t="s">
        <v>11150</v>
      </c>
      <c r="AM1197">
        <v>0</v>
      </c>
      <c r="AO1197">
        <v>33</v>
      </c>
      <c r="AP1197" t="s">
        <v>11155</v>
      </c>
      <c r="AR1197" t="s">
        <v>11172</v>
      </c>
      <c r="AT1197" t="s">
        <v>11184</v>
      </c>
      <c r="AU1197">
        <v>0</v>
      </c>
      <c r="AW1197" t="s">
        <v>11189</v>
      </c>
      <c r="AY1197" t="s">
        <v>11213</v>
      </c>
      <c r="AZ1197" t="s">
        <v>11221</v>
      </c>
      <c r="BE1197" t="s">
        <v>12396</v>
      </c>
      <c r="BG1197" t="s">
        <v>14691</v>
      </c>
      <c r="BM1197" t="s">
        <v>15650</v>
      </c>
    </row>
    <row r="1198" spans="1:65">
      <c r="A1198" s="1">
        <f>HYPERLINK("https://lsnyc.legalserver.org/matter/dynamic-profile/view/1889877","19-1889877")</f>
        <v>0</v>
      </c>
      <c r="B1198" t="s">
        <v>118</v>
      </c>
      <c r="C1198" t="s">
        <v>246</v>
      </c>
      <c r="D1198" t="s">
        <v>482</v>
      </c>
      <c r="F1198" t="s">
        <v>1712</v>
      </c>
      <c r="G1198" t="s">
        <v>3491</v>
      </c>
      <c r="H1198" t="s">
        <v>4971</v>
      </c>
      <c r="I1198" t="s">
        <v>6699</v>
      </c>
      <c r="J1198" t="s">
        <v>7170</v>
      </c>
      <c r="K1198">
        <v>10460</v>
      </c>
      <c r="N1198" t="s">
        <v>7237</v>
      </c>
      <c r="O1198" t="s">
        <v>8083</v>
      </c>
      <c r="P1198">
        <v>2</v>
      </c>
      <c r="Q1198">
        <v>0</v>
      </c>
      <c r="R1198">
        <v>163.22</v>
      </c>
      <c r="U1198">
        <v>27600</v>
      </c>
      <c r="V1198" t="s">
        <v>10387</v>
      </c>
      <c r="W1198">
        <v>63.6</v>
      </c>
      <c r="X1198" t="s">
        <v>528</v>
      </c>
      <c r="Y1198" t="s">
        <v>10897</v>
      </c>
      <c r="AA1198" t="s">
        <v>10974</v>
      </c>
      <c r="AB1198" t="s">
        <v>10979</v>
      </c>
      <c r="AD1198" t="s">
        <v>11082</v>
      </c>
      <c r="AF1198" t="s">
        <v>11118</v>
      </c>
      <c r="AH1198" t="s">
        <v>10975</v>
      </c>
      <c r="AJ1198" t="s">
        <v>11129</v>
      </c>
      <c r="AK1198" t="s">
        <v>7225</v>
      </c>
      <c r="AM1198">
        <v>1967</v>
      </c>
      <c r="AO1198">
        <v>169</v>
      </c>
      <c r="AQ1198" t="s">
        <v>11163</v>
      </c>
      <c r="AS1198" t="s">
        <v>11174</v>
      </c>
      <c r="AU1198">
        <v>3</v>
      </c>
      <c r="AW1198" t="s">
        <v>11187</v>
      </c>
      <c r="BA1198" t="s">
        <v>11222</v>
      </c>
      <c r="BE1198" t="s">
        <v>12397</v>
      </c>
      <c r="BF1198" t="s">
        <v>14364</v>
      </c>
      <c r="BM1198" t="s">
        <v>15650</v>
      </c>
    </row>
    <row r="1199" spans="1:65">
      <c r="A1199" s="1">
        <f>HYPERLINK("https://lsnyc.legalserver.org/matter/dynamic-profile/view/1915494","19-1915494")</f>
        <v>0</v>
      </c>
      <c r="B1199" t="s">
        <v>118</v>
      </c>
      <c r="C1199" t="s">
        <v>246</v>
      </c>
      <c r="D1199" t="s">
        <v>669</v>
      </c>
      <c r="E1199" t="s">
        <v>669</v>
      </c>
      <c r="F1199" t="s">
        <v>1713</v>
      </c>
      <c r="G1199" t="s">
        <v>3214</v>
      </c>
      <c r="H1199" t="s">
        <v>5240</v>
      </c>
      <c r="J1199" t="s">
        <v>7170</v>
      </c>
      <c r="K1199">
        <v>10457</v>
      </c>
      <c r="L1199" t="s">
        <v>7216</v>
      </c>
      <c r="N1199" t="s">
        <v>7237</v>
      </c>
      <c r="O1199" t="s">
        <v>8084</v>
      </c>
      <c r="P1199">
        <v>2</v>
      </c>
      <c r="Q1199">
        <v>3</v>
      </c>
      <c r="R1199">
        <v>35.8</v>
      </c>
      <c r="U1199">
        <v>10800</v>
      </c>
      <c r="W1199">
        <v>0.5</v>
      </c>
      <c r="X1199" t="s">
        <v>669</v>
      </c>
      <c r="Y1199" t="s">
        <v>118</v>
      </c>
      <c r="AA1199" t="s">
        <v>10974</v>
      </c>
      <c r="AD1199" t="s">
        <v>11086</v>
      </c>
      <c r="AF1199" t="s">
        <v>11119</v>
      </c>
      <c r="AG1199" t="s">
        <v>11124</v>
      </c>
      <c r="AJ1199" t="s">
        <v>11141</v>
      </c>
      <c r="AK1199" t="s">
        <v>7225</v>
      </c>
      <c r="AM1199">
        <v>1100</v>
      </c>
      <c r="AN1199" t="s">
        <v>11151</v>
      </c>
      <c r="AO1199" t="s">
        <v>11153</v>
      </c>
      <c r="AQ1199" t="s">
        <v>11159</v>
      </c>
      <c r="AR1199" t="s">
        <v>11172</v>
      </c>
      <c r="AU1199">
        <v>3</v>
      </c>
      <c r="AW1199" t="s">
        <v>11187</v>
      </c>
      <c r="AY1199" t="s">
        <v>11213</v>
      </c>
      <c r="BA1199" t="s">
        <v>11222</v>
      </c>
      <c r="BE1199" t="s">
        <v>12398</v>
      </c>
      <c r="BF1199" t="s">
        <v>14364</v>
      </c>
      <c r="BM1199" t="s">
        <v>15651</v>
      </c>
    </row>
    <row r="1200" spans="1:65">
      <c r="A1200" s="1">
        <f>HYPERLINK("https://lsnyc.legalserver.org/matter/dynamic-profile/view/1899868","19-1899868")</f>
        <v>0</v>
      </c>
      <c r="B1200" t="s">
        <v>118</v>
      </c>
      <c r="C1200" t="s">
        <v>246</v>
      </c>
      <c r="D1200" t="s">
        <v>382</v>
      </c>
      <c r="F1200" t="s">
        <v>1650</v>
      </c>
      <c r="G1200" t="s">
        <v>3492</v>
      </c>
      <c r="H1200" t="s">
        <v>4971</v>
      </c>
      <c r="I1200" t="s">
        <v>6700</v>
      </c>
      <c r="J1200" t="s">
        <v>7170</v>
      </c>
      <c r="K1200">
        <v>10460</v>
      </c>
      <c r="N1200" t="s">
        <v>7237</v>
      </c>
      <c r="O1200" t="s">
        <v>8085</v>
      </c>
      <c r="P1200">
        <v>2</v>
      </c>
      <c r="Q1200">
        <v>0</v>
      </c>
      <c r="R1200">
        <v>81.75</v>
      </c>
      <c r="U1200">
        <v>13824</v>
      </c>
      <c r="W1200">
        <v>2</v>
      </c>
      <c r="X1200" t="s">
        <v>470</v>
      </c>
      <c r="Y1200" t="s">
        <v>216</v>
      </c>
      <c r="AA1200" t="s">
        <v>10974</v>
      </c>
      <c r="AB1200" t="s">
        <v>10979</v>
      </c>
      <c r="AD1200" t="s">
        <v>11086</v>
      </c>
      <c r="AF1200" t="s">
        <v>11120</v>
      </c>
      <c r="AH1200" t="s">
        <v>10974</v>
      </c>
      <c r="AJ1200" t="s">
        <v>11141</v>
      </c>
      <c r="AK1200" t="s">
        <v>7225</v>
      </c>
      <c r="AM1200">
        <v>391</v>
      </c>
      <c r="AO1200">
        <v>168</v>
      </c>
      <c r="AQ1200" t="s">
        <v>11157</v>
      </c>
      <c r="AS1200" t="s">
        <v>11174</v>
      </c>
      <c r="AU1200">
        <v>10</v>
      </c>
      <c r="AW1200" t="s">
        <v>11189</v>
      </c>
      <c r="BA1200" t="s">
        <v>11222</v>
      </c>
      <c r="BE1200" t="s">
        <v>12399</v>
      </c>
      <c r="BF1200" t="s">
        <v>14364</v>
      </c>
      <c r="BG1200" t="s">
        <v>11228</v>
      </c>
      <c r="BM1200" t="s">
        <v>15650</v>
      </c>
    </row>
    <row r="1201" spans="1:67">
      <c r="A1201" s="1">
        <f>HYPERLINK("https://lsnyc.legalserver.org/matter/dynamic-profile/view/1887669","19-1887669")</f>
        <v>0</v>
      </c>
      <c r="B1201" t="s">
        <v>118</v>
      </c>
      <c r="C1201" t="s">
        <v>246</v>
      </c>
      <c r="D1201" t="s">
        <v>559</v>
      </c>
      <c r="F1201" t="s">
        <v>1714</v>
      </c>
      <c r="G1201" t="s">
        <v>3493</v>
      </c>
      <c r="H1201" t="s">
        <v>4971</v>
      </c>
      <c r="I1201" t="s">
        <v>6413</v>
      </c>
      <c r="J1201" t="s">
        <v>7170</v>
      </c>
      <c r="K1201">
        <v>10460</v>
      </c>
      <c r="N1201" t="s">
        <v>7237</v>
      </c>
      <c r="O1201" t="s">
        <v>8086</v>
      </c>
      <c r="P1201">
        <v>1</v>
      </c>
      <c r="Q1201">
        <v>0</v>
      </c>
      <c r="R1201">
        <v>202.44</v>
      </c>
      <c r="U1201">
        <v>24576</v>
      </c>
      <c r="W1201">
        <v>0</v>
      </c>
      <c r="Y1201" t="s">
        <v>216</v>
      </c>
      <c r="AA1201" t="s">
        <v>10974</v>
      </c>
      <c r="AB1201" t="s">
        <v>370</v>
      </c>
      <c r="AD1201" t="s">
        <v>11101</v>
      </c>
      <c r="AF1201" t="s">
        <v>11118</v>
      </c>
      <c r="AH1201" t="s">
        <v>10974</v>
      </c>
      <c r="AJ1201" t="s">
        <v>11141</v>
      </c>
      <c r="AK1201" t="s">
        <v>7225</v>
      </c>
      <c r="AM1201">
        <v>582</v>
      </c>
      <c r="AO1201">
        <v>168</v>
      </c>
      <c r="AP1201" t="s">
        <v>11155</v>
      </c>
      <c r="AS1201" t="s">
        <v>11174</v>
      </c>
      <c r="AU1201">
        <v>3</v>
      </c>
      <c r="AW1201" t="s">
        <v>11187</v>
      </c>
      <c r="AZ1201" t="s">
        <v>11221</v>
      </c>
      <c r="BD1201" t="s">
        <v>11667</v>
      </c>
      <c r="BG1201" t="s">
        <v>14686</v>
      </c>
      <c r="BM1201" t="s">
        <v>15650</v>
      </c>
    </row>
    <row r="1202" spans="1:67">
      <c r="A1202" s="1">
        <f>HYPERLINK("https://lsnyc.legalserver.org/matter/dynamic-profile/view/1899848","19-1899848")</f>
        <v>0</v>
      </c>
      <c r="B1202" t="s">
        <v>118</v>
      </c>
      <c r="C1202" t="s">
        <v>246</v>
      </c>
      <c r="D1202" t="s">
        <v>382</v>
      </c>
      <c r="F1202" t="s">
        <v>1139</v>
      </c>
      <c r="G1202" t="s">
        <v>3494</v>
      </c>
      <c r="H1202" t="s">
        <v>4971</v>
      </c>
      <c r="I1202" t="s">
        <v>6419</v>
      </c>
      <c r="J1202" t="s">
        <v>7170</v>
      </c>
      <c r="K1202">
        <v>10460</v>
      </c>
      <c r="N1202" t="s">
        <v>7237</v>
      </c>
      <c r="O1202" t="s">
        <v>8087</v>
      </c>
      <c r="P1202">
        <v>1</v>
      </c>
      <c r="Q1202">
        <v>0</v>
      </c>
      <c r="R1202">
        <v>72.06</v>
      </c>
      <c r="U1202">
        <v>9000</v>
      </c>
      <c r="W1202">
        <v>0</v>
      </c>
      <c r="Y1202" t="s">
        <v>10897</v>
      </c>
      <c r="AA1202" t="s">
        <v>10974</v>
      </c>
      <c r="AB1202" t="s">
        <v>10979</v>
      </c>
      <c r="AD1202" t="s">
        <v>11086</v>
      </c>
      <c r="AF1202" t="s">
        <v>11120</v>
      </c>
      <c r="AH1202" t="s">
        <v>10974</v>
      </c>
      <c r="AJ1202" t="s">
        <v>11141</v>
      </c>
      <c r="AK1202" t="s">
        <v>7225</v>
      </c>
      <c r="AM1202">
        <v>326</v>
      </c>
      <c r="AO1202">
        <v>168</v>
      </c>
      <c r="AQ1202" t="s">
        <v>11157</v>
      </c>
      <c r="AS1202" t="s">
        <v>11177</v>
      </c>
      <c r="AU1202">
        <v>5</v>
      </c>
      <c r="AW1202" t="s">
        <v>11189</v>
      </c>
      <c r="BA1202" t="s">
        <v>11222</v>
      </c>
      <c r="BE1202" t="s">
        <v>12400</v>
      </c>
      <c r="BF1202" t="s">
        <v>14364</v>
      </c>
      <c r="BG1202" t="s">
        <v>11228</v>
      </c>
      <c r="BM1202" t="s">
        <v>15650</v>
      </c>
    </row>
    <row r="1203" spans="1:67">
      <c r="A1203" s="1">
        <f>HYPERLINK("https://lsnyc.legalserver.org/matter/dynamic-profile/view/1885631","18-1885631")</f>
        <v>0</v>
      </c>
      <c r="B1203" t="s">
        <v>118</v>
      </c>
      <c r="C1203" t="s">
        <v>246</v>
      </c>
      <c r="D1203" t="s">
        <v>612</v>
      </c>
      <c r="E1203" t="s">
        <v>735</v>
      </c>
      <c r="F1203" t="s">
        <v>1715</v>
      </c>
      <c r="G1203" t="s">
        <v>3495</v>
      </c>
      <c r="H1203" t="s">
        <v>4971</v>
      </c>
      <c r="I1203" t="s">
        <v>6701</v>
      </c>
      <c r="J1203" t="s">
        <v>7170</v>
      </c>
      <c r="K1203">
        <v>10460</v>
      </c>
      <c r="L1203" t="s">
        <v>7221</v>
      </c>
      <c r="N1203" t="s">
        <v>7237</v>
      </c>
      <c r="O1203" t="s">
        <v>8088</v>
      </c>
      <c r="P1203">
        <v>1</v>
      </c>
      <c r="Q1203">
        <v>0</v>
      </c>
      <c r="R1203">
        <v>259.47</v>
      </c>
      <c r="U1203">
        <v>31500</v>
      </c>
      <c r="W1203">
        <v>0.25</v>
      </c>
      <c r="X1203" t="s">
        <v>735</v>
      </c>
      <c r="Y1203" t="s">
        <v>10903</v>
      </c>
      <c r="AA1203" t="s">
        <v>10974</v>
      </c>
      <c r="AB1203" t="s">
        <v>370</v>
      </c>
      <c r="AD1203" t="s">
        <v>11101</v>
      </c>
      <c r="AF1203" t="s">
        <v>11118</v>
      </c>
      <c r="AH1203" t="s">
        <v>10974</v>
      </c>
      <c r="AJ1203" t="s">
        <v>11141</v>
      </c>
      <c r="AK1203" t="s">
        <v>7225</v>
      </c>
      <c r="AM1203">
        <v>895</v>
      </c>
      <c r="AO1203">
        <v>168</v>
      </c>
      <c r="AQ1203" t="s">
        <v>11161</v>
      </c>
      <c r="AS1203" t="s">
        <v>11174</v>
      </c>
      <c r="AU1203">
        <v>5</v>
      </c>
      <c r="AW1203" t="s">
        <v>11187</v>
      </c>
      <c r="AZ1203" t="s">
        <v>11221</v>
      </c>
      <c r="BD1203" t="s">
        <v>11667</v>
      </c>
      <c r="BG1203" t="s">
        <v>14686</v>
      </c>
      <c r="BJ1203" t="s">
        <v>15615</v>
      </c>
      <c r="BM1203" t="s">
        <v>15651</v>
      </c>
    </row>
    <row r="1204" spans="1:67">
      <c r="A1204" s="1">
        <f>HYPERLINK("https://lsnyc.legalserver.org/matter/dynamic-profile/view/1900009","19-1900009")</f>
        <v>0</v>
      </c>
      <c r="B1204" t="s">
        <v>118</v>
      </c>
      <c r="C1204" t="s">
        <v>246</v>
      </c>
      <c r="D1204" t="s">
        <v>314</v>
      </c>
      <c r="F1204" t="s">
        <v>1716</v>
      </c>
      <c r="G1204" t="s">
        <v>3496</v>
      </c>
      <c r="H1204" t="s">
        <v>4971</v>
      </c>
      <c r="I1204" t="s">
        <v>6702</v>
      </c>
      <c r="J1204" t="s">
        <v>7170</v>
      </c>
      <c r="K1204">
        <v>10460</v>
      </c>
      <c r="N1204" t="s">
        <v>7237</v>
      </c>
      <c r="O1204" t="s">
        <v>8089</v>
      </c>
      <c r="P1204">
        <v>1</v>
      </c>
      <c r="Q1204">
        <v>0</v>
      </c>
      <c r="R1204">
        <v>72.06</v>
      </c>
      <c r="U1204">
        <v>9000</v>
      </c>
      <c r="W1204">
        <v>0</v>
      </c>
      <c r="Y1204" t="s">
        <v>93</v>
      </c>
      <c r="AA1204" t="s">
        <v>10974</v>
      </c>
      <c r="AB1204" t="s">
        <v>10979</v>
      </c>
      <c r="AD1204" t="s">
        <v>11086</v>
      </c>
      <c r="AF1204" t="s">
        <v>11120</v>
      </c>
      <c r="AH1204" t="s">
        <v>10974</v>
      </c>
      <c r="AJ1204" t="s">
        <v>11141</v>
      </c>
      <c r="AK1204" t="s">
        <v>7225</v>
      </c>
      <c r="AM1204">
        <v>990</v>
      </c>
      <c r="AO1204">
        <v>168</v>
      </c>
      <c r="AQ1204" t="s">
        <v>11157</v>
      </c>
      <c r="AS1204" t="s">
        <v>11174</v>
      </c>
      <c r="AU1204">
        <v>11</v>
      </c>
      <c r="AW1204" t="s">
        <v>11187</v>
      </c>
      <c r="BA1204" t="s">
        <v>11222</v>
      </c>
      <c r="BE1204" t="s">
        <v>12401</v>
      </c>
      <c r="BF1204" t="s">
        <v>14364</v>
      </c>
      <c r="BM1204" t="s">
        <v>15650</v>
      </c>
    </row>
    <row r="1205" spans="1:67">
      <c r="A1205" s="1">
        <f>HYPERLINK("https://lsnyc.legalserver.org/matter/dynamic-profile/view/1900038","19-1900038")</f>
        <v>0</v>
      </c>
      <c r="B1205" t="s">
        <v>118</v>
      </c>
      <c r="C1205" t="s">
        <v>246</v>
      </c>
      <c r="D1205" t="s">
        <v>314</v>
      </c>
      <c r="F1205" t="s">
        <v>1322</v>
      </c>
      <c r="G1205" t="s">
        <v>3497</v>
      </c>
      <c r="H1205" t="s">
        <v>4971</v>
      </c>
      <c r="I1205" t="s">
        <v>6703</v>
      </c>
      <c r="J1205" t="s">
        <v>7170</v>
      </c>
      <c r="K1205">
        <v>10460</v>
      </c>
      <c r="N1205" t="s">
        <v>7237</v>
      </c>
      <c r="O1205" t="s">
        <v>8090</v>
      </c>
      <c r="P1205">
        <v>1</v>
      </c>
      <c r="Q1205">
        <v>0</v>
      </c>
      <c r="R1205">
        <v>124.9</v>
      </c>
      <c r="U1205">
        <v>15600</v>
      </c>
      <c r="W1205">
        <v>4</v>
      </c>
      <c r="X1205" t="s">
        <v>801</v>
      </c>
      <c r="Y1205" t="s">
        <v>93</v>
      </c>
      <c r="AA1205" t="s">
        <v>10974</v>
      </c>
      <c r="AB1205" t="s">
        <v>10979</v>
      </c>
      <c r="AD1205" t="s">
        <v>11086</v>
      </c>
      <c r="AF1205" t="s">
        <v>11120</v>
      </c>
      <c r="AH1205" t="s">
        <v>10974</v>
      </c>
      <c r="AJ1205" t="s">
        <v>11141</v>
      </c>
      <c r="AK1205" t="s">
        <v>7225</v>
      </c>
      <c r="AM1205">
        <v>1600</v>
      </c>
      <c r="AO1205">
        <v>168</v>
      </c>
      <c r="AQ1205" t="s">
        <v>11157</v>
      </c>
      <c r="AS1205" t="s">
        <v>11173</v>
      </c>
      <c r="AU1205">
        <v>18</v>
      </c>
      <c r="AW1205" t="s">
        <v>11187</v>
      </c>
      <c r="BA1205" t="s">
        <v>11222</v>
      </c>
      <c r="BE1205" t="s">
        <v>12402</v>
      </c>
      <c r="BF1205" t="s">
        <v>14364</v>
      </c>
      <c r="BM1205" t="s">
        <v>15650</v>
      </c>
    </row>
    <row r="1206" spans="1:67">
      <c r="A1206" s="1">
        <f>HYPERLINK("https://lsnyc.legalserver.org/matter/dynamic-profile/view/1885575","18-1885575")</f>
        <v>0</v>
      </c>
      <c r="B1206" t="s">
        <v>118</v>
      </c>
      <c r="C1206" t="s">
        <v>246</v>
      </c>
      <c r="D1206" t="s">
        <v>612</v>
      </c>
      <c r="E1206" t="s">
        <v>735</v>
      </c>
      <c r="F1206" t="s">
        <v>1122</v>
      </c>
      <c r="G1206" t="s">
        <v>2877</v>
      </c>
      <c r="H1206" t="s">
        <v>4971</v>
      </c>
      <c r="I1206" t="s">
        <v>6704</v>
      </c>
      <c r="J1206" t="s">
        <v>7170</v>
      </c>
      <c r="K1206">
        <v>10460</v>
      </c>
      <c r="L1206" t="s">
        <v>7219</v>
      </c>
      <c r="N1206" t="s">
        <v>7237</v>
      </c>
      <c r="O1206" t="s">
        <v>8091</v>
      </c>
      <c r="P1206">
        <v>1</v>
      </c>
      <c r="Q1206">
        <v>0</v>
      </c>
      <c r="R1206">
        <v>81.84999999999999</v>
      </c>
      <c r="U1206">
        <v>9936</v>
      </c>
      <c r="W1206">
        <v>0.25</v>
      </c>
      <c r="X1206" t="s">
        <v>735</v>
      </c>
      <c r="Y1206" t="s">
        <v>216</v>
      </c>
      <c r="AA1206" t="s">
        <v>10974</v>
      </c>
      <c r="AB1206" t="s">
        <v>370</v>
      </c>
      <c r="AD1206" t="s">
        <v>11101</v>
      </c>
      <c r="AF1206" t="s">
        <v>11118</v>
      </c>
      <c r="AH1206" t="s">
        <v>10974</v>
      </c>
      <c r="AJ1206" t="s">
        <v>11141</v>
      </c>
      <c r="AK1206" t="s">
        <v>7225</v>
      </c>
      <c r="AM1206">
        <v>1500</v>
      </c>
      <c r="AO1206">
        <v>168</v>
      </c>
      <c r="AQ1206" t="s">
        <v>11157</v>
      </c>
      <c r="AS1206" t="s">
        <v>11175</v>
      </c>
      <c r="AU1206">
        <v>1</v>
      </c>
      <c r="AW1206" t="s">
        <v>11189</v>
      </c>
      <c r="AZ1206" t="s">
        <v>11221</v>
      </c>
      <c r="BE1206" t="s">
        <v>12403</v>
      </c>
      <c r="BG1206" t="s">
        <v>14686</v>
      </c>
      <c r="BJ1206" t="s">
        <v>15615</v>
      </c>
      <c r="BM1206" t="s">
        <v>15651</v>
      </c>
    </row>
    <row r="1207" spans="1:67">
      <c r="A1207" s="1">
        <f>HYPERLINK("https://lsnyc.legalserver.org/matter/dynamic-profile/view/1900001","19-1900001")</f>
        <v>0</v>
      </c>
      <c r="B1207" t="s">
        <v>118</v>
      </c>
      <c r="C1207" t="s">
        <v>246</v>
      </c>
      <c r="D1207" t="s">
        <v>314</v>
      </c>
      <c r="F1207" t="s">
        <v>1699</v>
      </c>
      <c r="G1207" t="s">
        <v>3470</v>
      </c>
      <c r="H1207" t="s">
        <v>4971</v>
      </c>
      <c r="I1207" t="s">
        <v>6688</v>
      </c>
      <c r="J1207" t="s">
        <v>7170</v>
      </c>
      <c r="K1207">
        <v>10460</v>
      </c>
      <c r="N1207" t="s">
        <v>7237</v>
      </c>
      <c r="O1207" t="s">
        <v>8057</v>
      </c>
      <c r="P1207">
        <v>1</v>
      </c>
      <c r="Q1207">
        <v>1</v>
      </c>
      <c r="R1207">
        <v>206.98</v>
      </c>
      <c r="U1207">
        <v>35000</v>
      </c>
      <c r="W1207">
        <v>0.25</v>
      </c>
      <c r="X1207" t="s">
        <v>638</v>
      </c>
      <c r="Y1207" t="s">
        <v>93</v>
      </c>
      <c r="AA1207" t="s">
        <v>10974</v>
      </c>
      <c r="AB1207" t="s">
        <v>10979</v>
      </c>
      <c r="AD1207" t="s">
        <v>11086</v>
      </c>
      <c r="AF1207" t="s">
        <v>11120</v>
      </c>
      <c r="AH1207" t="s">
        <v>10974</v>
      </c>
      <c r="AJ1207" t="s">
        <v>11141</v>
      </c>
      <c r="AK1207" t="s">
        <v>7225</v>
      </c>
      <c r="AM1207">
        <v>1960</v>
      </c>
      <c r="AO1207">
        <v>168</v>
      </c>
      <c r="AQ1207" t="s">
        <v>11161</v>
      </c>
      <c r="AS1207" t="s">
        <v>11174</v>
      </c>
      <c r="AU1207">
        <v>11</v>
      </c>
      <c r="AW1207" t="s">
        <v>11187</v>
      </c>
      <c r="BA1207" t="s">
        <v>11222</v>
      </c>
      <c r="BE1207" t="s">
        <v>12375</v>
      </c>
      <c r="BF1207" t="s">
        <v>14364</v>
      </c>
      <c r="BM1207" t="s">
        <v>15650</v>
      </c>
    </row>
    <row r="1208" spans="1:67">
      <c r="A1208" s="1">
        <f>HYPERLINK("https://lsnyc.legalserver.org/matter/dynamic-profile/view/1885587","18-1885587")</f>
        <v>0</v>
      </c>
      <c r="B1208" t="s">
        <v>118</v>
      </c>
      <c r="C1208" t="s">
        <v>246</v>
      </c>
      <c r="D1208" t="s">
        <v>612</v>
      </c>
      <c r="E1208" t="s">
        <v>735</v>
      </c>
      <c r="F1208" t="s">
        <v>1717</v>
      </c>
      <c r="G1208" t="s">
        <v>3498</v>
      </c>
      <c r="H1208" t="s">
        <v>4971</v>
      </c>
      <c r="I1208" t="s">
        <v>6705</v>
      </c>
      <c r="J1208" t="s">
        <v>7170</v>
      </c>
      <c r="K1208">
        <v>10460</v>
      </c>
      <c r="L1208" t="s">
        <v>7219</v>
      </c>
      <c r="N1208" t="s">
        <v>7237</v>
      </c>
      <c r="O1208" t="s">
        <v>8092</v>
      </c>
      <c r="P1208">
        <v>2</v>
      </c>
      <c r="Q1208">
        <v>0</v>
      </c>
      <c r="R1208">
        <v>54.68</v>
      </c>
      <c r="U1208">
        <v>9000</v>
      </c>
      <c r="W1208">
        <v>0.25</v>
      </c>
      <c r="X1208" t="s">
        <v>735</v>
      </c>
      <c r="Y1208" t="s">
        <v>216</v>
      </c>
      <c r="AA1208" t="s">
        <v>10974</v>
      </c>
      <c r="AB1208" t="s">
        <v>370</v>
      </c>
      <c r="AD1208" t="s">
        <v>11101</v>
      </c>
      <c r="AF1208" t="s">
        <v>11118</v>
      </c>
      <c r="AH1208" t="s">
        <v>10974</v>
      </c>
      <c r="AJ1208" t="s">
        <v>11141</v>
      </c>
      <c r="AK1208" t="s">
        <v>7225</v>
      </c>
      <c r="AM1208">
        <v>1789</v>
      </c>
      <c r="AO1208">
        <v>168</v>
      </c>
      <c r="AQ1208" t="s">
        <v>11157</v>
      </c>
      <c r="AS1208" t="s">
        <v>11174</v>
      </c>
      <c r="AU1208">
        <v>12</v>
      </c>
      <c r="AW1208" t="s">
        <v>11187</v>
      </c>
      <c r="BA1208" t="s">
        <v>11222</v>
      </c>
      <c r="BE1208" t="s">
        <v>12404</v>
      </c>
      <c r="BG1208" t="s">
        <v>14686</v>
      </c>
      <c r="BJ1208" t="s">
        <v>15615</v>
      </c>
      <c r="BM1208" t="s">
        <v>15651</v>
      </c>
    </row>
    <row r="1209" spans="1:67">
      <c r="A1209" s="1">
        <f>HYPERLINK("https://lsnyc.legalserver.org/matter/dynamic-profile/view/1877971","18-1877971")</f>
        <v>0</v>
      </c>
      <c r="B1209" t="s">
        <v>118</v>
      </c>
      <c r="C1209" t="s">
        <v>246</v>
      </c>
      <c r="D1209" t="s">
        <v>667</v>
      </c>
      <c r="F1209" t="s">
        <v>1496</v>
      </c>
      <c r="G1209" t="s">
        <v>3499</v>
      </c>
      <c r="H1209" t="s">
        <v>4976</v>
      </c>
      <c r="I1209" t="s">
        <v>6576</v>
      </c>
      <c r="J1209" t="s">
        <v>7170</v>
      </c>
      <c r="K1209">
        <v>10453</v>
      </c>
      <c r="N1209" t="s">
        <v>7237</v>
      </c>
      <c r="O1209" t="s">
        <v>8093</v>
      </c>
      <c r="P1209">
        <v>2</v>
      </c>
      <c r="Q1209">
        <v>0</v>
      </c>
      <c r="R1209">
        <v>82.2</v>
      </c>
      <c r="U1209">
        <v>13530</v>
      </c>
      <c r="W1209">
        <v>0</v>
      </c>
      <c r="Y1209" t="s">
        <v>216</v>
      </c>
      <c r="AA1209" t="s">
        <v>10974</v>
      </c>
      <c r="AB1209" t="s">
        <v>10979</v>
      </c>
      <c r="AD1209" t="s">
        <v>11086</v>
      </c>
      <c r="AF1209" t="s">
        <v>10384</v>
      </c>
      <c r="AH1209" t="s">
        <v>10974</v>
      </c>
      <c r="AJ1209" t="s">
        <v>11141</v>
      </c>
      <c r="AK1209" t="s">
        <v>7225</v>
      </c>
      <c r="AM1209">
        <v>1086</v>
      </c>
      <c r="AO1209">
        <v>99</v>
      </c>
      <c r="AQ1209" t="s">
        <v>11157</v>
      </c>
      <c r="AS1209" t="s">
        <v>11174</v>
      </c>
      <c r="AU1209">
        <v>4</v>
      </c>
      <c r="AW1209" t="s">
        <v>11187</v>
      </c>
      <c r="BA1209" t="s">
        <v>11222</v>
      </c>
      <c r="BE1209" t="s">
        <v>12405</v>
      </c>
      <c r="BF1209" t="s">
        <v>14364</v>
      </c>
      <c r="BM1209" t="s">
        <v>15650</v>
      </c>
    </row>
    <row r="1210" spans="1:67">
      <c r="A1210" s="1">
        <f>HYPERLINK("https://lsnyc.legalserver.org/matter/dynamic-profile/view/1900526","19-1900526")</f>
        <v>0</v>
      </c>
      <c r="B1210" t="s">
        <v>118</v>
      </c>
      <c r="C1210" t="s">
        <v>246</v>
      </c>
      <c r="D1210" t="s">
        <v>549</v>
      </c>
      <c r="F1210" t="s">
        <v>1718</v>
      </c>
      <c r="G1210" t="s">
        <v>3500</v>
      </c>
      <c r="H1210" t="s">
        <v>4971</v>
      </c>
      <c r="I1210" t="s">
        <v>6407</v>
      </c>
      <c r="J1210" t="s">
        <v>7170</v>
      </c>
      <c r="K1210">
        <v>10460</v>
      </c>
      <c r="N1210" t="s">
        <v>7237</v>
      </c>
      <c r="O1210" t="s">
        <v>8094</v>
      </c>
      <c r="P1210">
        <v>2</v>
      </c>
      <c r="Q1210">
        <v>0</v>
      </c>
      <c r="R1210">
        <v>0</v>
      </c>
      <c r="U1210">
        <v>0</v>
      </c>
      <c r="W1210">
        <v>0</v>
      </c>
      <c r="Y1210" t="s">
        <v>10865</v>
      </c>
      <c r="AA1210" t="s">
        <v>10974</v>
      </c>
      <c r="AB1210" t="s">
        <v>10979</v>
      </c>
      <c r="AD1210" t="s">
        <v>11086</v>
      </c>
      <c r="AF1210" t="s">
        <v>11120</v>
      </c>
      <c r="AH1210" t="s">
        <v>10974</v>
      </c>
      <c r="AJ1210" t="s">
        <v>11129</v>
      </c>
      <c r="AK1210" t="s">
        <v>7225</v>
      </c>
      <c r="AM1210">
        <v>1100</v>
      </c>
      <c r="AO1210">
        <v>168</v>
      </c>
      <c r="AQ1210" t="s">
        <v>11157</v>
      </c>
      <c r="AS1210" t="s">
        <v>11104</v>
      </c>
      <c r="AU1210">
        <v>4</v>
      </c>
      <c r="AW1210" t="s">
        <v>11187</v>
      </c>
      <c r="BA1210" t="s">
        <v>11222</v>
      </c>
      <c r="BE1210" t="s">
        <v>12406</v>
      </c>
      <c r="BF1210" t="s">
        <v>14364</v>
      </c>
      <c r="BG1210" t="s">
        <v>11228</v>
      </c>
      <c r="BM1210" t="s">
        <v>15650</v>
      </c>
    </row>
    <row r="1211" spans="1:67">
      <c r="A1211" s="1">
        <f>HYPERLINK("https://lsnyc.legalserver.org/matter/dynamic-profile/view/1899812","19-1899812")</f>
        <v>0</v>
      </c>
      <c r="B1211" t="s">
        <v>118</v>
      </c>
      <c r="C1211" t="s">
        <v>246</v>
      </c>
      <c r="D1211" t="s">
        <v>382</v>
      </c>
      <c r="F1211" t="s">
        <v>1171</v>
      </c>
      <c r="G1211" t="s">
        <v>3471</v>
      </c>
      <c r="H1211" t="s">
        <v>4971</v>
      </c>
      <c r="I1211" t="s">
        <v>6689</v>
      </c>
      <c r="J1211" t="s">
        <v>7170</v>
      </c>
      <c r="K1211">
        <v>10460</v>
      </c>
      <c r="N1211" t="s">
        <v>7237</v>
      </c>
      <c r="O1211" t="s">
        <v>8058</v>
      </c>
      <c r="P1211">
        <v>1</v>
      </c>
      <c r="Q1211">
        <v>0</v>
      </c>
      <c r="R1211">
        <v>144.12</v>
      </c>
      <c r="U1211">
        <v>18000</v>
      </c>
      <c r="W1211">
        <v>0</v>
      </c>
      <c r="Y1211" t="s">
        <v>216</v>
      </c>
      <c r="AA1211" t="s">
        <v>10974</v>
      </c>
      <c r="AB1211" t="s">
        <v>10979</v>
      </c>
      <c r="AD1211" t="s">
        <v>11086</v>
      </c>
      <c r="AF1211" t="s">
        <v>11120</v>
      </c>
      <c r="AH1211" t="s">
        <v>10974</v>
      </c>
      <c r="AJ1211" t="s">
        <v>11141</v>
      </c>
      <c r="AK1211" t="s">
        <v>7225</v>
      </c>
      <c r="AM1211">
        <v>500</v>
      </c>
      <c r="AO1211">
        <v>168</v>
      </c>
      <c r="AQ1211" t="s">
        <v>11164</v>
      </c>
      <c r="AS1211" t="s">
        <v>11174</v>
      </c>
      <c r="AU1211">
        <v>5</v>
      </c>
      <c r="AW1211" t="s">
        <v>11187</v>
      </c>
      <c r="BA1211" t="s">
        <v>11222</v>
      </c>
      <c r="BE1211" t="s">
        <v>12376</v>
      </c>
      <c r="BF1211" t="s">
        <v>14364</v>
      </c>
      <c r="BG1211" t="s">
        <v>11228</v>
      </c>
      <c r="BM1211" t="s">
        <v>15650</v>
      </c>
    </row>
    <row r="1212" spans="1:67">
      <c r="A1212" s="1">
        <f>HYPERLINK("https://lsnyc.legalserver.org/matter/dynamic-profile/view/1909788","19-1909788")</f>
        <v>0</v>
      </c>
      <c r="B1212" t="s">
        <v>118</v>
      </c>
      <c r="C1212" t="s">
        <v>246</v>
      </c>
      <c r="D1212" t="s">
        <v>434</v>
      </c>
      <c r="E1212" t="s">
        <v>669</v>
      </c>
      <c r="F1212" t="s">
        <v>1719</v>
      </c>
      <c r="G1212" t="s">
        <v>3501</v>
      </c>
      <c r="H1212" t="s">
        <v>5241</v>
      </c>
      <c r="I1212" t="s">
        <v>6449</v>
      </c>
      <c r="J1212" t="s">
        <v>7170</v>
      </c>
      <c r="K1212">
        <v>10457</v>
      </c>
      <c r="L1212" t="s">
        <v>7216</v>
      </c>
      <c r="N1212" t="s">
        <v>7237</v>
      </c>
      <c r="O1212" t="s">
        <v>8095</v>
      </c>
      <c r="P1212">
        <v>1</v>
      </c>
      <c r="Q1212">
        <v>0</v>
      </c>
      <c r="R1212">
        <v>80.7</v>
      </c>
      <c r="U1212">
        <v>10080</v>
      </c>
      <c r="W1212">
        <v>0.5</v>
      </c>
      <c r="X1212" t="s">
        <v>669</v>
      </c>
      <c r="Y1212" t="s">
        <v>118</v>
      </c>
      <c r="AA1212" t="s">
        <v>10974</v>
      </c>
      <c r="AD1212" t="s">
        <v>11101</v>
      </c>
      <c r="AF1212" t="s">
        <v>11119</v>
      </c>
      <c r="AG1212" t="s">
        <v>11124</v>
      </c>
      <c r="AI1212" t="s">
        <v>11126</v>
      </c>
      <c r="AK1212" t="s">
        <v>7225</v>
      </c>
      <c r="AM1212">
        <v>172</v>
      </c>
      <c r="AO1212">
        <v>25</v>
      </c>
      <c r="AQ1212" t="s">
        <v>11157</v>
      </c>
      <c r="AR1212" t="s">
        <v>11172</v>
      </c>
      <c r="AU1212">
        <v>17</v>
      </c>
      <c r="AW1212" t="s">
        <v>11187</v>
      </c>
      <c r="AX1212" t="s">
        <v>11212</v>
      </c>
      <c r="BA1212" t="s">
        <v>11222</v>
      </c>
      <c r="BD1212" t="s">
        <v>11667</v>
      </c>
      <c r="BF1212" t="s">
        <v>14364</v>
      </c>
      <c r="BM1212" t="s">
        <v>15651</v>
      </c>
    </row>
    <row r="1213" spans="1:67">
      <c r="A1213" s="1">
        <f>HYPERLINK("https://lsnyc.legalserver.org/matter/dynamic-profile/view/1855977","18-1855977")</f>
        <v>0</v>
      </c>
      <c r="B1213" t="s">
        <v>118</v>
      </c>
      <c r="C1213" t="s">
        <v>246</v>
      </c>
      <c r="D1213" t="s">
        <v>673</v>
      </c>
      <c r="F1213" t="s">
        <v>1128</v>
      </c>
      <c r="G1213" t="s">
        <v>3502</v>
      </c>
      <c r="H1213" t="s">
        <v>5242</v>
      </c>
      <c r="I1213" t="s">
        <v>6507</v>
      </c>
      <c r="J1213" t="s">
        <v>7170</v>
      </c>
      <c r="K1213">
        <v>10452</v>
      </c>
      <c r="N1213" t="s">
        <v>7237</v>
      </c>
      <c r="O1213" t="s">
        <v>8096</v>
      </c>
      <c r="P1213">
        <v>1</v>
      </c>
      <c r="Q1213">
        <v>0</v>
      </c>
      <c r="R1213">
        <v>81.09</v>
      </c>
      <c r="U1213">
        <v>9780</v>
      </c>
      <c r="V1213" t="s">
        <v>10306</v>
      </c>
      <c r="W1213">
        <v>11.5</v>
      </c>
      <c r="X1213" t="s">
        <v>529</v>
      </c>
      <c r="Y1213" t="s">
        <v>10919</v>
      </c>
      <c r="AA1213" t="s">
        <v>10974</v>
      </c>
      <c r="AB1213" t="s">
        <v>10818</v>
      </c>
      <c r="AD1213" t="s">
        <v>11082</v>
      </c>
      <c r="AF1213" t="s">
        <v>11118</v>
      </c>
      <c r="AH1213" t="s">
        <v>10975</v>
      </c>
      <c r="AJ1213" t="s">
        <v>11136</v>
      </c>
      <c r="AK1213" t="s">
        <v>7225</v>
      </c>
      <c r="AM1213">
        <v>838.84</v>
      </c>
      <c r="AO1213">
        <v>120</v>
      </c>
      <c r="AQ1213" t="s">
        <v>11157</v>
      </c>
      <c r="AS1213" t="s">
        <v>11177</v>
      </c>
      <c r="AU1213">
        <v>6</v>
      </c>
      <c r="AW1213" t="s">
        <v>11187</v>
      </c>
      <c r="AZ1213" t="s">
        <v>11221</v>
      </c>
      <c r="BC1213" t="s">
        <v>11345</v>
      </c>
      <c r="BE1213" t="s">
        <v>12407</v>
      </c>
      <c r="BG1213" t="s">
        <v>14692</v>
      </c>
      <c r="BM1213" t="s">
        <v>15650</v>
      </c>
      <c r="BO1213" t="s">
        <v>15678</v>
      </c>
    </row>
    <row r="1214" spans="1:67">
      <c r="A1214" s="1">
        <f>HYPERLINK("https://lsnyc.legalserver.org/matter/dynamic-profile/view/1900522","19-1900522")</f>
        <v>0</v>
      </c>
      <c r="B1214" t="s">
        <v>118</v>
      </c>
      <c r="C1214" t="s">
        <v>246</v>
      </c>
      <c r="D1214" t="s">
        <v>549</v>
      </c>
      <c r="F1214" t="s">
        <v>1122</v>
      </c>
      <c r="G1214" t="s">
        <v>3503</v>
      </c>
      <c r="H1214" t="s">
        <v>4971</v>
      </c>
      <c r="I1214" t="s">
        <v>6420</v>
      </c>
      <c r="J1214" t="s">
        <v>7170</v>
      </c>
      <c r="K1214">
        <v>10460</v>
      </c>
      <c r="N1214" t="s">
        <v>7237</v>
      </c>
      <c r="O1214" t="s">
        <v>8097</v>
      </c>
      <c r="P1214">
        <v>2</v>
      </c>
      <c r="Q1214">
        <v>1</v>
      </c>
      <c r="R1214">
        <v>0</v>
      </c>
      <c r="U1214">
        <v>0</v>
      </c>
      <c r="W1214">
        <v>0</v>
      </c>
      <c r="Y1214" t="s">
        <v>10865</v>
      </c>
      <c r="AA1214" t="s">
        <v>10974</v>
      </c>
      <c r="AB1214" t="s">
        <v>10979</v>
      </c>
      <c r="AD1214" t="s">
        <v>11086</v>
      </c>
      <c r="AF1214" t="s">
        <v>11120</v>
      </c>
      <c r="AH1214" t="s">
        <v>10975</v>
      </c>
      <c r="AJ1214" t="s">
        <v>11129</v>
      </c>
      <c r="AK1214" t="s">
        <v>7225</v>
      </c>
      <c r="AL1214" t="s">
        <v>11150</v>
      </c>
      <c r="AM1214">
        <v>0</v>
      </c>
      <c r="AO1214">
        <v>168</v>
      </c>
      <c r="AQ1214" t="s">
        <v>11160</v>
      </c>
      <c r="AS1214" t="s">
        <v>11174</v>
      </c>
      <c r="AU1214">
        <v>3</v>
      </c>
      <c r="AW1214" t="s">
        <v>11187</v>
      </c>
      <c r="BA1214" t="s">
        <v>11222</v>
      </c>
      <c r="BE1214" t="s">
        <v>12408</v>
      </c>
      <c r="BF1214" t="s">
        <v>14364</v>
      </c>
      <c r="BG1214" t="s">
        <v>11228</v>
      </c>
      <c r="BM1214" t="s">
        <v>15650</v>
      </c>
    </row>
    <row r="1215" spans="1:67">
      <c r="A1215" s="1">
        <f>HYPERLINK("https://lsnyc.legalserver.org/matter/dynamic-profile/view/1865390","18-1865390")</f>
        <v>0</v>
      </c>
      <c r="B1215" t="s">
        <v>118</v>
      </c>
      <c r="C1215" t="s">
        <v>246</v>
      </c>
      <c r="D1215" t="s">
        <v>674</v>
      </c>
      <c r="F1215" t="s">
        <v>1720</v>
      </c>
      <c r="G1215" t="s">
        <v>3504</v>
      </c>
      <c r="H1215" t="s">
        <v>5243</v>
      </c>
      <c r="I1215" t="s">
        <v>6513</v>
      </c>
      <c r="J1215" t="s">
        <v>7170</v>
      </c>
      <c r="K1215">
        <v>10458</v>
      </c>
      <c r="N1215" t="s">
        <v>7237</v>
      </c>
      <c r="O1215" t="s">
        <v>8098</v>
      </c>
      <c r="P1215">
        <v>4</v>
      </c>
      <c r="Q1215">
        <v>0</v>
      </c>
      <c r="R1215">
        <v>128.84</v>
      </c>
      <c r="U1215">
        <v>32340</v>
      </c>
      <c r="W1215">
        <v>3</v>
      </c>
      <c r="X1215" t="s">
        <v>271</v>
      </c>
      <c r="Y1215" t="s">
        <v>10897</v>
      </c>
      <c r="AA1215" t="s">
        <v>10974</v>
      </c>
      <c r="AB1215" t="s">
        <v>11007</v>
      </c>
      <c r="AD1215" t="s">
        <v>11096</v>
      </c>
      <c r="AF1215" t="s">
        <v>11122</v>
      </c>
      <c r="AH1215" t="s">
        <v>10974</v>
      </c>
      <c r="AJ1215" t="s">
        <v>11141</v>
      </c>
      <c r="AK1215" t="s">
        <v>7225</v>
      </c>
      <c r="AM1215">
        <v>1200</v>
      </c>
      <c r="AN1215" t="s">
        <v>11151</v>
      </c>
      <c r="AO1215" t="s">
        <v>11153</v>
      </c>
      <c r="AQ1215" t="s">
        <v>11157</v>
      </c>
      <c r="AS1215" t="s">
        <v>11173</v>
      </c>
      <c r="AU1215">
        <v>3</v>
      </c>
      <c r="AW1215" t="s">
        <v>11187</v>
      </c>
      <c r="AZ1215" t="s">
        <v>11221</v>
      </c>
      <c r="BE1215" t="s">
        <v>12409</v>
      </c>
      <c r="BG1215" t="s">
        <v>14693</v>
      </c>
      <c r="BM1215" t="s">
        <v>15650</v>
      </c>
    </row>
    <row r="1216" spans="1:67">
      <c r="A1216" s="1">
        <f>HYPERLINK("https://lsnyc.legalserver.org/matter/dynamic-profile/view/1885679","18-1885679")</f>
        <v>0</v>
      </c>
      <c r="B1216" t="s">
        <v>118</v>
      </c>
      <c r="C1216" t="s">
        <v>246</v>
      </c>
      <c r="D1216" t="s">
        <v>579</v>
      </c>
      <c r="F1216" t="s">
        <v>1122</v>
      </c>
      <c r="G1216" t="s">
        <v>3503</v>
      </c>
      <c r="H1216" t="s">
        <v>4971</v>
      </c>
      <c r="I1216" t="s">
        <v>6420</v>
      </c>
      <c r="J1216" t="s">
        <v>7170</v>
      </c>
      <c r="K1216">
        <v>10460</v>
      </c>
      <c r="N1216" t="s">
        <v>7237</v>
      </c>
      <c r="O1216" t="s">
        <v>8097</v>
      </c>
      <c r="P1216">
        <v>2</v>
      </c>
      <c r="Q1216">
        <v>1</v>
      </c>
      <c r="R1216">
        <v>0</v>
      </c>
      <c r="U1216">
        <v>0</v>
      </c>
      <c r="W1216">
        <v>0</v>
      </c>
      <c r="Y1216" t="s">
        <v>10865</v>
      </c>
      <c r="AA1216" t="s">
        <v>10974</v>
      </c>
      <c r="AB1216" t="s">
        <v>370</v>
      </c>
      <c r="AD1216" t="s">
        <v>11101</v>
      </c>
      <c r="AF1216" t="s">
        <v>11118</v>
      </c>
      <c r="AH1216" t="s">
        <v>10974</v>
      </c>
      <c r="AJ1216" t="s">
        <v>11141</v>
      </c>
      <c r="AK1216" t="s">
        <v>7225</v>
      </c>
      <c r="AL1216" t="s">
        <v>11150</v>
      </c>
      <c r="AM1216">
        <v>0</v>
      </c>
      <c r="AO1216">
        <v>168</v>
      </c>
      <c r="AQ1216" t="s">
        <v>11160</v>
      </c>
      <c r="AS1216" t="s">
        <v>11174</v>
      </c>
      <c r="AU1216">
        <v>3</v>
      </c>
      <c r="AW1216" t="s">
        <v>11187</v>
      </c>
      <c r="AZ1216" t="s">
        <v>11221</v>
      </c>
      <c r="BE1216" t="s">
        <v>12408</v>
      </c>
      <c r="BG1216" t="s">
        <v>14686</v>
      </c>
      <c r="BM1216" t="s">
        <v>15650</v>
      </c>
    </row>
    <row r="1217" spans="1:65">
      <c r="A1217" s="1">
        <f>HYPERLINK("https://lsnyc.legalserver.org/matter/dynamic-profile/view/1888246","19-1888246")</f>
        <v>0</v>
      </c>
      <c r="B1217" t="s">
        <v>118</v>
      </c>
      <c r="C1217" t="s">
        <v>246</v>
      </c>
      <c r="D1217" t="s">
        <v>588</v>
      </c>
      <c r="F1217" t="s">
        <v>1135</v>
      </c>
      <c r="G1217" t="s">
        <v>3474</v>
      </c>
      <c r="H1217" t="s">
        <v>4971</v>
      </c>
      <c r="I1217" t="s">
        <v>6691</v>
      </c>
      <c r="J1217" t="s">
        <v>7170</v>
      </c>
      <c r="K1217">
        <v>10460</v>
      </c>
      <c r="N1217" t="s">
        <v>7237</v>
      </c>
      <c r="O1217" t="s">
        <v>8061</v>
      </c>
      <c r="P1217">
        <v>1</v>
      </c>
      <c r="Q1217">
        <v>0</v>
      </c>
      <c r="R1217">
        <v>75.42</v>
      </c>
      <c r="U1217">
        <v>9156</v>
      </c>
      <c r="W1217">
        <v>0</v>
      </c>
      <c r="Y1217" t="s">
        <v>10897</v>
      </c>
      <c r="AA1217" t="s">
        <v>10974</v>
      </c>
      <c r="AB1217" t="s">
        <v>370</v>
      </c>
      <c r="AD1217" t="s">
        <v>11101</v>
      </c>
      <c r="AF1217" t="s">
        <v>11118</v>
      </c>
      <c r="AH1217" t="s">
        <v>10974</v>
      </c>
      <c r="AJ1217" t="s">
        <v>11141</v>
      </c>
      <c r="AK1217" t="s">
        <v>7225</v>
      </c>
      <c r="AM1217">
        <v>1694</v>
      </c>
      <c r="AO1217">
        <v>168</v>
      </c>
      <c r="AQ1217" t="s">
        <v>11167</v>
      </c>
      <c r="AS1217" t="s">
        <v>11174</v>
      </c>
      <c r="AU1217">
        <v>35</v>
      </c>
      <c r="AW1217" t="s">
        <v>11187</v>
      </c>
      <c r="AZ1217" t="s">
        <v>11221</v>
      </c>
      <c r="BE1217" t="s">
        <v>12379</v>
      </c>
      <c r="BG1217" t="s">
        <v>14686</v>
      </c>
      <c r="BM1217" t="s">
        <v>15650</v>
      </c>
    </row>
    <row r="1218" spans="1:65">
      <c r="A1218" s="1">
        <f>HYPERLINK("https://lsnyc.legalserver.org/matter/dynamic-profile/view/1899914","19-1899914")</f>
        <v>0</v>
      </c>
      <c r="B1218" t="s">
        <v>118</v>
      </c>
      <c r="C1218" t="s">
        <v>246</v>
      </c>
      <c r="D1218" t="s">
        <v>382</v>
      </c>
      <c r="F1218" t="s">
        <v>1721</v>
      </c>
      <c r="G1218" t="s">
        <v>3505</v>
      </c>
      <c r="H1218" t="s">
        <v>4971</v>
      </c>
      <c r="I1218" t="s">
        <v>6706</v>
      </c>
      <c r="J1218" t="s">
        <v>7170</v>
      </c>
      <c r="K1218">
        <v>10460</v>
      </c>
      <c r="N1218" t="s">
        <v>7237</v>
      </c>
      <c r="O1218" t="s">
        <v>8099</v>
      </c>
      <c r="P1218">
        <v>1</v>
      </c>
      <c r="Q1218">
        <v>0</v>
      </c>
      <c r="R1218">
        <v>40.03</v>
      </c>
      <c r="U1218">
        <v>5000.04</v>
      </c>
      <c r="W1218">
        <v>0</v>
      </c>
      <c r="Y1218" t="s">
        <v>10897</v>
      </c>
      <c r="AA1218" t="s">
        <v>10974</v>
      </c>
      <c r="AB1218" t="s">
        <v>10979</v>
      </c>
      <c r="AD1218" t="s">
        <v>11086</v>
      </c>
      <c r="AF1218" t="s">
        <v>11120</v>
      </c>
      <c r="AH1218" t="s">
        <v>10974</v>
      </c>
      <c r="AJ1218" t="s">
        <v>11141</v>
      </c>
      <c r="AK1218" t="s">
        <v>7225</v>
      </c>
      <c r="AM1218">
        <v>1300</v>
      </c>
      <c r="AO1218">
        <v>168</v>
      </c>
      <c r="AQ1218" t="s">
        <v>11157</v>
      </c>
      <c r="AS1218" t="s">
        <v>11174</v>
      </c>
      <c r="AU1218">
        <v>19</v>
      </c>
      <c r="AW1218" t="s">
        <v>11187</v>
      </c>
      <c r="BA1218" t="s">
        <v>11222</v>
      </c>
      <c r="BE1218" t="s">
        <v>12410</v>
      </c>
      <c r="BF1218" t="s">
        <v>14364</v>
      </c>
      <c r="BG1218" t="s">
        <v>11228</v>
      </c>
      <c r="BM1218" t="s">
        <v>15650</v>
      </c>
    </row>
    <row r="1219" spans="1:65">
      <c r="A1219" s="1">
        <f>HYPERLINK("https://lsnyc.legalserver.org/matter/dynamic-profile/view/1885956","18-1885956")</f>
        <v>0</v>
      </c>
      <c r="B1219" t="s">
        <v>118</v>
      </c>
      <c r="C1219" t="s">
        <v>246</v>
      </c>
      <c r="D1219" t="s">
        <v>665</v>
      </c>
      <c r="E1219" t="s">
        <v>449</v>
      </c>
      <c r="F1219" t="s">
        <v>1122</v>
      </c>
      <c r="G1219" t="s">
        <v>3506</v>
      </c>
      <c r="H1219" t="s">
        <v>4971</v>
      </c>
      <c r="I1219" t="s">
        <v>6707</v>
      </c>
      <c r="J1219" t="s">
        <v>7170</v>
      </c>
      <c r="K1219">
        <v>10460</v>
      </c>
      <c r="L1219" t="s">
        <v>7219</v>
      </c>
      <c r="N1219" t="s">
        <v>7237</v>
      </c>
      <c r="O1219" t="s">
        <v>8100</v>
      </c>
      <c r="P1219">
        <v>2</v>
      </c>
      <c r="Q1219">
        <v>0</v>
      </c>
      <c r="R1219">
        <v>153.97</v>
      </c>
      <c r="U1219">
        <v>25344</v>
      </c>
      <c r="W1219">
        <v>0.25</v>
      </c>
      <c r="X1219" t="s">
        <v>449</v>
      </c>
      <c r="Y1219" t="s">
        <v>10903</v>
      </c>
      <c r="AA1219" t="s">
        <v>10974</v>
      </c>
      <c r="AB1219" t="s">
        <v>370</v>
      </c>
      <c r="AD1219" t="s">
        <v>11101</v>
      </c>
      <c r="AF1219" t="s">
        <v>11118</v>
      </c>
      <c r="AH1219" t="s">
        <v>10974</v>
      </c>
      <c r="AJ1219" t="s">
        <v>11141</v>
      </c>
      <c r="AK1219" t="s">
        <v>7225</v>
      </c>
      <c r="AM1219">
        <v>960</v>
      </c>
      <c r="AO1219">
        <v>169</v>
      </c>
      <c r="AQ1219" t="s">
        <v>11157</v>
      </c>
      <c r="AS1219" t="s">
        <v>11173</v>
      </c>
      <c r="AU1219">
        <v>25</v>
      </c>
      <c r="AW1219" t="s">
        <v>11189</v>
      </c>
      <c r="AZ1219" t="s">
        <v>11221</v>
      </c>
      <c r="BE1219" t="s">
        <v>12411</v>
      </c>
      <c r="BG1219" t="s">
        <v>14686</v>
      </c>
      <c r="BJ1219" t="s">
        <v>15615</v>
      </c>
      <c r="BM1219" t="s">
        <v>15651</v>
      </c>
    </row>
    <row r="1220" spans="1:65">
      <c r="A1220" s="1">
        <f>HYPERLINK("https://lsnyc.legalserver.org/matter/dynamic-profile/view/1885681","18-1885681")</f>
        <v>0</v>
      </c>
      <c r="B1220" t="s">
        <v>118</v>
      </c>
      <c r="C1220" t="s">
        <v>246</v>
      </c>
      <c r="D1220" t="s">
        <v>579</v>
      </c>
      <c r="E1220" t="s">
        <v>266</v>
      </c>
      <c r="F1220" t="s">
        <v>1650</v>
      </c>
      <c r="G1220" t="s">
        <v>3507</v>
      </c>
      <c r="H1220" t="s">
        <v>4971</v>
      </c>
      <c r="I1220" t="s">
        <v>6440</v>
      </c>
      <c r="J1220" t="s">
        <v>7170</v>
      </c>
      <c r="K1220">
        <v>10460</v>
      </c>
      <c r="L1220" t="s">
        <v>7219</v>
      </c>
      <c r="N1220" t="s">
        <v>7237</v>
      </c>
      <c r="O1220" t="s">
        <v>8101</v>
      </c>
      <c r="P1220">
        <v>1</v>
      </c>
      <c r="Q1220">
        <v>0</v>
      </c>
      <c r="R1220">
        <v>40.26</v>
      </c>
      <c r="U1220">
        <v>4888</v>
      </c>
      <c r="W1220">
        <v>0.5</v>
      </c>
      <c r="X1220" t="s">
        <v>301</v>
      </c>
      <c r="Y1220" t="s">
        <v>10865</v>
      </c>
      <c r="AA1220" t="s">
        <v>10974</v>
      </c>
      <c r="AB1220" t="s">
        <v>370</v>
      </c>
      <c r="AD1220" t="s">
        <v>11101</v>
      </c>
      <c r="AF1220" t="s">
        <v>11118</v>
      </c>
      <c r="AH1220" t="s">
        <v>10974</v>
      </c>
      <c r="AJ1220" t="s">
        <v>11141</v>
      </c>
      <c r="AK1220" t="s">
        <v>7225</v>
      </c>
      <c r="AM1220">
        <v>1000</v>
      </c>
      <c r="AO1220">
        <v>168</v>
      </c>
      <c r="AQ1220" t="s">
        <v>11164</v>
      </c>
      <c r="AS1220" t="s">
        <v>11173</v>
      </c>
      <c r="AU1220">
        <v>4</v>
      </c>
      <c r="AW1220" t="s">
        <v>11189</v>
      </c>
      <c r="AZ1220" t="s">
        <v>11221</v>
      </c>
      <c r="BE1220" t="s">
        <v>12412</v>
      </c>
      <c r="BG1220" t="s">
        <v>14686</v>
      </c>
      <c r="BJ1220" t="s">
        <v>15615</v>
      </c>
      <c r="BM1220" t="s">
        <v>15651</v>
      </c>
    </row>
    <row r="1221" spans="1:65">
      <c r="A1221" s="1">
        <f>HYPERLINK("https://lsnyc.legalserver.org/matter/dynamic-profile/view/1899829","19-1899829")</f>
        <v>0</v>
      </c>
      <c r="B1221" t="s">
        <v>118</v>
      </c>
      <c r="C1221" t="s">
        <v>246</v>
      </c>
      <c r="D1221" t="s">
        <v>382</v>
      </c>
      <c r="F1221" t="s">
        <v>1122</v>
      </c>
      <c r="G1221" t="s">
        <v>2877</v>
      </c>
      <c r="H1221" t="s">
        <v>4971</v>
      </c>
      <c r="I1221" t="s">
        <v>6704</v>
      </c>
      <c r="J1221" t="s">
        <v>7170</v>
      </c>
      <c r="K1221">
        <v>10460</v>
      </c>
      <c r="N1221" t="s">
        <v>7237</v>
      </c>
      <c r="O1221" t="s">
        <v>8091</v>
      </c>
      <c r="P1221">
        <v>1</v>
      </c>
      <c r="Q1221">
        <v>0</v>
      </c>
      <c r="R1221">
        <v>79.55</v>
      </c>
      <c r="U1221">
        <v>9936</v>
      </c>
      <c r="W1221">
        <v>0</v>
      </c>
      <c r="Y1221" t="s">
        <v>216</v>
      </c>
      <c r="AA1221" t="s">
        <v>10974</v>
      </c>
      <c r="AB1221" t="s">
        <v>10979</v>
      </c>
      <c r="AD1221" t="s">
        <v>11086</v>
      </c>
      <c r="AF1221" t="s">
        <v>11120</v>
      </c>
      <c r="AH1221" t="s">
        <v>10974</v>
      </c>
      <c r="AJ1221" t="s">
        <v>11141</v>
      </c>
      <c r="AK1221" t="s">
        <v>7225</v>
      </c>
      <c r="AM1221">
        <v>1500</v>
      </c>
      <c r="AO1221">
        <v>168</v>
      </c>
      <c r="AP1221" t="s">
        <v>11155</v>
      </c>
      <c r="AS1221" t="s">
        <v>11175</v>
      </c>
      <c r="AU1221">
        <v>2</v>
      </c>
      <c r="AW1221" t="s">
        <v>11189</v>
      </c>
      <c r="BA1221" t="s">
        <v>11222</v>
      </c>
      <c r="BE1221" t="s">
        <v>12403</v>
      </c>
      <c r="BF1221" t="s">
        <v>14364</v>
      </c>
      <c r="BG1221" t="s">
        <v>11228</v>
      </c>
      <c r="BM1221" t="s">
        <v>15650</v>
      </c>
    </row>
    <row r="1222" spans="1:65">
      <c r="A1222" s="1">
        <f>HYPERLINK("https://lsnyc.legalserver.org/matter/dynamic-profile/view/1899221","19-1899221")</f>
        <v>0</v>
      </c>
      <c r="B1222" t="s">
        <v>118</v>
      </c>
      <c r="C1222" t="s">
        <v>246</v>
      </c>
      <c r="D1222" t="s">
        <v>675</v>
      </c>
      <c r="F1222" t="s">
        <v>1322</v>
      </c>
      <c r="G1222" t="s">
        <v>3497</v>
      </c>
      <c r="H1222" t="s">
        <v>4971</v>
      </c>
      <c r="I1222" t="s">
        <v>6703</v>
      </c>
      <c r="J1222" t="s">
        <v>7170</v>
      </c>
      <c r="K1222">
        <v>10460</v>
      </c>
      <c r="N1222" t="s">
        <v>7237</v>
      </c>
      <c r="O1222" t="s">
        <v>8090</v>
      </c>
      <c r="P1222">
        <v>1</v>
      </c>
      <c r="Q1222">
        <v>0</v>
      </c>
      <c r="R1222">
        <v>153.72</v>
      </c>
      <c r="U1222">
        <v>19200</v>
      </c>
      <c r="W1222">
        <v>16</v>
      </c>
      <c r="X1222" t="s">
        <v>271</v>
      </c>
      <c r="Y1222" t="s">
        <v>216</v>
      </c>
      <c r="AA1222" t="s">
        <v>10974</v>
      </c>
      <c r="AB1222" t="s">
        <v>10979</v>
      </c>
      <c r="AD1222" t="s">
        <v>11083</v>
      </c>
      <c r="AF1222" t="s">
        <v>11118</v>
      </c>
      <c r="AH1222" t="s">
        <v>10975</v>
      </c>
      <c r="AJ1222" t="s">
        <v>11129</v>
      </c>
      <c r="AK1222" t="s">
        <v>7225</v>
      </c>
      <c r="AM1222">
        <v>1967</v>
      </c>
      <c r="AN1222" t="s">
        <v>11151</v>
      </c>
      <c r="AO1222" t="s">
        <v>11153</v>
      </c>
      <c r="AQ1222" t="s">
        <v>11157</v>
      </c>
      <c r="AS1222" t="s">
        <v>11173</v>
      </c>
      <c r="AU1222">
        <v>20</v>
      </c>
      <c r="AW1222" t="s">
        <v>11187</v>
      </c>
      <c r="BA1222" t="s">
        <v>11222</v>
      </c>
      <c r="BE1222" t="s">
        <v>12402</v>
      </c>
      <c r="BG1222" t="s">
        <v>14694</v>
      </c>
      <c r="BM1222" t="s">
        <v>15650</v>
      </c>
    </row>
    <row r="1223" spans="1:65">
      <c r="A1223" s="1">
        <f>HYPERLINK("https://lsnyc.legalserver.org/matter/dynamic-profile/view/1882385","18-1882385")</f>
        <v>0</v>
      </c>
      <c r="B1223" t="s">
        <v>118</v>
      </c>
      <c r="C1223" t="s">
        <v>246</v>
      </c>
      <c r="D1223" t="s">
        <v>569</v>
      </c>
      <c r="F1223" t="s">
        <v>1722</v>
      </c>
      <c r="G1223" t="s">
        <v>3508</v>
      </c>
      <c r="H1223" t="s">
        <v>4976</v>
      </c>
      <c r="I1223" t="s">
        <v>6708</v>
      </c>
      <c r="J1223" t="s">
        <v>7170</v>
      </c>
      <c r="K1223">
        <v>10453</v>
      </c>
      <c r="N1223" t="s">
        <v>7237</v>
      </c>
      <c r="O1223" t="s">
        <v>8102</v>
      </c>
      <c r="P1223">
        <v>2</v>
      </c>
      <c r="Q1223">
        <v>1</v>
      </c>
      <c r="R1223">
        <v>325.19</v>
      </c>
      <c r="U1223">
        <v>67574</v>
      </c>
      <c r="V1223" t="s">
        <v>10385</v>
      </c>
      <c r="W1223">
        <v>0</v>
      </c>
      <c r="Y1223" t="s">
        <v>216</v>
      </c>
      <c r="AA1223" t="s">
        <v>10974</v>
      </c>
      <c r="AB1223" t="s">
        <v>10979</v>
      </c>
      <c r="AD1223" t="s">
        <v>11086</v>
      </c>
      <c r="AF1223" t="s">
        <v>10384</v>
      </c>
      <c r="AG1223" t="s">
        <v>11124</v>
      </c>
      <c r="AJ1223" t="s">
        <v>11141</v>
      </c>
      <c r="AK1223" t="s">
        <v>7225</v>
      </c>
      <c r="AM1223">
        <v>1450</v>
      </c>
      <c r="AO1223">
        <v>99</v>
      </c>
      <c r="AQ1223" t="s">
        <v>11157</v>
      </c>
      <c r="AR1223" t="s">
        <v>11172</v>
      </c>
      <c r="AU1223">
        <v>1</v>
      </c>
      <c r="AW1223" t="s">
        <v>11187</v>
      </c>
      <c r="BA1223" t="s">
        <v>11222</v>
      </c>
      <c r="BE1223" t="s">
        <v>12413</v>
      </c>
      <c r="BF1223" t="s">
        <v>14364</v>
      </c>
      <c r="BM1223" t="s">
        <v>15650</v>
      </c>
    </row>
    <row r="1224" spans="1:65">
      <c r="A1224" s="1">
        <f>HYPERLINK("https://lsnyc.legalserver.org/matter/dynamic-profile/view/1885579","18-1885579")</f>
        <v>0</v>
      </c>
      <c r="B1224" t="s">
        <v>118</v>
      </c>
      <c r="C1224" t="s">
        <v>246</v>
      </c>
      <c r="D1224" t="s">
        <v>612</v>
      </c>
      <c r="E1224" t="s">
        <v>735</v>
      </c>
      <c r="F1224" t="s">
        <v>1331</v>
      </c>
      <c r="G1224" t="s">
        <v>3509</v>
      </c>
      <c r="H1224" t="s">
        <v>4971</v>
      </c>
      <c r="I1224" t="s">
        <v>6709</v>
      </c>
      <c r="J1224" t="s">
        <v>7170</v>
      </c>
      <c r="K1224">
        <v>10460</v>
      </c>
      <c r="L1224" t="s">
        <v>7219</v>
      </c>
      <c r="N1224" t="s">
        <v>7237</v>
      </c>
      <c r="O1224" t="s">
        <v>8103</v>
      </c>
      <c r="P1224">
        <v>1</v>
      </c>
      <c r="Q1224">
        <v>0</v>
      </c>
      <c r="R1224">
        <v>79.47</v>
      </c>
      <c r="U1224">
        <v>9648</v>
      </c>
      <c r="W1224">
        <v>0.25</v>
      </c>
      <c r="X1224" t="s">
        <v>735</v>
      </c>
      <c r="Y1224" t="s">
        <v>216</v>
      </c>
      <c r="AA1224" t="s">
        <v>10974</v>
      </c>
      <c r="AB1224" t="s">
        <v>370</v>
      </c>
      <c r="AD1224" t="s">
        <v>11101</v>
      </c>
      <c r="AF1224" t="s">
        <v>11118</v>
      </c>
      <c r="AH1224" t="s">
        <v>10974</v>
      </c>
      <c r="AJ1224" t="s">
        <v>11141</v>
      </c>
      <c r="AK1224" t="s">
        <v>7225</v>
      </c>
      <c r="AM1224">
        <v>1100</v>
      </c>
      <c r="AO1224">
        <v>169</v>
      </c>
      <c r="AQ1224" t="s">
        <v>11157</v>
      </c>
      <c r="AS1224" t="s">
        <v>11177</v>
      </c>
      <c r="AU1224">
        <v>4</v>
      </c>
      <c r="AW1224" t="s">
        <v>11187</v>
      </c>
      <c r="AZ1224" t="s">
        <v>11221</v>
      </c>
      <c r="BE1224" t="s">
        <v>12414</v>
      </c>
      <c r="BG1224" t="s">
        <v>14686</v>
      </c>
      <c r="BJ1224" t="s">
        <v>15615</v>
      </c>
      <c r="BM1224" t="s">
        <v>15651</v>
      </c>
    </row>
    <row r="1225" spans="1:65">
      <c r="A1225" s="1">
        <f>HYPERLINK("https://lsnyc.legalserver.org/matter/dynamic-profile/view/1909792","19-1909792")</f>
        <v>0</v>
      </c>
      <c r="B1225" t="s">
        <v>118</v>
      </c>
      <c r="C1225" t="s">
        <v>246</v>
      </c>
      <c r="D1225" t="s">
        <v>434</v>
      </c>
      <c r="E1225" t="s">
        <v>669</v>
      </c>
      <c r="F1225" t="s">
        <v>1347</v>
      </c>
      <c r="G1225" t="s">
        <v>3510</v>
      </c>
      <c r="J1225" t="s">
        <v>7170</v>
      </c>
      <c r="K1225">
        <v>10456</v>
      </c>
      <c r="L1225" t="s">
        <v>7216</v>
      </c>
      <c r="N1225" t="s">
        <v>7237</v>
      </c>
      <c r="O1225" t="s">
        <v>8104</v>
      </c>
      <c r="P1225">
        <v>1</v>
      </c>
      <c r="Q1225">
        <v>0</v>
      </c>
      <c r="R1225">
        <v>230.58</v>
      </c>
      <c r="U1225">
        <v>28800</v>
      </c>
      <c r="W1225">
        <v>1</v>
      </c>
      <c r="X1225" t="s">
        <v>669</v>
      </c>
      <c r="Y1225" t="s">
        <v>118</v>
      </c>
      <c r="AA1225" t="s">
        <v>10974</v>
      </c>
      <c r="AD1225" t="s">
        <v>11086</v>
      </c>
      <c r="AF1225" t="s">
        <v>11119</v>
      </c>
      <c r="AG1225" t="s">
        <v>11124</v>
      </c>
      <c r="AJ1225" t="s">
        <v>11141</v>
      </c>
      <c r="AK1225" t="s">
        <v>7225</v>
      </c>
      <c r="AM1225">
        <v>900</v>
      </c>
      <c r="AO1225">
        <v>30</v>
      </c>
      <c r="AQ1225" t="s">
        <v>11157</v>
      </c>
      <c r="AR1225" t="s">
        <v>11172</v>
      </c>
      <c r="AT1225" t="s">
        <v>11184</v>
      </c>
      <c r="AU1225">
        <v>0</v>
      </c>
      <c r="AV1225" t="s">
        <v>11186</v>
      </c>
      <c r="AX1225" t="s">
        <v>11212</v>
      </c>
      <c r="BA1225" t="s">
        <v>11222</v>
      </c>
      <c r="BE1225" t="s">
        <v>12415</v>
      </c>
      <c r="BF1225" t="s">
        <v>14364</v>
      </c>
      <c r="BM1225" t="s">
        <v>15651</v>
      </c>
    </row>
    <row r="1226" spans="1:65">
      <c r="A1226" s="1">
        <f>HYPERLINK("https://lsnyc.legalserver.org/matter/dynamic-profile/view/1856437","18-1856437")</f>
        <v>0</v>
      </c>
      <c r="B1226" t="s">
        <v>118</v>
      </c>
      <c r="C1226" t="s">
        <v>246</v>
      </c>
      <c r="D1226" t="s">
        <v>533</v>
      </c>
      <c r="E1226" t="s">
        <v>548</v>
      </c>
      <c r="F1226" t="s">
        <v>1115</v>
      </c>
      <c r="G1226" t="s">
        <v>3511</v>
      </c>
      <c r="H1226" t="s">
        <v>5244</v>
      </c>
      <c r="I1226" t="s">
        <v>6420</v>
      </c>
      <c r="J1226" t="s">
        <v>7170</v>
      </c>
      <c r="K1226">
        <v>10452</v>
      </c>
      <c r="L1226" t="s">
        <v>7219</v>
      </c>
      <c r="N1226" t="s">
        <v>7237</v>
      </c>
      <c r="O1226" t="s">
        <v>8105</v>
      </c>
      <c r="P1226">
        <v>2</v>
      </c>
      <c r="Q1226">
        <v>1</v>
      </c>
      <c r="R1226">
        <v>76.40000000000001</v>
      </c>
      <c r="U1226">
        <v>15600</v>
      </c>
      <c r="V1226" t="s">
        <v>10306</v>
      </c>
      <c r="W1226">
        <v>116.55</v>
      </c>
      <c r="X1226" t="s">
        <v>548</v>
      </c>
      <c r="Y1226" t="s">
        <v>10865</v>
      </c>
      <c r="AA1226" t="s">
        <v>10974</v>
      </c>
      <c r="AB1226" t="s">
        <v>691</v>
      </c>
      <c r="AD1226" t="s">
        <v>11082</v>
      </c>
      <c r="AF1226" t="s">
        <v>11118</v>
      </c>
      <c r="AH1226" t="s">
        <v>10975</v>
      </c>
      <c r="AJ1226" t="s">
        <v>11141</v>
      </c>
      <c r="AK1226" t="s">
        <v>7225</v>
      </c>
      <c r="AM1226">
        <v>1200</v>
      </c>
      <c r="AO1226">
        <v>110</v>
      </c>
      <c r="AQ1226" t="s">
        <v>11157</v>
      </c>
      <c r="AS1226" t="s">
        <v>11173</v>
      </c>
      <c r="AU1226">
        <v>5</v>
      </c>
      <c r="AW1226" t="s">
        <v>11189</v>
      </c>
      <c r="AZ1226" t="s">
        <v>11221</v>
      </c>
      <c r="BC1226" t="s">
        <v>11346</v>
      </c>
      <c r="BE1226" t="s">
        <v>12416</v>
      </c>
      <c r="BG1226" t="s">
        <v>14695</v>
      </c>
      <c r="BH1226" t="s">
        <v>15605</v>
      </c>
      <c r="BJ1226" t="s">
        <v>15615</v>
      </c>
      <c r="BL1226" t="s">
        <v>15648</v>
      </c>
      <c r="BM1226" t="s">
        <v>15651</v>
      </c>
    </row>
    <row r="1227" spans="1:65">
      <c r="A1227" s="1">
        <f>HYPERLINK("https://lsnyc.legalserver.org/matter/dynamic-profile/view/1900549","19-1900549")</f>
        <v>0</v>
      </c>
      <c r="B1227" t="s">
        <v>118</v>
      </c>
      <c r="C1227" t="s">
        <v>246</v>
      </c>
      <c r="D1227" t="s">
        <v>549</v>
      </c>
      <c r="F1227" t="s">
        <v>1723</v>
      </c>
      <c r="G1227" t="s">
        <v>1541</v>
      </c>
      <c r="H1227" t="s">
        <v>4971</v>
      </c>
      <c r="I1227" t="s">
        <v>6403</v>
      </c>
      <c r="J1227" t="s">
        <v>7170</v>
      </c>
      <c r="K1227">
        <v>10460</v>
      </c>
      <c r="N1227" t="s">
        <v>7237</v>
      </c>
      <c r="O1227" t="s">
        <v>8106</v>
      </c>
      <c r="P1227">
        <v>1</v>
      </c>
      <c r="Q1227">
        <v>0</v>
      </c>
      <c r="R1227">
        <v>400.32</v>
      </c>
      <c r="U1227">
        <v>50000</v>
      </c>
      <c r="W1227">
        <v>0</v>
      </c>
      <c r="Y1227" t="s">
        <v>10865</v>
      </c>
      <c r="AA1227" t="s">
        <v>10974</v>
      </c>
      <c r="AB1227" t="s">
        <v>10979</v>
      </c>
      <c r="AD1227" t="s">
        <v>11086</v>
      </c>
      <c r="AF1227" t="s">
        <v>11120</v>
      </c>
      <c r="AH1227" t="s">
        <v>10974</v>
      </c>
      <c r="AJ1227" t="s">
        <v>11141</v>
      </c>
      <c r="AK1227" t="s">
        <v>7225</v>
      </c>
      <c r="AM1227">
        <v>1169</v>
      </c>
      <c r="AO1227">
        <v>168</v>
      </c>
      <c r="AQ1227" t="s">
        <v>11160</v>
      </c>
      <c r="AS1227" t="s">
        <v>11104</v>
      </c>
      <c r="AU1227">
        <v>11</v>
      </c>
      <c r="AW1227" t="s">
        <v>11187</v>
      </c>
      <c r="BA1227" t="s">
        <v>11222</v>
      </c>
      <c r="BD1227" t="s">
        <v>11667</v>
      </c>
      <c r="BF1227" t="s">
        <v>14364</v>
      </c>
      <c r="BM1227" t="s">
        <v>15650</v>
      </c>
    </row>
    <row r="1228" spans="1:65">
      <c r="A1228" s="1">
        <f>HYPERLINK("https://lsnyc.legalserver.org/matter/dynamic-profile/view/1899937","19-1899937")</f>
        <v>0</v>
      </c>
      <c r="B1228" t="s">
        <v>118</v>
      </c>
      <c r="C1228" t="s">
        <v>246</v>
      </c>
      <c r="D1228" t="s">
        <v>314</v>
      </c>
      <c r="F1228" t="s">
        <v>1359</v>
      </c>
      <c r="G1228" t="s">
        <v>3482</v>
      </c>
      <c r="H1228" t="s">
        <v>4971</v>
      </c>
      <c r="I1228" t="s">
        <v>6696</v>
      </c>
      <c r="J1228" t="s">
        <v>7170</v>
      </c>
      <c r="K1228">
        <v>10460</v>
      </c>
      <c r="N1228" t="s">
        <v>7237</v>
      </c>
      <c r="O1228" t="s">
        <v>8070</v>
      </c>
      <c r="P1228">
        <v>1</v>
      </c>
      <c r="Q1228">
        <v>0</v>
      </c>
      <c r="R1228">
        <v>79.36</v>
      </c>
      <c r="U1228">
        <v>9912</v>
      </c>
      <c r="W1228">
        <v>0</v>
      </c>
      <c r="Y1228" t="s">
        <v>93</v>
      </c>
      <c r="AA1228" t="s">
        <v>10974</v>
      </c>
      <c r="AB1228" t="s">
        <v>10979</v>
      </c>
      <c r="AD1228" t="s">
        <v>11086</v>
      </c>
      <c r="AF1228" t="s">
        <v>11120</v>
      </c>
      <c r="AH1228" t="s">
        <v>10974</v>
      </c>
      <c r="AJ1228" t="s">
        <v>11141</v>
      </c>
      <c r="AK1228" t="s">
        <v>7225</v>
      </c>
      <c r="AM1228">
        <v>238</v>
      </c>
      <c r="AO1228">
        <v>168</v>
      </c>
      <c r="AQ1228" t="s">
        <v>11157</v>
      </c>
      <c r="AS1228" t="s">
        <v>11174</v>
      </c>
      <c r="AU1228">
        <v>24</v>
      </c>
      <c r="AW1228" t="s">
        <v>11187</v>
      </c>
      <c r="BA1228" t="s">
        <v>11222</v>
      </c>
      <c r="BB1228" t="s">
        <v>11224</v>
      </c>
      <c r="BC1228" t="s">
        <v>11342</v>
      </c>
      <c r="BE1228" t="s">
        <v>12386</v>
      </c>
      <c r="BF1228" t="s">
        <v>14364</v>
      </c>
      <c r="BM1228" t="s">
        <v>15650</v>
      </c>
    </row>
    <row r="1229" spans="1:65">
      <c r="A1229" s="1">
        <f>HYPERLINK("https://lsnyc.legalserver.org/matter/dynamic-profile/view/1885983","18-1885983")</f>
        <v>0</v>
      </c>
      <c r="B1229" t="s">
        <v>118</v>
      </c>
      <c r="C1229" t="s">
        <v>246</v>
      </c>
      <c r="D1229" t="s">
        <v>612</v>
      </c>
      <c r="E1229" t="s">
        <v>426</v>
      </c>
      <c r="F1229" t="s">
        <v>1724</v>
      </c>
      <c r="G1229" t="s">
        <v>3512</v>
      </c>
      <c r="H1229" t="s">
        <v>4971</v>
      </c>
      <c r="I1229" t="s">
        <v>6710</v>
      </c>
      <c r="J1229" t="s">
        <v>7170</v>
      </c>
      <c r="K1229">
        <v>10460</v>
      </c>
      <c r="L1229" t="s">
        <v>7219</v>
      </c>
      <c r="N1229" t="s">
        <v>7237</v>
      </c>
      <c r="O1229" t="s">
        <v>8107</v>
      </c>
      <c r="P1229">
        <v>1</v>
      </c>
      <c r="Q1229">
        <v>0</v>
      </c>
      <c r="R1229">
        <v>76.61</v>
      </c>
      <c r="U1229">
        <v>9300</v>
      </c>
      <c r="W1229">
        <v>4.25</v>
      </c>
      <c r="X1229" t="s">
        <v>426</v>
      </c>
      <c r="Y1229" t="s">
        <v>10903</v>
      </c>
      <c r="AA1229" t="s">
        <v>10974</v>
      </c>
      <c r="AB1229" t="s">
        <v>370</v>
      </c>
      <c r="AD1229" t="s">
        <v>11101</v>
      </c>
      <c r="AF1229" t="s">
        <v>11118</v>
      </c>
      <c r="AH1229" t="s">
        <v>10974</v>
      </c>
      <c r="AJ1229" t="s">
        <v>11141</v>
      </c>
      <c r="AK1229" t="s">
        <v>7225</v>
      </c>
      <c r="AM1229">
        <v>241</v>
      </c>
      <c r="AO1229">
        <v>169</v>
      </c>
      <c r="AQ1229" t="s">
        <v>11163</v>
      </c>
      <c r="AS1229" t="s">
        <v>11174</v>
      </c>
      <c r="AU1229">
        <v>12</v>
      </c>
      <c r="AW1229" t="s">
        <v>11187</v>
      </c>
      <c r="AZ1229" t="s">
        <v>11221</v>
      </c>
      <c r="BE1229" t="s">
        <v>12417</v>
      </c>
      <c r="BG1229" t="s">
        <v>14686</v>
      </c>
      <c r="BJ1229" t="s">
        <v>15615</v>
      </c>
      <c r="BM1229" t="s">
        <v>15651</v>
      </c>
    </row>
    <row r="1230" spans="1:65">
      <c r="A1230" s="1">
        <f>HYPERLINK("https://lsnyc.legalserver.org/matter/dynamic-profile/view/1886699","18-1886699")</f>
        <v>0</v>
      </c>
      <c r="B1230" t="s">
        <v>118</v>
      </c>
      <c r="C1230" t="s">
        <v>246</v>
      </c>
      <c r="D1230" t="s">
        <v>559</v>
      </c>
      <c r="F1230" t="s">
        <v>1721</v>
      </c>
      <c r="G1230" t="s">
        <v>3505</v>
      </c>
      <c r="H1230" t="s">
        <v>4971</v>
      </c>
      <c r="I1230" t="s">
        <v>6706</v>
      </c>
      <c r="J1230" t="s">
        <v>7170</v>
      </c>
      <c r="K1230">
        <v>10460</v>
      </c>
      <c r="N1230" t="s">
        <v>7237</v>
      </c>
      <c r="O1230" t="s">
        <v>8099</v>
      </c>
      <c r="P1230">
        <v>1</v>
      </c>
      <c r="Q1230">
        <v>0</v>
      </c>
      <c r="R1230">
        <v>41.19</v>
      </c>
      <c r="U1230">
        <v>5000</v>
      </c>
      <c r="W1230">
        <v>0</v>
      </c>
      <c r="Y1230" t="s">
        <v>10903</v>
      </c>
      <c r="AA1230" t="s">
        <v>10974</v>
      </c>
      <c r="AB1230" t="s">
        <v>559</v>
      </c>
      <c r="AD1230" t="s">
        <v>11101</v>
      </c>
      <c r="AF1230" t="s">
        <v>11118</v>
      </c>
      <c r="AH1230" t="s">
        <v>10974</v>
      </c>
      <c r="AJ1230" t="s">
        <v>11141</v>
      </c>
      <c r="AK1230" t="s">
        <v>7225</v>
      </c>
      <c r="AM1230">
        <v>1300</v>
      </c>
      <c r="AO1230">
        <v>168</v>
      </c>
      <c r="AQ1230" t="s">
        <v>11156</v>
      </c>
      <c r="AS1230" t="s">
        <v>11174</v>
      </c>
      <c r="AU1230">
        <v>19</v>
      </c>
      <c r="AW1230" t="s">
        <v>11187</v>
      </c>
      <c r="AZ1230" t="s">
        <v>11221</v>
      </c>
      <c r="BE1230" t="s">
        <v>12410</v>
      </c>
      <c r="BG1230" t="s">
        <v>14686</v>
      </c>
      <c r="BM1230" t="s">
        <v>15650</v>
      </c>
    </row>
    <row r="1231" spans="1:65">
      <c r="A1231" s="1">
        <f>HYPERLINK("https://lsnyc.legalserver.org/matter/dynamic-profile/view/1889928","19-1889928")</f>
        <v>0</v>
      </c>
      <c r="B1231" t="s">
        <v>118</v>
      </c>
      <c r="C1231" t="s">
        <v>246</v>
      </c>
      <c r="D1231" t="s">
        <v>482</v>
      </c>
      <c r="F1231" t="s">
        <v>1725</v>
      </c>
      <c r="G1231" t="s">
        <v>3513</v>
      </c>
      <c r="H1231" t="s">
        <v>4971</v>
      </c>
      <c r="I1231" t="s">
        <v>6585</v>
      </c>
      <c r="J1231" t="s">
        <v>7170</v>
      </c>
      <c r="K1231">
        <v>10460</v>
      </c>
      <c r="N1231" t="s">
        <v>7237</v>
      </c>
      <c r="O1231" t="s">
        <v>8108</v>
      </c>
      <c r="P1231">
        <v>1</v>
      </c>
      <c r="Q1231">
        <v>1</v>
      </c>
      <c r="R1231">
        <v>153.45</v>
      </c>
      <c r="U1231">
        <v>25948</v>
      </c>
      <c r="V1231" t="s">
        <v>10388</v>
      </c>
      <c r="W1231">
        <v>9.800000000000001</v>
      </c>
      <c r="X1231" t="s">
        <v>575</v>
      </c>
      <c r="Y1231" t="s">
        <v>10897</v>
      </c>
      <c r="AA1231" t="s">
        <v>10974</v>
      </c>
      <c r="AB1231" t="s">
        <v>10979</v>
      </c>
      <c r="AD1231" t="s">
        <v>11082</v>
      </c>
      <c r="AF1231" t="s">
        <v>11118</v>
      </c>
      <c r="AH1231" t="s">
        <v>10975</v>
      </c>
      <c r="AJ1231" t="s">
        <v>11129</v>
      </c>
      <c r="AK1231" t="s">
        <v>7225</v>
      </c>
      <c r="AM1231">
        <v>970</v>
      </c>
      <c r="AO1231">
        <v>168</v>
      </c>
      <c r="AQ1231" t="s">
        <v>11157</v>
      </c>
      <c r="AS1231" t="s">
        <v>11173</v>
      </c>
      <c r="AU1231">
        <v>11</v>
      </c>
      <c r="AW1231" t="s">
        <v>11187</v>
      </c>
      <c r="AY1231" t="s">
        <v>11213</v>
      </c>
      <c r="BA1231" t="s">
        <v>11222</v>
      </c>
      <c r="BE1231" t="s">
        <v>12418</v>
      </c>
      <c r="BF1231" t="s">
        <v>14364</v>
      </c>
      <c r="BM1231" t="s">
        <v>15650</v>
      </c>
    </row>
    <row r="1232" spans="1:65">
      <c r="A1232" s="1">
        <f>HYPERLINK("https://lsnyc.legalserver.org/matter/dynamic-profile/view/1900560","19-1900560")</f>
        <v>0</v>
      </c>
      <c r="B1232" t="s">
        <v>118</v>
      </c>
      <c r="C1232" t="s">
        <v>246</v>
      </c>
      <c r="D1232" t="s">
        <v>549</v>
      </c>
      <c r="F1232" t="s">
        <v>1564</v>
      </c>
      <c r="G1232" t="s">
        <v>2964</v>
      </c>
      <c r="H1232" t="s">
        <v>4971</v>
      </c>
      <c r="I1232" t="s">
        <v>6499</v>
      </c>
      <c r="J1232" t="s">
        <v>7170</v>
      </c>
      <c r="K1232">
        <v>10460</v>
      </c>
      <c r="N1232" t="s">
        <v>7237</v>
      </c>
      <c r="O1232" t="s">
        <v>8109</v>
      </c>
      <c r="P1232">
        <v>2</v>
      </c>
      <c r="Q1232">
        <v>0</v>
      </c>
      <c r="R1232">
        <v>83.03</v>
      </c>
      <c r="U1232">
        <v>14040</v>
      </c>
      <c r="V1232" t="s">
        <v>10389</v>
      </c>
      <c r="W1232">
        <v>0</v>
      </c>
      <c r="Y1232" t="s">
        <v>10865</v>
      </c>
      <c r="AA1232" t="s">
        <v>10974</v>
      </c>
      <c r="AB1232" t="s">
        <v>10979</v>
      </c>
      <c r="AD1232" t="s">
        <v>11086</v>
      </c>
      <c r="AF1232" t="s">
        <v>11120</v>
      </c>
      <c r="AH1232" t="s">
        <v>10974</v>
      </c>
      <c r="AJ1232" t="s">
        <v>11129</v>
      </c>
      <c r="AK1232" t="s">
        <v>7225</v>
      </c>
      <c r="AM1232">
        <v>1621</v>
      </c>
      <c r="AO1232">
        <v>168</v>
      </c>
      <c r="AQ1232" t="s">
        <v>11164</v>
      </c>
      <c r="AS1232" t="s">
        <v>11174</v>
      </c>
      <c r="AU1232">
        <v>2</v>
      </c>
      <c r="AW1232" t="s">
        <v>11187</v>
      </c>
      <c r="BA1232" t="s">
        <v>11222</v>
      </c>
      <c r="BD1232" t="s">
        <v>11667</v>
      </c>
      <c r="BF1232" t="s">
        <v>14364</v>
      </c>
      <c r="BM1232" t="s">
        <v>15650</v>
      </c>
    </row>
    <row r="1233" spans="1:67">
      <c r="A1233" s="1">
        <f>HYPERLINK("https://lsnyc.legalserver.org/matter/dynamic-profile/view/1900604","19-1900604")</f>
        <v>0</v>
      </c>
      <c r="B1233" t="s">
        <v>118</v>
      </c>
      <c r="C1233" t="s">
        <v>246</v>
      </c>
      <c r="D1233" t="s">
        <v>549</v>
      </c>
      <c r="F1233" t="s">
        <v>1725</v>
      </c>
      <c r="G1233" t="s">
        <v>3513</v>
      </c>
      <c r="H1233" t="s">
        <v>4971</v>
      </c>
      <c r="I1233" t="s">
        <v>6585</v>
      </c>
      <c r="J1233" t="s">
        <v>7170</v>
      </c>
      <c r="K1233">
        <v>10460</v>
      </c>
      <c r="N1233" t="s">
        <v>7237</v>
      </c>
      <c r="O1233" t="s">
        <v>8108</v>
      </c>
      <c r="P1233">
        <v>1</v>
      </c>
      <c r="Q1233">
        <v>1</v>
      </c>
      <c r="R1233">
        <v>153.45</v>
      </c>
      <c r="U1233">
        <v>25948</v>
      </c>
      <c r="W1233">
        <v>0.5</v>
      </c>
      <c r="X1233" t="s">
        <v>614</v>
      </c>
      <c r="Y1233" t="s">
        <v>10865</v>
      </c>
      <c r="AA1233" t="s">
        <v>10974</v>
      </c>
      <c r="AB1233" t="s">
        <v>10979</v>
      </c>
      <c r="AD1233" t="s">
        <v>11086</v>
      </c>
      <c r="AF1233" t="s">
        <v>11120</v>
      </c>
      <c r="AH1233" t="s">
        <v>10974</v>
      </c>
      <c r="AJ1233" t="s">
        <v>11141</v>
      </c>
      <c r="AK1233" t="s">
        <v>7225</v>
      </c>
      <c r="AM1233">
        <v>970</v>
      </c>
      <c r="AO1233">
        <v>168</v>
      </c>
      <c r="AQ1233" t="s">
        <v>11157</v>
      </c>
      <c r="AS1233" t="s">
        <v>11173</v>
      </c>
      <c r="AU1233">
        <v>11</v>
      </c>
      <c r="AW1233" t="s">
        <v>11187</v>
      </c>
      <c r="BA1233" t="s">
        <v>11222</v>
      </c>
      <c r="BE1233" t="s">
        <v>12418</v>
      </c>
      <c r="BF1233" t="s">
        <v>14364</v>
      </c>
      <c r="BM1233" t="s">
        <v>15650</v>
      </c>
    </row>
    <row r="1234" spans="1:67">
      <c r="A1234" s="1">
        <f>HYPERLINK("https://lsnyc.legalserver.org/matter/dynamic-profile/view/1885736","18-1885736")</f>
        <v>0</v>
      </c>
      <c r="B1234" t="s">
        <v>118</v>
      </c>
      <c r="C1234" t="s">
        <v>246</v>
      </c>
      <c r="D1234" t="s">
        <v>579</v>
      </c>
      <c r="E1234" t="s">
        <v>264</v>
      </c>
      <c r="F1234" t="s">
        <v>1094</v>
      </c>
      <c r="G1234" t="s">
        <v>3514</v>
      </c>
      <c r="H1234" t="s">
        <v>4971</v>
      </c>
      <c r="I1234" t="s">
        <v>6409</v>
      </c>
      <c r="J1234" t="s">
        <v>7170</v>
      </c>
      <c r="K1234">
        <v>10460</v>
      </c>
      <c r="L1234" t="s">
        <v>7219</v>
      </c>
      <c r="N1234" t="s">
        <v>7237</v>
      </c>
      <c r="O1234" t="s">
        <v>8110</v>
      </c>
      <c r="P1234">
        <v>1</v>
      </c>
      <c r="Q1234">
        <v>0</v>
      </c>
      <c r="R1234">
        <v>85.59999999999999</v>
      </c>
      <c r="U1234">
        <v>10392</v>
      </c>
      <c r="W1234">
        <v>0.1</v>
      </c>
      <c r="X1234" t="s">
        <v>264</v>
      </c>
      <c r="Y1234" t="s">
        <v>10865</v>
      </c>
      <c r="AA1234" t="s">
        <v>10974</v>
      </c>
      <c r="AB1234" t="s">
        <v>370</v>
      </c>
      <c r="AD1234" t="s">
        <v>11101</v>
      </c>
      <c r="AF1234" t="s">
        <v>11118</v>
      </c>
      <c r="AH1234" t="s">
        <v>10974</v>
      </c>
      <c r="AJ1234" t="s">
        <v>11141</v>
      </c>
      <c r="AK1234" t="s">
        <v>7225</v>
      </c>
      <c r="AM1234">
        <v>466</v>
      </c>
      <c r="AO1234">
        <v>168</v>
      </c>
      <c r="AQ1234" t="s">
        <v>11165</v>
      </c>
      <c r="AS1234" t="s">
        <v>11174</v>
      </c>
      <c r="AU1234">
        <v>4</v>
      </c>
      <c r="AW1234" t="s">
        <v>11187</v>
      </c>
      <c r="AZ1234" t="s">
        <v>11221</v>
      </c>
      <c r="BD1234" t="s">
        <v>11667</v>
      </c>
      <c r="BG1234" t="s">
        <v>14686</v>
      </c>
      <c r="BJ1234" t="s">
        <v>15615</v>
      </c>
      <c r="BM1234" t="s">
        <v>15651</v>
      </c>
    </row>
    <row r="1235" spans="1:67">
      <c r="A1235" s="1">
        <f>HYPERLINK("https://lsnyc.legalserver.org/matter/dynamic-profile/view/1885738","18-1885738")</f>
        <v>0</v>
      </c>
      <c r="B1235" t="s">
        <v>118</v>
      </c>
      <c r="C1235" t="s">
        <v>246</v>
      </c>
      <c r="D1235" t="s">
        <v>579</v>
      </c>
      <c r="E1235" t="s">
        <v>264</v>
      </c>
      <c r="F1235" t="s">
        <v>1564</v>
      </c>
      <c r="G1235" t="s">
        <v>2964</v>
      </c>
      <c r="H1235" t="s">
        <v>4971</v>
      </c>
      <c r="I1235" t="s">
        <v>6499</v>
      </c>
      <c r="J1235" t="s">
        <v>7170</v>
      </c>
      <c r="K1235">
        <v>10460</v>
      </c>
      <c r="L1235" t="s">
        <v>7219</v>
      </c>
      <c r="N1235" t="s">
        <v>7237</v>
      </c>
      <c r="O1235" t="s">
        <v>8109</v>
      </c>
      <c r="P1235">
        <v>2</v>
      </c>
      <c r="Q1235">
        <v>0</v>
      </c>
      <c r="R1235">
        <v>85.3</v>
      </c>
      <c r="U1235">
        <v>14040</v>
      </c>
      <c r="W1235">
        <v>0.2</v>
      </c>
      <c r="X1235" t="s">
        <v>264</v>
      </c>
      <c r="Y1235" t="s">
        <v>10865</v>
      </c>
      <c r="AA1235" t="s">
        <v>10974</v>
      </c>
      <c r="AB1235" t="s">
        <v>10979</v>
      </c>
      <c r="AD1235" t="s">
        <v>11101</v>
      </c>
      <c r="AF1235" t="s">
        <v>11118</v>
      </c>
      <c r="AH1235" t="s">
        <v>10974</v>
      </c>
      <c r="AJ1235" t="s">
        <v>11141</v>
      </c>
      <c r="AK1235" t="s">
        <v>7225</v>
      </c>
      <c r="AM1235">
        <v>1621</v>
      </c>
      <c r="AN1235" t="s">
        <v>11151</v>
      </c>
      <c r="AO1235" t="s">
        <v>11153</v>
      </c>
      <c r="AQ1235" t="s">
        <v>11164</v>
      </c>
      <c r="AS1235" t="s">
        <v>11174</v>
      </c>
      <c r="AU1235">
        <v>2</v>
      </c>
      <c r="AW1235" t="s">
        <v>11187</v>
      </c>
      <c r="BA1235" t="s">
        <v>11222</v>
      </c>
      <c r="BD1235" t="s">
        <v>11667</v>
      </c>
      <c r="BG1235" t="s">
        <v>14686</v>
      </c>
      <c r="BJ1235" t="s">
        <v>15615</v>
      </c>
      <c r="BM1235" t="s">
        <v>15651</v>
      </c>
    </row>
    <row r="1236" spans="1:67">
      <c r="A1236" s="1">
        <f>HYPERLINK("https://lsnyc.legalserver.org/matter/dynamic-profile/view/1867669","18-1867669")</f>
        <v>0</v>
      </c>
      <c r="B1236" t="s">
        <v>118</v>
      </c>
      <c r="C1236" t="s">
        <v>246</v>
      </c>
      <c r="D1236" t="s">
        <v>676</v>
      </c>
      <c r="F1236" t="s">
        <v>1726</v>
      </c>
      <c r="G1236" t="s">
        <v>3515</v>
      </c>
      <c r="H1236" t="s">
        <v>5243</v>
      </c>
      <c r="I1236" t="s">
        <v>6495</v>
      </c>
      <c r="J1236" t="s">
        <v>7170</v>
      </c>
      <c r="K1236">
        <v>10458</v>
      </c>
      <c r="N1236" t="s">
        <v>7237</v>
      </c>
      <c r="O1236" t="s">
        <v>8111</v>
      </c>
      <c r="P1236">
        <v>3</v>
      </c>
      <c r="Q1236">
        <v>2</v>
      </c>
      <c r="R1236">
        <v>141.4</v>
      </c>
      <c r="U1236">
        <v>41600</v>
      </c>
      <c r="W1236">
        <v>100.9</v>
      </c>
      <c r="X1236" t="s">
        <v>305</v>
      </c>
      <c r="Y1236" t="s">
        <v>10897</v>
      </c>
      <c r="AA1236" t="s">
        <v>10974</v>
      </c>
      <c r="AB1236" t="s">
        <v>939</v>
      </c>
      <c r="AD1236" t="s">
        <v>11082</v>
      </c>
      <c r="AF1236" t="s">
        <v>11118</v>
      </c>
      <c r="AH1236" t="s">
        <v>10974</v>
      </c>
      <c r="AJ1236" t="s">
        <v>11129</v>
      </c>
      <c r="AK1236" t="s">
        <v>7225</v>
      </c>
      <c r="AM1236">
        <v>1600</v>
      </c>
      <c r="AO1236">
        <v>11</v>
      </c>
      <c r="AQ1236" t="s">
        <v>11157</v>
      </c>
      <c r="AS1236" t="s">
        <v>11173</v>
      </c>
      <c r="AU1236">
        <v>3</v>
      </c>
      <c r="AW1236" t="s">
        <v>11189</v>
      </c>
      <c r="AZ1236" t="s">
        <v>11221</v>
      </c>
      <c r="BE1236" t="s">
        <v>12419</v>
      </c>
      <c r="BG1236" t="s">
        <v>14696</v>
      </c>
      <c r="BM1236" t="s">
        <v>15650</v>
      </c>
    </row>
    <row r="1237" spans="1:67">
      <c r="A1237" s="1">
        <f>HYPERLINK("https://lsnyc.legalserver.org/matter/dynamic-profile/view/1900553","19-1900553")</f>
        <v>0</v>
      </c>
      <c r="B1237" t="s">
        <v>118</v>
      </c>
      <c r="C1237" t="s">
        <v>246</v>
      </c>
      <c r="D1237" t="s">
        <v>549</v>
      </c>
      <c r="F1237" t="s">
        <v>1094</v>
      </c>
      <c r="G1237" t="s">
        <v>3514</v>
      </c>
      <c r="H1237" t="s">
        <v>4971</v>
      </c>
      <c r="I1237" t="s">
        <v>6409</v>
      </c>
      <c r="J1237" t="s">
        <v>7170</v>
      </c>
      <c r="K1237">
        <v>10460</v>
      </c>
      <c r="N1237" t="s">
        <v>7237</v>
      </c>
      <c r="O1237" t="s">
        <v>8110</v>
      </c>
      <c r="P1237">
        <v>1</v>
      </c>
      <c r="Q1237">
        <v>0</v>
      </c>
      <c r="R1237">
        <v>83.2</v>
      </c>
      <c r="U1237">
        <v>10392</v>
      </c>
      <c r="W1237">
        <v>0</v>
      </c>
      <c r="Y1237" t="s">
        <v>10865</v>
      </c>
      <c r="AA1237" t="s">
        <v>10974</v>
      </c>
      <c r="AB1237" t="s">
        <v>10979</v>
      </c>
      <c r="AD1237" t="s">
        <v>11086</v>
      </c>
      <c r="AF1237" t="s">
        <v>11120</v>
      </c>
      <c r="AH1237" t="s">
        <v>10974</v>
      </c>
      <c r="AJ1237" t="s">
        <v>11129</v>
      </c>
      <c r="AK1237" t="s">
        <v>7225</v>
      </c>
      <c r="AM1237">
        <v>466</v>
      </c>
      <c r="AO1237">
        <v>168</v>
      </c>
      <c r="AQ1237" t="s">
        <v>11165</v>
      </c>
      <c r="AS1237" t="s">
        <v>11174</v>
      </c>
      <c r="AU1237">
        <v>4</v>
      </c>
      <c r="AW1237" t="s">
        <v>11187</v>
      </c>
      <c r="BA1237" t="s">
        <v>11222</v>
      </c>
      <c r="BD1237" t="s">
        <v>11667</v>
      </c>
      <c r="BF1237" t="s">
        <v>14364</v>
      </c>
      <c r="BG1237" t="s">
        <v>11228</v>
      </c>
      <c r="BM1237" t="s">
        <v>15650</v>
      </c>
    </row>
    <row r="1238" spans="1:67">
      <c r="A1238" s="1">
        <f>HYPERLINK("https://lsnyc.legalserver.org/matter/dynamic-profile/view/1865344","18-1865344")</f>
        <v>0</v>
      </c>
      <c r="B1238" t="s">
        <v>118</v>
      </c>
      <c r="C1238" t="s">
        <v>246</v>
      </c>
      <c r="D1238" t="s">
        <v>674</v>
      </c>
      <c r="F1238" t="s">
        <v>1726</v>
      </c>
      <c r="G1238" t="s">
        <v>3515</v>
      </c>
      <c r="H1238" t="s">
        <v>5243</v>
      </c>
      <c r="I1238" t="s">
        <v>6495</v>
      </c>
      <c r="J1238" t="s">
        <v>7170</v>
      </c>
      <c r="K1238">
        <v>10458</v>
      </c>
      <c r="N1238" t="s">
        <v>7237</v>
      </c>
      <c r="O1238" t="s">
        <v>8111</v>
      </c>
      <c r="P1238">
        <v>3</v>
      </c>
      <c r="Q1238">
        <v>2</v>
      </c>
      <c r="R1238">
        <v>141.4</v>
      </c>
      <c r="U1238">
        <v>41600</v>
      </c>
      <c r="W1238">
        <v>27.8</v>
      </c>
      <c r="X1238" t="s">
        <v>728</v>
      </c>
      <c r="Y1238" t="s">
        <v>10897</v>
      </c>
      <c r="AA1238" t="s">
        <v>10974</v>
      </c>
      <c r="AB1238" t="s">
        <v>11007</v>
      </c>
      <c r="AD1238" t="s">
        <v>11096</v>
      </c>
      <c r="AF1238" t="s">
        <v>11122</v>
      </c>
      <c r="AH1238" t="s">
        <v>10974</v>
      </c>
      <c r="AJ1238" t="s">
        <v>11141</v>
      </c>
      <c r="AK1238" t="s">
        <v>7225</v>
      </c>
      <c r="AM1238">
        <v>1600</v>
      </c>
      <c r="AO1238">
        <v>11</v>
      </c>
      <c r="AQ1238" t="s">
        <v>11157</v>
      </c>
      <c r="AR1238" t="s">
        <v>11172</v>
      </c>
      <c r="AU1238">
        <v>3</v>
      </c>
      <c r="AW1238" t="s">
        <v>11189</v>
      </c>
      <c r="AZ1238" t="s">
        <v>11221</v>
      </c>
      <c r="BE1238" t="s">
        <v>12419</v>
      </c>
      <c r="BG1238" t="s">
        <v>14693</v>
      </c>
      <c r="BM1238" t="s">
        <v>15650</v>
      </c>
    </row>
    <row r="1239" spans="1:67">
      <c r="A1239" s="1">
        <f>HYPERLINK("https://lsnyc.legalserver.org/matter/dynamic-profile/view/1899947","19-1899947")</f>
        <v>0</v>
      </c>
      <c r="B1239" t="s">
        <v>118</v>
      </c>
      <c r="C1239" t="s">
        <v>246</v>
      </c>
      <c r="D1239" t="s">
        <v>314</v>
      </c>
      <c r="F1239" t="s">
        <v>1122</v>
      </c>
      <c r="G1239" t="s">
        <v>3506</v>
      </c>
      <c r="H1239" t="s">
        <v>4971</v>
      </c>
      <c r="I1239" t="s">
        <v>6707</v>
      </c>
      <c r="J1239" t="s">
        <v>7170</v>
      </c>
      <c r="K1239">
        <v>10460</v>
      </c>
      <c r="N1239" t="s">
        <v>7237</v>
      </c>
      <c r="O1239" t="s">
        <v>8100</v>
      </c>
      <c r="P1239">
        <v>2</v>
      </c>
      <c r="Q1239">
        <v>0</v>
      </c>
      <c r="R1239">
        <v>149.88</v>
      </c>
      <c r="U1239">
        <v>25344</v>
      </c>
      <c r="W1239">
        <v>0</v>
      </c>
      <c r="Y1239" t="s">
        <v>93</v>
      </c>
      <c r="AA1239" t="s">
        <v>10974</v>
      </c>
      <c r="AB1239" t="s">
        <v>10979</v>
      </c>
      <c r="AD1239" t="s">
        <v>11086</v>
      </c>
      <c r="AF1239" t="s">
        <v>11120</v>
      </c>
      <c r="AH1239" t="s">
        <v>10974</v>
      </c>
      <c r="AJ1239" t="s">
        <v>11141</v>
      </c>
      <c r="AK1239" t="s">
        <v>7225</v>
      </c>
      <c r="AM1239">
        <v>960</v>
      </c>
      <c r="AO1239">
        <v>168</v>
      </c>
      <c r="AQ1239" t="s">
        <v>11157</v>
      </c>
      <c r="AS1239" t="s">
        <v>11173</v>
      </c>
      <c r="AU1239">
        <v>25</v>
      </c>
      <c r="AW1239" t="s">
        <v>11189</v>
      </c>
      <c r="BA1239" t="s">
        <v>11222</v>
      </c>
      <c r="BE1239" t="s">
        <v>12411</v>
      </c>
      <c r="BF1239" t="s">
        <v>14364</v>
      </c>
      <c r="BM1239" t="s">
        <v>15650</v>
      </c>
    </row>
    <row r="1240" spans="1:67">
      <c r="A1240" s="1">
        <f>HYPERLINK("https://lsnyc.legalserver.org/matter/dynamic-profile/view/1899942","19-1899942")</f>
        <v>0</v>
      </c>
      <c r="B1240" t="s">
        <v>118</v>
      </c>
      <c r="C1240" t="s">
        <v>246</v>
      </c>
      <c r="D1240" t="s">
        <v>314</v>
      </c>
      <c r="F1240" t="s">
        <v>1459</v>
      </c>
      <c r="G1240" t="s">
        <v>3516</v>
      </c>
      <c r="H1240" t="s">
        <v>4971</v>
      </c>
      <c r="I1240" t="s">
        <v>6711</v>
      </c>
      <c r="J1240" t="s">
        <v>7170</v>
      </c>
      <c r="K1240">
        <v>10460</v>
      </c>
      <c r="N1240" t="s">
        <v>7237</v>
      </c>
      <c r="O1240" t="s">
        <v>8112</v>
      </c>
      <c r="P1240">
        <v>1</v>
      </c>
      <c r="Q1240">
        <v>0</v>
      </c>
      <c r="R1240">
        <v>77.34</v>
      </c>
      <c r="U1240">
        <v>9660</v>
      </c>
      <c r="W1240">
        <v>0</v>
      </c>
      <c r="Y1240" t="s">
        <v>93</v>
      </c>
      <c r="AA1240" t="s">
        <v>10974</v>
      </c>
      <c r="AB1240" t="s">
        <v>10979</v>
      </c>
      <c r="AD1240" t="s">
        <v>11086</v>
      </c>
      <c r="AF1240" t="s">
        <v>11120</v>
      </c>
      <c r="AH1240" t="s">
        <v>10974</v>
      </c>
      <c r="AJ1240" t="s">
        <v>11141</v>
      </c>
      <c r="AK1240" t="s">
        <v>7225</v>
      </c>
      <c r="AM1240">
        <v>263</v>
      </c>
      <c r="AO1240">
        <v>168</v>
      </c>
      <c r="AQ1240" t="s">
        <v>11161</v>
      </c>
      <c r="AS1240" t="s">
        <v>11174</v>
      </c>
      <c r="AU1240">
        <v>44</v>
      </c>
      <c r="AW1240" t="s">
        <v>11187</v>
      </c>
      <c r="AZ1240" t="s">
        <v>11221</v>
      </c>
      <c r="BE1240" t="s">
        <v>12420</v>
      </c>
      <c r="BF1240" t="s">
        <v>14364</v>
      </c>
      <c r="BM1240" t="s">
        <v>15650</v>
      </c>
    </row>
    <row r="1241" spans="1:67">
      <c r="A1241" s="1">
        <f>HYPERLINK("https://lsnyc.legalserver.org/matter/dynamic-profile/view/1904441","19-1904441")</f>
        <v>0</v>
      </c>
      <c r="B1241" t="s">
        <v>118</v>
      </c>
      <c r="C1241" t="s">
        <v>246</v>
      </c>
      <c r="D1241" t="s">
        <v>525</v>
      </c>
      <c r="F1241" t="s">
        <v>1331</v>
      </c>
      <c r="G1241" t="s">
        <v>3509</v>
      </c>
      <c r="H1241" t="s">
        <v>4971</v>
      </c>
      <c r="I1241" t="s">
        <v>6709</v>
      </c>
      <c r="J1241" t="s">
        <v>7170</v>
      </c>
      <c r="K1241">
        <v>10460</v>
      </c>
      <c r="N1241" t="s">
        <v>7237</v>
      </c>
      <c r="O1241" t="s">
        <v>8103</v>
      </c>
      <c r="P1241">
        <v>1</v>
      </c>
      <c r="Q1241">
        <v>0</v>
      </c>
      <c r="R1241">
        <v>77.53</v>
      </c>
      <c r="U1241">
        <v>9684</v>
      </c>
      <c r="W1241">
        <v>0</v>
      </c>
      <c r="Y1241" t="s">
        <v>200</v>
      </c>
      <c r="AA1241" t="s">
        <v>10974</v>
      </c>
      <c r="AB1241" t="s">
        <v>10979</v>
      </c>
      <c r="AD1241" t="s">
        <v>11086</v>
      </c>
      <c r="AF1241" t="s">
        <v>11120</v>
      </c>
      <c r="AH1241" t="s">
        <v>10974</v>
      </c>
      <c r="AJ1241" t="s">
        <v>11141</v>
      </c>
      <c r="AK1241" t="s">
        <v>7225</v>
      </c>
      <c r="AM1241">
        <v>1100</v>
      </c>
      <c r="AO1241">
        <v>248</v>
      </c>
      <c r="AQ1241" t="s">
        <v>11157</v>
      </c>
      <c r="AR1241" t="s">
        <v>11172</v>
      </c>
      <c r="AU1241">
        <v>4</v>
      </c>
      <c r="AW1241" t="s">
        <v>11187</v>
      </c>
      <c r="BA1241" t="s">
        <v>11222</v>
      </c>
      <c r="BE1241" t="s">
        <v>12414</v>
      </c>
      <c r="BF1241" t="s">
        <v>14364</v>
      </c>
      <c r="BM1241" t="s">
        <v>15650</v>
      </c>
    </row>
    <row r="1242" spans="1:67">
      <c r="A1242" s="1">
        <f>HYPERLINK("https://lsnyc.legalserver.org/matter/dynamic-profile/view/1882351","18-1882351")</f>
        <v>0</v>
      </c>
      <c r="B1242" t="s">
        <v>118</v>
      </c>
      <c r="C1242" t="s">
        <v>246</v>
      </c>
      <c r="D1242" t="s">
        <v>569</v>
      </c>
      <c r="F1242" t="s">
        <v>1727</v>
      </c>
      <c r="G1242" t="s">
        <v>3517</v>
      </c>
      <c r="H1242" t="s">
        <v>4976</v>
      </c>
      <c r="I1242" t="s">
        <v>6584</v>
      </c>
      <c r="J1242" t="s">
        <v>7170</v>
      </c>
      <c r="K1242">
        <v>10453</v>
      </c>
      <c r="N1242" t="s">
        <v>7237</v>
      </c>
      <c r="O1242" t="s">
        <v>8113</v>
      </c>
      <c r="P1242">
        <v>1</v>
      </c>
      <c r="Q1242">
        <v>0</v>
      </c>
      <c r="R1242">
        <v>138.39</v>
      </c>
      <c r="U1242">
        <v>16800</v>
      </c>
      <c r="V1242" t="s">
        <v>10390</v>
      </c>
      <c r="W1242">
        <v>0</v>
      </c>
      <c r="Y1242" t="s">
        <v>216</v>
      </c>
      <c r="AA1242" t="s">
        <v>10974</v>
      </c>
      <c r="AB1242" t="s">
        <v>10979</v>
      </c>
      <c r="AD1242" t="s">
        <v>11086</v>
      </c>
      <c r="AF1242" t="s">
        <v>10384</v>
      </c>
      <c r="AG1242" t="s">
        <v>11124</v>
      </c>
      <c r="AJ1242" t="s">
        <v>11141</v>
      </c>
      <c r="AK1242" t="s">
        <v>7225</v>
      </c>
      <c r="AM1242">
        <v>1400</v>
      </c>
      <c r="AO1242">
        <v>99</v>
      </c>
      <c r="AQ1242" t="s">
        <v>11157</v>
      </c>
      <c r="AS1242" t="s">
        <v>11174</v>
      </c>
      <c r="AU1242">
        <v>7</v>
      </c>
      <c r="AW1242" t="s">
        <v>11187</v>
      </c>
      <c r="BA1242" t="s">
        <v>11222</v>
      </c>
      <c r="BD1242" t="s">
        <v>11667</v>
      </c>
      <c r="BF1242" t="s">
        <v>14364</v>
      </c>
      <c r="BM1242" t="s">
        <v>15650</v>
      </c>
    </row>
    <row r="1243" spans="1:67">
      <c r="A1243" s="1">
        <f>HYPERLINK("https://lsnyc.legalserver.org/matter/dynamic-profile/view/1886881","19-1886881")</f>
        <v>0</v>
      </c>
      <c r="B1243" t="s">
        <v>118</v>
      </c>
      <c r="C1243" t="s">
        <v>246</v>
      </c>
      <c r="D1243" t="s">
        <v>547</v>
      </c>
      <c r="F1243" t="s">
        <v>1280</v>
      </c>
      <c r="G1243" t="s">
        <v>3504</v>
      </c>
      <c r="H1243" t="s">
        <v>5245</v>
      </c>
      <c r="I1243" t="s">
        <v>6448</v>
      </c>
      <c r="J1243" t="s">
        <v>7170</v>
      </c>
      <c r="K1243">
        <v>10452</v>
      </c>
      <c r="N1243" t="s">
        <v>7237</v>
      </c>
      <c r="O1243" t="s">
        <v>8114</v>
      </c>
      <c r="P1243">
        <v>1</v>
      </c>
      <c r="Q1243">
        <v>2</v>
      </c>
      <c r="R1243">
        <v>42.33</v>
      </c>
      <c r="U1243">
        <v>8796</v>
      </c>
      <c r="W1243">
        <v>1.65</v>
      </c>
      <c r="X1243" t="s">
        <v>920</v>
      </c>
      <c r="Y1243" t="s">
        <v>236</v>
      </c>
      <c r="AA1243" t="s">
        <v>10974</v>
      </c>
      <c r="AB1243" t="s">
        <v>10979</v>
      </c>
      <c r="AD1243" t="s">
        <v>11082</v>
      </c>
      <c r="AF1243" t="s">
        <v>11118</v>
      </c>
      <c r="AH1243" t="s">
        <v>10975</v>
      </c>
      <c r="AJ1243" t="s">
        <v>11141</v>
      </c>
      <c r="AK1243" t="s">
        <v>7225</v>
      </c>
      <c r="AM1243">
        <v>811.34</v>
      </c>
      <c r="AO1243">
        <v>33</v>
      </c>
      <c r="AQ1243" t="s">
        <v>11157</v>
      </c>
      <c r="AS1243" t="s">
        <v>11104</v>
      </c>
      <c r="AT1243" t="s">
        <v>11184</v>
      </c>
      <c r="AU1243">
        <v>0</v>
      </c>
      <c r="AW1243" t="s">
        <v>11189</v>
      </c>
      <c r="BA1243" t="s">
        <v>11222</v>
      </c>
      <c r="BD1243" t="s">
        <v>11667</v>
      </c>
      <c r="BG1243" t="s">
        <v>14697</v>
      </c>
      <c r="BM1243" t="s">
        <v>15650</v>
      </c>
    </row>
    <row r="1244" spans="1:67">
      <c r="A1244" s="1">
        <f>HYPERLINK("https://lsnyc.legalserver.org/matter/dynamic-profile/view/1888208","19-1888208")</f>
        <v>0</v>
      </c>
      <c r="B1244" t="s">
        <v>118</v>
      </c>
      <c r="C1244" t="s">
        <v>246</v>
      </c>
      <c r="D1244" t="s">
        <v>588</v>
      </c>
      <c r="F1244" t="s">
        <v>1545</v>
      </c>
      <c r="G1244" t="s">
        <v>3486</v>
      </c>
      <c r="H1244" t="s">
        <v>4971</v>
      </c>
      <c r="I1244" t="s">
        <v>6611</v>
      </c>
      <c r="J1244" t="s">
        <v>7170</v>
      </c>
      <c r="K1244">
        <v>10460</v>
      </c>
      <c r="N1244" t="s">
        <v>7237</v>
      </c>
      <c r="O1244" t="s">
        <v>8078</v>
      </c>
      <c r="P1244">
        <v>1</v>
      </c>
      <c r="Q1244">
        <v>0</v>
      </c>
      <c r="R1244">
        <v>84.02</v>
      </c>
      <c r="U1244">
        <v>10200</v>
      </c>
      <c r="W1244">
        <v>1</v>
      </c>
      <c r="X1244" t="s">
        <v>262</v>
      </c>
      <c r="Y1244" t="s">
        <v>10897</v>
      </c>
      <c r="AA1244" t="s">
        <v>10974</v>
      </c>
      <c r="AB1244" t="s">
        <v>370</v>
      </c>
      <c r="AD1244" t="s">
        <v>11101</v>
      </c>
      <c r="AF1244" t="s">
        <v>11118</v>
      </c>
      <c r="AH1244" t="s">
        <v>10974</v>
      </c>
      <c r="AJ1244" t="s">
        <v>11141</v>
      </c>
      <c r="AK1244" t="s">
        <v>7225</v>
      </c>
      <c r="AM1244">
        <v>1200</v>
      </c>
      <c r="AO1244">
        <v>168</v>
      </c>
      <c r="AQ1244" t="s">
        <v>11157</v>
      </c>
      <c r="AS1244" t="s">
        <v>11174</v>
      </c>
      <c r="AU1244">
        <v>4</v>
      </c>
      <c r="AW1244" t="s">
        <v>11187</v>
      </c>
      <c r="AZ1244" t="s">
        <v>11221</v>
      </c>
      <c r="BE1244" t="s">
        <v>12392</v>
      </c>
      <c r="BG1244" t="s">
        <v>14686</v>
      </c>
      <c r="BM1244" t="s">
        <v>15650</v>
      </c>
    </row>
    <row r="1245" spans="1:67">
      <c r="A1245" s="1">
        <f>HYPERLINK("https://lsnyc.legalserver.org/matter/dynamic-profile/view/1885676","18-1885676")</f>
        <v>0</v>
      </c>
      <c r="B1245" t="s">
        <v>118</v>
      </c>
      <c r="C1245" t="s">
        <v>246</v>
      </c>
      <c r="D1245" t="s">
        <v>579</v>
      </c>
      <c r="E1245" t="s">
        <v>735</v>
      </c>
      <c r="F1245" t="s">
        <v>1650</v>
      </c>
      <c r="G1245" t="s">
        <v>3492</v>
      </c>
      <c r="H1245" t="s">
        <v>4971</v>
      </c>
      <c r="I1245" t="s">
        <v>6700</v>
      </c>
      <c r="J1245" t="s">
        <v>7170</v>
      </c>
      <c r="K1245">
        <v>10460</v>
      </c>
      <c r="L1245" t="s">
        <v>7219</v>
      </c>
      <c r="N1245" t="s">
        <v>7237</v>
      </c>
      <c r="O1245" t="s">
        <v>8085</v>
      </c>
      <c r="P1245">
        <v>2</v>
      </c>
      <c r="Q1245">
        <v>0</v>
      </c>
      <c r="R1245">
        <v>83.98999999999999</v>
      </c>
      <c r="U1245">
        <v>13824</v>
      </c>
      <c r="W1245">
        <v>0.25</v>
      </c>
      <c r="X1245" t="s">
        <v>735</v>
      </c>
      <c r="Y1245" t="s">
        <v>10865</v>
      </c>
      <c r="AA1245" t="s">
        <v>10974</v>
      </c>
      <c r="AB1245" t="s">
        <v>370</v>
      </c>
      <c r="AD1245" t="s">
        <v>11101</v>
      </c>
      <c r="AF1245" t="s">
        <v>11118</v>
      </c>
      <c r="AH1245" t="s">
        <v>10974</v>
      </c>
      <c r="AJ1245" t="s">
        <v>11141</v>
      </c>
      <c r="AK1245" t="s">
        <v>7225</v>
      </c>
      <c r="AM1245">
        <v>391</v>
      </c>
      <c r="AO1245">
        <v>168</v>
      </c>
      <c r="AQ1245" t="s">
        <v>11156</v>
      </c>
      <c r="AS1245" t="s">
        <v>11174</v>
      </c>
      <c r="AU1245">
        <v>10</v>
      </c>
      <c r="AW1245" t="s">
        <v>11189</v>
      </c>
      <c r="AZ1245" t="s">
        <v>11221</v>
      </c>
      <c r="BC1245" t="s">
        <v>11347</v>
      </c>
      <c r="BE1245" t="s">
        <v>12399</v>
      </c>
      <c r="BG1245" t="s">
        <v>14686</v>
      </c>
      <c r="BJ1245" t="s">
        <v>15615</v>
      </c>
      <c r="BM1245" t="s">
        <v>15651</v>
      </c>
    </row>
    <row r="1246" spans="1:67">
      <c r="A1246" s="1">
        <f>HYPERLINK("https://lsnyc.legalserver.org/matter/dynamic-profile/view/1899798","19-1899798")</f>
        <v>0</v>
      </c>
      <c r="B1246" t="s">
        <v>118</v>
      </c>
      <c r="C1246" t="s">
        <v>246</v>
      </c>
      <c r="D1246" t="s">
        <v>382</v>
      </c>
      <c r="F1246" t="s">
        <v>1728</v>
      </c>
      <c r="G1246" t="s">
        <v>1618</v>
      </c>
      <c r="H1246" t="s">
        <v>4971</v>
      </c>
      <c r="I1246" t="s">
        <v>6712</v>
      </c>
      <c r="J1246" t="s">
        <v>7170</v>
      </c>
      <c r="K1246">
        <v>10460</v>
      </c>
      <c r="N1246" t="s">
        <v>7237</v>
      </c>
      <c r="O1246" t="s">
        <v>8115</v>
      </c>
      <c r="P1246">
        <v>1</v>
      </c>
      <c r="Q1246">
        <v>0</v>
      </c>
      <c r="R1246">
        <v>89.67</v>
      </c>
      <c r="U1246">
        <v>11199.96</v>
      </c>
      <c r="W1246">
        <v>0</v>
      </c>
      <c r="Y1246" t="s">
        <v>216</v>
      </c>
      <c r="AA1246" t="s">
        <v>10974</v>
      </c>
      <c r="AB1246" t="s">
        <v>10979</v>
      </c>
      <c r="AD1246" t="s">
        <v>11086</v>
      </c>
      <c r="AF1246" t="s">
        <v>11120</v>
      </c>
      <c r="AH1246" t="s">
        <v>10974</v>
      </c>
      <c r="AJ1246" t="s">
        <v>11141</v>
      </c>
      <c r="AK1246" t="s">
        <v>7225</v>
      </c>
      <c r="AM1246">
        <v>262</v>
      </c>
      <c r="AO1246">
        <v>168</v>
      </c>
      <c r="AQ1246" t="s">
        <v>11162</v>
      </c>
      <c r="AS1246" t="s">
        <v>11174</v>
      </c>
      <c r="AU1246">
        <v>27</v>
      </c>
      <c r="AW1246" t="s">
        <v>11187</v>
      </c>
      <c r="BA1246" t="s">
        <v>11222</v>
      </c>
      <c r="BE1246" t="s">
        <v>12421</v>
      </c>
      <c r="BF1246" t="s">
        <v>14364</v>
      </c>
      <c r="BG1246" t="s">
        <v>11228</v>
      </c>
      <c r="BM1246" t="s">
        <v>15650</v>
      </c>
    </row>
    <row r="1247" spans="1:67">
      <c r="A1247" s="1">
        <f>HYPERLINK("https://lsnyc.legalserver.org/matter/dynamic-profile/view/1866352","18-1866352")</f>
        <v>0</v>
      </c>
      <c r="B1247" t="s">
        <v>118</v>
      </c>
      <c r="C1247" t="s">
        <v>246</v>
      </c>
      <c r="D1247" t="s">
        <v>677</v>
      </c>
      <c r="F1247" t="s">
        <v>1729</v>
      </c>
      <c r="G1247" t="s">
        <v>3518</v>
      </c>
      <c r="H1247" t="s">
        <v>5246</v>
      </c>
      <c r="I1247" t="s">
        <v>6713</v>
      </c>
      <c r="J1247" t="s">
        <v>7170</v>
      </c>
      <c r="K1247">
        <v>10458</v>
      </c>
      <c r="N1247" t="s">
        <v>7237</v>
      </c>
      <c r="O1247" t="s">
        <v>8116</v>
      </c>
      <c r="P1247">
        <v>2</v>
      </c>
      <c r="Q1247">
        <v>0</v>
      </c>
      <c r="R1247">
        <v>90.26000000000001</v>
      </c>
      <c r="U1247">
        <v>14856</v>
      </c>
      <c r="V1247" t="s">
        <v>10306</v>
      </c>
      <c r="W1247">
        <v>9.85</v>
      </c>
      <c r="X1247" t="s">
        <v>666</v>
      </c>
      <c r="Y1247" t="s">
        <v>10920</v>
      </c>
      <c r="AA1247" t="s">
        <v>10974</v>
      </c>
      <c r="AB1247" t="s">
        <v>10986</v>
      </c>
      <c r="AD1247" t="s">
        <v>11100</v>
      </c>
      <c r="AF1247" t="s">
        <v>11120</v>
      </c>
      <c r="AH1247" t="s">
        <v>10975</v>
      </c>
      <c r="AJ1247" t="s">
        <v>11141</v>
      </c>
      <c r="AK1247" t="s">
        <v>7225</v>
      </c>
      <c r="AM1247">
        <v>1569</v>
      </c>
      <c r="AO1247">
        <v>49</v>
      </c>
      <c r="AQ1247" t="s">
        <v>11157</v>
      </c>
      <c r="AS1247" t="s">
        <v>11181</v>
      </c>
      <c r="AU1247">
        <v>2</v>
      </c>
      <c r="AW1247" t="s">
        <v>11200</v>
      </c>
      <c r="AZ1247" t="s">
        <v>11221</v>
      </c>
      <c r="BE1247" t="s">
        <v>12422</v>
      </c>
      <c r="BF1247" t="s">
        <v>14364</v>
      </c>
      <c r="BM1247" t="s">
        <v>15650</v>
      </c>
    </row>
    <row r="1248" spans="1:67">
      <c r="A1248" s="1">
        <f>HYPERLINK("https://lsnyc.legalserver.org/matter/dynamic-profile/view/1882352","18-1882352")</f>
        <v>0</v>
      </c>
      <c r="B1248" t="s">
        <v>118</v>
      </c>
      <c r="C1248" t="s">
        <v>246</v>
      </c>
      <c r="D1248" t="s">
        <v>324</v>
      </c>
      <c r="E1248" t="s">
        <v>548</v>
      </c>
      <c r="F1248" t="s">
        <v>1730</v>
      </c>
      <c r="G1248" t="s">
        <v>2889</v>
      </c>
      <c r="H1248" t="s">
        <v>5247</v>
      </c>
      <c r="I1248" t="s">
        <v>6714</v>
      </c>
      <c r="J1248" t="s">
        <v>7170</v>
      </c>
      <c r="K1248">
        <v>10452</v>
      </c>
      <c r="L1248" t="s">
        <v>7221</v>
      </c>
      <c r="N1248" t="s">
        <v>7237</v>
      </c>
      <c r="O1248" t="s">
        <v>7642</v>
      </c>
      <c r="P1248">
        <v>3</v>
      </c>
      <c r="Q1248">
        <v>0</v>
      </c>
      <c r="R1248">
        <v>131.38</v>
      </c>
      <c r="U1248">
        <v>27300</v>
      </c>
      <c r="V1248" t="s">
        <v>10391</v>
      </c>
      <c r="W1248">
        <v>41.2</v>
      </c>
      <c r="X1248" t="s">
        <v>267</v>
      </c>
      <c r="Y1248" t="s">
        <v>10892</v>
      </c>
      <c r="AA1248" t="s">
        <v>10974</v>
      </c>
      <c r="AB1248" t="s">
        <v>10979</v>
      </c>
      <c r="AD1248" t="s">
        <v>11082</v>
      </c>
      <c r="AF1248" t="s">
        <v>11118</v>
      </c>
      <c r="AH1248" t="s">
        <v>10975</v>
      </c>
      <c r="AJ1248" t="s">
        <v>11129</v>
      </c>
      <c r="AK1248" t="s">
        <v>7225</v>
      </c>
      <c r="AM1248">
        <v>1396</v>
      </c>
      <c r="AO1248">
        <v>56</v>
      </c>
      <c r="AQ1248" t="s">
        <v>11157</v>
      </c>
      <c r="AR1248" t="s">
        <v>11172</v>
      </c>
      <c r="AU1248">
        <v>26</v>
      </c>
      <c r="AW1248" t="s">
        <v>11189</v>
      </c>
      <c r="AY1248" t="s">
        <v>11213</v>
      </c>
      <c r="BA1248" t="s">
        <v>11222</v>
      </c>
      <c r="BE1248" t="s">
        <v>12423</v>
      </c>
      <c r="BG1248" t="s">
        <v>14698</v>
      </c>
      <c r="BH1248" t="s">
        <v>15605</v>
      </c>
      <c r="BK1248" t="s">
        <v>15620</v>
      </c>
      <c r="BM1248" t="s">
        <v>15651</v>
      </c>
      <c r="BN1248" t="s">
        <v>15652</v>
      </c>
      <c r="BO1248" t="s">
        <v>15679</v>
      </c>
    </row>
    <row r="1249" spans="1:65">
      <c r="A1249" s="1">
        <f>HYPERLINK("https://lsnyc.legalserver.org/matter/dynamic-profile/view/1885944","18-1885944")</f>
        <v>0</v>
      </c>
      <c r="B1249" t="s">
        <v>118</v>
      </c>
      <c r="C1249" t="s">
        <v>246</v>
      </c>
      <c r="D1249" t="s">
        <v>566</v>
      </c>
      <c r="E1249" t="s">
        <v>449</v>
      </c>
      <c r="F1249" t="s">
        <v>1459</v>
      </c>
      <c r="G1249" t="s">
        <v>3516</v>
      </c>
      <c r="H1249" t="s">
        <v>4971</v>
      </c>
      <c r="I1249" t="s">
        <v>6711</v>
      </c>
      <c r="J1249" t="s">
        <v>7170</v>
      </c>
      <c r="K1249">
        <v>10460</v>
      </c>
      <c r="L1249" t="s">
        <v>7219</v>
      </c>
      <c r="N1249" t="s">
        <v>7237</v>
      </c>
      <c r="O1249" t="s">
        <v>8112</v>
      </c>
      <c r="P1249">
        <v>1</v>
      </c>
      <c r="Q1249">
        <v>0</v>
      </c>
      <c r="R1249">
        <v>79.56999999999999</v>
      </c>
      <c r="U1249">
        <v>9660</v>
      </c>
      <c r="W1249">
        <v>0.25</v>
      </c>
      <c r="X1249" t="s">
        <v>449</v>
      </c>
      <c r="Y1249" t="s">
        <v>10903</v>
      </c>
      <c r="AA1249" t="s">
        <v>10974</v>
      </c>
      <c r="AB1249" t="s">
        <v>370</v>
      </c>
      <c r="AD1249" t="s">
        <v>11086</v>
      </c>
      <c r="AF1249" t="s">
        <v>11120</v>
      </c>
      <c r="AH1249" t="s">
        <v>10974</v>
      </c>
      <c r="AJ1249" t="s">
        <v>11141</v>
      </c>
      <c r="AK1249" t="s">
        <v>7225</v>
      </c>
      <c r="AM1249">
        <v>263</v>
      </c>
      <c r="AO1249">
        <v>169</v>
      </c>
      <c r="AQ1249" t="s">
        <v>11161</v>
      </c>
      <c r="AS1249" t="s">
        <v>11174</v>
      </c>
      <c r="AU1249">
        <v>44</v>
      </c>
      <c r="AW1249" t="s">
        <v>11187</v>
      </c>
      <c r="AZ1249" t="s">
        <v>11221</v>
      </c>
      <c r="BE1249" t="s">
        <v>12420</v>
      </c>
      <c r="BF1249" t="s">
        <v>14364</v>
      </c>
      <c r="BM1249" t="s">
        <v>15651</v>
      </c>
    </row>
    <row r="1250" spans="1:65">
      <c r="A1250" s="1">
        <f>HYPERLINK("https://lsnyc.legalserver.org/matter/dynamic-profile/view/1885749","18-1885749")</f>
        <v>0</v>
      </c>
      <c r="B1250" t="s">
        <v>118</v>
      </c>
      <c r="C1250" t="s">
        <v>246</v>
      </c>
      <c r="D1250" t="s">
        <v>579</v>
      </c>
      <c r="E1250" t="s">
        <v>264</v>
      </c>
      <c r="F1250" t="s">
        <v>1731</v>
      </c>
      <c r="G1250" t="s">
        <v>3059</v>
      </c>
      <c r="H1250" t="s">
        <v>4971</v>
      </c>
      <c r="I1250" t="s">
        <v>6715</v>
      </c>
      <c r="J1250" t="s">
        <v>7170</v>
      </c>
      <c r="K1250">
        <v>10460</v>
      </c>
      <c r="L1250" t="s">
        <v>7219</v>
      </c>
      <c r="N1250" t="s">
        <v>7237</v>
      </c>
      <c r="O1250" t="s">
        <v>8117</v>
      </c>
      <c r="P1250">
        <v>1</v>
      </c>
      <c r="Q1250">
        <v>0</v>
      </c>
      <c r="R1250">
        <v>94.5</v>
      </c>
      <c r="U1250">
        <v>11472</v>
      </c>
      <c r="W1250">
        <v>0.25</v>
      </c>
      <c r="X1250" t="s">
        <v>264</v>
      </c>
      <c r="Y1250" t="s">
        <v>10865</v>
      </c>
      <c r="AA1250" t="s">
        <v>10974</v>
      </c>
      <c r="AB1250" t="s">
        <v>370</v>
      </c>
      <c r="AD1250" t="s">
        <v>11101</v>
      </c>
      <c r="AF1250" t="s">
        <v>11118</v>
      </c>
      <c r="AH1250" t="s">
        <v>10974</v>
      </c>
      <c r="AJ1250" t="s">
        <v>11141</v>
      </c>
      <c r="AK1250" t="s">
        <v>7225</v>
      </c>
      <c r="AM1250">
        <v>287</v>
      </c>
      <c r="AO1250">
        <v>168</v>
      </c>
      <c r="AQ1250" t="s">
        <v>11160</v>
      </c>
      <c r="AS1250" t="s">
        <v>11174</v>
      </c>
      <c r="AU1250">
        <v>19</v>
      </c>
      <c r="AW1250" t="s">
        <v>11187</v>
      </c>
      <c r="AZ1250" t="s">
        <v>11221</v>
      </c>
      <c r="BE1250" t="s">
        <v>12424</v>
      </c>
      <c r="BG1250" t="s">
        <v>14686</v>
      </c>
      <c r="BJ1250" t="s">
        <v>15615</v>
      </c>
      <c r="BM1250" t="s">
        <v>15651</v>
      </c>
    </row>
    <row r="1251" spans="1:65">
      <c r="A1251" s="1">
        <f>HYPERLINK("https://lsnyc.legalserver.org/matter/dynamic-profile/view/1886503","18-1886503")</f>
        <v>0</v>
      </c>
      <c r="B1251" t="s">
        <v>118</v>
      </c>
      <c r="C1251" t="s">
        <v>246</v>
      </c>
      <c r="D1251" t="s">
        <v>551</v>
      </c>
      <c r="F1251" t="s">
        <v>1322</v>
      </c>
      <c r="G1251" t="s">
        <v>3497</v>
      </c>
      <c r="H1251" t="s">
        <v>4971</v>
      </c>
      <c r="I1251" t="s">
        <v>6703</v>
      </c>
      <c r="J1251" t="s">
        <v>7170</v>
      </c>
      <c r="K1251">
        <v>10460</v>
      </c>
      <c r="N1251" t="s">
        <v>7237</v>
      </c>
      <c r="O1251" t="s">
        <v>8090</v>
      </c>
      <c r="P1251">
        <v>1</v>
      </c>
      <c r="Q1251">
        <v>0</v>
      </c>
      <c r="R1251">
        <v>128.5</v>
      </c>
      <c r="U1251">
        <v>15600</v>
      </c>
      <c r="W1251">
        <v>1</v>
      </c>
      <c r="X1251" t="s">
        <v>797</v>
      </c>
      <c r="Y1251" t="s">
        <v>10865</v>
      </c>
      <c r="AA1251" t="s">
        <v>10974</v>
      </c>
      <c r="AB1251" t="s">
        <v>370</v>
      </c>
      <c r="AD1251" t="s">
        <v>11101</v>
      </c>
      <c r="AF1251" t="s">
        <v>11118</v>
      </c>
      <c r="AH1251" t="s">
        <v>10974</v>
      </c>
      <c r="AJ1251" t="s">
        <v>11141</v>
      </c>
      <c r="AK1251" t="s">
        <v>7225</v>
      </c>
      <c r="AM1251">
        <v>1600</v>
      </c>
      <c r="AO1251">
        <v>168</v>
      </c>
      <c r="AQ1251" t="s">
        <v>11157</v>
      </c>
      <c r="AS1251" t="s">
        <v>11173</v>
      </c>
      <c r="AU1251">
        <v>18</v>
      </c>
      <c r="AW1251" t="s">
        <v>11187</v>
      </c>
      <c r="AZ1251" t="s">
        <v>11221</v>
      </c>
      <c r="BE1251" t="s">
        <v>12402</v>
      </c>
      <c r="BG1251" t="s">
        <v>14686</v>
      </c>
      <c r="BM1251" t="s">
        <v>15650</v>
      </c>
    </row>
    <row r="1252" spans="1:65">
      <c r="A1252" s="1">
        <f>HYPERLINK("https://lsnyc.legalserver.org/matter/dynamic-profile/view/1886210","18-1886210")</f>
        <v>0</v>
      </c>
      <c r="B1252" t="s">
        <v>118</v>
      </c>
      <c r="C1252" t="s">
        <v>246</v>
      </c>
      <c r="D1252" t="s">
        <v>678</v>
      </c>
      <c r="F1252" t="s">
        <v>1280</v>
      </c>
      <c r="G1252" t="s">
        <v>3504</v>
      </c>
      <c r="H1252" t="s">
        <v>5245</v>
      </c>
      <c r="I1252" t="s">
        <v>6448</v>
      </c>
      <c r="J1252" t="s">
        <v>7170</v>
      </c>
      <c r="K1252">
        <v>10452</v>
      </c>
      <c r="N1252" t="s">
        <v>7237</v>
      </c>
      <c r="O1252" t="s">
        <v>8114</v>
      </c>
      <c r="P1252">
        <v>1</v>
      </c>
      <c r="Q1252">
        <v>2</v>
      </c>
      <c r="R1252">
        <v>53.88</v>
      </c>
      <c r="U1252">
        <v>11196</v>
      </c>
      <c r="W1252">
        <v>1.7</v>
      </c>
      <c r="X1252" t="s">
        <v>605</v>
      </c>
      <c r="Y1252" t="s">
        <v>10876</v>
      </c>
      <c r="AA1252" t="s">
        <v>10974</v>
      </c>
      <c r="AB1252" t="s">
        <v>621</v>
      </c>
      <c r="AD1252" t="s">
        <v>11082</v>
      </c>
      <c r="AF1252" t="s">
        <v>11119</v>
      </c>
      <c r="AH1252" t="s">
        <v>10975</v>
      </c>
      <c r="AJ1252" t="s">
        <v>11129</v>
      </c>
      <c r="AK1252" t="s">
        <v>7225</v>
      </c>
      <c r="AM1252">
        <v>811.34</v>
      </c>
      <c r="AN1252" t="s">
        <v>11151</v>
      </c>
      <c r="AO1252" t="s">
        <v>11153</v>
      </c>
      <c r="AQ1252" t="s">
        <v>11157</v>
      </c>
      <c r="AS1252" t="s">
        <v>11176</v>
      </c>
      <c r="AU1252">
        <v>33</v>
      </c>
      <c r="AW1252" t="s">
        <v>11189</v>
      </c>
      <c r="AY1252" t="s">
        <v>11213</v>
      </c>
      <c r="AZ1252" t="s">
        <v>11221</v>
      </c>
      <c r="BB1252" t="s">
        <v>11224</v>
      </c>
      <c r="BC1252" t="s">
        <v>11348</v>
      </c>
      <c r="BE1252" t="s">
        <v>12425</v>
      </c>
      <c r="BG1252" t="s">
        <v>14697</v>
      </c>
      <c r="BM1252" t="s">
        <v>15650</v>
      </c>
    </row>
    <row r="1253" spans="1:65">
      <c r="A1253" s="1">
        <f>HYPERLINK("https://lsnyc.legalserver.org/matter/dynamic-profile/view/1885744","18-1885744")</f>
        <v>0</v>
      </c>
      <c r="B1253" t="s">
        <v>118</v>
      </c>
      <c r="C1253" t="s">
        <v>246</v>
      </c>
      <c r="D1253" t="s">
        <v>579</v>
      </c>
      <c r="E1253" t="s">
        <v>264</v>
      </c>
      <c r="F1253" t="s">
        <v>1732</v>
      </c>
      <c r="G1253" t="s">
        <v>3519</v>
      </c>
      <c r="H1253" t="s">
        <v>4971</v>
      </c>
      <c r="I1253" t="s">
        <v>6609</v>
      </c>
      <c r="J1253" t="s">
        <v>7170</v>
      </c>
      <c r="K1253">
        <v>10460</v>
      </c>
      <c r="L1253" t="s">
        <v>7219</v>
      </c>
      <c r="N1253" t="s">
        <v>7237</v>
      </c>
      <c r="O1253" t="s">
        <v>8118</v>
      </c>
      <c r="P1253">
        <v>1</v>
      </c>
      <c r="Q1253">
        <v>1</v>
      </c>
      <c r="R1253">
        <v>150.04</v>
      </c>
      <c r="U1253">
        <v>24696</v>
      </c>
      <c r="W1253">
        <v>0.25</v>
      </c>
      <c r="X1253" t="s">
        <v>264</v>
      </c>
      <c r="Y1253" t="s">
        <v>10865</v>
      </c>
      <c r="AA1253" t="s">
        <v>10974</v>
      </c>
      <c r="AB1253" t="s">
        <v>370</v>
      </c>
      <c r="AD1253" t="s">
        <v>11101</v>
      </c>
      <c r="AF1253" t="s">
        <v>11118</v>
      </c>
      <c r="AH1253" t="s">
        <v>10974</v>
      </c>
      <c r="AJ1253" t="s">
        <v>11141</v>
      </c>
      <c r="AK1253" t="s">
        <v>7225</v>
      </c>
      <c r="AM1253">
        <v>792</v>
      </c>
      <c r="AO1253">
        <v>168</v>
      </c>
      <c r="AQ1253" t="s">
        <v>11162</v>
      </c>
      <c r="AS1253" t="s">
        <v>11104</v>
      </c>
      <c r="AU1253">
        <v>3</v>
      </c>
      <c r="AW1253" t="s">
        <v>11187</v>
      </c>
      <c r="AZ1253" t="s">
        <v>11221</v>
      </c>
      <c r="BD1253" t="s">
        <v>11667</v>
      </c>
      <c r="BG1253" t="s">
        <v>14686</v>
      </c>
      <c r="BJ1253" t="s">
        <v>15615</v>
      </c>
      <c r="BM1253" t="s">
        <v>15651</v>
      </c>
    </row>
    <row r="1254" spans="1:65">
      <c r="A1254" s="1">
        <f>HYPERLINK("https://lsnyc.legalserver.org/matter/dynamic-profile/view/1867701","18-1867701")</f>
        <v>0</v>
      </c>
      <c r="B1254" t="s">
        <v>118</v>
      </c>
      <c r="C1254" t="s">
        <v>246</v>
      </c>
      <c r="D1254" t="s">
        <v>676</v>
      </c>
      <c r="F1254" t="s">
        <v>1720</v>
      </c>
      <c r="G1254" t="s">
        <v>3504</v>
      </c>
      <c r="H1254" t="s">
        <v>5243</v>
      </c>
      <c r="I1254" t="s">
        <v>6513</v>
      </c>
      <c r="J1254" t="s">
        <v>7170</v>
      </c>
      <c r="K1254">
        <v>10458</v>
      </c>
      <c r="N1254" t="s">
        <v>7237</v>
      </c>
      <c r="O1254" t="s">
        <v>8098</v>
      </c>
      <c r="P1254">
        <v>4</v>
      </c>
      <c r="Q1254">
        <v>0</v>
      </c>
      <c r="R1254">
        <v>128.84</v>
      </c>
      <c r="U1254">
        <v>32340</v>
      </c>
      <c r="W1254">
        <v>0</v>
      </c>
      <c r="Y1254" t="s">
        <v>10897</v>
      </c>
      <c r="AA1254" t="s">
        <v>10974</v>
      </c>
      <c r="AB1254" t="s">
        <v>939</v>
      </c>
      <c r="AD1254" t="s">
        <v>11101</v>
      </c>
      <c r="AF1254" t="s">
        <v>11118</v>
      </c>
      <c r="AH1254" t="s">
        <v>10974</v>
      </c>
      <c r="AJ1254" t="s">
        <v>11129</v>
      </c>
      <c r="AK1254" t="s">
        <v>7225</v>
      </c>
      <c r="AM1254">
        <v>1200</v>
      </c>
      <c r="AO1254">
        <v>11</v>
      </c>
      <c r="AQ1254" t="s">
        <v>11157</v>
      </c>
      <c r="AS1254" t="s">
        <v>11173</v>
      </c>
      <c r="AU1254">
        <v>3</v>
      </c>
      <c r="AW1254" t="s">
        <v>11187</v>
      </c>
      <c r="AZ1254" t="s">
        <v>11221</v>
      </c>
      <c r="BE1254" t="s">
        <v>12409</v>
      </c>
      <c r="BF1254" t="s">
        <v>14364</v>
      </c>
      <c r="BM1254" t="s">
        <v>15650</v>
      </c>
    </row>
    <row r="1255" spans="1:65">
      <c r="A1255" s="1">
        <f>HYPERLINK("https://lsnyc.legalserver.org/matter/dynamic-profile/view/1865415","18-1865415")</f>
        <v>0</v>
      </c>
      <c r="B1255" t="s">
        <v>118</v>
      </c>
      <c r="C1255" t="s">
        <v>246</v>
      </c>
      <c r="D1255" t="s">
        <v>679</v>
      </c>
      <c r="F1255" t="s">
        <v>1720</v>
      </c>
      <c r="G1255" t="s">
        <v>3504</v>
      </c>
      <c r="H1255" t="s">
        <v>5243</v>
      </c>
      <c r="I1255" t="s">
        <v>6513</v>
      </c>
      <c r="J1255" t="s">
        <v>7170</v>
      </c>
      <c r="K1255">
        <v>10458</v>
      </c>
      <c r="N1255" t="s">
        <v>7237</v>
      </c>
      <c r="O1255" t="s">
        <v>8098</v>
      </c>
      <c r="P1255">
        <v>4</v>
      </c>
      <c r="Q1255">
        <v>0</v>
      </c>
      <c r="R1255">
        <v>128.84</v>
      </c>
      <c r="U1255">
        <v>32340</v>
      </c>
      <c r="W1255">
        <v>0.2</v>
      </c>
      <c r="X1255" t="s">
        <v>611</v>
      </c>
      <c r="Y1255" t="s">
        <v>10897</v>
      </c>
      <c r="AA1255" t="s">
        <v>10974</v>
      </c>
      <c r="AB1255" t="s">
        <v>824</v>
      </c>
      <c r="AD1255" t="s">
        <v>11100</v>
      </c>
      <c r="AF1255" t="s">
        <v>11120</v>
      </c>
      <c r="AH1255" t="s">
        <v>10974</v>
      </c>
      <c r="AJ1255" t="s">
        <v>11144</v>
      </c>
      <c r="AK1255" t="s">
        <v>7225</v>
      </c>
      <c r="AM1255">
        <v>1200</v>
      </c>
      <c r="AO1255">
        <v>11</v>
      </c>
      <c r="AQ1255" t="s">
        <v>11157</v>
      </c>
      <c r="AS1255" t="s">
        <v>11173</v>
      </c>
      <c r="AU1255">
        <v>3</v>
      </c>
      <c r="AW1255" t="s">
        <v>11187</v>
      </c>
      <c r="AZ1255" t="s">
        <v>11221</v>
      </c>
      <c r="BE1255" t="s">
        <v>12409</v>
      </c>
      <c r="BF1255" t="s">
        <v>14364</v>
      </c>
      <c r="BM1255" t="s">
        <v>15650</v>
      </c>
    </row>
    <row r="1256" spans="1:65">
      <c r="A1256" s="1">
        <f>HYPERLINK("https://lsnyc.legalserver.org/matter/dynamic-profile/view/1904446","19-1904446")</f>
        <v>0</v>
      </c>
      <c r="B1256" t="s">
        <v>118</v>
      </c>
      <c r="C1256" t="s">
        <v>246</v>
      </c>
      <c r="D1256" t="s">
        <v>525</v>
      </c>
      <c r="F1256" t="s">
        <v>1707</v>
      </c>
      <c r="G1256" t="s">
        <v>1187</v>
      </c>
      <c r="H1256" t="s">
        <v>4971</v>
      </c>
      <c r="I1256" t="s">
        <v>6678</v>
      </c>
      <c r="J1256" t="s">
        <v>7170</v>
      </c>
      <c r="K1256">
        <v>10460</v>
      </c>
      <c r="N1256" t="s">
        <v>7237</v>
      </c>
      <c r="O1256" t="s">
        <v>8074</v>
      </c>
      <c r="P1256">
        <v>1</v>
      </c>
      <c r="Q1256">
        <v>1</v>
      </c>
      <c r="R1256">
        <v>159.91</v>
      </c>
      <c r="U1256">
        <v>27040</v>
      </c>
      <c r="W1256">
        <v>0</v>
      </c>
      <c r="Y1256" t="s">
        <v>200</v>
      </c>
      <c r="AA1256" t="s">
        <v>10974</v>
      </c>
      <c r="AB1256" t="s">
        <v>10979</v>
      </c>
      <c r="AD1256" t="s">
        <v>11086</v>
      </c>
      <c r="AF1256" t="s">
        <v>11120</v>
      </c>
      <c r="AH1256" t="s">
        <v>10974</v>
      </c>
      <c r="AJ1256" t="s">
        <v>11141</v>
      </c>
      <c r="AK1256" t="s">
        <v>7225</v>
      </c>
      <c r="AM1256">
        <v>485</v>
      </c>
      <c r="AO1256">
        <v>248</v>
      </c>
      <c r="AQ1256" t="s">
        <v>11157</v>
      </c>
      <c r="AS1256" t="s">
        <v>11174</v>
      </c>
      <c r="AU1256">
        <v>12</v>
      </c>
      <c r="AW1256" t="s">
        <v>11187</v>
      </c>
      <c r="BA1256" t="s">
        <v>11222</v>
      </c>
      <c r="BE1256" t="s">
        <v>12389</v>
      </c>
      <c r="BF1256" t="s">
        <v>14364</v>
      </c>
      <c r="BM1256" t="s">
        <v>15650</v>
      </c>
    </row>
    <row r="1257" spans="1:65">
      <c r="A1257" s="1">
        <f>HYPERLINK("https://lsnyc.legalserver.org/matter/dynamic-profile/view/1899795","19-1899795")</f>
        <v>0</v>
      </c>
      <c r="B1257" t="s">
        <v>118</v>
      </c>
      <c r="C1257" t="s">
        <v>246</v>
      </c>
      <c r="D1257" t="s">
        <v>382</v>
      </c>
      <c r="F1257" t="s">
        <v>1733</v>
      </c>
      <c r="G1257" t="s">
        <v>3520</v>
      </c>
      <c r="H1257" t="s">
        <v>4971</v>
      </c>
      <c r="I1257" t="s">
        <v>6495</v>
      </c>
      <c r="J1257" t="s">
        <v>7170</v>
      </c>
      <c r="K1257">
        <v>10460</v>
      </c>
      <c r="N1257" t="s">
        <v>7237</v>
      </c>
      <c r="O1257" t="s">
        <v>8119</v>
      </c>
      <c r="P1257">
        <v>1</v>
      </c>
      <c r="Q1257">
        <v>0</v>
      </c>
      <c r="R1257">
        <v>74.08</v>
      </c>
      <c r="U1257">
        <v>9252</v>
      </c>
      <c r="W1257">
        <v>0</v>
      </c>
      <c r="Y1257" t="s">
        <v>10897</v>
      </c>
      <c r="AA1257" t="s">
        <v>10974</v>
      </c>
      <c r="AB1257" t="s">
        <v>10979</v>
      </c>
      <c r="AD1257" t="s">
        <v>11086</v>
      </c>
      <c r="AF1257" t="s">
        <v>11120</v>
      </c>
      <c r="AH1257" t="s">
        <v>10974</v>
      </c>
      <c r="AJ1257" t="s">
        <v>11141</v>
      </c>
      <c r="AK1257" t="s">
        <v>7225</v>
      </c>
      <c r="AM1257">
        <v>1583</v>
      </c>
      <c r="AO1257">
        <v>168</v>
      </c>
      <c r="AQ1257" t="s">
        <v>11157</v>
      </c>
      <c r="AS1257" t="s">
        <v>11174</v>
      </c>
      <c r="AU1257">
        <v>3</v>
      </c>
      <c r="AW1257" t="s">
        <v>11187</v>
      </c>
      <c r="BA1257" t="s">
        <v>11222</v>
      </c>
      <c r="BC1257" t="s">
        <v>11349</v>
      </c>
      <c r="BE1257" t="s">
        <v>12426</v>
      </c>
      <c r="BF1257" t="s">
        <v>14364</v>
      </c>
      <c r="BM1257" t="s">
        <v>15650</v>
      </c>
    </row>
    <row r="1258" spans="1:65">
      <c r="A1258" s="1">
        <f>HYPERLINK("https://lsnyc.legalserver.org/matter/dynamic-profile/view/1915497","19-1915497")</f>
        <v>0</v>
      </c>
      <c r="B1258" t="s">
        <v>118</v>
      </c>
      <c r="C1258" t="s">
        <v>246</v>
      </c>
      <c r="D1258" t="s">
        <v>669</v>
      </c>
      <c r="E1258" t="s">
        <v>669</v>
      </c>
      <c r="F1258" t="s">
        <v>1464</v>
      </c>
      <c r="G1258" t="s">
        <v>2877</v>
      </c>
      <c r="H1258" t="s">
        <v>4846</v>
      </c>
      <c r="J1258" t="s">
        <v>7170</v>
      </c>
      <c r="K1258">
        <v>10452</v>
      </c>
      <c r="L1258" t="s">
        <v>7216</v>
      </c>
      <c r="N1258" t="s">
        <v>7237</v>
      </c>
      <c r="O1258" t="s">
        <v>8120</v>
      </c>
      <c r="P1258">
        <v>1</v>
      </c>
      <c r="Q1258">
        <v>0</v>
      </c>
      <c r="R1258">
        <v>74.08</v>
      </c>
      <c r="U1258">
        <v>9252</v>
      </c>
      <c r="W1258">
        <v>0.5</v>
      </c>
      <c r="X1258" t="s">
        <v>669</v>
      </c>
      <c r="Y1258" t="s">
        <v>118</v>
      </c>
      <c r="AA1258" t="s">
        <v>10974</v>
      </c>
      <c r="AD1258" t="s">
        <v>11086</v>
      </c>
      <c r="AF1258" t="s">
        <v>11119</v>
      </c>
      <c r="AG1258" t="s">
        <v>11124</v>
      </c>
      <c r="AI1258" t="s">
        <v>11126</v>
      </c>
      <c r="AK1258" t="s">
        <v>7225</v>
      </c>
      <c r="AM1258">
        <v>167</v>
      </c>
      <c r="AO1258">
        <v>40</v>
      </c>
      <c r="AQ1258" t="s">
        <v>11157</v>
      </c>
      <c r="AS1258" t="s">
        <v>11174</v>
      </c>
      <c r="AU1258">
        <v>28</v>
      </c>
      <c r="AW1258" t="s">
        <v>11189</v>
      </c>
      <c r="AY1258" t="s">
        <v>11213</v>
      </c>
      <c r="BA1258" t="s">
        <v>11222</v>
      </c>
      <c r="BE1258" t="s">
        <v>12427</v>
      </c>
      <c r="BF1258" t="s">
        <v>14364</v>
      </c>
      <c r="BM1258" t="s">
        <v>15651</v>
      </c>
    </row>
    <row r="1259" spans="1:65">
      <c r="A1259" s="1">
        <f>HYPERLINK("https://lsnyc.legalserver.org/matter/dynamic-profile/view/1899841","19-1899841")</f>
        <v>0</v>
      </c>
      <c r="B1259" t="s">
        <v>118</v>
      </c>
      <c r="C1259" t="s">
        <v>246</v>
      </c>
      <c r="D1259" t="s">
        <v>382</v>
      </c>
      <c r="F1259" t="s">
        <v>1717</v>
      </c>
      <c r="G1259" t="s">
        <v>3498</v>
      </c>
      <c r="H1259" t="s">
        <v>4971</v>
      </c>
      <c r="I1259" t="s">
        <v>6705</v>
      </c>
      <c r="J1259" t="s">
        <v>7170</v>
      </c>
      <c r="K1259">
        <v>10460</v>
      </c>
      <c r="N1259" t="s">
        <v>7237</v>
      </c>
      <c r="O1259" t="s">
        <v>8092</v>
      </c>
      <c r="P1259">
        <v>2</v>
      </c>
      <c r="Q1259">
        <v>0</v>
      </c>
      <c r="R1259">
        <v>53.22</v>
      </c>
      <c r="U1259">
        <v>9000</v>
      </c>
      <c r="W1259">
        <v>0</v>
      </c>
      <c r="Y1259" t="s">
        <v>216</v>
      </c>
      <c r="AA1259" t="s">
        <v>10974</v>
      </c>
      <c r="AB1259" t="s">
        <v>10979</v>
      </c>
      <c r="AD1259" t="s">
        <v>11086</v>
      </c>
      <c r="AF1259" t="s">
        <v>11120</v>
      </c>
      <c r="AH1259" t="s">
        <v>10974</v>
      </c>
      <c r="AJ1259" t="s">
        <v>11141</v>
      </c>
      <c r="AK1259" t="s">
        <v>7225</v>
      </c>
      <c r="AM1259">
        <v>1789</v>
      </c>
      <c r="AO1259">
        <v>168</v>
      </c>
      <c r="AQ1259" t="s">
        <v>11157</v>
      </c>
      <c r="AS1259" t="s">
        <v>11174</v>
      </c>
      <c r="AU1259">
        <v>12</v>
      </c>
      <c r="AW1259" t="s">
        <v>11187</v>
      </c>
      <c r="BA1259" t="s">
        <v>11222</v>
      </c>
      <c r="BE1259" t="s">
        <v>12404</v>
      </c>
      <c r="BF1259" t="s">
        <v>14364</v>
      </c>
      <c r="BM1259" t="s">
        <v>15650</v>
      </c>
    </row>
    <row r="1260" spans="1:65">
      <c r="A1260" s="1">
        <f>HYPERLINK("https://lsnyc.legalserver.org/matter/dynamic-profile/view/1899854","19-1899854")</f>
        <v>0</v>
      </c>
      <c r="B1260" t="s">
        <v>118</v>
      </c>
      <c r="C1260" t="s">
        <v>246</v>
      </c>
      <c r="D1260" t="s">
        <v>382</v>
      </c>
      <c r="F1260" t="s">
        <v>1715</v>
      </c>
      <c r="G1260" t="s">
        <v>3495</v>
      </c>
      <c r="H1260" t="s">
        <v>4971</v>
      </c>
      <c r="I1260" t="s">
        <v>6701</v>
      </c>
      <c r="J1260" t="s">
        <v>7170</v>
      </c>
      <c r="K1260">
        <v>10460</v>
      </c>
      <c r="N1260" t="s">
        <v>7237</v>
      </c>
      <c r="O1260" t="s">
        <v>8088</v>
      </c>
      <c r="P1260">
        <v>1</v>
      </c>
      <c r="Q1260">
        <v>0</v>
      </c>
      <c r="R1260">
        <v>252.2</v>
      </c>
      <c r="U1260">
        <v>31500</v>
      </c>
      <c r="W1260">
        <v>0</v>
      </c>
      <c r="Y1260" t="s">
        <v>216</v>
      </c>
      <c r="AA1260" t="s">
        <v>10974</v>
      </c>
      <c r="AB1260" t="s">
        <v>10979</v>
      </c>
      <c r="AD1260" t="s">
        <v>11086</v>
      </c>
      <c r="AF1260" t="s">
        <v>11120</v>
      </c>
      <c r="AH1260" t="s">
        <v>10974</v>
      </c>
      <c r="AJ1260" t="s">
        <v>11141</v>
      </c>
      <c r="AK1260" t="s">
        <v>7225</v>
      </c>
      <c r="AM1260">
        <v>895</v>
      </c>
      <c r="AO1260">
        <v>168</v>
      </c>
      <c r="AQ1260" t="s">
        <v>11157</v>
      </c>
      <c r="AS1260" t="s">
        <v>11174</v>
      </c>
      <c r="AU1260">
        <v>5</v>
      </c>
      <c r="AW1260" t="s">
        <v>11187</v>
      </c>
      <c r="BA1260" t="s">
        <v>11222</v>
      </c>
      <c r="BD1260" t="s">
        <v>11667</v>
      </c>
      <c r="BF1260" t="s">
        <v>14364</v>
      </c>
      <c r="BG1260" t="s">
        <v>11228</v>
      </c>
      <c r="BM1260" t="s">
        <v>15650</v>
      </c>
    </row>
    <row r="1261" spans="1:65">
      <c r="A1261" s="1">
        <f>HYPERLINK("https://lsnyc.legalserver.org/matter/dynamic-profile/view/1886507","18-1886507")</f>
        <v>0</v>
      </c>
      <c r="B1261" t="s">
        <v>118</v>
      </c>
      <c r="C1261" t="s">
        <v>246</v>
      </c>
      <c r="D1261" t="s">
        <v>551</v>
      </c>
      <c r="F1261" t="s">
        <v>1733</v>
      </c>
      <c r="G1261" t="s">
        <v>3520</v>
      </c>
      <c r="H1261" t="s">
        <v>4971</v>
      </c>
      <c r="I1261" t="s">
        <v>6495</v>
      </c>
      <c r="J1261" t="s">
        <v>7170</v>
      </c>
      <c r="K1261">
        <v>10460</v>
      </c>
      <c r="N1261" t="s">
        <v>7237</v>
      </c>
      <c r="O1261" t="s">
        <v>8119</v>
      </c>
      <c r="P1261">
        <v>1</v>
      </c>
      <c r="Q1261">
        <v>0</v>
      </c>
      <c r="R1261">
        <v>74.14</v>
      </c>
      <c r="U1261">
        <v>9000</v>
      </c>
      <c r="W1261">
        <v>0</v>
      </c>
      <c r="Y1261" t="s">
        <v>10865</v>
      </c>
      <c r="AA1261" t="s">
        <v>10974</v>
      </c>
      <c r="AB1261" t="s">
        <v>370</v>
      </c>
      <c r="AD1261" t="s">
        <v>11101</v>
      </c>
      <c r="AF1261" t="s">
        <v>11118</v>
      </c>
      <c r="AH1261" t="s">
        <v>10974</v>
      </c>
      <c r="AJ1261" t="s">
        <v>11141</v>
      </c>
      <c r="AK1261" t="s">
        <v>7225</v>
      </c>
      <c r="AM1261">
        <v>241</v>
      </c>
      <c r="AO1261">
        <v>168</v>
      </c>
      <c r="AQ1261" t="s">
        <v>11157</v>
      </c>
      <c r="AS1261" t="s">
        <v>11104</v>
      </c>
      <c r="AU1261">
        <v>2</v>
      </c>
      <c r="AW1261" t="s">
        <v>11187</v>
      </c>
      <c r="AZ1261" t="s">
        <v>11221</v>
      </c>
      <c r="BE1261" t="s">
        <v>12426</v>
      </c>
      <c r="BG1261" t="s">
        <v>14686</v>
      </c>
      <c r="BM1261" t="s">
        <v>15650</v>
      </c>
    </row>
    <row r="1262" spans="1:65">
      <c r="A1262" s="1">
        <f>HYPERLINK("https://lsnyc.legalserver.org/matter/dynamic-profile/view/1886510","18-1886510")</f>
        <v>0</v>
      </c>
      <c r="B1262" t="s">
        <v>118</v>
      </c>
      <c r="C1262" t="s">
        <v>246</v>
      </c>
      <c r="D1262" t="s">
        <v>551</v>
      </c>
      <c r="F1262" t="s">
        <v>1139</v>
      </c>
      <c r="G1262" t="s">
        <v>3494</v>
      </c>
      <c r="H1262" t="s">
        <v>4971</v>
      </c>
      <c r="I1262" t="s">
        <v>6419</v>
      </c>
      <c r="J1262" t="s">
        <v>7170</v>
      </c>
      <c r="K1262">
        <v>10460</v>
      </c>
      <c r="N1262" t="s">
        <v>7237</v>
      </c>
      <c r="O1262" t="s">
        <v>8087</v>
      </c>
      <c r="P1262">
        <v>1</v>
      </c>
      <c r="Q1262">
        <v>0</v>
      </c>
      <c r="R1262">
        <v>74.14</v>
      </c>
      <c r="U1262">
        <v>9000</v>
      </c>
      <c r="W1262">
        <v>0</v>
      </c>
      <c r="Y1262" t="s">
        <v>10865</v>
      </c>
      <c r="AA1262" t="s">
        <v>10974</v>
      </c>
      <c r="AB1262" t="s">
        <v>370</v>
      </c>
      <c r="AD1262" t="s">
        <v>11101</v>
      </c>
      <c r="AF1262" t="s">
        <v>11118</v>
      </c>
      <c r="AH1262" t="s">
        <v>10974</v>
      </c>
      <c r="AJ1262" t="s">
        <v>11141</v>
      </c>
      <c r="AK1262" t="s">
        <v>7225</v>
      </c>
      <c r="AM1262">
        <v>326</v>
      </c>
      <c r="AO1262">
        <v>168</v>
      </c>
      <c r="AQ1262" t="s">
        <v>11156</v>
      </c>
      <c r="AS1262" t="s">
        <v>11177</v>
      </c>
      <c r="AU1262">
        <v>5</v>
      </c>
      <c r="AW1262" t="s">
        <v>11189</v>
      </c>
      <c r="AZ1262" t="s">
        <v>11221</v>
      </c>
      <c r="BE1262" t="s">
        <v>12400</v>
      </c>
      <c r="BG1262" t="s">
        <v>14686</v>
      </c>
      <c r="BM1262" t="s">
        <v>15650</v>
      </c>
    </row>
    <row r="1263" spans="1:65">
      <c r="A1263" s="1">
        <f>HYPERLINK("https://lsnyc.legalserver.org/matter/dynamic-profile/view/1887686","18-1887686")</f>
        <v>0</v>
      </c>
      <c r="B1263" t="s">
        <v>118</v>
      </c>
      <c r="C1263" t="s">
        <v>246</v>
      </c>
      <c r="D1263" t="s">
        <v>559</v>
      </c>
      <c r="F1263" t="s">
        <v>1506</v>
      </c>
      <c r="G1263" t="s">
        <v>3047</v>
      </c>
      <c r="H1263" t="s">
        <v>4971</v>
      </c>
      <c r="I1263" t="s">
        <v>6563</v>
      </c>
      <c r="J1263" t="s">
        <v>7170</v>
      </c>
      <c r="K1263">
        <v>10460</v>
      </c>
      <c r="N1263" t="s">
        <v>7237</v>
      </c>
      <c r="O1263" t="s">
        <v>8121</v>
      </c>
      <c r="P1263">
        <v>1</v>
      </c>
      <c r="Q1263">
        <v>0</v>
      </c>
      <c r="R1263">
        <v>74.14</v>
      </c>
      <c r="U1263">
        <v>9000</v>
      </c>
      <c r="W1263">
        <v>0</v>
      </c>
      <c r="Y1263" t="s">
        <v>216</v>
      </c>
      <c r="AA1263" t="s">
        <v>10974</v>
      </c>
      <c r="AB1263" t="s">
        <v>370</v>
      </c>
      <c r="AD1263" t="s">
        <v>11101</v>
      </c>
      <c r="AF1263" t="s">
        <v>11118</v>
      </c>
      <c r="AH1263" t="s">
        <v>10974</v>
      </c>
      <c r="AJ1263" t="s">
        <v>11141</v>
      </c>
      <c r="AK1263" t="s">
        <v>7225</v>
      </c>
      <c r="AM1263">
        <v>260.5</v>
      </c>
      <c r="AO1263">
        <v>168</v>
      </c>
      <c r="AQ1263" t="s">
        <v>11157</v>
      </c>
      <c r="AS1263" t="s">
        <v>11174</v>
      </c>
      <c r="AU1263">
        <v>10</v>
      </c>
      <c r="AW1263" t="s">
        <v>11187</v>
      </c>
      <c r="AZ1263" t="s">
        <v>11221</v>
      </c>
      <c r="BE1263" t="s">
        <v>12428</v>
      </c>
      <c r="BG1263" t="s">
        <v>14686</v>
      </c>
      <c r="BM1263" t="s">
        <v>15650</v>
      </c>
    </row>
    <row r="1264" spans="1:65">
      <c r="A1264" s="1">
        <f>HYPERLINK("https://lsnyc.legalserver.org/matter/dynamic-profile/view/1885683","18-1885683")</f>
        <v>0</v>
      </c>
      <c r="B1264" t="s">
        <v>118</v>
      </c>
      <c r="C1264" t="s">
        <v>246</v>
      </c>
      <c r="D1264" t="s">
        <v>579</v>
      </c>
      <c r="E1264" t="s">
        <v>735</v>
      </c>
      <c r="F1264" t="s">
        <v>1718</v>
      </c>
      <c r="G1264" t="s">
        <v>3500</v>
      </c>
      <c r="H1264" t="s">
        <v>4971</v>
      </c>
      <c r="I1264" t="s">
        <v>6407</v>
      </c>
      <c r="J1264" t="s">
        <v>7170</v>
      </c>
      <c r="K1264">
        <v>10460</v>
      </c>
      <c r="L1264" t="s">
        <v>7219</v>
      </c>
      <c r="N1264" t="s">
        <v>7237</v>
      </c>
      <c r="O1264" t="s">
        <v>8094</v>
      </c>
      <c r="P1264">
        <v>2</v>
      </c>
      <c r="Q1264">
        <v>0</v>
      </c>
      <c r="R1264">
        <v>0</v>
      </c>
      <c r="U1264">
        <v>0</v>
      </c>
      <c r="W1264">
        <v>0.25</v>
      </c>
      <c r="X1264" t="s">
        <v>735</v>
      </c>
      <c r="Y1264" t="s">
        <v>10865</v>
      </c>
      <c r="AA1264" t="s">
        <v>10974</v>
      </c>
      <c r="AB1264" t="s">
        <v>370</v>
      </c>
      <c r="AD1264" t="s">
        <v>11101</v>
      </c>
      <c r="AF1264" t="s">
        <v>11118</v>
      </c>
      <c r="AH1264" t="s">
        <v>10974</v>
      </c>
      <c r="AJ1264" t="s">
        <v>11141</v>
      </c>
      <c r="AK1264" t="s">
        <v>7225</v>
      </c>
      <c r="AM1264">
        <v>1100</v>
      </c>
      <c r="AO1264">
        <v>168</v>
      </c>
      <c r="AQ1264" t="s">
        <v>11157</v>
      </c>
      <c r="AS1264" t="s">
        <v>11104</v>
      </c>
      <c r="AU1264">
        <v>4</v>
      </c>
      <c r="AW1264" t="s">
        <v>11187</v>
      </c>
      <c r="AZ1264" t="s">
        <v>11221</v>
      </c>
      <c r="BE1264" t="s">
        <v>12406</v>
      </c>
      <c r="BG1264" t="s">
        <v>14686</v>
      </c>
      <c r="BJ1264" t="s">
        <v>15615</v>
      </c>
      <c r="BM1264" t="s">
        <v>15651</v>
      </c>
    </row>
    <row r="1265" spans="1:65">
      <c r="A1265" s="1">
        <f>HYPERLINK("https://lsnyc.legalserver.org/matter/dynamic-profile/view/1886022","18-1886022")</f>
        <v>0</v>
      </c>
      <c r="B1265" t="s">
        <v>118</v>
      </c>
      <c r="C1265" t="s">
        <v>246</v>
      </c>
      <c r="D1265" t="s">
        <v>612</v>
      </c>
      <c r="F1265" t="s">
        <v>1716</v>
      </c>
      <c r="G1265" t="s">
        <v>3496</v>
      </c>
      <c r="H1265" t="s">
        <v>4971</v>
      </c>
      <c r="I1265" t="s">
        <v>6702</v>
      </c>
      <c r="J1265" t="s">
        <v>7170</v>
      </c>
      <c r="K1265">
        <v>10460</v>
      </c>
      <c r="N1265" t="s">
        <v>7237</v>
      </c>
      <c r="O1265" t="s">
        <v>8089</v>
      </c>
      <c r="P1265">
        <v>1</v>
      </c>
      <c r="Q1265">
        <v>0</v>
      </c>
      <c r="R1265">
        <v>74.14</v>
      </c>
      <c r="U1265">
        <v>9000</v>
      </c>
      <c r="W1265">
        <v>0</v>
      </c>
      <c r="Y1265" t="s">
        <v>10903</v>
      </c>
      <c r="AA1265" t="s">
        <v>10974</v>
      </c>
      <c r="AB1265" t="s">
        <v>370</v>
      </c>
      <c r="AD1265" t="s">
        <v>11086</v>
      </c>
      <c r="AF1265" t="s">
        <v>11120</v>
      </c>
      <c r="AH1265" t="s">
        <v>10974</v>
      </c>
      <c r="AJ1265" t="s">
        <v>11141</v>
      </c>
      <c r="AK1265" t="s">
        <v>7225</v>
      </c>
      <c r="AM1265">
        <v>990</v>
      </c>
      <c r="AO1265">
        <v>169</v>
      </c>
      <c r="AQ1265" t="s">
        <v>11157</v>
      </c>
      <c r="AS1265" t="s">
        <v>11174</v>
      </c>
      <c r="AU1265">
        <v>11</v>
      </c>
      <c r="AW1265" t="s">
        <v>11187</v>
      </c>
      <c r="AZ1265" t="s">
        <v>11221</v>
      </c>
      <c r="BE1265" t="s">
        <v>12401</v>
      </c>
      <c r="BF1265" t="s">
        <v>14364</v>
      </c>
      <c r="BM1265" t="s">
        <v>15650</v>
      </c>
    </row>
    <row r="1266" spans="1:65">
      <c r="A1266" s="1">
        <f>HYPERLINK("https://lsnyc.legalserver.org/matter/dynamic-profile/view/1885539","18-1885539")</f>
        <v>0</v>
      </c>
      <c r="B1266" t="s">
        <v>118</v>
      </c>
      <c r="C1266" t="s">
        <v>246</v>
      </c>
      <c r="D1266" t="s">
        <v>612</v>
      </c>
      <c r="E1266" t="s">
        <v>735</v>
      </c>
      <c r="F1266" t="s">
        <v>1728</v>
      </c>
      <c r="G1266" t="s">
        <v>1618</v>
      </c>
      <c r="H1266" t="s">
        <v>4971</v>
      </c>
      <c r="I1266" t="s">
        <v>6712</v>
      </c>
      <c r="J1266" t="s">
        <v>7170</v>
      </c>
      <c r="K1266">
        <v>10460</v>
      </c>
      <c r="L1266" t="s">
        <v>7219</v>
      </c>
      <c r="N1266" t="s">
        <v>7237</v>
      </c>
      <c r="O1266" t="s">
        <v>8115</v>
      </c>
      <c r="P1266">
        <v>1</v>
      </c>
      <c r="Q1266">
        <v>0</v>
      </c>
      <c r="R1266">
        <v>92.26000000000001</v>
      </c>
      <c r="U1266">
        <v>11200</v>
      </c>
      <c r="W1266">
        <v>0.25</v>
      </c>
      <c r="X1266" t="s">
        <v>735</v>
      </c>
      <c r="Y1266" t="s">
        <v>10903</v>
      </c>
      <c r="AA1266" t="s">
        <v>10974</v>
      </c>
      <c r="AB1266" t="s">
        <v>370</v>
      </c>
      <c r="AD1266" t="s">
        <v>11101</v>
      </c>
      <c r="AF1266" t="s">
        <v>11118</v>
      </c>
      <c r="AH1266" t="s">
        <v>10974</v>
      </c>
      <c r="AJ1266" t="s">
        <v>11141</v>
      </c>
      <c r="AK1266" t="s">
        <v>7225</v>
      </c>
      <c r="AM1266">
        <v>262</v>
      </c>
      <c r="AO1266">
        <v>169</v>
      </c>
      <c r="AQ1266" t="s">
        <v>11162</v>
      </c>
      <c r="AS1266" t="s">
        <v>11174</v>
      </c>
      <c r="AU1266">
        <v>27</v>
      </c>
      <c r="AW1266" t="s">
        <v>11187</v>
      </c>
      <c r="AZ1266" t="s">
        <v>11221</v>
      </c>
      <c r="BE1266" t="s">
        <v>12421</v>
      </c>
      <c r="BG1266" t="s">
        <v>14686</v>
      </c>
      <c r="BJ1266" t="s">
        <v>15615</v>
      </c>
      <c r="BM1266" t="s">
        <v>15651</v>
      </c>
    </row>
    <row r="1267" spans="1:65">
      <c r="A1267" s="1">
        <f>HYPERLINK("https://lsnyc.legalserver.org/matter/dynamic-profile/view/1885720","18-1885720")</f>
        <v>0</v>
      </c>
      <c r="B1267" t="s">
        <v>118</v>
      </c>
      <c r="C1267" t="s">
        <v>246</v>
      </c>
      <c r="D1267" t="s">
        <v>579</v>
      </c>
      <c r="E1267" t="s">
        <v>264</v>
      </c>
      <c r="F1267" t="s">
        <v>1723</v>
      </c>
      <c r="G1267" t="s">
        <v>1541</v>
      </c>
      <c r="H1267" t="s">
        <v>4971</v>
      </c>
      <c r="I1267" t="s">
        <v>6403</v>
      </c>
      <c r="J1267" t="s">
        <v>7170</v>
      </c>
      <c r="K1267">
        <v>10460</v>
      </c>
      <c r="L1267" t="s">
        <v>7219</v>
      </c>
      <c r="N1267" t="s">
        <v>7237</v>
      </c>
      <c r="O1267" t="s">
        <v>8106</v>
      </c>
      <c r="P1267">
        <v>1</v>
      </c>
      <c r="Q1267">
        <v>0</v>
      </c>
      <c r="R1267">
        <v>411.86</v>
      </c>
      <c r="U1267">
        <v>50000</v>
      </c>
      <c r="W1267">
        <v>0.1</v>
      </c>
      <c r="X1267" t="s">
        <v>264</v>
      </c>
      <c r="Y1267" t="s">
        <v>10865</v>
      </c>
      <c r="AA1267" t="s">
        <v>10974</v>
      </c>
      <c r="AB1267" t="s">
        <v>370</v>
      </c>
      <c r="AD1267" t="s">
        <v>11101</v>
      </c>
      <c r="AF1267" t="s">
        <v>11118</v>
      </c>
      <c r="AH1267" t="s">
        <v>10974</v>
      </c>
      <c r="AJ1267" t="s">
        <v>11141</v>
      </c>
      <c r="AK1267" t="s">
        <v>7225</v>
      </c>
      <c r="AM1267">
        <v>1169</v>
      </c>
      <c r="AO1267">
        <v>168</v>
      </c>
      <c r="AQ1267" t="s">
        <v>11160</v>
      </c>
      <c r="AS1267" t="s">
        <v>11104</v>
      </c>
      <c r="AU1267">
        <v>11</v>
      </c>
      <c r="AW1267" t="s">
        <v>11187</v>
      </c>
      <c r="AZ1267" t="s">
        <v>11221</v>
      </c>
      <c r="BD1267" t="s">
        <v>11667</v>
      </c>
      <c r="BG1267" t="s">
        <v>14686</v>
      </c>
      <c r="BJ1267" t="s">
        <v>15615</v>
      </c>
      <c r="BM1267" t="s">
        <v>15651</v>
      </c>
    </row>
    <row r="1268" spans="1:65">
      <c r="A1268" s="1">
        <f>HYPERLINK("https://lsnyc.legalserver.org/matter/dynamic-profile/view/1899837","19-1899837")</f>
        <v>0</v>
      </c>
      <c r="B1268" t="s">
        <v>118</v>
      </c>
      <c r="C1268" t="s">
        <v>246</v>
      </c>
      <c r="D1268" t="s">
        <v>382</v>
      </c>
      <c r="F1268" t="s">
        <v>1734</v>
      </c>
      <c r="G1268" t="s">
        <v>3189</v>
      </c>
      <c r="H1268" t="s">
        <v>4971</v>
      </c>
      <c r="I1268" t="s">
        <v>6716</v>
      </c>
      <c r="J1268" t="s">
        <v>7170</v>
      </c>
      <c r="K1268">
        <v>10460</v>
      </c>
      <c r="N1268" t="s">
        <v>7237</v>
      </c>
      <c r="O1268" t="s">
        <v>8122</v>
      </c>
      <c r="P1268">
        <v>2</v>
      </c>
      <c r="Q1268">
        <v>0</v>
      </c>
      <c r="R1268">
        <v>92.25</v>
      </c>
      <c r="U1268">
        <v>15600</v>
      </c>
      <c r="W1268">
        <v>0</v>
      </c>
      <c r="Y1268" t="s">
        <v>216</v>
      </c>
      <c r="AA1268" t="s">
        <v>10974</v>
      </c>
      <c r="AB1268" t="s">
        <v>10979</v>
      </c>
      <c r="AD1268" t="s">
        <v>11086</v>
      </c>
      <c r="AF1268" t="s">
        <v>11120</v>
      </c>
      <c r="AH1268" t="s">
        <v>10974</v>
      </c>
      <c r="AJ1268" t="s">
        <v>11141</v>
      </c>
      <c r="AK1268" t="s">
        <v>7225</v>
      </c>
      <c r="AM1268">
        <v>1543</v>
      </c>
      <c r="AO1268">
        <v>168</v>
      </c>
      <c r="AQ1268" t="s">
        <v>11157</v>
      </c>
      <c r="AS1268" t="s">
        <v>11174</v>
      </c>
      <c r="AU1268">
        <v>24</v>
      </c>
      <c r="AW1268" t="s">
        <v>11187</v>
      </c>
      <c r="BA1268" t="s">
        <v>11222</v>
      </c>
      <c r="BE1268" t="s">
        <v>12429</v>
      </c>
      <c r="BF1268" t="s">
        <v>14364</v>
      </c>
      <c r="BG1268" t="s">
        <v>11228</v>
      </c>
      <c r="BM1268" t="s">
        <v>15650</v>
      </c>
    </row>
    <row r="1269" spans="1:65">
      <c r="A1269" s="1">
        <f>HYPERLINK("https://lsnyc.legalserver.org/matter/dynamic-profile/view/1858775","18-1858775")</f>
        <v>0</v>
      </c>
      <c r="B1269" t="s">
        <v>118</v>
      </c>
      <c r="C1269" t="s">
        <v>246</v>
      </c>
      <c r="D1269" t="s">
        <v>680</v>
      </c>
      <c r="F1269" t="s">
        <v>1708</v>
      </c>
      <c r="G1269" t="s">
        <v>1762</v>
      </c>
      <c r="H1269" t="s">
        <v>5237</v>
      </c>
      <c r="I1269">
        <v>305</v>
      </c>
      <c r="J1269" t="s">
        <v>7170</v>
      </c>
      <c r="K1269">
        <v>10452</v>
      </c>
      <c r="N1269" t="s">
        <v>7237</v>
      </c>
      <c r="O1269" t="s">
        <v>8076</v>
      </c>
      <c r="P1269">
        <v>4</v>
      </c>
      <c r="Q1269">
        <v>0</v>
      </c>
      <c r="R1269">
        <v>38.25</v>
      </c>
      <c r="U1269">
        <v>9600</v>
      </c>
      <c r="V1269" t="s">
        <v>10306</v>
      </c>
      <c r="W1269">
        <v>93.90000000000001</v>
      </c>
      <c r="X1269" t="s">
        <v>273</v>
      </c>
      <c r="Y1269" t="s">
        <v>10866</v>
      </c>
      <c r="AA1269" t="s">
        <v>10974</v>
      </c>
      <c r="AB1269" t="s">
        <v>643</v>
      </c>
      <c r="AD1269" t="s">
        <v>11083</v>
      </c>
      <c r="AF1269" t="s">
        <v>11118</v>
      </c>
      <c r="AH1269" t="s">
        <v>10975</v>
      </c>
      <c r="AJ1269" t="s">
        <v>11128</v>
      </c>
      <c r="AK1269" t="s">
        <v>7225</v>
      </c>
      <c r="AM1269">
        <v>995</v>
      </c>
      <c r="AO1269">
        <v>163</v>
      </c>
      <c r="AQ1269" t="s">
        <v>11157</v>
      </c>
      <c r="AS1269" t="s">
        <v>11174</v>
      </c>
      <c r="AU1269">
        <v>8</v>
      </c>
      <c r="AW1269" t="s">
        <v>11189</v>
      </c>
      <c r="AZ1269" t="s">
        <v>11221</v>
      </c>
      <c r="BC1269" t="s">
        <v>11344</v>
      </c>
      <c r="BE1269" t="s">
        <v>12391</v>
      </c>
      <c r="BG1269" t="s">
        <v>14699</v>
      </c>
      <c r="BM1269" t="s">
        <v>15650</v>
      </c>
    </row>
    <row r="1270" spans="1:65">
      <c r="A1270" s="1">
        <f>HYPERLINK("https://lsnyc.legalserver.org/matter/dynamic-profile/view/1900606","19-1900606")</f>
        <v>0</v>
      </c>
      <c r="B1270" t="s">
        <v>118</v>
      </c>
      <c r="C1270" t="s">
        <v>246</v>
      </c>
      <c r="D1270" t="s">
        <v>549</v>
      </c>
      <c r="F1270" t="s">
        <v>1731</v>
      </c>
      <c r="G1270" t="s">
        <v>3059</v>
      </c>
      <c r="H1270" t="s">
        <v>4971</v>
      </c>
      <c r="I1270" t="s">
        <v>6715</v>
      </c>
      <c r="J1270" t="s">
        <v>7170</v>
      </c>
      <c r="K1270">
        <v>10460</v>
      </c>
      <c r="N1270" t="s">
        <v>7237</v>
      </c>
      <c r="O1270" t="s">
        <v>8117</v>
      </c>
      <c r="P1270">
        <v>1</v>
      </c>
      <c r="Q1270">
        <v>0</v>
      </c>
      <c r="R1270">
        <v>91.84999999999999</v>
      </c>
      <c r="U1270">
        <v>11472</v>
      </c>
      <c r="W1270">
        <v>0.5</v>
      </c>
      <c r="X1270" t="s">
        <v>570</v>
      </c>
      <c r="Y1270" t="s">
        <v>10865</v>
      </c>
      <c r="AA1270" t="s">
        <v>10974</v>
      </c>
      <c r="AB1270" t="s">
        <v>10979</v>
      </c>
      <c r="AD1270" t="s">
        <v>11086</v>
      </c>
      <c r="AF1270" t="s">
        <v>11120</v>
      </c>
      <c r="AH1270" t="s">
        <v>10974</v>
      </c>
      <c r="AJ1270" t="s">
        <v>11129</v>
      </c>
      <c r="AK1270" t="s">
        <v>7225</v>
      </c>
      <c r="AM1270">
        <v>287</v>
      </c>
      <c r="AO1270">
        <v>168</v>
      </c>
      <c r="AQ1270" t="s">
        <v>11160</v>
      </c>
      <c r="AS1270" t="s">
        <v>11174</v>
      </c>
      <c r="AU1270">
        <v>19</v>
      </c>
      <c r="AW1270" t="s">
        <v>11187</v>
      </c>
      <c r="BA1270" t="s">
        <v>11222</v>
      </c>
      <c r="BE1270" t="s">
        <v>12424</v>
      </c>
      <c r="BF1270" t="s">
        <v>14364</v>
      </c>
      <c r="BM1270" t="s">
        <v>15650</v>
      </c>
    </row>
    <row r="1271" spans="1:65">
      <c r="A1271" s="1">
        <f>HYPERLINK("https://lsnyc.legalserver.org/matter/dynamic-profile/view/1899990","19-1899990")</f>
        <v>0</v>
      </c>
      <c r="B1271" t="s">
        <v>118</v>
      </c>
      <c r="C1271" t="s">
        <v>246</v>
      </c>
      <c r="D1271" t="s">
        <v>314</v>
      </c>
      <c r="F1271" t="s">
        <v>1724</v>
      </c>
      <c r="G1271" t="s">
        <v>3512</v>
      </c>
      <c r="H1271" t="s">
        <v>4971</v>
      </c>
      <c r="I1271" t="s">
        <v>6710</v>
      </c>
      <c r="J1271" t="s">
        <v>7170</v>
      </c>
      <c r="K1271">
        <v>10460</v>
      </c>
      <c r="N1271" t="s">
        <v>7237</v>
      </c>
      <c r="O1271" t="s">
        <v>8107</v>
      </c>
      <c r="P1271">
        <v>1</v>
      </c>
      <c r="Q1271">
        <v>0</v>
      </c>
      <c r="R1271">
        <v>74.45999999999999</v>
      </c>
      <c r="U1271">
        <v>9300</v>
      </c>
      <c r="W1271">
        <v>19</v>
      </c>
      <c r="X1271" t="s">
        <v>271</v>
      </c>
      <c r="Y1271" t="s">
        <v>93</v>
      </c>
      <c r="AA1271" t="s">
        <v>10974</v>
      </c>
      <c r="AB1271" t="s">
        <v>10979</v>
      </c>
      <c r="AD1271" t="s">
        <v>11086</v>
      </c>
      <c r="AF1271" t="s">
        <v>11120</v>
      </c>
      <c r="AH1271" t="s">
        <v>10974</v>
      </c>
      <c r="AJ1271" t="s">
        <v>11141</v>
      </c>
      <c r="AK1271" t="s">
        <v>7225</v>
      </c>
      <c r="AM1271">
        <v>241</v>
      </c>
      <c r="AO1271">
        <v>168</v>
      </c>
      <c r="AQ1271" t="s">
        <v>11157</v>
      </c>
      <c r="AS1271" t="s">
        <v>11174</v>
      </c>
      <c r="AU1271">
        <v>12</v>
      </c>
      <c r="AW1271" t="s">
        <v>11187</v>
      </c>
      <c r="BA1271" t="s">
        <v>11222</v>
      </c>
      <c r="BE1271" t="s">
        <v>12417</v>
      </c>
      <c r="BF1271" t="s">
        <v>14364</v>
      </c>
      <c r="BM1271" t="s">
        <v>15650</v>
      </c>
    </row>
    <row r="1272" spans="1:65">
      <c r="A1272" s="1">
        <f>HYPERLINK("https://lsnyc.legalserver.org/matter/dynamic-profile/view/1900523","19-1900523")</f>
        <v>0</v>
      </c>
      <c r="B1272" t="s">
        <v>118</v>
      </c>
      <c r="C1272" t="s">
        <v>246</v>
      </c>
      <c r="D1272" t="s">
        <v>549</v>
      </c>
      <c r="F1272" t="s">
        <v>1650</v>
      </c>
      <c r="G1272" t="s">
        <v>3507</v>
      </c>
      <c r="H1272" t="s">
        <v>4971</v>
      </c>
      <c r="I1272" t="s">
        <v>6440</v>
      </c>
      <c r="J1272" t="s">
        <v>7170</v>
      </c>
      <c r="K1272">
        <v>10460</v>
      </c>
      <c r="N1272" t="s">
        <v>7237</v>
      </c>
      <c r="O1272" t="s">
        <v>8101</v>
      </c>
      <c r="P1272">
        <v>1</v>
      </c>
      <c r="Q1272">
        <v>0</v>
      </c>
      <c r="R1272">
        <v>39.14</v>
      </c>
      <c r="U1272">
        <v>4888</v>
      </c>
      <c r="W1272">
        <v>0</v>
      </c>
      <c r="Y1272" t="s">
        <v>10865</v>
      </c>
      <c r="AA1272" t="s">
        <v>10974</v>
      </c>
      <c r="AB1272" t="s">
        <v>10979</v>
      </c>
      <c r="AD1272" t="s">
        <v>11086</v>
      </c>
      <c r="AF1272" t="s">
        <v>11120</v>
      </c>
      <c r="AH1272" t="s">
        <v>10974</v>
      </c>
      <c r="AJ1272" t="s">
        <v>11129</v>
      </c>
      <c r="AK1272" t="s">
        <v>7225</v>
      </c>
      <c r="AM1272">
        <v>1000</v>
      </c>
      <c r="AO1272">
        <v>168</v>
      </c>
      <c r="AQ1272" t="s">
        <v>11157</v>
      </c>
      <c r="AS1272" t="s">
        <v>11173</v>
      </c>
      <c r="AU1272">
        <v>4</v>
      </c>
      <c r="AW1272" t="s">
        <v>11189</v>
      </c>
      <c r="BA1272" t="s">
        <v>11222</v>
      </c>
      <c r="BE1272" t="s">
        <v>12412</v>
      </c>
      <c r="BF1272" t="s">
        <v>14364</v>
      </c>
      <c r="BG1272" t="s">
        <v>11228</v>
      </c>
      <c r="BM1272" t="s">
        <v>15650</v>
      </c>
    </row>
    <row r="1273" spans="1:65">
      <c r="A1273" s="1">
        <f>HYPERLINK("https://lsnyc.legalserver.org/matter/dynamic-profile/view/1885747","18-1885747")</f>
        <v>0</v>
      </c>
      <c r="B1273" t="s">
        <v>118</v>
      </c>
      <c r="C1273" t="s">
        <v>246</v>
      </c>
      <c r="D1273" t="s">
        <v>579</v>
      </c>
      <c r="E1273" t="s">
        <v>264</v>
      </c>
      <c r="F1273" t="s">
        <v>1725</v>
      </c>
      <c r="G1273" t="s">
        <v>3513</v>
      </c>
      <c r="H1273" t="s">
        <v>4971</v>
      </c>
      <c r="I1273" t="s">
        <v>6585</v>
      </c>
      <c r="J1273" t="s">
        <v>7170</v>
      </c>
      <c r="K1273">
        <v>10460</v>
      </c>
      <c r="L1273" t="s">
        <v>7219</v>
      </c>
      <c r="N1273" t="s">
        <v>7237</v>
      </c>
      <c r="O1273" t="s">
        <v>8108</v>
      </c>
      <c r="P1273">
        <v>1</v>
      </c>
      <c r="Q1273">
        <v>1</v>
      </c>
      <c r="R1273">
        <v>157.64</v>
      </c>
      <c r="U1273">
        <v>25948</v>
      </c>
      <c r="W1273">
        <v>1.25</v>
      </c>
      <c r="X1273" t="s">
        <v>264</v>
      </c>
      <c r="Y1273" t="s">
        <v>10865</v>
      </c>
      <c r="AA1273" t="s">
        <v>10974</v>
      </c>
      <c r="AB1273" t="s">
        <v>370</v>
      </c>
      <c r="AD1273" t="s">
        <v>11101</v>
      </c>
      <c r="AF1273" t="s">
        <v>11118</v>
      </c>
      <c r="AH1273" t="s">
        <v>10974</v>
      </c>
      <c r="AJ1273" t="s">
        <v>11141</v>
      </c>
      <c r="AK1273" t="s">
        <v>7225</v>
      </c>
      <c r="AM1273">
        <v>970</v>
      </c>
      <c r="AO1273">
        <v>168</v>
      </c>
      <c r="AQ1273" t="s">
        <v>11157</v>
      </c>
      <c r="AS1273" t="s">
        <v>11173</v>
      </c>
      <c r="AU1273">
        <v>11</v>
      </c>
      <c r="AW1273" t="s">
        <v>11187</v>
      </c>
      <c r="AZ1273" t="s">
        <v>11221</v>
      </c>
      <c r="BE1273" t="s">
        <v>12418</v>
      </c>
      <c r="BG1273" t="s">
        <v>14686</v>
      </c>
      <c r="BJ1273" t="s">
        <v>15615</v>
      </c>
      <c r="BM1273" t="s">
        <v>15651</v>
      </c>
    </row>
    <row r="1274" spans="1:65">
      <c r="A1274" s="1">
        <f>HYPERLINK("https://lsnyc.legalserver.org/matter/dynamic-profile/view/1900023","19-1900023")</f>
        <v>0</v>
      </c>
      <c r="B1274" t="s">
        <v>118</v>
      </c>
      <c r="C1274" t="s">
        <v>246</v>
      </c>
      <c r="D1274" t="s">
        <v>314</v>
      </c>
      <c r="F1274" t="s">
        <v>1535</v>
      </c>
      <c r="G1274" t="s">
        <v>3472</v>
      </c>
      <c r="H1274" t="s">
        <v>4971</v>
      </c>
      <c r="I1274" t="s">
        <v>6690</v>
      </c>
      <c r="J1274" t="s">
        <v>7170</v>
      </c>
      <c r="K1274">
        <v>10460</v>
      </c>
      <c r="N1274" t="s">
        <v>7237</v>
      </c>
      <c r="O1274" t="s">
        <v>8059</v>
      </c>
      <c r="P1274">
        <v>1</v>
      </c>
      <c r="Q1274">
        <v>0</v>
      </c>
      <c r="R1274">
        <v>249.8</v>
      </c>
      <c r="U1274">
        <v>31200</v>
      </c>
      <c r="W1274">
        <v>0</v>
      </c>
      <c r="Y1274" t="s">
        <v>93</v>
      </c>
      <c r="AA1274" t="s">
        <v>10974</v>
      </c>
      <c r="AB1274" t="s">
        <v>10979</v>
      </c>
      <c r="AD1274" t="s">
        <v>11086</v>
      </c>
      <c r="AF1274" t="s">
        <v>11120</v>
      </c>
      <c r="AH1274" t="s">
        <v>10974</v>
      </c>
      <c r="AJ1274" t="s">
        <v>11141</v>
      </c>
      <c r="AK1274" t="s">
        <v>7225</v>
      </c>
      <c r="AM1274">
        <v>955</v>
      </c>
      <c r="AO1274">
        <v>168</v>
      </c>
      <c r="AQ1274" t="s">
        <v>11157</v>
      </c>
      <c r="AS1274" t="s">
        <v>11174</v>
      </c>
      <c r="AU1274">
        <v>34</v>
      </c>
      <c r="AW1274" t="s">
        <v>11187</v>
      </c>
      <c r="BA1274" t="s">
        <v>11222</v>
      </c>
      <c r="BE1274" t="s">
        <v>12377</v>
      </c>
      <c r="BF1274" t="s">
        <v>14364</v>
      </c>
      <c r="BM1274" t="s">
        <v>15650</v>
      </c>
    </row>
    <row r="1275" spans="1:65">
      <c r="A1275" s="1">
        <f>HYPERLINK("https://lsnyc.legalserver.org/matter/dynamic-profile/view/1888263","19-1888263")</f>
        <v>0</v>
      </c>
      <c r="B1275" t="s">
        <v>118</v>
      </c>
      <c r="C1275" t="s">
        <v>246</v>
      </c>
      <c r="D1275" t="s">
        <v>681</v>
      </c>
      <c r="F1275" t="s">
        <v>1122</v>
      </c>
      <c r="G1275" t="s">
        <v>3143</v>
      </c>
      <c r="H1275" t="s">
        <v>4976</v>
      </c>
      <c r="I1275" t="s">
        <v>6611</v>
      </c>
      <c r="J1275" t="s">
        <v>7170</v>
      </c>
      <c r="K1275">
        <v>10453</v>
      </c>
      <c r="N1275" t="s">
        <v>7237</v>
      </c>
      <c r="O1275" t="s">
        <v>8123</v>
      </c>
      <c r="P1275">
        <v>2</v>
      </c>
      <c r="Q1275">
        <v>0</v>
      </c>
      <c r="R1275">
        <v>47.39</v>
      </c>
      <c r="U1275">
        <v>7800</v>
      </c>
      <c r="W1275">
        <v>0.2</v>
      </c>
      <c r="X1275" t="s">
        <v>1010</v>
      </c>
      <c r="Y1275" t="s">
        <v>10897</v>
      </c>
      <c r="AA1275" t="s">
        <v>10974</v>
      </c>
      <c r="AB1275" t="s">
        <v>10979</v>
      </c>
      <c r="AD1275" t="s">
        <v>11086</v>
      </c>
      <c r="AF1275" t="s">
        <v>10384</v>
      </c>
      <c r="AH1275" t="s">
        <v>10974</v>
      </c>
      <c r="AJ1275" t="s">
        <v>11141</v>
      </c>
      <c r="AK1275" t="s">
        <v>7225</v>
      </c>
      <c r="AM1275">
        <v>800</v>
      </c>
      <c r="AO1275">
        <v>99</v>
      </c>
      <c r="AQ1275" t="s">
        <v>11157</v>
      </c>
      <c r="AS1275" t="s">
        <v>11174</v>
      </c>
      <c r="AU1275">
        <v>10</v>
      </c>
      <c r="AW1275" t="s">
        <v>11189</v>
      </c>
      <c r="BA1275" t="s">
        <v>11222</v>
      </c>
      <c r="BD1275" t="s">
        <v>11667</v>
      </c>
      <c r="BF1275" t="s">
        <v>14364</v>
      </c>
      <c r="BM1275" t="s">
        <v>15650</v>
      </c>
    </row>
    <row r="1276" spans="1:65">
      <c r="A1276" s="1">
        <f>HYPERLINK("https://lsnyc.legalserver.org/matter/dynamic-profile/view/1906190","19-1906190")</f>
        <v>0</v>
      </c>
      <c r="B1276" t="s">
        <v>118</v>
      </c>
      <c r="C1276" t="s">
        <v>246</v>
      </c>
      <c r="D1276" t="s">
        <v>524</v>
      </c>
      <c r="F1276" t="s">
        <v>1459</v>
      </c>
      <c r="G1276" t="s">
        <v>3516</v>
      </c>
      <c r="H1276" t="s">
        <v>4971</v>
      </c>
      <c r="I1276" t="s">
        <v>6717</v>
      </c>
      <c r="J1276" t="s">
        <v>7170</v>
      </c>
      <c r="K1276">
        <v>10460</v>
      </c>
      <c r="N1276" t="s">
        <v>7237</v>
      </c>
      <c r="O1276" t="s">
        <v>8112</v>
      </c>
      <c r="P1276">
        <v>1</v>
      </c>
      <c r="Q1276">
        <v>0</v>
      </c>
      <c r="R1276">
        <v>79.73999999999999</v>
      </c>
      <c r="U1276">
        <v>9960</v>
      </c>
      <c r="W1276">
        <v>5</v>
      </c>
      <c r="X1276" t="s">
        <v>544</v>
      </c>
      <c r="Y1276" t="s">
        <v>93</v>
      </c>
      <c r="AA1276" t="s">
        <v>10974</v>
      </c>
      <c r="AD1276" t="s">
        <v>11083</v>
      </c>
      <c r="AF1276" t="s">
        <v>11118</v>
      </c>
      <c r="AH1276" t="s">
        <v>10975</v>
      </c>
      <c r="AJ1276" t="s">
        <v>11141</v>
      </c>
      <c r="AK1276" t="s">
        <v>7225</v>
      </c>
      <c r="AM1276">
        <v>239</v>
      </c>
      <c r="AO1276">
        <v>169</v>
      </c>
      <c r="AQ1276" t="s">
        <v>11162</v>
      </c>
      <c r="AS1276" t="s">
        <v>11174</v>
      </c>
      <c r="AU1276">
        <v>45</v>
      </c>
      <c r="AV1276" t="s">
        <v>11186</v>
      </c>
      <c r="AX1276" t="s">
        <v>11212</v>
      </c>
      <c r="AZ1276" t="s">
        <v>11221</v>
      </c>
      <c r="BE1276" t="s">
        <v>12420</v>
      </c>
      <c r="BG1276" t="s">
        <v>14700</v>
      </c>
      <c r="BM1276" t="s">
        <v>15650</v>
      </c>
    </row>
    <row r="1277" spans="1:65">
      <c r="A1277" s="1">
        <f>HYPERLINK("https://lsnyc.legalserver.org/matter/dynamic-profile/view/1885716","18-1885716")</f>
        <v>0</v>
      </c>
      <c r="B1277" t="s">
        <v>118</v>
      </c>
      <c r="C1277" t="s">
        <v>246</v>
      </c>
      <c r="D1277" t="s">
        <v>579</v>
      </c>
      <c r="E1277" t="s">
        <v>735</v>
      </c>
      <c r="F1277" t="s">
        <v>1702</v>
      </c>
      <c r="G1277" t="s">
        <v>3476</v>
      </c>
      <c r="H1277" t="s">
        <v>4971</v>
      </c>
      <c r="I1277" t="s">
        <v>6573</v>
      </c>
      <c r="J1277" t="s">
        <v>7170</v>
      </c>
      <c r="K1277">
        <v>10460</v>
      </c>
      <c r="L1277" t="s">
        <v>7219</v>
      </c>
      <c r="N1277" t="s">
        <v>7237</v>
      </c>
      <c r="O1277" t="s">
        <v>8063</v>
      </c>
      <c r="P1277">
        <v>2</v>
      </c>
      <c r="Q1277">
        <v>0</v>
      </c>
      <c r="R1277">
        <v>130.86</v>
      </c>
      <c r="U1277">
        <v>21540</v>
      </c>
      <c r="W1277">
        <v>0.25</v>
      </c>
      <c r="X1277" t="s">
        <v>735</v>
      </c>
      <c r="Y1277" t="s">
        <v>10865</v>
      </c>
      <c r="AA1277" t="s">
        <v>10974</v>
      </c>
      <c r="AB1277" t="s">
        <v>370</v>
      </c>
      <c r="AD1277" t="s">
        <v>11101</v>
      </c>
      <c r="AF1277" t="s">
        <v>11118</v>
      </c>
      <c r="AH1277" t="s">
        <v>10974</v>
      </c>
      <c r="AJ1277" t="s">
        <v>11141</v>
      </c>
      <c r="AK1277" t="s">
        <v>7225</v>
      </c>
      <c r="AM1277">
        <v>1796</v>
      </c>
      <c r="AO1277">
        <v>168</v>
      </c>
      <c r="AQ1277" t="s">
        <v>11157</v>
      </c>
      <c r="AS1277" t="s">
        <v>11174</v>
      </c>
      <c r="AU1277">
        <v>23</v>
      </c>
      <c r="AW1277" t="s">
        <v>11187</v>
      </c>
      <c r="AZ1277" t="s">
        <v>11221</v>
      </c>
      <c r="BD1277" t="s">
        <v>11667</v>
      </c>
      <c r="BG1277" t="s">
        <v>14686</v>
      </c>
      <c r="BJ1277" t="s">
        <v>15615</v>
      </c>
      <c r="BM1277" t="s">
        <v>15651</v>
      </c>
    </row>
    <row r="1278" spans="1:65">
      <c r="A1278" s="1">
        <f>HYPERLINK("https://lsnyc.legalserver.org/matter/dynamic-profile/view/0831848","17-0831848")</f>
        <v>0</v>
      </c>
      <c r="B1278" t="s">
        <v>118</v>
      </c>
      <c r="C1278" t="s">
        <v>246</v>
      </c>
      <c r="D1278" t="s">
        <v>682</v>
      </c>
      <c r="E1278" t="s">
        <v>449</v>
      </c>
      <c r="F1278" t="s">
        <v>1735</v>
      </c>
      <c r="G1278" t="s">
        <v>2337</v>
      </c>
      <c r="H1278" t="s">
        <v>5248</v>
      </c>
      <c r="I1278" t="s">
        <v>6423</v>
      </c>
      <c r="J1278" t="s">
        <v>7170</v>
      </c>
      <c r="K1278">
        <v>10473</v>
      </c>
      <c r="L1278" t="s">
        <v>7219</v>
      </c>
      <c r="N1278" t="s">
        <v>7237</v>
      </c>
      <c r="O1278" t="s">
        <v>8124</v>
      </c>
      <c r="P1278">
        <v>1</v>
      </c>
      <c r="Q1278">
        <v>0</v>
      </c>
      <c r="R1278">
        <v>79.59999999999999</v>
      </c>
      <c r="S1278" t="s">
        <v>10256</v>
      </c>
      <c r="T1278" t="s">
        <v>10277</v>
      </c>
      <c r="U1278">
        <v>9600</v>
      </c>
      <c r="W1278">
        <v>144.35</v>
      </c>
      <c r="X1278" t="s">
        <v>354</v>
      </c>
      <c r="Y1278" t="s">
        <v>10900</v>
      </c>
      <c r="AA1278" t="s">
        <v>10974</v>
      </c>
      <c r="AB1278" t="s">
        <v>11011</v>
      </c>
      <c r="AD1278" t="s">
        <v>11083</v>
      </c>
      <c r="AF1278" t="s">
        <v>11118</v>
      </c>
      <c r="AH1278" t="s">
        <v>10975</v>
      </c>
      <c r="AJ1278" t="s">
        <v>11136</v>
      </c>
      <c r="AK1278" t="s">
        <v>7225</v>
      </c>
      <c r="AM1278">
        <v>834</v>
      </c>
      <c r="AO1278">
        <v>225</v>
      </c>
      <c r="AQ1278" t="s">
        <v>11157</v>
      </c>
      <c r="AS1278" t="s">
        <v>11173</v>
      </c>
      <c r="AU1278">
        <v>20</v>
      </c>
      <c r="AW1278" t="s">
        <v>11187</v>
      </c>
      <c r="AZ1278" t="s">
        <v>11221</v>
      </c>
      <c r="BE1278" t="s">
        <v>12430</v>
      </c>
      <c r="BG1278" t="s">
        <v>14701</v>
      </c>
      <c r="BH1278" t="s">
        <v>15605</v>
      </c>
      <c r="BJ1278" t="s">
        <v>15615</v>
      </c>
      <c r="BL1278" t="s">
        <v>15648</v>
      </c>
      <c r="BM1278" t="s">
        <v>15651</v>
      </c>
    </row>
    <row r="1279" spans="1:65">
      <c r="A1279" s="1">
        <f>HYPERLINK("https://lsnyc.legalserver.org/matter/dynamic-profile/view/0812112","16-0812112")</f>
        <v>0</v>
      </c>
      <c r="B1279" t="s">
        <v>118</v>
      </c>
      <c r="C1279" t="s">
        <v>246</v>
      </c>
      <c r="D1279" t="s">
        <v>468</v>
      </c>
      <c r="F1279" t="s">
        <v>1736</v>
      </c>
      <c r="G1279" t="s">
        <v>3521</v>
      </c>
      <c r="H1279" t="s">
        <v>5249</v>
      </c>
      <c r="I1279">
        <v>32</v>
      </c>
      <c r="J1279" t="s">
        <v>7170</v>
      </c>
      <c r="K1279">
        <v>10456</v>
      </c>
      <c r="M1279" t="s">
        <v>7230</v>
      </c>
      <c r="N1279" t="s">
        <v>7237</v>
      </c>
      <c r="O1279" t="s">
        <v>8125</v>
      </c>
      <c r="P1279">
        <v>1</v>
      </c>
      <c r="Q1279">
        <v>0</v>
      </c>
      <c r="R1279">
        <v>90.91</v>
      </c>
      <c r="U1279">
        <v>10800</v>
      </c>
      <c r="V1279" t="s">
        <v>10392</v>
      </c>
      <c r="W1279">
        <v>82.3</v>
      </c>
      <c r="X1279" t="s">
        <v>644</v>
      </c>
      <c r="Y1279" t="s">
        <v>10864</v>
      </c>
      <c r="Z1279" t="s">
        <v>10972</v>
      </c>
      <c r="AA1279" t="s">
        <v>10976</v>
      </c>
      <c r="AB1279" t="s">
        <v>468</v>
      </c>
      <c r="AD1279" t="s">
        <v>11083</v>
      </c>
      <c r="AF1279" t="s">
        <v>11118</v>
      </c>
      <c r="AG1279" t="s">
        <v>11124</v>
      </c>
      <c r="AI1279" t="s">
        <v>11126</v>
      </c>
      <c r="AK1279" t="s">
        <v>7225</v>
      </c>
      <c r="AM1279">
        <v>721</v>
      </c>
      <c r="AN1279" t="s">
        <v>11151</v>
      </c>
      <c r="AO1279" t="s">
        <v>11153</v>
      </c>
      <c r="AQ1279" t="s">
        <v>11157</v>
      </c>
      <c r="AR1279" t="s">
        <v>11172</v>
      </c>
      <c r="AT1279" t="s">
        <v>11184</v>
      </c>
      <c r="AU1279">
        <v>0</v>
      </c>
      <c r="AW1279" t="s">
        <v>11189</v>
      </c>
      <c r="AZ1279" t="s">
        <v>11221</v>
      </c>
      <c r="BE1279" t="s">
        <v>12431</v>
      </c>
      <c r="BG1279" t="s">
        <v>14702</v>
      </c>
      <c r="BM1279" t="s">
        <v>15650</v>
      </c>
    </row>
    <row r="1280" spans="1:65">
      <c r="A1280" s="1">
        <f>HYPERLINK("https://lsnyc.legalserver.org/matter/dynamic-profile/view/1882378","18-1882378")</f>
        <v>0</v>
      </c>
      <c r="B1280" t="s">
        <v>118</v>
      </c>
      <c r="C1280" t="s">
        <v>246</v>
      </c>
      <c r="D1280" t="s">
        <v>569</v>
      </c>
      <c r="F1280" t="s">
        <v>1737</v>
      </c>
      <c r="G1280" t="s">
        <v>3522</v>
      </c>
      <c r="H1280" t="s">
        <v>4976</v>
      </c>
      <c r="I1280" t="s">
        <v>6718</v>
      </c>
      <c r="J1280" t="s">
        <v>7170</v>
      </c>
      <c r="K1280">
        <v>10453</v>
      </c>
      <c r="N1280" t="s">
        <v>7237</v>
      </c>
      <c r="O1280" t="s">
        <v>8126</v>
      </c>
      <c r="P1280">
        <v>4</v>
      </c>
      <c r="Q1280">
        <v>1</v>
      </c>
      <c r="R1280">
        <v>220.94</v>
      </c>
      <c r="U1280">
        <v>65000</v>
      </c>
      <c r="V1280" t="s">
        <v>10385</v>
      </c>
      <c r="W1280">
        <v>0</v>
      </c>
      <c r="Y1280" t="s">
        <v>216</v>
      </c>
      <c r="AA1280" t="s">
        <v>10974</v>
      </c>
      <c r="AB1280" t="s">
        <v>10979</v>
      </c>
      <c r="AD1280" t="s">
        <v>11086</v>
      </c>
      <c r="AF1280" t="s">
        <v>10384</v>
      </c>
      <c r="AG1280" t="s">
        <v>11124</v>
      </c>
      <c r="AJ1280" t="s">
        <v>11141</v>
      </c>
      <c r="AK1280" t="s">
        <v>7225</v>
      </c>
      <c r="AM1280">
        <v>2100</v>
      </c>
      <c r="AO1280">
        <v>99</v>
      </c>
      <c r="AQ1280" t="s">
        <v>11157</v>
      </c>
      <c r="AS1280" t="s">
        <v>11173</v>
      </c>
      <c r="AU1280">
        <v>2</v>
      </c>
      <c r="AW1280" t="s">
        <v>11187</v>
      </c>
      <c r="AZ1280" t="s">
        <v>11221</v>
      </c>
      <c r="BD1280" t="s">
        <v>11667</v>
      </c>
      <c r="BF1280" t="s">
        <v>14364</v>
      </c>
      <c r="BM1280" t="s">
        <v>15650</v>
      </c>
    </row>
    <row r="1281" spans="1:65">
      <c r="A1281" s="1">
        <f>HYPERLINK("https://lsnyc.legalserver.org/matter/dynamic-profile/view/1899862","19-1899862")</f>
        <v>0</v>
      </c>
      <c r="B1281" t="s">
        <v>118</v>
      </c>
      <c r="C1281" t="s">
        <v>246</v>
      </c>
      <c r="D1281" t="s">
        <v>382</v>
      </c>
      <c r="F1281" t="s">
        <v>1713</v>
      </c>
      <c r="G1281" t="s">
        <v>3523</v>
      </c>
      <c r="H1281" t="s">
        <v>4971</v>
      </c>
      <c r="I1281" t="s">
        <v>6719</v>
      </c>
      <c r="J1281" t="s">
        <v>7170</v>
      </c>
      <c r="K1281">
        <v>10460</v>
      </c>
      <c r="N1281" t="s">
        <v>7237</v>
      </c>
      <c r="O1281" t="s">
        <v>8127</v>
      </c>
      <c r="P1281">
        <v>1</v>
      </c>
      <c r="Q1281">
        <v>2</v>
      </c>
      <c r="R1281">
        <v>23.65</v>
      </c>
      <c r="U1281">
        <v>5044</v>
      </c>
      <c r="W1281">
        <v>0</v>
      </c>
      <c r="Y1281" t="s">
        <v>216</v>
      </c>
      <c r="AA1281" t="s">
        <v>10974</v>
      </c>
      <c r="AB1281" t="s">
        <v>10979</v>
      </c>
      <c r="AD1281" t="s">
        <v>11086</v>
      </c>
      <c r="AF1281" t="s">
        <v>11120</v>
      </c>
      <c r="AH1281" t="s">
        <v>10974</v>
      </c>
      <c r="AJ1281" t="s">
        <v>11141</v>
      </c>
      <c r="AK1281" t="s">
        <v>7225</v>
      </c>
      <c r="AM1281">
        <v>400</v>
      </c>
      <c r="AO1281">
        <v>169</v>
      </c>
      <c r="AQ1281" t="s">
        <v>11157</v>
      </c>
      <c r="AS1281" t="s">
        <v>11174</v>
      </c>
      <c r="AU1281">
        <v>8</v>
      </c>
      <c r="AW1281" t="s">
        <v>11187</v>
      </c>
      <c r="BA1281" t="s">
        <v>11222</v>
      </c>
      <c r="BE1281" t="s">
        <v>12432</v>
      </c>
      <c r="BF1281" t="s">
        <v>14364</v>
      </c>
      <c r="BG1281" t="s">
        <v>11228</v>
      </c>
      <c r="BM1281" t="s">
        <v>15650</v>
      </c>
    </row>
    <row r="1282" spans="1:65">
      <c r="A1282" s="1">
        <f>HYPERLINK("https://lsnyc.legalserver.org/matter/dynamic-profile/view/1909794","19-1909794")</f>
        <v>0</v>
      </c>
      <c r="B1282" t="s">
        <v>118</v>
      </c>
      <c r="C1282" t="s">
        <v>246</v>
      </c>
      <c r="D1282" t="s">
        <v>434</v>
      </c>
      <c r="E1282" t="s">
        <v>669</v>
      </c>
      <c r="F1282" t="s">
        <v>1121</v>
      </c>
      <c r="G1282" t="s">
        <v>3524</v>
      </c>
      <c r="H1282" t="s">
        <v>5250</v>
      </c>
      <c r="J1282" t="s">
        <v>7170</v>
      </c>
      <c r="K1282">
        <v>10468</v>
      </c>
      <c r="L1282" t="s">
        <v>7216</v>
      </c>
      <c r="N1282" t="s">
        <v>7237</v>
      </c>
      <c r="O1282" t="s">
        <v>8128</v>
      </c>
      <c r="P1282">
        <v>2</v>
      </c>
      <c r="Q1282">
        <v>0</v>
      </c>
      <c r="R1282">
        <v>48.68</v>
      </c>
      <c r="U1282">
        <v>8232</v>
      </c>
      <c r="W1282">
        <v>0.5</v>
      </c>
      <c r="X1282" t="s">
        <v>669</v>
      </c>
      <c r="Y1282" t="s">
        <v>118</v>
      </c>
      <c r="AA1282" t="s">
        <v>10974</v>
      </c>
      <c r="AD1282" t="s">
        <v>11086</v>
      </c>
      <c r="AF1282" t="s">
        <v>11119</v>
      </c>
      <c r="AH1282" t="s">
        <v>10975</v>
      </c>
      <c r="AJ1282" t="s">
        <v>11141</v>
      </c>
      <c r="AK1282" t="s">
        <v>7225</v>
      </c>
      <c r="AM1282">
        <v>1090</v>
      </c>
      <c r="AO1282">
        <v>50</v>
      </c>
      <c r="AQ1282" t="s">
        <v>11157</v>
      </c>
      <c r="AS1282" t="s">
        <v>11104</v>
      </c>
      <c r="AU1282">
        <v>5</v>
      </c>
      <c r="AV1282" t="s">
        <v>11186</v>
      </c>
      <c r="AX1282" t="s">
        <v>11212</v>
      </c>
      <c r="BA1282" t="s">
        <v>11222</v>
      </c>
      <c r="BB1282" t="s">
        <v>11224</v>
      </c>
      <c r="BC1282" t="s">
        <v>11350</v>
      </c>
      <c r="BE1282" t="s">
        <v>12433</v>
      </c>
      <c r="BF1282" t="s">
        <v>14364</v>
      </c>
      <c r="BM1282" t="s">
        <v>15651</v>
      </c>
    </row>
    <row r="1283" spans="1:65">
      <c r="A1283" s="1">
        <f>HYPERLINK("https://lsnyc.legalserver.org/matter/dynamic-profile/view/1886506","18-1886506")</f>
        <v>0</v>
      </c>
      <c r="B1283" t="s">
        <v>118</v>
      </c>
      <c r="C1283" t="s">
        <v>246</v>
      </c>
      <c r="D1283" t="s">
        <v>551</v>
      </c>
      <c r="F1283" t="s">
        <v>1625</v>
      </c>
      <c r="G1283" t="s">
        <v>3525</v>
      </c>
      <c r="H1283" t="s">
        <v>4971</v>
      </c>
      <c r="J1283" t="s">
        <v>7170</v>
      </c>
      <c r="K1283">
        <v>10460</v>
      </c>
      <c r="N1283" t="s">
        <v>7237</v>
      </c>
      <c r="O1283" t="s">
        <v>8129</v>
      </c>
      <c r="P1283">
        <v>1</v>
      </c>
      <c r="Q1283">
        <v>0</v>
      </c>
      <c r="R1283">
        <v>494.11</v>
      </c>
      <c r="U1283">
        <v>59985</v>
      </c>
      <c r="W1283">
        <v>0</v>
      </c>
      <c r="Y1283" t="s">
        <v>10865</v>
      </c>
      <c r="AA1283" t="s">
        <v>10974</v>
      </c>
      <c r="AB1283" t="s">
        <v>370</v>
      </c>
      <c r="AD1283" t="s">
        <v>11101</v>
      </c>
      <c r="AF1283" t="s">
        <v>11118</v>
      </c>
      <c r="AH1283" t="s">
        <v>10974</v>
      </c>
      <c r="AJ1283" t="s">
        <v>11141</v>
      </c>
      <c r="AK1283" t="s">
        <v>7225</v>
      </c>
      <c r="AM1283">
        <v>1367</v>
      </c>
      <c r="AN1283" t="s">
        <v>11151</v>
      </c>
      <c r="AO1283" t="s">
        <v>11153</v>
      </c>
      <c r="AQ1283" t="s">
        <v>11164</v>
      </c>
      <c r="AS1283" t="s">
        <v>11173</v>
      </c>
      <c r="AU1283">
        <v>34</v>
      </c>
      <c r="AW1283" t="s">
        <v>11187</v>
      </c>
      <c r="AZ1283" t="s">
        <v>11221</v>
      </c>
      <c r="BE1283" t="s">
        <v>12434</v>
      </c>
      <c r="BG1283" t="s">
        <v>14686</v>
      </c>
      <c r="BM1283" t="s">
        <v>15650</v>
      </c>
    </row>
    <row r="1284" spans="1:65">
      <c r="A1284" s="1">
        <f>HYPERLINK("https://lsnyc.legalserver.org/matter/dynamic-profile/view/1882375","18-1882375")</f>
        <v>0</v>
      </c>
      <c r="B1284" t="s">
        <v>118</v>
      </c>
      <c r="C1284" t="s">
        <v>246</v>
      </c>
      <c r="D1284" t="s">
        <v>569</v>
      </c>
      <c r="F1284" t="s">
        <v>1738</v>
      </c>
      <c r="G1284" t="s">
        <v>3220</v>
      </c>
      <c r="H1284" t="s">
        <v>4976</v>
      </c>
      <c r="I1284" t="s">
        <v>6720</v>
      </c>
      <c r="J1284" t="s">
        <v>7170</v>
      </c>
      <c r="K1284">
        <v>10453</v>
      </c>
      <c r="N1284" t="s">
        <v>7237</v>
      </c>
      <c r="O1284" t="s">
        <v>8130</v>
      </c>
      <c r="P1284">
        <v>2</v>
      </c>
      <c r="Q1284">
        <v>0</v>
      </c>
      <c r="R1284">
        <v>63.18</v>
      </c>
      <c r="U1284">
        <v>10400</v>
      </c>
      <c r="V1284" t="s">
        <v>10385</v>
      </c>
      <c r="W1284">
        <v>0</v>
      </c>
      <c r="Y1284" t="s">
        <v>216</v>
      </c>
      <c r="AA1284" t="s">
        <v>10974</v>
      </c>
      <c r="AB1284" t="s">
        <v>10979</v>
      </c>
      <c r="AD1284" t="s">
        <v>11086</v>
      </c>
      <c r="AF1284" t="s">
        <v>10384</v>
      </c>
      <c r="AG1284" t="s">
        <v>11124</v>
      </c>
      <c r="AJ1284" t="s">
        <v>11141</v>
      </c>
      <c r="AK1284" t="s">
        <v>7225</v>
      </c>
      <c r="AM1284">
        <v>1612</v>
      </c>
      <c r="AO1284">
        <v>99</v>
      </c>
      <c r="AP1284" t="s">
        <v>11155</v>
      </c>
      <c r="AS1284" t="s">
        <v>11174</v>
      </c>
      <c r="AU1284">
        <v>9</v>
      </c>
      <c r="AW1284" t="s">
        <v>11189</v>
      </c>
      <c r="BA1284" t="s">
        <v>11222</v>
      </c>
      <c r="BE1284" t="s">
        <v>12435</v>
      </c>
      <c r="BF1284" t="s">
        <v>14364</v>
      </c>
      <c r="BM1284" t="s">
        <v>15650</v>
      </c>
    </row>
    <row r="1285" spans="1:65">
      <c r="A1285" s="1">
        <f>HYPERLINK("https://lsnyc.legalserver.org/matter/dynamic-profile/view/1869473","18-1869473")</f>
        <v>0</v>
      </c>
      <c r="B1285" t="s">
        <v>118</v>
      </c>
      <c r="C1285" t="s">
        <v>246</v>
      </c>
      <c r="D1285" t="s">
        <v>392</v>
      </c>
      <c r="F1285" t="s">
        <v>1282</v>
      </c>
      <c r="G1285" t="s">
        <v>3526</v>
      </c>
      <c r="H1285" t="s">
        <v>5251</v>
      </c>
      <c r="I1285" t="s">
        <v>6412</v>
      </c>
      <c r="J1285" t="s">
        <v>7170</v>
      </c>
      <c r="K1285">
        <v>10459</v>
      </c>
      <c r="N1285" t="s">
        <v>7237</v>
      </c>
      <c r="O1285" t="s">
        <v>8131</v>
      </c>
      <c r="P1285">
        <v>1</v>
      </c>
      <c r="Q1285">
        <v>0</v>
      </c>
      <c r="R1285">
        <v>171.33</v>
      </c>
      <c r="U1285">
        <v>20800</v>
      </c>
      <c r="W1285">
        <v>20.07</v>
      </c>
      <c r="X1285" t="s">
        <v>553</v>
      </c>
      <c r="Y1285" t="s">
        <v>10865</v>
      </c>
      <c r="AA1285" t="s">
        <v>10974</v>
      </c>
      <c r="AB1285" t="s">
        <v>392</v>
      </c>
      <c r="AD1285" t="s">
        <v>11082</v>
      </c>
      <c r="AF1285" t="s">
        <v>11118</v>
      </c>
      <c r="AH1285" t="s">
        <v>10975</v>
      </c>
      <c r="AJ1285" t="s">
        <v>11135</v>
      </c>
      <c r="AK1285" t="s">
        <v>7225</v>
      </c>
      <c r="AM1285">
        <v>1200</v>
      </c>
      <c r="AO1285">
        <v>69</v>
      </c>
      <c r="AQ1285" t="s">
        <v>11157</v>
      </c>
      <c r="AS1285" t="s">
        <v>11181</v>
      </c>
      <c r="AU1285">
        <v>1</v>
      </c>
      <c r="AV1285" t="s">
        <v>11186</v>
      </c>
      <c r="AZ1285" t="s">
        <v>11221</v>
      </c>
      <c r="BC1285" t="s">
        <v>11351</v>
      </c>
      <c r="BE1285" t="s">
        <v>12436</v>
      </c>
      <c r="BG1285" t="s">
        <v>14703</v>
      </c>
      <c r="BM1285" t="s">
        <v>15650</v>
      </c>
    </row>
    <row r="1286" spans="1:65">
      <c r="A1286" s="1">
        <f>HYPERLINK("https://lsnyc.legalserver.org/matter/dynamic-profile/view/1886679","18-1886679")</f>
        <v>0</v>
      </c>
      <c r="B1286" t="s">
        <v>118</v>
      </c>
      <c r="C1286" t="s">
        <v>246</v>
      </c>
      <c r="D1286" t="s">
        <v>559</v>
      </c>
      <c r="F1286" t="s">
        <v>1710</v>
      </c>
      <c r="G1286" t="s">
        <v>3488</v>
      </c>
      <c r="H1286" t="s">
        <v>4971</v>
      </c>
      <c r="I1286" t="s">
        <v>6698</v>
      </c>
      <c r="J1286" t="s">
        <v>7170</v>
      </c>
      <c r="K1286">
        <v>10460</v>
      </c>
      <c r="N1286" t="s">
        <v>7237</v>
      </c>
      <c r="O1286" t="s">
        <v>8080</v>
      </c>
      <c r="P1286">
        <v>1</v>
      </c>
      <c r="Q1286">
        <v>0</v>
      </c>
      <c r="R1286">
        <v>101.02</v>
      </c>
      <c r="U1286">
        <v>12264</v>
      </c>
      <c r="W1286">
        <v>0</v>
      </c>
      <c r="Y1286" t="s">
        <v>10903</v>
      </c>
      <c r="AA1286" t="s">
        <v>10974</v>
      </c>
      <c r="AB1286" t="s">
        <v>370</v>
      </c>
      <c r="AD1286" t="s">
        <v>11101</v>
      </c>
      <c r="AF1286" t="s">
        <v>11118</v>
      </c>
      <c r="AH1286" t="s">
        <v>10974</v>
      </c>
      <c r="AJ1286" t="s">
        <v>11141</v>
      </c>
      <c r="AK1286" t="s">
        <v>7225</v>
      </c>
      <c r="AM1286">
        <v>397</v>
      </c>
      <c r="AO1286">
        <v>168</v>
      </c>
      <c r="AQ1286" t="s">
        <v>11157</v>
      </c>
      <c r="AS1286" t="s">
        <v>11174</v>
      </c>
      <c r="AU1286">
        <v>5</v>
      </c>
      <c r="AW1286" t="s">
        <v>11189</v>
      </c>
      <c r="AZ1286" t="s">
        <v>11221</v>
      </c>
      <c r="BE1286" t="s">
        <v>12394</v>
      </c>
      <c r="BG1286" t="s">
        <v>14686</v>
      </c>
      <c r="BM1286" t="s">
        <v>15650</v>
      </c>
    </row>
    <row r="1287" spans="1:65">
      <c r="A1287" s="1">
        <f>HYPERLINK("https://lsnyc.legalserver.org/matter/dynamic-profile/view/1900025","19-1900025")</f>
        <v>0</v>
      </c>
      <c r="B1287" t="s">
        <v>118</v>
      </c>
      <c r="C1287" t="s">
        <v>246</v>
      </c>
      <c r="D1287" t="s">
        <v>314</v>
      </c>
      <c r="F1287" t="s">
        <v>1280</v>
      </c>
      <c r="G1287" t="s">
        <v>3060</v>
      </c>
      <c r="H1287" t="s">
        <v>4971</v>
      </c>
      <c r="I1287" t="s">
        <v>6693</v>
      </c>
      <c r="J1287" t="s">
        <v>7170</v>
      </c>
      <c r="K1287">
        <v>10460</v>
      </c>
      <c r="N1287" t="s">
        <v>7237</v>
      </c>
      <c r="O1287" t="s">
        <v>8066</v>
      </c>
      <c r="P1287">
        <v>1</v>
      </c>
      <c r="Q1287">
        <v>0</v>
      </c>
      <c r="R1287">
        <v>112.89</v>
      </c>
      <c r="U1287">
        <v>14100</v>
      </c>
      <c r="W1287">
        <v>0</v>
      </c>
      <c r="Y1287" t="s">
        <v>93</v>
      </c>
      <c r="AA1287" t="s">
        <v>10974</v>
      </c>
      <c r="AB1287" t="s">
        <v>10979</v>
      </c>
      <c r="AD1287" t="s">
        <v>11086</v>
      </c>
      <c r="AF1287" t="s">
        <v>11120</v>
      </c>
      <c r="AH1287" t="s">
        <v>10974</v>
      </c>
      <c r="AJ1287" t="s">
        <v>11141</v>
      </c>
      <c r="AK1287" t="s">
        <v>7225</v>
      </c>
      <c r="AM1287">
        <v>343</v>
      </c>
      <c r="AO1287">
        <v>168</v>
      </c>
      <c r="AQ1287" t="s">
        <v>11157</v>
      </c>
      <c r="AS1287" t="s">
        <v>11174</v>
      </c>
      <c r="AU1287">
        <v>1</v>
      </c>
      <c r="AW1287" t="s">
        <v>11189</v>
      </c>
      <c r="BA1287" t="s">
        <v>11222</v>
      </c>
      <c r="BE1287" t="s">
        <v>12383</v>
      </c>
      <c r="BF1287" t="s">
        <v>14364</v>
      </c>
      <c r="BM1287" t="s">
        <v>15650</v>
      </c>
    </row>
    <row r="1288" spans="1:65">
      <c r="A1288" s="1">
        <f>HYPERLINK("https://lsnyc.legalserver.org/matter/dynamic-profile/view/1886706","18-1886706")</f>
        <v>0</v>
      </c>
      <c r="B1288" t="s">
        <v>118</v>
      </c>
      <c r="C1288" t="s">
        <v>246</v>
      </c>
      <c r="D1288" t="s">
        <v>566</v>
      </c>
      <c r="F1288" t="s">
        <v>1379</v>
      </c>
      <c r="G1288" t="s">
        <v>3094</v>
      </c>
      <c r="H1288" t="s">
        <v>4971</v>
      </c>
      <c r="I1288" t="s">
        <v>6721</v>
      </c>
      <c r="J1288" t="s">
        <v>7170</v>
      </c>
      <c r="K1288">
        <v>10460</v>
      </c>
      <c r="N1288" t="s">
        <v>7237</v>
      </c>
      <c r="O1288" t="s">
        <v>8132</v>
      </c>
      <c r="P1288">
        <v>2</v>
      </c>
      <c r="Q1288">
        <v>1</v>
      </c>
      <c r="R1288">
        <v>174.45</v>
      </c>
      <c r="U1288">
        <v>36250</v>
      </c>
      <c r="W1288">
        <v>0</v>
      </c>
      <c r="Y1288" t="s">
        <v>10903</v>
      </c>
      <c r="AA1288" t="s">
        <v>10974</v>
      </c>
      <c r="AB1288" t="s">
        <v>370</v>
      </c>
      <c r="AD1288" t="s">
        <v>11101</v>
      </c>
      <c r="AF1288" t="s">
        <v>11118</v>
      </c>
      <c r="AH1288" t="s">
        <v>10974</v>
      </c>
      <c r="AJ1288" t="s">
        <v>11141</v>
      </c>
      <c r="AK1288" t="s">
        <v>7225</v>
      </c>
      <c r="AM1288">
        <v>751</v>
      </c>
      <c r="AO1288">
        <v>168</v>
      </c>
      <c r="AQ1288" t="s">
        <v>11164</v>
      </c>
      <c r="AS1288" t="s">
        <v>11174</v>
      </c>
      <c r="AU1288">
        <v>15</v>
      </c>
      <c r="AW1288" t="s">
        <v>11187</v>
      </c>
      <c r="AZ1288" t="s">
        <v>11221</v>
      </c>
      <c r="BE1288" t="s">
        <v>12437</v>
      </c>
      <c r="BG1288" t="s">
        <v>14686</v>
      </c>
      <c r="BM1288" t="s">
        <v>15650</v>
      </c>
    </row>
    <row r="1289" spans="1:65">
      <c r="A1289" s="1">
        <f>HYPERLINK("https://lsnyc.legalserver.org/matter/dynamic-profile/view/1867739","18-1867739")</f>
        <v>0</v>
      </c>
      <c r="B1289" t="s">
        <v>118</v>
      </c>
      <c r="C1289" t="s">
        <v>246</v>
      </c>
      <c r="D1289" t="s">
        <v>683</v>
      </c>
      <c r="E1289" t="s">
        <v>548</v>
      </c>
      <c r="F1289" t="s">
        <v>1407</v>
      </c>
      <c r="G1289" t="s">
        <v>3527</v>
      </c>
      <c r="H1289" t="s">
        <v>5252</v>
      </c>
      <c r="I1289" t="s">
        <v>6611</v>
      </c>
      <c r="J1289" t="s">
        <v>7170</v>
      </c>
      <c r="K1289">
        <v>10459</v>
      </c>
      <c r="L1289" t="s">
        <v>7219</v>
      </c>
      <c r="N1289" t="s">
        <v>7237</v>
      </c>
      <c r="O1289" t="s">
        <v>8133</v>
      </c>
      <c r="P1289">
        <v>2</v>
      </c>
      <c r="Q1289">
        <v>1</v>
      </c>
      <c r="R1289">
        <v>17.44</v>
      </c>
      <c r="U1289">
        <v>3624</v>
      </c>
      <c r="V1289" t="s">
        <v>10393</v>
      </c>
      <c r="W1289">
        <v>8.85</v>
      </c>
      <c r="X1289" t="s">
        <v>405</v>
      </c>
      <c r="Y1289" t="s">
        <v>10865</v>
      </c>
      <c r="AA1289" t="s">
        <v>10974</v>
      </c>
      <c r="AB1289" t="s">
        <v>939</v>
      </c>
      <c r="AD1289" t="s">
        <v>11082</v>
      </c>
      <c r="AF1289" t="s">
        <v>11118</v>
      </c>
      <c r="AH1289" t="s">
        <v>10975</v>
      </c>
      <c r="AJ1289" t="s">
        <v>11140</v>
      </c>
      <c r="AK1289" t="s">
        <v>7225</v>
      </c>
      <c r="AM1289">
        <v>1751</v>
      </c>
      <c r="AO1289">
        <v>64</v>
      </c>
      <c r="AQ1289" t="s">
        <v>11157</v>
      </c>
      <c r="AS1289" t="s">
        <v>11179</v>
      </c>
      <c r="AU1289">
        <v>28</v>
      </c>
      <c r="AW1289" t="s">
        <v>11189</v>
      </c>
      <c r="AZ1289" t="s">
        <v>11221</v>
      </c>
      <c r="BE1289" t="s">
        <v>12438</v>
      </c>
      <c r="BG1289" t="s">
        <v>14704</v>
      </c>
      <c r="BH1289" t="s">
        <v>15605</v>
      </c>
      <c r="BJ1289" t="s">
        <v>15615</v>
      </c>
      <c r="BL1289" t="s">
        <v>15648</v>
      </c>
      <c r="BM1289" t="s">
        <v>15651</v>
      </c>
    </row>
    <row r="1290" spans="1:65">
      <c r="A1290" s="1">
        <f>HYPERLINK("https://lsnyc.legalserver.org/matter/dynamic-profile/view/1888402","19-1888402")</f>
        <v>0</v>
      </c>
      <c r="B1290" t="s">
        <v>118</v>
      </c>
      <c r="C1290" t="s">
        <v>246</v>
      </c>
      <c r="D1290" t="s">
        <v>484</v>
      </c>
      <c r="F1290" t="s">
        <v>1739</v>
      </c>
      <c r="G1290" t="s">
        <v>2985</v>
      </c>
      <c r="H1290" t="s">
        <v>4976</v>
      </c>
      <c r="I1290" t="s">
        <v>6477</v>
      </c>
      <c r="J1290" t="s">
        <v>7170</v>
      </c>
      <c r="K1290">
        <v>10453</v>
      </c>
      <c r="N1290" t="s">
        <v>7237</v>
      </c>
      <c r="O1290" t="s">
        <v>8134</v>
      </c>
      <c r="P1290">
        <v>2</v>
      </c>
      <c r="Q1290">
        <v>0</v>
      </c>
      <c r="R1290">
        <v>109.36</v>
      </c>
      <c r="U1290">
        <v>18000</v>
      </c>
      <c r="W1290">
        <v>0</v>
      </c>
      <c r="Y1290" t="s">
        <v>10897</v>
      </c>
      <c r="AA1290" t="s">
        <v>10974</v>
      </c>
      <c r="AB1290" t="s">
        <v>10979</v>
      </c>
      <c r="AD1290" t="s">
        <v>11086</v>
      </c>
      <c r="AF1290" t="s">
        <v>10384</v>
      </c>
      <c r="AH1290" t="s">
        <v>10974</v>
      </c>
      <c r="AJ1290" t="s">
        <v>11141</v>
      </c>
      <c r="AK1290" t="s">
        <v>7225</v>
      </c>
      <c r="AM1290">
        <v>1507.78</v>
      </c>
      <c r="AO1290">
        <v>99</v>
      </c>
      <c r="AP1290" t="s">
        <v>11155</v>
      </c>
      <c r="AS1290" t="s">
        <v>11174</v>
      </c>
      <c r="AU1290">
        <v>10</v>
      </c>
      <c r="AW1290" t="s">
        <v>11187</v>
      </c>
      <c r="BA1290" t="s">
        <v>11222</v>
      </c>
      <c r="BC1290" t="s">
        <v>11352</v>
      </c>
      <c r="BE1290" t="s">
        <v>12439</v>
      </c>
      <c r="BF1290" t="s">
        <v>14364</v>
      </c>
      <c r="BM1290" t="s">
        <v>15650</v>
      </c>
    </row>
    <row r="1291" spans="1:65">
      <c r="A1291" s="1">
        <f>HYPERLINK("https://lsnyc.legalserver.org/matter/dynamic-profile/view/1902984","19-1902984")</f>
        <v>0</v>
      </c>
      <c r="B1291" t="s">
        <v>118</v>
      </c>
      <c r="C1291" t="s">
        <v>246</v>
      </c>
      <c r="D1291" t="s">
        <v>611</v>
      </c>
      <c r="F1291" t="s">
        <v>1280</v>
      </c>
      <c r="G1291" t="s">
        <v>3060</v>
      </c>
      <c r="H1291" t="s">
        <v>4971</v>
      </c>
      <c r="I1291" t="s">
        <v>6693</v>
      </c>
      <c r="J1291" t="s">
        <v>7170</v>
      </c>
      <c r="K1291">
        <v>10460</v>
      </c>
      <c r="N1291" t="s">
        <v>7237</v>
      </c>
      <c r="O1291" t="s">
        <v>8066</v>
      </c>
      <c r="P1291">
        <v>1</v>
      </c>
      <c r="Q1291">
        <v>0</v>
      </c>
      <c r="R1291">
        <v>112.89</v>
      </c>
      <c r="U1291">
        <v>14100</v>
      </c>
      <c r="V1291" t="s">
        <v>10394</v>
      </c>
      <c r="W1291">
        <v>4.2</v>
      </c>
      <c r="X1291" t="s">
        <v>728</v>
      </c>
      <c r="Y1291" t="s">
        <v>216</v>
      </c>
      <c r="Z1291" t="s">
        <v>10972</v>
      </c>
      <c r="AA1291" t="s">
        <v>10976</v>
      </c>
      <c r="AD1291" t="s">
        <v>11082</v>
      </c>
      <c r="AF1291" t="s">
        <v>11118</v>
      </c>
      <c r="AH1291" t="s">
        <v>10975</v>
      </c>
      <c r="AJ1291" t="s">
        <v>11129</v>
      </c>
      <c r="AK1291" t="s">
        <v>7225</v>
      </c>
      <c r="AM1291">
        <v>343</v>
      </c>
      <c r="AO1291">
        <v>169</v>
      </c>
      <c r="AP1291" t="s">
        <v>11155</v>
      </c>
      <c r="AS1291" t="s">
        <v>11174</v>
      </c>
      <c r="AU1291">
        <v>1</v>
      </c>
      <c r="AW1291" t="s">
        <v>11189</v>
      </c>
      <c r="AX1291" t="s">
        <v>11212</v>
      </c>
      <c r="AZ1291" t="s">
        <v>11221</v>
      </c>
      <c r="BD1291" t="s">
        <v>11667</v>
      </c>
      <c r="BG1291" t="s">
        <v>14705</v>
      </c>
      <c r="BM1291" t="s">
        <v>15650</v>
      </c>
    </row>
    <row r="1292" spans="1:65">
      <c r="A1292" s="1">
        <f>HYPERLINK("https://lsnyc.legalserver.org/matter/dynamic-profile/view/1900037","19-1900037")</f>
        <v>0</v>
      </c>
      <c r="B1292" t="s">
        <v>118</v>
      </c>
      <c r="C1292" t="s">
        <v>246</v>
      </c>
      <c r="D1292" t="s">
        <v>314</v>
      </c>
      <c r="F1292" t="s">
        <v>1714</v>
      </c>
      <c r="G1292" t="s">
        <v>3493</v>
      </c>
      <c r="H1292" t="s">
        <v>4971</v>
      </c>
      <c r="I1292" t="s">
        <v>6413</v>
      </c>
      <c r="J1292" t="s">
        <v>7170</v>
      </c>
      <c r="K1292">
        <v>10460</v>
      </c>
      <c r="N1292" t="s">
        <v>7237</v>
      </c>
      <c r="O1292" t="s">
        <v>8086</v>
      </c>
      <c r="P1292">
        <v>1</v>
      </c>
      <c r="Q1292">
        <v>0</v>
      </c>
      <c r="R1292">
        <v>196.77</v>
      </c>
      <c r="U1292">
        <v>24576</v>
      </c>
      <c r="W1292">
        <v>0</v>
      </c>
      <c r="Y1292" t="s">
        <v>10897</v>
      </c>
      <c r="AA1292" t="s">
        <v>10974</v>
      </c>
      <c r="AB1292" t="s">
        <v>10979</v>
      </c>
      <c r="AD1292" t="s">
        <v>11086</v>
      </c>
      <c r="AF1292" t="s">
        <v>11120</v>
      </c>
      <c r="AH1292" t="s">
        <v>10974</v>
      </c>
      <c r="AJ1292" t="s">
        <v>11141</v>
      </c>
      <c r="AK1292" t="s">
        <v>7225</v>
      </c>
      <c r="AM1292">
        <v>582</v>
      </c>
      <c r="AO1292">
        <v>168</v>
      </c>
      <c r="AQ1292" t="s">
        <v>11157</v>
      </c>
      <c r="AS1292" t="s">
        <v>11174</v>
      </c>
      <c r="AU1292">
        <v>3</v>
      </c>
      <c r="AW1292" t="s">
        <v>11187</v>
      </c>
      <c r="BA1292" t="s">
        <v>11222</v>
      </c>
      <c r="BD1292" t="s">
        <v>11667</v>
      </c>
      <c r="BF1292" t="s">
        <v>14364</v>
      </c>
      <c r="BM1292" t="s">
        <v>15650</v>
      </c>
    </row>
    <row r="1293" spans="1:65">
      <c r="A1293" s="1">
        <f>HYPERLINK("https://lsnyc.legalserver.org/matter/dynamic-profile/view/1899902","19-1899902")</f>
        <v>0</v>
      </c>
      <c r="B1293" t="s">
        <v>118</v>
      </c>
      <c r="C1293" t="s">
        <v>246</v>
      </c>
      <c r="D1293" t="s">
        <v>382</v>
      </c>
      <c r="F1293" t="s">
        <v>1740</v>
      </c>
      <c r="G1293" t="s">
        <v>1541</v>
      </c>
      <c r="H1293" t="s">
        <v>4971</v>
      </c>
      <c r="I1293" t="s">
        <v>6552</v>
      </c>
      <c r="J1293" t="s">
        <v>7170</v>
      </c>
      <c r="K1293">
        <v>10460</v>
      </c>
      <c r="N1293" t="s">
        <v>7237</v>
      </c>
      <c r="O1293" t="s">
        <v>8135</v>
      </c>
      <c r="P1293">
        <v>1</v>
      </c>
      <c r="Q1293">
        <v>1</v>
      </c>
      <c r="R1293">
        <v>280.9</v>
      </c>
      <c r="U1293">
        <v>47500</v>
      </c>
      <c r="W1293">
        <v>0</v>
      </c>
      <c r="Y1293" t="s">
        <v>93</v>
      </c>
      <c r="AA1293" t="s">
        <v>10974</v>
      </c>
      <c r="AB1293" t="s">
        <v>10979</v>
      </c>
      <c r="AD1293" t="s">
        <v>11086</v>
      </c>
      <c r="AF1293" t="s">
        <v>11120</v>
      </c>
      <c r="AH1293" t="s">
        <v>10974</v>
      </c>
      <c r="AJ1293" t="s">
        <v>11141</v>
      </c>
      <c r="AK1293" t="s">
        <v>7225</v>
      </c>
      <c r="AM1293">
        <v>1071</v>
      </c>
      <c r="AO1293">
        <v>168</v>
      </c>
      <c r="AQ1293" t="s">
        <v>11164</v>
      </c>
      <c r="AS1293" t="s">
        <v>11174</v>
      </c>
      <c r="AU1293">
        <v>10</v>
      </c>
      <c r="AW1293" t="s">
        <v>11187</v>
      </c>
      <c r="BA1293" t="s">
        <v>11222</v>
      </c>
      <c r="BE1293" t="s">
        <v>12440</v>
      </c>
      <c r="BF1293" t="s">
        <v>14364</v>
      </c>
      <c r="BG1293" t="s">
        <v>14706</v>
      </c>
      <c r="BM1293" t="s">
        <v>15650</v>
      </c>
    </row>
    <row r="1294" spans="1:65">
      <c r="A1294" s="1">
        <f>HYPERLINK("https://lsnyc.legalserver.org/matter/dynamic-profile/view/1915495","19-1915495")</f>
        <v>0</v>
      </c>
      <c r="B1294" t="s">
        <v>118</v>
      </c>
      <c r="C1294" t="s">
        <v>246</v>
      </c>
      <c r="D1294" t="s">
        <v>669</v>
      </c>
      <c r="E1294" t="s">
        <v>669</v>
      </c>
      <c r="F1294" t="s">
        <v>1149</v>
      </c>
      <c r="G1294" t="s">
        <v>2877</v>
      </c>
      <c r="H1294" t="s">
        <v>5253</v>
      </c>
      <c r="J1294" t="s">
        <v>7170</v>
      </c>
      <c r="K1294">
        <v>10453</v>
      </c>
      <c r="L1294" t="s">
        <v>7216</v>
      </c>
      <c r="N1294" t="s">
        <v>7237</v>
      </c>
      <c r="O1294" t="s">
        <v>8136</v>
      </c>
      <c r="P1294">
        <v>1</v>
      </c>
      <c r="Q1294">
        <v>0</v>
      </c>
      <c r="R1294">
        <v>64.18000000000001</v>
      </c>
      <c r="U1294">
        <v>8016</v>
      </c>
      <c r="W1294">
        <v>0.5</v>
      </c>
      <c r="X1294" t="s">
        <v>669</v>
      </c>
      <c r="Y1294" t="s">
        <v>118</v>
      </c>
      <c r="AA1294" t="s">
        <v>10974</v>
      </c>
      <c r="AD1294" t="s">
        <v>11102</v>
      </c>
      <c r="AF1294" t="s">
        <v>11119</v>
      </c>
      <c r="AH1294" t="s">
        <v>10975</v>
      </c>
      <c r="AJ1294" t="s">
        <v>11141</v>
      </c>
      <c r="AK1294" t="s">
        <v>7225</v>
      </c>
      <c r="AM1294">
        <v>1109</v>
      </c>
      <c r="AO1294">
        <v>30</v>
      </c>
      <c r="AP1294" t="s">
        <v>11155</v>
      </c>
      <c r="AR1294" t="s">
        <v>11172</v>
      </c>
      <c r="AU1294">
        <v>20</v>
      </c>
      <c r="AW1294" t="s">
        <v>11189</v>
      </c>
      <c r="AY1294" t="s">
        <v>11213</v>
      </c>
      <c r="BA1294" t="s">
        <v>11222</v>
      </c>
      <c r="BE1294" t="s">
        <v>12441</v>
      </c>
      <c r="BF1294" t="s">
        <v>14364</v>
      </c>
      <c r="BG1294" t="s">
        <v>14707</v>
      </c>
      <c r="BM1294" t="s">
        <v>15651</v>
      </c>
    </row>
    <row r="1295" spans="1:65">
      <c r="A1295" s="1">
        <f>HYPERLINK("https://lsnyc.legalserver.org/matter/dynamic-profile/view/1907560","19-1907560")</f>
        <v>0</v>
      </c>
      <c r="B1295" t="s">
        <v>118</v>
      </c>
      <c r="C1295" t="s">
        <v>246</v>
      </c>
      <c r="D1295" t="s">
        <v>377</v>
      </c>
      <c r="E1295" t="s">
        <v>548</v>
      </c>
      <c r="F1295" t="s">
        <v>1221</v>
      </c>
      <c r="G1295" t="s">
        <v>3021</v>
      </c>
      <c r="H1295" t="s">
        <v>5254</v>
      </c>
      <c r="I1295" t="s">
        <v>6420</v>
      </c>
      <c r="J1295" t="s">
        <v>7170</v>
      </c>
      <c r="K1295">
        <v>10460</v>
      </c>
      <c r="L1295" t="s">
        <v>7216</v>
      </c>
      <c r="N1295" t="s">
        <v>7238</v>
      </c>
      <c r="O1295" t="s">
        <v>8137</v>
      </c>
      <c r="P1295">
        <v>2</v>
      </c>
      <c r="Q1295">
        <v>0</v>
      </c>
      <c r="R1295">
        <v>61.45</v>
      </c>
      <c r="U1295">
        <v>10392</v>
      </c>
      <c r="W1295">
        <v>2.4</v>
      </c>
      <c r="X1295" t="s">
        <v>548</v>
      </c>
      <c r="Y1295" t="s">
        <v>10871</v>
      </c>
      <c r="AA1295" t="s">
        <v>10974</v>
      </c>
      <c r="AB1295" t="s">
        <v>293</v>
      </c>
      <c r="AD1295" t="s">
        <v>11082</v>
      </c>
      <c r="AF1295" t="s">
        <v>11119</v>
      </c>
      <c r="AH1295" t="s">
        <v>10975</v>
      </c>
      <c r="AI1295" t="s">
        <v>11126</v>
      </c>
      <c r="AK1295" t="s">
        <v>7225</v>
      </c>
      <c r="AM1295">
        <v>1600</v>
      </c>
      <c r="AO1295">
        <v>297</v>
      </c>
      <c r="AP1295" t="s">
        <v>11155</v>
      </c>
      <c r="AS1295" t="s">
        <v>11174</v>
      </c>
      <c r="AU1295">
        <v>3</v>
      </c>
      <c r="AW1295" t="s">
        <v>11187</v>
      </c>
      <c r="BA1295" t="s">
        <v>11222</v>
      </c>
      <c r="BE1295" t="s">
        <v>12442</v>
      </c>
      <c r="BG1295" t="s">
        <v>14708</v>
      </c>
      <c r="BM1295" t="s">
        <v>15651</v>
      </c>
    </row>
    <row r="1296" spans="1:65">
      <c r="A1296" s="1">
        <f>HYPERLINK("https://lsnyc.legalserver.org/matter/dynamic-profile/view/1899846","19-1899846")</f>
        <v>0</v>
      </c>
      <c r="B1296" t="s">
        <v>118</v>
      </c>
      <c r="C1296" t="s">
        <v>246</v>
      </c>
      <c r="D1296" t="s">
        <v>382</v>
      </c>
      <c r="F1296" t="s">
        <v>1241</v>
      </c>
      <c r="G1296" t="s">
        <v>3528</v>
      </c>
      <c r="H1296" t="s">
        <v>4971</v>
      </c>
      <c r="I1296" t="s">
        <v>6437</v>
      </c>
      <c r="J1296" t="s">
        <v>7170</v>
      </c>
      <c r="K1296">
        <v>10460</v>
      </c>
      <c r="N1296" t="s">
        <v>7237</v>
      </c>
      <c r="O1296" t="s">
        <v>8138</v>
      </c>
      <c r="P1296">
        <v>2</v>
      </c>
      <c r="Q1296">
        <v>0</v>
      </c>
      <c r="R1296">
        <v>175.35</v>
      </c>
      <c r="U1296">
        <v>29652</v>
      </c>
      <c r="W1296">
        <v>0</v>
      </c>
      <c r="Y1296" t="s">
        <v>216</v>
      </c>
      <c r="AA1296" t="s">
        <v>10974</v>
      </c>
      <c r="AB1296" t="s">
        <v>11012</v>
      </c>
      <c r="AD1296" t="s">
        <v>11086</v>
      </c>
      <c r="AF1296" t="s">
        <v>11120</v>
      </c>
      <c r="AH1296" t="s">
        <v>10974</v>
      </c>
      <c r="AJ1296" t="s">
        <v>11141</v>
      </c>
      <c r="AK1296" t="s">
        <v>7225</v>
      </c>
      <c r="AM1296">
        <v>1100</v>
      </c>
      <c r="AO1296">
        <v>168</v>
      </c>
      <c r="AQ1296" t="s">
        <v>11157</v>
      </c>
      <c r="AS1296" t="s">
        <v>11174</v>
      </c>
      <c r="AU1296">
        <v>3</v>
      </c>
      <c r="AW1296" t="s">
        <v>11187</v>
      </c>
      <c r="BA1296" t="s">
        <v>11222</v>
      </c>
      <c r="BE1296" t="s">
        <v>12443</v>
      </c>
      <c r="BF1296" t="s">
        <v>14364</v>
      </c>
      <c r="BG1296" t="s">
        <v>11228</v>
      </c>
      <c r="BM1296" t="s">
        <v>15650</v>
      </c>
    </row>
    <row r="1297" spans="1:65">
      <c r="A1297" s="1">
        <f>HYPERLINK("https://lsnyc.legalserver.org/matter/dynamic-profile/view/1899804","19-1899804")</f>
        <v>0</v>
      </c>
      <c r="B1297" t="s">
        <v>118</v>
      </c>
      <c r="C1297" t="s">
        <v>246</v>
      </c>
      <c r="D1297" t="s">
        <v>382</v>
      </c>
      <c r="F1297" t="s">
        <v>1741</v>
      </c>
      <c r="G1297" t="s">
        <v>3529</v>
      </c>
      <c r="H1297" t="s">
        <v>4971</v>
      </c>
      <c r="I1297" t="s">
        <v>6722</v>
      </c>
      <c r="J1297" t="s">
        <v>7170</v>
      </c>
      <c r="K1297">
        <v>10460</v>
      </c>
      <c r="N1297" t="s">
        <v>7237</v>
      </c>
      <c r="O1297" t="s">
        <v>8139</v>
      </c>
      <c r="P1297">
        <v>1</v>
      </c>
      <c r="Q1297">
        <v>0</v>
      </c>
      <c r="R1297">
        <v>354.77</v>
      </c>
      <c r="U1297">
        <v>44310.96</v>
      </c>
      <c r="W1297">
        <v>0</v>
      </c>
      <c r="Y1297" t="s">
        <v>216</v>
      </c>
      <c r="AA1297" t="s">
        <v>10974</v>
      </c>
      <c r="AB1297" t="s">
        <v>10979</v>
      </c>
      <c r="AD1297" t="s">
        <v>11086</v>
      </c>
      <c r="AF1297" t="s">
        <v>11120</v>
      </c>
      <c r="AH1297" t="s">
        <v>10974</v>
      </c>
      <c r="AJ1297" t="s">
        <v>11141</v>
      </c>
      <c r="AK1297" t="s">
        <v>7225</v>
      </c>
      <c r="AM1297">
        <v>1367</v>
      </c>
      <c r="AO1297">
        <v>168</v>
      </c>
      <c r="AQ1297" t="s">
        <v>11163</v>
      </c>
      <c r="AS1297" t="s">
        <v>11173</v>
      </c>
      <c r="AU1297">
        <v>24</v>
      </c>
      <c r="AW1297" t="s">
        <v>11187</v>
      </c>
      <c r="BA1297" t="s">
        <v>11222</v>
      </c>
      <c r="BE1297" t="s">
        <v>12444</v>
      </c>
      <c r="BF1297" t="s">
        <v>14364</v>
      </c>
      <c r="BM1297" t="s">
        <v>15650</v>
      </c>
    </row>
    <row r="1298" spans="1:65">
      <c r="A1298" s="1">
        <f>HYPERLINK("https://lsnyc.legalserver.org/matter/dynamic-profile/view/1899959","19-1899959")</f>
        <v>0</v>
      </c>
      <c r="B1298" t="s">
        <v>118</v>
      </c>
      <c r="C1298" t="s">
        <v>246</v>
      </c>
      <c r="D1298" t="s">
        <v>314</v>
      </c>
      <c r="F1298" t="s">
        <v>1742</v>
      </c>
      <c r="G1298" t="s">
        <v>2964</v>
      </c>
      <c r="H1298" t="s">
        <v>4971</v>
      </c>
      <c r="I1298" t="s">
        <v>6572</v>
      </c>
      <c r="J1298" t="s">
        <v>7170</v>
      </c>
      <c r="K1298">
        <v>10460</v>
      </c>
      <c r="N1298" t="s">
        <v>7237</v>
      </c>
      <c r="O1298" t="s">
        <v>8140</v>
      </c>
      <c r="P1298">
        <v>1</v>
      </c>
      <c r="Q1298">
        <v>3</v>
      </c>
      <c r="R1298">
        <v>25.63</v>
      </c>
      <c r="U1298">
        <v>6600</v>
      </c>
      <c r="W1298">
        <v>0</v>
      </c>
      <c r="Y1298" t="s">
        <v>10897</v>
      </c>
      <c r="AA1298" t="s">
        <v>10974</v>
      </c>
      <c r="AB1298" t="s">
        <v>10979</v>
      </c>
      <c r="AD1298" t="s">
        <v>11086</v>
      </c>
      <c r="AF1298" t="s">
        <v>11120</v>
      </c>
      <c r="AH1298" t="s">
        <v>10974</v>
      </c>
      <c r="AJ1298" t="s">
        <v>11141</v>
      </c>
      <c r="AK1298" t="s">
        <v>7225</v>
      </c>
      <c r="AM1298">
        <v>129</v>
      </c>
      <c r="AO1298">
        <v>168</v>
      </c>
      <c r="AQ1298" t="s">
        <v>11157</v>
      </c>
      <c r="AS1298" t="s">
        <v>11174</v>
      </c>
      <c r="AU1298">
        <v>3</v>
      </c>
      <c r="AW1298" t="s">
        <v>11189</v>
      </c>
      <c r="BA1298" t="s">
        <v>11222</v>
      </c>
      <c r="BD1298" t="s">
        <v>11667</v>
      </c>
      <c r="BF1298" t="s">
        <v>14364</v>
      </c>
      <c r="BM1298" t="s">
        <v>15650</v>
      </c>
    </row>
    <row r="1299" spans="1:65">
      <c r="A1299" s="1">
        <f>HYPERLINK("https://lsnyc.legalserver.org/matter/dynamic-profile/view/1886683","18-1886683")</f>
        <v>0</v>
      </c>
      <c r="B1299" t="s">
        <v>118</v>
      </c>
      <c r="C1299" t="s">
        <v>246</v>
      </c>
      <c r="D1299" t="s">
        <v>559</v>
      </c>
      <c r="F1299" t="s">
        <v>1712</v>
      </c>
      <c r="G1299" t="s">
        <v>3491</v>
      </c>
      <c r="H1299" t="s">
        <v>4971</v>
      </c>
      <c r="I1299" t="s">
        <v>6699</v>
      </c>
      <c r="J1299" t="s">
        <v>7170</v>
      </c>
      <c r="K1299">
        <v>10460</v>
      </c>
      <c r="N1299" t="s">
        <v>7237</v>
      </c>
      <c r="O1299" t="s">
        <v>8083</v>
      </c>
      <c r="P1299">
        <v>2</v>
      </c>
      <c r="Q1299">
        <v>0</v>
      </c>
      <c r="R1299">
        <v>363.3</v>
      </c>
      <c r="U1299">
        <v>59800</v>
      </c>
      <c r="W1299">
        <v>23</v>
      </c>
      <c r="X1299" t="s">
        <v>273</v>
      </c>
      <c r="Y1299" t="s">
        <v>10903</v>
      </c>
      <c r="AA1299" t="s">
        <v>10974</v>
      </c>
      <c r="AB1299" t="s">
        <v>370</v>
      </c>
      <c r="AD1299" t="s">
        <v>11101</v>
      </c>
      <c r="AF1299" t="s">
        <v>11118</v>
      </c>
      <c r="AH1299" t="s">
        <v>10974</v>
      </c>
      <c r="AJ1299" t="s">
        <v>11141</v>
      </c>
      <c r="AK1299" t="s">
        <v>7225</v>
      </c>
      <c r="AM1299">
        <v>1967</v>
      </c>
      <c r="AO1299">
        <v>168</v>
      </c>
      <c r="AQ1299" t="s">
        <v>11163</v>
      </c>
      <c r="AS1299" t="s">
        <v>11174</v>
      </c>
      <c r="AU1299">
        <v>3</v>
      </c>
      <c r="AW1299" t="s">
        <v>11187</v>
      </c>
      <c r="AZ1299" t="s">
        <v>11221</v>
      </c>
      <c r="BE1299" t="s">
        <v>12397</v>
      </c>
      <c r="BG1299" t="s">
        <v>14686</v>
      </c>
      <c r="BM1299" t="s">
        <v>15650</v>
      </c>
    </row>
    <row r="1300" spans="1:65">
      <c r="A1300" s="1">
        <f>HYPERLINK("https://lsnyc.legalserver.org/matter/dynamic-profile/view/1885558","18-1885558")</f>
        <v>0</v>
      </c>
      <c r="B1300" t="s">
        <v>118</v>
      </c>
      <c r="C1300" t="s">
        <v>246</v>
      </c>
      <c r="D1300" t="s">
        <v>684</v>
      </c>
      <c r="E1300" t="s">
        <v>735</v>
      </c>
      <c r="F1300" t="s">
        <v>1741</v>
      </c>
      <c r="G1300" t="s">
        <v>3529</v>
      </c>
      <c r="H1300" t="s">
        <v>4971</v>
      </c>
      <c r="I1300" t="s">
        <v>6722</v>
      </c>
      <c r="J1300" t="s">
        <v>7170</v>
      </c>
      <c r="K1300">
        <v>10460</v>
      </c>
      <c r="L1300" t="s">
        <v>7219</v>
      </c>
      <c r="N1300" t="s">
        <v>7237</v>
      </c>
      <c r="O1300" t="s">
        <v>8139</v>
      </c>
      <c r="P1300">
        <v>1</v>
      </c>
      <c r="Q1300">
        <v>0</v>
      </c>
      <c r="R1300">
        <v>365</v>
      </c>
      <c r="U1300">
        <v>44311</v>
      </c>
      <c r="W1300">
        <v>0.25</v>
      </c>
      <c r="X1300" t="s">
        <v>735</v>
      </c>
      <c r="Y1300" t="s">
        <v>216</v>
      </c>
      <c r="AA1300" t="s">
        <v>10974</v>
      </c>
      <c r="AB1300" t="s">
        <v>370</v>
      </c>
      <c r="AD1300" t="s">
        <v>11101</v>
      </c>
      <c r="AF1300" t="s">
        <v>11118</v>
      </c>
      <c r="AH1300" t="s">
        <v>10974</v>
      </c>
      <c r="AJ1300" t="s">
        <v>11141</v>
      </c>
      <c r="AK1300" t="s">
        <v>7225</v>
      </c>
      <c r="AM1300">
        <v>1367</v>
      </c>
      <c r="AO1300">
        <v>168</v>
      </c>
      <c r="AQ1300" t="s">
        <v>11163</v>
      </c>
      <c r="AS1300" t="s">
        <v>11173</v>
      </c>
      <c r="AU1300">
        <v>24</v>
      </c>
      <c r="AW1300" t="s">
        <v>11187</v>
      </c>
      <c r="AZ1300" t="s">
        <v>11221</v>
      </c>
      <c r="BE1300" t="s">
        <v>12444</v>
      </c>
      <c r="BG1300" t="s">
        <v>14686</v>
      </c>
      <c r="BJ1300" t="s">
        <v>15615</v>
      </c>
      <c r="BM1300" t="s">
        <v>15651</v>
      </c>
    </row>
    <row r="1301" spans="1:65">
      <c r="A1301" s="1">
        <f>HYPERLINK("https://lsnyc.legalserver.org/matter/dynamic-profile/view/1905475","19-1905475")</f>
        <v>0</v>
      </c>
      <c r="B1301" t="s">
        <v>118</v>
      </c>
      <c r="C1301" t="s">
        <v>246</v>
      </c>
      <c r="D1301" t="s">
        <v>685</v>
      </c>
      <c r="E1301" t="s">
        <v>449</v>
      </c>
      <c r="F1301" t="s">
        <v>1155</v>
      </c>
      <c r="G1301" t="s">
        <v>3530</v>
      </c>
      <c r="H1301" t="s">
        <v>5255</v>
      </c>
      <c r="I1301" t="s">
        <v>6517</v>
      </c>
      <c r="J1301" t="s">
        <v>7170</v>
      </c>
      <c r="K1301">
        <v>10460</v>
      </c>
      <c r="L1301" t="s">
        <v>7216</v>
      </c>
      <c r="N1301" t="s">
        <v>7237</v>
      </c>
      <c r="O1301" t="s">
        <v>8141</v>
      </c>
      <c r="P1301">
        <v>1</v>
      </c>
      <c r="Q1301">
        <v>0</v>
      </c>
      <c r="R1301">
        <v>184.47</v>
      </c>
      <c r="U1301">
        <v>23040</v>
      </c>
      <c r="V1301" t="s">
        <v>10394</v>
      </c>
      <c r="W1301">
        <v>1.3</v>
      </c>
      <c r="X1301" t="s">
        <v>655</v>
      </c>
      <c r="Y1301" t="s">
        <v>10884</v>
      </c>
      <c r="Z1301" t="s">
        <v>10972</v>
      </c>
      <c r="AA1301" t="s">
        <v>10976</v>
      </c>
      <c r="AD1301" t="s">
        <v>11082</v>
      </c>
      <c r="AF1301" t="s">
        <v>11119</v>
      </c>
      <c r="AG1301" t="s">
        <v>11124</v>
      </c>
      <c r="AJ1301" t="s">
        <v>11104</v>
      </c>
      <c r="AK1301" t="s">
        <v>7225</v>
      </c>
      <c r="AM1301">
        <v>1900</v>
      </c>
      <c r="AO1301">
        <v>3</v>
      </c>
      <c r="AQ1301" t="s">
        <v>11164</v>
      </c>
      <c r="AS1301" t="s">
        <v>11173</v>
      </c>
      <c r="AU1301">
        <v>9</v>
      </c>
      <c r="AW1301" t="s">
        <v>11187</v>
      </c>
      <c r="AX1301" t="s">
        <v>11212</v>
      </c>
      <c r="AZ1301" t="s">
        <v>11221</v>
      </c>
      <c r="BD1301" t="s">
        <v>11667</v>
      </c>
      <c r="BF1301" t="s">
        <v>14364</v>
      </c>
      <c r="BM1301" t="s">
        <v>15651</v>
      </c>
    </row>
    <row r="1302" spans="1:65">
      <c r="A1302" s="1">
        <f>HYPERLINK("https://lsnyc.legalserver.org/matter/dynamic-profile/view/1900603","19-1900603")</f>
        <v>0</v>
      </c>
      <c r="B1302" t="s">
        <v>118</v>
      </c>
      <c r="C1302" t="s">
        <v>246</v>
      </c>
      <c r="D1302" t="s">
        <v>549</v>
      </c>
      <c r="F1302" t="s">
        <v>1732</v>
      </c>
      <c r="G1302" t="s">
        <v>3519</v>
      </c>
      <c r="H1302" t="s">
        <v>4971</v>
      </c>
      <c r="I1302" t="s">
        <v>6609</v>
      </c>
      <c r="J1302" t="s">
        <v>7170</v>
      </c>
      <c r="K1302">
        <v>10460</v>
      </c>
      <c r="N1302" t="s">
        <v>7237</v>
      </c>
      <c r="O1302" t="s">
        <v>8118</v>
      </c>
      <c r="P1302">
        <v>1</v>
      </c>
      <c r="Q1302">
        <v>1</v>
      </c>
      <c r="R1302">
        <v>146.04</v>
      </c>
      <c r="U1302">
        <v>24696</v>
      </c>
      <c r="W1302">
        <v>0</v>
      </c>
      <c r="Y1302" t="s">
        <v>10865</v>
      </c>
      <c r="AA1302" t="s">
        <v>10974</v>
      </c>
      <c r="AB1302" t="s">
        <v>10979</v>
      </c>
      <c r="AD1302" t="s">
        <v>11086</v>
      </c>
      <c r="AF1302" t="s">
        <v>11120</v>
      </c>
      <c r="AH1302" t="s">
        <v>10974</v>
      </c>
      <c r="AJ1302" t="s">
        <v>11141</v>
      </c>
      <c r="AK1302" t="s">
        <v>7225</v>
      </c>
      <c r="AM1302">
        <v>792</v>
      </c>
      <c r="AO1302">
        <v>168</v>
      </c>
      <c r="AQ1302" t="s">
        <v>11162</v>
      </c>
      <c r="AS1302" t="s">
        <v>11104</v>
      </c>
      <c r="AU1302">
        <v>3</v>
      </c>
      <c r="AW1302" t="s">
        <v>11187</v>
      </c>
      <c r="BA1302" t="s">
        <v>11222</v>
      </c>
      <c r="BD1302" t="s">
        <v>11667</v>
      </c>
      <c r="BF1302" t="s">
        <v>14364</v>
      </c>
      <c r="BM1302" t="s">
        <v>15650</v>
      </c>
    </row>
    <row r="1303" spans="1:65">
      <c r="A1303" s="1">
        <f>HYPERLINK("https://lsnyc.legalserver.org/matter/dynamic-profile/view/1885969","18-1885969")</f>
        <v>0</v>
      </c>
      <c r="B1303" t="s">
        <v>118</v>
      </c>
      <c r="C1303" t="s">
        <v>246</v>
      </c>
      <c r="D1303" t="s">
        <v>612</v>
      </c>
      <c r="E1303" t="s">
        <v>449</v>
      </c>
      <c r="F1303" t="s">
        <v>1199</v>
      </c>
      <c r="G1303" t="s">
        <v>3531</v>
      </c>
      <c r="H1303" t="s">
        <v>4971</v>
      </c>
      <c r="I1303" t="s">
        <v>6723</v>
      </c>
      <c r="J1303" t="s">
        <v>7170</v>
      </c>
      <c r="K1303">
        <v>10460</v>
      </c>
      <c r="L1303" t="s">
        <v>7219</v>
      </c>
      <c r="N1303" t="s">
        <v>7237</v>
      </c>
      <c r="O1303" t="s">
        <v>8142</v>
      </c>
      <c r="P1303">
        <v>1</v>
      </c>
      <c r="Q1303">
        <v>0</v>
      </c>
      <c r="R1303">
        <v>61.29</v>
      </c>
      <c r="U1303">
        <v>7440</v>
      </c>
      <c r="W1303">
        <v>0.3</v>
      </c>
      <c r="X1303" t="s">
        <v>449</v>
      </c>
      <c r="Y1303" t="s">
        <v>10903</v>
      </c>
      <c r="AA1303" t="s">
        <v>10974</v>
      </c>
      <c r="AB1303" t="s">
        <v>370</v>
      </c>
      <c r="AD1303" t="s">
        <v>11101</v>
      </c>
      <c r="AF1303" t="s">
        <v>11118</v>
      </c>
      <c r="AH1303" t="s">
        <v>10974</v>
      </c>
      <c r="AJ1303" t="s">
        <v>11141</v>
      </c>
      <c r="AK1303" t="s">
        <v>7225</v>
      </c>
      <c r="AM1303">
        <v>967</v>
      </c>
      <c r="AO1303">
        <v>169</v>
      </c>
      <c r="AP1303" t="s">
        <v>11155</v>
      </c>
      <c r="AS1303" t="s">
        <v>11174</v>
      </c>
      <c r="AU1303">
        <v>5</v>
      </c>
      <c r="AW1303" t="s">
        <v>11187</v>
      </c>
      <c r="AZ1303" t="s">
        <v>11221</v>
      </c>
      <c r="BE1303" t="s">
        <v>12445</v>
      </c>
      <c r="BG1303" t="s">
        <v>14686</v>
      </c>
      <c r="BJ1303" t="s">
        <v>15615</v>
      </c>
      <c r="BM1303" t="s">
        <v>15651</v>
      </c>
    </row>
    <row r="1304" spans="1:65">
      <c r="A1304" s="1">
        <f>HYPERLINK("https://lsnyc.legalserver.org/matter/dynamic-profile/view/1880204","18-1880204")</f>
        <v>0</v>
      </c>
      <c r="B1304" t="s">
        <v>118</v>
      </c>
      <c r="C1304" t="s">
        <v>246</v>
      </c>
      <c r="D1304" t="s">
        <v>531</v>
      </c>
      <c r="E1304" t="s">
        <v>426</v>
      </c>
      <c r="F1304" t="s">
        <v>1440</v>
      </c>
      <c r="G1304" t="s">
        <v>3021</v>
      </c>
      <c r="H1304" t="s">
        <v>5256</v>
      </c>
      <c r="I1304" t="s">
        <v>6423</v>
      </c>
      <c r="J1304" t="s">
        <v>7170</v>
      </c>
      <c r="K1304">
        <v>10459</v>
      </c>
      <c r="L1304" t="s">
        <v>7219</v>
      </c>
      <c r="N1304" t="s">
        <v>7237</v>
      </c>
      <c r="O1304" t="s">
        <v>8143</v>
      </c>
      <c r="P1304">
        <v>1</v>
      </c>
      <c r="Q1304">
        <v>0</v>
      </c>
      <c r="R1304">
        <v>16.21</v>
      </c>
      <c r="U1304">
        <v>1968</v>
      </c>
      <c r="W1304">
        <v>83.8</v>
      </c>
      <c r="X1304" t="s">
        <v>731</v>
      </c>
      <c r="Y1304" t="s">
        <v>10886</v>
      </c>
      <c r="AA1304" t="s">
        <v>10974</v>
      </c>
      <c r="AB1304" t="s">
        <v>531</v>
      </c>
      <c r="AD1304" t="s">
        <v>11082</v>
      </c>
      <c r="AF1304" t="s">
        <v>11118</v>
      </c>
      <c r="AH1304" t="s">
        <v>10975</v>
      </c>
      <c r="AJ1304" t="s">
        <v>11138</v>
      </c>
      <c r="AK1304" t="s">
        <v>7225</v>
      </c>
      <c r="AM1304">
        <v>350</v>
      </c>
      <c r="AO1304">
        <v>20</v>
      </c>
      <c r="AQ1304" t="s">
        <v>11160</v>
      </c>
      <c r="AS1304" t="s">
        <v>11173</v>
      </c>
      <c r="AU1304">
        <v>24</v>
      </c>
      <c r="AW1304" t="s">
        <v>11187</v>
      </c>
      <c r="AZ1304" t="s">
        <v>11221</v>
      </c>
      <c r="BC1304" t="s">
        <v>11353</v>
      </c>
      <c r="BE1304" t="s">
        <v>12446</v>
      </c>
      <c r="BG1304" t="s">
        <v>14709</v>
      </c>
      <c r="BH1304" t="s">
        <v>15605</v>
      </c>
      <c r="BJ1304" t="s">
        <v>15615</v>
      </c>
      <c r="BL1304" t="s">
        <v>15648</v>
      </c>
      <c r="BM1304" t="s">
        <v>15651</v>
      </c>
    </row>
    <row r="1305" spans="1:65">
      <c r="A1305" s="1">
        <f>HYPERLINK("https://lsnyc.legalserver.org/matter/dynamic-profile/view/1885751","18-1885751")</f>
        <v>0</v>
      </c>
      <c r="B1305" t="s">
        <v>118</v>
      </c>
      <c r="C1305" t="s">
        <v>246</v>
      </c>
      <c r="D1305" t="s">
        <v>579</v>
      </c>
      <c r="E1305" t="s">
        <v>264</v>
      </c>
      <c r="F1305" t="s">
        <v>1506</v>
      </c>
      <c r="G1305" t="s">
        <v>3532</v>
      </c>
      <c r="H1305" t="s">
        <v>4971</v>
      </c>
      <c r="I1305" t="s">
        <v>6580</v>
      </c>
      <c r="J1305" t="s">
        <v>7170</v>
      </c>
      <c r="K1305">
        <v>10460</v>
      </c>
      <c r="L1305" t="s">
        <v>7219</v>
      </c>
      <c r="N1305" t="s">
        <v>7237</v>
      </c>
      <c r="O1305" t="s">
        <v>8144</v>
      </c>
      <c r="P1305">
        <v>2</v>
      </c>
      <c r="Q1305">
        <v>0</v>
      </c>
      <c r="R1305">
        <v>103.28</v>
      </c>
      <c r="U1305">
        <v>17000</v>
      </c>
      <c r="W1305">
        <v>1.25</v>
      </c>
      <c r="X1305" t="s">
        <v>264</v>
      </c>
      <c r="Y1305" t="s">
        <v>10865</v>
      </c>
      <c r="AA1305" t="s">
        <v>10974</v>
      </c>
      <c r="AB1305" t="s">
        <v>370</v>
      </c>
      <c r="AD1305" t="s">
        <v>11101</v>
      </c>
      <c r="AF1305" t="s">
        <v>11118</v>
      </c>
      <c r="AH1305" t="s">
        <v>10974</v>
      </c>
      <c r="AJ1305" t="s">
        <v>11141</v>
      </c>
      <c r="AK1305" t="s">
        <v>7225</v>
      </c>
      <c r="AM1305">
        <v>517</v>
      </c>
      <c r="AO1305">
        <v>168</v>
      </c>
      <c r="AQ1305" t="s">
        <v>11164</v>
      </c>
      <c r="AS1305" t="s">
        <v>11174</v>
      </c>
      <c r="AU1305">
        <v>24</v>
      </c>
      <c r="AW1305" t="s">
        <v>11187</v>
      </c>
      <c r="AZ1305" t="s">
        <v>11221</v>
      </c>
      <c r="BD1305" t="s">
        <v>11667</v>
      </c>
      <c r="BG1305" t="s">
        <v>14686</v>
      </c>
      <c r="BJ1305" t="s">
        <v>15615</v>
      </c>
      <c r="BM1305" t="s">
        <v>15651</v>
      </c>
    </row>
    <row r="1306" spans="1:65">
      <c r="A1306" s="1">
        <f>HYPERLINK("https://lsnyc.legalserver.org/matter/dynamic-profile/view/1899894","19-1899894")</f>
        <v>0</v>
      </c>
      <c r="B1306" t="s">
        <v>118</v>
      </c>
      <c r="C1306" t="s">
        <v>246</v>
      </c>
      <c r="D1306" t="s">
        <v>382</v>
      </c>
      <c r="F1306" t="s">
        <v>1712</v>
      </c>
      <c r="G1306" t="s">
        <v>3491</v>
      </c>
      <c r="H1306" t="s">
        <v>4971</v>
      </c>
      <c r="I1306" t="s">
        <v>6699</v>
      </c>
      <c r="J1306" t="s">
        <v>7170</v>
      </c>
      <c r="K1306">
        <v>10460</v>
      </c>
      <c r="N1306" t="s">
        <v>7237</v>
      </c>
      <c r="O1306" t="s">
        <v>8083</v>
      </c>
      <c r="P1306">
        <v>2</v>
      </c>
      <c r="Q1306">
        <v>0</v>
      </c>
      <c r="R1306">
        <v>353.64</v>
      </c>
      <c r="U1306">
        <v>59800</v>
      </c>
      <c r="W1306">
        <v>0</v>
      </c>
      <c r="Y1306" t="s">
        <v>10897</v>
      </c>
      <c r="AA1306" t="s">
        <v>10974</v>
      </c>
      <c r="AB1306" t="s">
        <v>10979</v>
      </c>
      <c r="AD1306" t="s">
        <v>11086</v>
      </c>
      <c r="AF1306" t="s">
        <v>11120</v>
      </c>
      <c r="AH1306" t="s">
        <v>10974</v>
      </c>
      <c r="AJ1306" t="s">
        <v>11141</v>
      </c>
      <c r="AK1306" t="s">
        <v>7225</v>
      </c>
      <c r="AM1306">
        <v>1967</v>
      </c>
      <c r="AN1306" t="s">
        <v>11151</v>
      </c>
      <c r="AO1306" t="s">
        <v>11153</v>
      </c>
      <c r="AQ1306" t="s">
        <v>11157</v>
      </c>
      <c r="AS1306" t="s">
        <v>11174</v>
      </c>
      <c r="AU1306">
        <v>3</v>
      </c>
      <c r="AW1306" t="s">
        <v>11187</v>
      </c>
      <c r="BA1306" t="s">
        <v>11222</v>
      </c>
      <c r="BE1306" t="s">
        <v>12397</v>
      </c>
      <c r="BF1306" t="s">
        <v>14364</v>
      </c>
      <c r="BG1306" t="s">
        <v>11228</v>
      </c>
      <c r="BM1306" t="s">
        <v>15650</v>
      </c>
    </row>
    <row r="1307" spans="1:65">
      <c r="A1307" s="1">
        <f>HYPERLINK("https://lsnyc.legalserver.org/matter/dynamic-profile/view/1865427","18-1865427")</f>
        <v>0</v>
      </c>
      <c r="B1307" t="s">
        <v>118</v>
      </c>
      <c r="C1307" t="s">
        <v>246</v>
      </c>
      <c r="D1307" t="s">
        <v>679</v>
      </c>
      <c r="F1307" t="s">
        <v>1743</v>
      </c>
      <c r="G1307" t="s">
        <v>3533</v>
      </c>
      <c r="H1307" t="s">
        <v>5243</v>
      </c>
      <c r="I1307" t="s">
        <v>6724</v>
      </c>
      <c r="J1307" t="s">
        <v>7170</v>
      </c>
      <c r="K1307">
        <v>10458</v>
      </c>
      <c r="N1307" t="s">
        <v>7237</v>
      </c>
      <c r="O1307" t="s">
        <v>8145</v>
      </c>
      <c r="P1307">
        <v>2</v>
      </c>
      <c r="Q1307">
        <v>1</v>
      </c>
      <c r="R1307">
        <v>349.37</v>
      </c>
      <c r="U1307">
        <v>88200</v>
      </c>
      <c r="W1307">
        <v>0</v>
      </c>
      <c r="Y1307" t="s">
        <v>10897</v>
      </c>
      <c r="AA1307" t="s">
        <v>10974</v>
      </c>
      <c r="AB1307" t="s">
        <v>11007</v>
      </c>
      <c r="AD1307" t="s">
        <v>11100</v>
      </c>
      <c r="AF1307" t="s">
        <v>11120</v>
      </c>
      <c r="AH1307" t="s">
        <v>10974</v>
      </c>
      <c r="AJ1307" t="s">
        <v>11144</v>
      </c>
      <c r="AK1307" t="s">
        <v>7225</v>
      </c>
      <c r="AM1307">
        <v>1248.06</v>
      </c>
      <c r="AN1307" t="s">
        <v>11151</v>
      </c>
      <c r="AO1307" t="s">
        <v>11153</v>
      </c>
      <c r="AQ1307" t="s">
        <v>11157</v>
      </c>
      <c r="AS1307" t="s">
        <v>11173</v>
      </c>
      <c r="AU1307">
        <v>16</v>
      </c>
      <c r="AW1307" t="s">
        <v>11187</v>
      </c>
      <c r="AZ1307" t="s">
        <v>11221</v>
      </c>
      <c r="BE1307" t="s">
        <v>12447</v>
      </c>
      <c r="BF1307" t="s">
        <v>14364</v>
      </c>
      <c r="BM1307" t="s">
        <v>15650</v>
      </c>
    </row>
    <row r="1308" spans="1:65">
      <c r="A1308" s="1">
        <f>HYPERLINK("https://lsnyc.legalserver.org/matter/dynamic-profile/view/1899977","19-1899977")</f>
        <v>0</v>
      </c>
      <c r="B1308" t="s">
        <v>118</v>
      </c>
      <c r="C1308" t="s">
        <v>246</v>
      </c>
      <c r="D1308" t="s">
        <v>314</v>
      </c>
      <c r="F1308" t="s">
        <v>1199</v>
      </c>
      <c r="G1308" t="s">
        <v>3531</v>
      </c>
      <c r="H1308" t="s">
        <v>4971</v>
      </c>
      <c r="I1308" t="s">
        <v>6723</v>
      </c>
      <c r="J1308" t="s">
        <v>7170</v>
      </c>
      <c r="K1308">
        <v>10460</v>
      </c>
      <c r="N1308" t="s">
        <v>7237</v>
      </c>
      <c r="O1308" t="s">
        <v>8142</v>
      </c>
      <c r="P1308">
        <v>1</v>
      </c>
      <c r="Q1308">
        <v>0</v>
      </c>
      <c r="R1308">
        <v>59.57</v>
      </c>
      <c r="U1308">
        <v>7440</v>
      </c>
      <c r="W1308">
        <v>0</v>
      </c>
      <c r="Y1308" t="s">
        <v>93</v>
      </c>
      <c r="AA1308" t="s">
        <v>10974</v>
      </c>
      <c r="AB1308" t="s">
        <v>10979</v>
      </c>
      <c r="AD1308" t="s">
        <v>11086</v>
      </c>
      <c r="AF1308" t="s">
        <v>11120</v>
      </c>
      <c r="AH1308" t="s">
        <v>10974</v>
      </c>
      <c r="AJ1308" t="s">
        <v>11141</v>
      </c>
      <c r="AK1308" t="s">
        <v>7225</v>
      </c>
      <c r="AM1308">
        <v>967</v>
      </c>
      <c r="AO1308">
        <v>169</v>
      </c>
      <c r="AQ1308" t="s">
        <v>11164</v>
      </c>
      <c r="AS1308" t="s">
        <v>11174</v>
      </c>
      <c r="AU1308">
        <v>5</v>
      </c>
      <c r="AW1308" t="s">
        <v>11187</v>
      </c>
      <c r="BA1308" t="s">
        <v>11222</v>
      </c>
      <c r="BE1308" t="s">
        <v>12445</v>
      </c>
      <c r="BF1308" t="s">
        <v>14364</v>
      </c>
      <c r="BM1308" t="s">
        <v>15650</v>
      </c>
    </row>
    <row r="1309" spans="1:65">
      <c r="A1309" s="1">
        <f>HYPERLINK("https://lsnyc.legalserver.org/matter/dynamic-profile/view/1899865","19-1899865")</f>
        <v>0</v>
      </c>
      <c r="B1309" t="s">
        <v>118</v>
      </c>
      <c r="C1309" t="s">
        <v>246</v>
      </c>
      <c r="D1309" t="s">
        <v>382</v>
      </c>
      <c r="F1309" t="s">
        <v>1706</v>
      </c>
      <c r="G1309" t="s">
        <v>3483</v>
      </c>
      <c r="H1309" t="s">
        <v>4971</v>
      </c>
      <c r="I1309" t="s">
        <v>6485</v>
      </c>
      <c r="J1309" t="s">
        <v>7170</v>
      </c>
      <c r="K1309">
        <v>10460</v>
      </c>
      <c r="N1309" t="s">
        <v>7237</v>
      </c>
      <c r="O1309" t="s">
        <v>8071</v>
      </c>
      <c r="P1309">
        <v>1</v>
      </c>
      <c r="Q1309">
        <v>0</v>
      </c>
      <c r="R1309">
        <v>68.20999999999999</v>
      </c>
      <c r="U1309">
        <v>8520</v>
      </c>
      <c r="W1309">
        <v>0</v>
      </c>
      <c r="Y1309" t="s">
        <v>10897</v>
      </c>
      <c r="AA1309" t="s">
        <v>10974</v>
      </c>
      <c r="AB1309" t="s">
        <v>10979</v>
      </c>
      <c r="AD1309" t="s">
        <v>11086</v>
      </c>
      <c r="AF1309" t="s">
        <v>11120</v>
      </c>
      <c r="AH1309" t="s">
        <v>10974</v>
      </c>
      <c r="AJ1309" t="s">
        <v>11141</v>
      </c>
      <c r="AK1309" t="s">
        <v>7225</v>
      </c>
      <c r="AM1309">
        <v>266.5</v>
      </c>
      <c r="AO1309">
        <v>168</v>
      </c>
      <c r="AQ1309" t="s">
        <v>11157</v>
      </c>
      <c r="AS1309" t="s">
        <v>11174</v>
      </c>
      <c r="AU1309">
        <v>8</v>
      </c>
      <c r="AW1309" t="s">
        <v>11189</v>
      </c>
      <c r="BA1309" t="s">
        <v>11222</v>
      </c>
      <c r="BE1309" t="s">
        <v>12387</v>
      </c>
      <c r="BF1309" t="s">
        <v>14364</v>
      </c>
      <c r="BM1309" t="s">
        <v>15650</v>
      </c>
    </row>
    <row r="1310" spans="1:65">
      <c r="A1310" s="1">
        <f>HYPERLINK("https://lsnyc.legalserver.org/matter/dynamic-profile/view/1905410","19-1905410")</f>
        <v>0</v>
      </c>
      <c r="B1310" t="s">
        <v>118</v>
      </c>
      <c r="C1310" t="s">
        <v>246</v>
      </c>
      <c r="D1310" t="s">
        <v>685</v>
      </c>
      <c r="F1310" t="s">
        <v>1744</v>
      </c>
      <c r="G1310" t="s">
        <v>3047</v>
      </c>
      <c r="H1310" t="s">
        <v>5257</v>
      </c>
      <c r="I1310" t="s">
        <v>6725</v>
      </c>
      <c r="J1310" t="s">
        <v>7170</v>
      </c>
      <c r="K1310">
        <v>10453</v>
      </c>
      <c r="N1310" t="s">
        <v>7237</v>
      </c>
      <c r="O1310" t="s">
        <v>8146</v>
      </c>
      <c r="P1310">
        <v>1</v>
      </c>
      <c r="Q1310">
        <v>0</v>
      </c>
      <c r="R1310">
        <v>187.35</v>
      </c>
      <c r="U1310">
        <v>23400</v>
      </c>
      <c r="W1310">
        <v>16.5</v>
      </c>
      <c r="X1310" t="s">
        <v>434</v>
      </c>
      <c r="Y1310" t="s">
        <v>10884</v>
      </c>
      <c r="Z1310" t="s">
        <v>10972</v>
      </c>
      <c r="AA1310" t="s">
        <v>10976</v>
      </c>
      <c r="AD1310" t="s">
        <v>11082</v>
      </c>
      <c r="AF1310" t="s">
        <v>11121</v>
      </c>
      <c r="AG1310" t="s">
        <v>11124</v>
      </c>
      <c r="AJ1310" t="s">
        <v>11104</v>
      </c>
      <c r="AK1310" t="s">
        <v>7225</v>
      </c>
      <c r="AM1310">
        <v>851</v>
      </c>
      <c r="AO1310">
        <v>430</v>
      </c>
      <c r="AQ1310" t="s">
        <v>11156</v>
      </c>
      <c r="AS1310" t="s">
        <v>11174</v>
      </c>
      <c r="AU1310">
        <v>30</v>
      </c>
      <c r="AW1310" t="s">
        <v>11187</v>
      </c>
      <c r="AX1310" t="s">
        <v>11212</v>
      </c>
      <c r="AZ1310" t="s">
        <v>11221</v>
      </c>
      <c r="BD1310" t="s">
        <v>11667</v>
      </c>
      <c r="BG1310" t="s">
        <v>14710</v>
      </c>
      <c r="BM1310" t="s">
        <v>15650</v>
      </c>
    </row>
    <row r="1311" spans="1:65">
      <c r="A1311" s="1">
        <f>HYPERLINK("https://lsnyc.legalserver.org/matter/dynamic-profile/view/1886508","18-1886508")</f>
        <v>0</v>
      </c>
      <c r="B1311" t="s">
        <v>118</v>
      </c>
      <c r="C1311" t="s">
        <v>246</v>
      </c>
      <c r="D1311" t="s">
        <v>551</v>
      </c>
      <c r="F1311" t="s">
        <v>1519</v>
      </c>
      <c r="G1311" t="s">
        <v>3534</v>
      </c>
      <c r="H1311" t="s">
        <v>4971</v>
      </c>
      <c r="I1311" t="s">
        <v>6468</v>
      </c>
      <c r="J1311" t="s">
        <v>7170</v>
      </c>
      <c r="K1311">
        <v>10460</v>
      </c>
      <c r="N1311" t="s">
        <v>7237</v>
      </c>
      <c r="O1311" t="s">
        <v>8147</v>
      </c>
      <c r="P1311">
        <v>1</v>
      </c>
      <c r="Q1311">
        <v>0</v>
      </c>
      <c r="R1311">
        <v>103.79</v>
      </c>
      <c r="U1311">
        <v>12600</v>
      </c>
      <c r="W1311">
        <v>0</v>
      </c>
      <c r="Y1311" t="s">
        <v>10865</v>
      </c>
      <c r="AA1311" t="s">
        <v>10974</v>
      </c>
      <c r="AB1311" t="s">
        <v>370</v>
      </c>
      <c r="AD1311" t="s">
        <v>11101</v>
      </c>
      <c r="AF1311" t="s">
        <v>11118</v>
      </c>
      <c r="AH1311" t="s">
        <v>10974</v>
      </c>
      <c r="AJ1311" t="s">
        <v>11141</v>
      </c>
      <c r="AK1311" t="s">
        <v>7225</v>
      </c>
      <c r="AM1311">
        <v>304</v>
      </c>
      <c r="AO1311">
        <v>168</v>
      </c>
      <c r="AQ1311" t="s">
        <v>11157</v>
      </c>
      <c r="AS1311" t="s">
        <v>11174</v>
      </c>
      <c r="AU1311">
        <v>1</v>
      </c>
      <c r="AW1311" t="s">
        <v>11187</v>
      </c>
      <c r="AZ1311" t="s">
        <v>11221</v>
      </c>
      <c r="BE1311" t="s">
        <v>12448</v>
      </c>
      <c r="BG1311" t="s">
        <v>14686</v>
      </c>
      <c r="BM1311" t="s">
        <v>15650</v>
      </c>
    </row>
    <row r="1312" spans="1:65">
      <c r="A1312" s="1">
        <f>HYPERLINK("https://lsnyc.legalserver.org/matter/dynamic-profile/view/1861086","18-1861086")</f>
        <v>0</v>
      </c>
      <c r="B1312" t="s">
        <v>118</v>
      </c>
      <c r="C1312" t="s">
        <v>246</v>
      </c>
      <c r="D1312" t="s">
        <v>419</v>
      </c>
      <c r="E1312" t="s">
        <v>449</v>
      </c>
      <c r="F1312" t="s">
        <v>1745</v>
      </c>
      <c r="G1312" t="s">
        <v>2921</v>
      </c>
      <c r="H1312" t="s">
        <v>5258</v>
      </c>
      <c r="J1312" t="s">
        <v>7170</v>
      </c>
      <c r="K1312">
        <v>10472</v>
      </c>
      <c r="L1312" t="s">
        <v>7219</v>
      </c>
      <c r="N1312" t="s">
        <v>7237</v>
      </c>
      <c r="O1312" t="s">
        <v>8148</v>
      </c>
      <c r="P1312">
        <v>1</v>
      </c>
      <c r="Q1312">
        <v>2</v>
      </c>
      <c r="R1312">
        <v>13.97</v>
      </c>
      <c r="U1312">
        <v>2904</v>
      </c>
      <c r="W1312">
        <v>59.2</v>
      </c>
      <c r="X1312" t="s">
        <v>405</v>
      </c>
      <c r="Y1312" t="s">
        <v>118</v>
      </c>
      <c r="AA1312" t="s">
        <v>10974</v>
      </c>
      <c r="AB1312" t="s">
        <v>1047</v>
      </c>
      <c r="AD1312" t="s">
        <v>11082</v>
      </c>
      <c r="AF1312" t="s">
        <v>11118</v>
      </c>
      <c r="AH1312" t="s">
        <v>10975</v>
      </c>
      <c r="AJ1312" t="s">
        <v>11104</v>
      </c>
      <c r="AK1312" t="s">
        <v>7225</v>
      </c>
      <c r="AM1312">
        <v>1514</v>
      </c>
      <c r="AO1312">
        <v>6</v>
      </c>
      <c r="AQ1312" t="s">
        <v>11157</v>
      </c>
      <c r="AS1312" t="s">
        <v>11174</v>
      </c>
      <c r="AU1312">
        <v>4</v>
      </c>
      <c r="AW1312" t="s">
        <v>11187</v>
      </c>
      <c r="AZ1312" t="s">
        <v>11221</v>
      </c>
      <c r="BB1312" t="s">
        <v>11224</v>
      </c>
      <c r="BC1312" t="s">
        <v>11354</v>
      </c>
      <c r="BD1312" t="s">
        <v>11667</v>
      </c>
      <c r="BG1312" t="s">
        <v>14711</v>
      </c>
      <c r="BH1312" t="s">
        <v>15605</v>
      </c>
      <c r="BJ1312" t="s">
        <v>15615</v>
      </c>
      <c r="BL1312" t="s">
        <v>15648</v>
      </c>
      <c r="BM1312" t="s">
        <v>15651</v>
      </c>
    </row>
    <row r="1313" spans="1:65">
      <c r="A1313" s="1">
        <f>HYPERLINK("https://lsnyc.legalserver.org/matter/dynamic-profile/view/1900045","19-1900045")</f>
        <v>0</v>
      </c>
      <c r="B1313" t="s">
        <v>118</v>
      </c>
      <c r="C1313" t="s">
        <v>246</v>
      </c>
      <c r="D1313" t="s">
        <v>314</v>
      </c>
      <c r="F1313" t="s">
        <v>1625</v>
      </c>
      <c r="G1313" t="s">
        <v>3525</v>
      </c>
      <c r="H1313" t="s">
        <v>4971</v>
      </c>
      <c r="J1313" t="s">
        <v>7170</v>
      </c>
      <c r="K1313">
        <v>10460</v>
      </c>
      <c r="N1313" t="s">
        <v>7237</v>
      </c>
      <c r="O1313" t="s">
        <v>8129</v>
      </c>
      <c r="P1313">
        <v>1</v>
      </c>
      <c r="Q1313">
        <v>0</v>
      </c>
      <c r="R1313">
        <v>480.26</v>
      </c>
      <c r="U1313">
        <v>59985</v>
      </c>
      <c r="W1313">
        <v>0</v>
      </c>
      <c r="Y1313" t="s">
        <v>93</v>
      </c>
      <c r="AA1313" t="s">
        <v>10974</v>
      </c>
      <c r="AB1313" t="s">
        <v>10979</v>
      </c>
      <c r="AD1313" t="s">
        <v>11086</v>
      </c>
      <c r="AF1313" t="s">
        <v>11120</v>
      </c>
      <c r="AH1313" t="s">
        <v>10974</v>
      </c>
      <c r="AJ1313" t="s">
        <v>11141</v>
      </c>
      <c r="AK1313" t="s">
        <v>7225</v>
      </c>
      <c r="AM1313">
        <v>1367</v>
      </c>
      <c r="AO1313">
        <v>168</v>
      </c>
      <c r="AQ1313" t="s">
        <v>11157</v>
      </c>
      <c r="AS1313" t="s">
        <v>11173</v>
      </c>
      <c r="AU1313">
        <v>34</v>
      </c>
      <c r="AW1313" t="s">
        <v>11187</v>
      </c>
      <c r="BA1313" t="s">
        <v>11222</v>
      </c>
      <c r="BE1313" t="s">
        <v>12434</v>
      </c>
      <c r="BF1313" t="s">
        <v>14364</v>
      </c>
      <c r="BM1313" t="s">
        <v>15650</v>
      </c>
    </row>
    <row r="1314" spans="1:65">
      <c r="A1314" s="1">
        <f>HYPERLINK("https://lsnyc.legalserver.org/matter/dynamic-profile/view/1899923","19-1899923")</f>
        <v>0</v>
      </c>
      <c r="B1314" t="s">
        <v>118</v>
      </c>
      <c r="C1314" t="s">
        <v>246</v>
      </c>
      <c r="D1314" t="s">
        <v>382</v>
      </c>
      <c r="F1314" t="s">
        <v>1379</v>
      </c>
      <c r="G1314" t="s">
        <v>3094</v>
      </c>
      <c r="H1314" t="s">
        <v>4971</v>
      </c>
      <c r="I1314" t="s">
        <v>6721</v>
      </c>
      <c r="J1314" t="s">
        <v>7170</v>
      </c>
      <c r="K1314">
        <v>10460</v>
      </c>
      <c r="N1314" t="s">
        <v>7237</v>
      </c>
      <c r="O1314" t="s">
        <v>8132</v>
      </c>
      <c r="P1314">
        <v>2</v>
      </c>
      <c r="Q1314">
        <v>1</v>
      </c>
      <c r="R1314">
        <v>169.95</v>
      </c>
      <c r="U1314">
        <v>36250</v>
      </c>
      <c r="W1314">
        <v>0</v>
      </c>
      <c r="Y1314" t="s">
        <v>10897</v>
      </c>
      <c r="AA1314" t="s">
        <v>10974</v>
      </c>
      <c r="AB1314" t="s">
        <v>10979</v>
      </c>
      <c r="AD1314" t="s">
        <v>11086</v>
      </c>
      <c r="AF1314" t="s">
        <v>11120</v>
      </c>
      <c r="AH1314" t="s">
        <v>10974</v>
      </c>
      <c r="AJ1314" t="s">
        <v>11141</v>
      </c>
      <c r="AK1314" t="s">
        <v>7225</v>
      </c>
      <c r="AM1314">
        <v>751</v>
      </c>
      <c r="AO1314">
        <v>168</v>
      </c>
      <c r="AQ1314" t="s">
        <v>11157</v>
      </c>
      <c r="AS1314" t="s">
        <v>11174</v>
      </c>
      <c r="AU1314">
        <v>15</v>
      </c>
      <c r="AW1314" t="s">
        <v>11187</v>
      </c>
      <c r="BA1314" t="s">
        <v>11222</v>
      </c>
      <c r="BE1314" t="s">
        <v>12437</v>
      </c>
      <c r="BF1314" t="s">
        <v>14364</v>
      </c>
      <c r="BG1314" t="s">
        <v>11228</v>
      </c>
      <c r="BM1314" t="s">
        <v>15650</v>
      </c>
    </row>
    <row r="1315" spans="1:65">
      <c r="A1315" s="1">
        <f>HYPERLINK("https://lsnyc.legalserver.org/matter/dynamic-profile/view/1885755","18-1885755")</f>
        <v>0</v>
      </c>
      <c r="B1315" t="s">
        <v>118</v>
      </c>
      <c r="C1315" t="s">
        <v>246</v>
      </c>
      <c r="D1315" t="s">
        <v>579</v>
      </c>
      <c r="E1315" t="s">
        <v>449</v>
      </c>
      <c r="F1315" t="s">
        <v>1740</v>
      </c>
      <c r="G1315" t="s">
        <v>1541</v>
      </c>
      <c r="H1315" t="s">
        <v>4971</v>
      </c>
      <c r="I1315" t="s">
        <v>6552</v>
      </c>
      <c r="J1315" t="s">
        <v>7170</v>
      </c>
      <c r="K1315">
        <v>10460</v>
      </c>
      <c r="L1315" t="s">
        <v>7219</v>
      </c>
      <c r="N1315" t="s">
        <v>7237</v>
      </c>
      <c r="O1315" t="s">
        <v>8135</v>
      </c>
      <c r="P1315">
        <v>1</v>
      </c>
      <c r="Q1315">
        <v>1</v>
      </c>
      <c r="R1315">
        <v>288.58</v>
      </c>
      <c r="U1315">
        <v>47500</v>
      </c>
      <c r="W1315">
        <v>0.1</v>
      </c>
      <c r="X1315" t="s">
        <v>449</v>
      </c>
      <c r="Y1315" t="s">
        <v>10865</v>
      </c>
      <c r="AA1315" t="s">
        <v>10974</v>
      </c>
      <c r="AB1315" t="s">
        <v>370</v>
      </c>
      <c r="AD1315" t="s">
        <v>11101</v>
      </c>
      <c r="AF1315" t="s">
        <v>11118</v>
      </c>
      <c r="AH1315" t="s">
        <v>10974</v>
      </c>
      <c r="AJ1315" t="s">
        <v>11141</v>
      </c>
      <c r="AK1315" t="s">
        <v>7225</v>
      </c>
      <c r="AM1315">
        <v>1071</v>
      </c>
      <c r="AO1315">
        <v>168</v>
      </c>
      <c r="AQ1315" t="s">
        <v>11164</v>
      </c>
      <c r="AS1315" t="s">
        <v>11174</v>
      </c>
      <c r="AU1315">
        <v>10</v>
      </c>
      <c r="AW1315" t="s">
        <v>11187</v>
      </c>
      <c r="AZ1315" t="s">
        <v>11221</v>
      </c>
      <c r="BE1315" t="s">
        <v>12440</v>
      </c>
      <c r="BG1315" t="s">
        <v>14686</v>
      </c>
      <c r="BJ1315" t="s">
        <v>15615</v>
      </c>
      <c r="BM1315" t="s">
        <v>15651</v>
      </c>
    </row>
    <row r="1316" spans="1:65">
      <c r="A1316" s="1">
        <f>HYPERLINK("https://lsnyc.legalserver.org/matter/dynamic-profile/view/1885652","18-1885652")</f>
        <v>0</v>
      </c>
      <c r="B1316" t="s">
        <v>118</v>
      </c>
      <c r="C1316" t="s">
        <v>246</v>
      </c>
      <c r="D1316" t="s">
        <v>446</v>
      </c>
      <c r="E1316" t="s">
        <v>735</v>
      </c>
      <c r="F1316" t="s">
        <v>1713</v>
      </c>
      <c r="G1316" t="s">
        <v>3523</v>
      </c>
      <c r="H1316" t="s">
        <v>4971</v>
      </c>
      <c r="I1316" t="s">
        <v>6719</v>
      </c>
      <c r="J1316" t="s">
        <v>7170</v>
      </c>
      <c r="K1316">
        <v>10460</v>
      </c>
      <c r="L1316" t="s">
        <v>7219</v>
      </c>
      <c r="N1316" t="s">
        <v>7237</v>
      </c>
      <c r="O1316" t="s">
        <v>8127</v>
      </c>
      <c r="P1316">
        <v>1</v>
      </c>
      <c r="Q1316">
        <v>2</v>
      </c>
      <c r="R1316">
        <v>24.27</v>
      </c>
      <c r="U1316">
        <v>5044</v>
      </c>
      <c r="W1316">
        <v>0.25</v>
      </c>
      <c r="X1316" t="s">
        <v>735</v>
      </c>
      <c r="Y1316" t="s">
        <v>10903</v>
      </c>
      <c r="AA1316" t="s">
        <v>10974</v>
      </c>
      <c r="AB1316" t="s">
        <v>370</v>
      </c>
      <c r="AD1316" t="s">
        <v>11101</v>
      </c>
      <c r="AF1316" t="s">
        <v>11118</v>
      </c>
      <c r="AH1316" t="s">
        <v>10974</v>
      </c>
      <c r="AJ1316" t="s">
        <v>11141</v>
      </c>
      <c r="AK1316" t="s">
        <v>7225</v>
      </c>
      <c r="AM1316">
        <v>400</v>
      </c>
      <c r="AO1316">
        <v>168</v>
      </c>
      <c r="AQ1316" t="s">
        <v>11157</v>
      </c>
      <c r="AS1316" t="s">
        <v>11174</v>
      </c>
      <c r="AU1316">
        <v>8</v>
      </c>
      <c r="AW1316" t="s">
        <v>11187</v>
      </c>
      <c r="AZ1316" t="s">
        <v>11221</v>
      </c>
      <c r="BE1316" t="s">
        <v>12432</v>
      </c>
      <c r="BG1316" t="s">
        <v>14686</v>
      </c>
      <c r="BJ1316" t="s">
        <v>15615</v>
      </c>
      <c r="BM1316" t="s">
        <v>15651</v>
      </c>
    </row>
    <row r="1317" spans="1:65">
      <c r="A1317" s="1">
        <f>HYPERLINK("https://lsnyc.legalserver.org/matter/dynamic-profile/view/1885589","18-1885589")</f>
        <v>0</v>
      </c>
      <c r="B1317" t="s">
        <v>118</v>
      </c>
      <c r="C1317" t="s">
        <v>246</v>
      </c>
      <c r="D1317" t="s">
        <v>610</v>
      </c>
      <c r="E1317" t="s">
        <v>735</v>
      </c>
      <c r="F1317" t="s">
        <v>1241</v>
      </c>
      <c r="G1317" t="s">
        <v>3528</v>
      </c>
      <c r="H1317" t="s">
        <v>4971</v>
      </c>
      <c r="I1317" t="s">
        <v>6437</v>
      </c>
      <c r="J1317" t="s">
        <v>7170</v>
      </c>
      <c r="K1317">
        <v>10460</v>
      </c>
      <c r="L1317" t="s">
        <v>7219</v>
      </c>
      <c r="N1317" t="s">
        <v>7237</v>
      </c>
      <c r="O1317" t="s">
        <v>8138</v>
      </c>
      <c r="P1317">
        <v>2</v>
      </c>
      <c r="Q1317">
        <v>0</v>
      </c>
      <c r="R1317">
        <v>180.15</v>
      </c>
      <c r="U1317">
        <v>29652</v>
      </c>
      <c r="W1317">
        <v>0.25</v>
      </c>
      <c r="X1317" t="s">
        <v>735</v>
      </c>
      <c r="Y1317" t="s">
        <v>216</v>
      </c>
      <c r="AA1317" t="s">
        <v>10974</v>
      </c>
      <c r="AB1317" t="s">
        <v>370</v>
      </c>
      <c r="AD1317" t="s">
        <v>11101</v>
      </c>
      <c r="AF1317" t="s">
        <v>11118</v>
      </c>
      <c r="AH1317" t="s">
        <v>10974</v>
      </c>
      <c r="AJ1317" t="s">
        <v>11141</v>
      </c>
      <c r="AK1317" t="s">
        <v>7225</v>
      </c>
      <c r="AM1317">
        <v>1100</v>
      </c>
      <c r="AO1317">
        <v>168</v>
      </c>
      <c r="AQ1317" t="s">
        <v>11157</v>
      </c>
      <c r="AS1317" t="s">
        <v>11174</v>
      </c>
      <c r="AU1317">
        <v>3</v>
      </c>
      <c r="AW1317" t="s">
        <v>11187</v>
      </c>
      <c r="BA1317" t="s">
        <v>11222</v>
      </c>
      <c r="BE1317" t="s">
        <v>12443</v>
      </c>
      <c r="BG1317" t="s">
        <v>14686</v>
      </c>
      <c r="BJ1317" t="s">
        <v>15615</v>
      </c>
      <c r="BM1317" t="s">
        <v>15651</v>
      </c>
    </row>
    <row r="1318" spans="1:65">
      <c r="A1318" s="1">
        <f>HYPERLINK("https://lsnyc.legalserver.org/matter/dynamic-profile/view/1868777","18-1868777")</f>
        <v>0</v>
      </c>
      <c r="B1318" t="s">
        <v>118</v>
      </c>
      <c r="C1318" t="s">
        <v>246</v>
      </c>
      <c r="D1318" t="s">
        <v>686</v>
      </c>
      <c r="F1318" t="s">
        <v>1711</v>
      </c>
      <c r="G1318" t="s">
        <v>3490</v>
      </c>
      <c r="H1318" t="s">
        <v>5239</v>
      </c>
      <c r="I1318" t="s">
        <v>6448</v>
      </c>
      <c r="J1318" t="s">
        <v>7170</v>
      </c>
      <c r="K1318">
        <v>10453</v>
      </c>
      <c r="N1318" t="s">
        <v>7237</v>
      </c>
      <c r="O1318" t="s">
        <v>8082</v>
      </c>
      <c r="P1318">
        <v>4</v>
      </c>
      <c r="Q1318">
        <v>0</v>
      </c>
      <c r="R1318">
        <v>62.15</v>
      </c>
      <c r="U1318">
        <v>15600</v>
      </c>
      <c r="W1318">
        <v>77.65000000000001</v>
      </c>
      <c r="X1318" t="s">
        <v>262</v>
      </c>
      <c r="Y1318" t="s">
        <v>10865</v>
      </c>
      <c r="AA1318" t="s">
        <v>10974</v>
      </c>
      <c r="AB1318" t="s">
        <v>766</v>
      </c>
      <c r="AD1318" t="s">
        <v>11101</v>
      </c>
      <c r="AF1318" t="s">
        <v>11118</v>
      </c>
      <c r="AH1318" t="s">
        <v>10975</v>
      </c>
      <c r="AJ1318" t="s">
        <v>11129</v>
      </c>
      <c r="AK1318" t="s">
        <v>7225</v>
      </c>
      <c r="AM1318">
        <v>925</v>
      </c>
      <c r="AO1318">
        <v>24</v>
      </c>
      <c r="AQ1318" t="s">
        <v>11157</v>
      </c>
      <c r="AS1318" t="s">
        <v>11173</v>
      </c>
      <c r="AU1318">
        <v>12</v>
      </c>
      <c r="AW1318" t="s">
        <v>11189</v>
      </c>
      <c r="AZ1318" t="s">
        <v>11221</v>
      </c>
      <c r="BC1318" t="s">
        <v>11355</v>
      </c>
      <c r="BE1318" t="s">
        <v>12396</v>
      </c>
      <c r="BG1318" t="s">
        <v>14712</v>
      </c>
      <c r="BM1318" t="s">
        <v>15650</v>
      </c>
    </row>
    <row r="1319" spans="1:65">
      <c r="A1319" s="1">
        <f>HYPERLINK("https://lsnyc.legalserver.org/matter/dynamic-profile/view/1865395","18-1865395")</f>
        <v>0</v>
      </c>
      <c r="B1319" t="s">
        <v>118</v>
      </c>
      <c r="C1319" t="s">
        <v>246</v>
      </c>
      <c r="D1319" t="s">
        <v>679</v>
      </c>
      <c r="F1319" t="s">
        <v>1743</v>
      </c>
      <c r="G1319" t="s">
        <v>3533</v>
      </c>
      <c r="H1319" t="s">
        <v>5243</v>
      </c>
      <c r="I1319" t="s">
        <v>6724</v>
      </c>
      <c r="J1319" t="s">
        <v>7170</v>
      </c>
      <c r="K1319">
        <v>10458</v>
      </c>
      <c r="N1319" t="s">
        <v>7237</v>
      </c>
      <c r="O1319" t="s">
        <v>8145</v>
      </c>
      <c r="P1319">
        <v>2</v>
      </c>
      <c r="Q1319">
        <v>1</v>
      </c>
      <c r="R1319">
        <v>349.37</v>
      </c>
      <c r="S1319" t="s">
        <v>10255</v>
      </c>
      <c r="U1319">
        <v>72600</v>
      </c>
      <c r="W1319">
        <v>0</v>
      </c>
      <c r="Y1319" t="s">
        <v>10897</v>
      </c>
      <c r="AA1319" t="s">
        <v>10974</v>
      </c>
      <c r="AB1319" t="s">
        <v>790</v>
      </c>
      <c r="AD1319" t="s">
        <v>11096</v>
      </c>
      <c r="AF1319" t="s">
        <v>11122</v>
      </c>
      <c r="AH1319" t="s">
        <v>10974</v>
      </c>
      <c r="AJ1319" t="s">
        <v>11141</v>
      </c>
      <c r="AK1319" t="s">
        <v>7225</v>
      </c>
      <c r="AM1319">
        <v>1248.06</v>
      </c>
      <c r="AO1319">
        <v>11</v>
      </c>
      <c r="AQ1319" t="s">
        <v>11157</v>
      </c>
      <c r="AS1319" t="s">
        <v>11173</v>
      </c>
      <c r="AU1319">
        <v>16</v>
      </c>
      <c r="AW1319" t="s">
        <v>11187</v>
      </c>
      <c r="AZ1319" t="s">
        <v>11221</v>
      </c>
      <c r="BE1319" t="s">
        <v>12447</v>
      </c>
      <c r="BG1319" t="s">
        <v>14693</v>
      </c>
      <c r="BM1319" t="s">
        <v>15650</v>
      </c>
    </row>
    <row r="1320" spans="1:65">
      <c r="A1320" s="1">
        <f>HYPERLINK("https://lsnyc.legalserver.org/matter/dynamic-profile/view/1886719","18-1886719")</f>
        <v>0</v>
      </c>
      <c r="B1320" t="s">
        <v>118</v>
      </c>
      <c r="C1320" t="s">
        <v>246</v>
      </c>
      <c r="D1320" t="s">
        <v>559</v>
      </c>
      <c r="F1320" t="s">
        <v>1742</v>
      </c>
      <c r="G1320" t="s">
        <v>2964</v>
      </c>
      <c r="H1320" t="s">
        <v>4971</v>
      </c>
      <c r="I1320" t="s">
        <v>6572</v>
      </c>
      <c r="J1320" t="s">
        <v>7170</v>
      </c>
      <c r="K1320">
        <v>10460</v>
      </c>
      <c r="N1320" t="s">
        <v>7237</v>
      </c>
      <c r="O1320" t="s">
        <v>8140</v>
      </c>
      <c r="P1320">
        <v>1</v>
      </c>
      <c r="Q1320">
        <v>3</v>
      </c>
      <c r="R1320">
        <v>26.29</v>
      </c>
      <c r="U1320">
        <v>6600</v>
      </c>
      <c r="W1320">
        <v>0</v>
      </c>
      <c r="Y1320" t="s">
        <v>10903</v>
      </c>
      <c r="AA1320" t="s">
        <v>10974</v>
      </c>
      <c r="AB1320" t="s">
        <v>370</v>
      </c>
      <c r="AD1320" t="s">
        <v>11101</v>
      </c>
      <c r="AF1320" t="s">
        <v>11118</v>
      </c>
      <c r="AH1320" t="s">
        <v>10974</v>
      </c>
      <c r="AJ1320" t="s">
        <v>11141</v>
      </c>
      <c r="AK1320" t="s">
        <v>7225</v>
      </c>
      <c r="AM1320">
        <v>129</v>
      </c>
      <c r="AO1320">
        <v>168</v>
      </c>
      <c r="AP1320" t="s">
        <v>11155</v>
      </c>
      <c r="AS1320" t="s">
        <v>11174</v>
      </c>
      <c r="AU1320">
        <v>3</v>
      </c>
      <c r="AW1320" t="s">
        <v>11189</v>
      </c>
      <c r="AZ1320" t="s">
        <v>11221</v>
      </c>
      <c r="BD1320" t="s">
        <v>11667</v>
      </c>
      <c r="BG1320" t="s">
        <v>14686</v>
      </c>
      <c r="BM1320" t="s">
        <v>15650</v>
      </c>
    </row>
    <row r="1321" spans="1:65">
      <c r="A1321" s="1">
        <f>HYPERLINK("https://lsnyc.legalserver.org/matter/dynamic-profile/view/1899976","19-1899976")</f>
        <v>0</v>
      </c>
      <c r="B1321" t="s">
        <v>118</v>
      </c>
      <c r="C1321" t="s">
        <v>246</v>
      </c>
      <c r="D1321" t="s">
        <v>314</v>
      </c>
      <c r="F1321" t="s">
        <v>1369</v>
      </c>
      <c r="G1321" t="s">
        <v>3489</v>
      </c>
      <c r="H1321" t="s">
        <v>4971</v>
      </c>
      <c r="I1321" t="s">
        <v>6463</v>
      </c>
      <c r="J1321" t="s">
        <v>7170</v>
      </c>
      <c r="K1321">
        <v>10460</v>
      </c>
      <c r="N1321" t="s">
        <v>7237</v>
      </c>
      <c r="O1321" t="s">
        <v>8081</v>
      </c>
      <c r="P1321">
        <v>1</v>
      </c>
      <c r="Q1321">
        <v>1</v>
      </c>
      <c r="R1321">
        <v>195.88</v>
      </c>
      <c r="U1321">
        <v>33124</v>
      </c>
      <c r="W1321">
        <v>0</v>
      </c>
      <c r="Y1321" t="s">
        <v>10897</v>
      </c>
      <c r="AA1321" t="s">
        <v>10974</v>
      </c>
      <c r="AB1321" t="s">
        <v>10979</v>
      </c>
      <c r="AD1321" t="s">
        <v>11086</v>
      </c>
      <c r="AF1321" t="s">
        <v>11120</v>
      </c>
      <c r="AH1321" t="s">
        <v>10974</v>
      </c>
      <c r="AJ1321" t="s">
        <v>11141</v>
      </c>
      <c r="AK1321" t="s">
        <v>7225</v>
      </c>
      <c r="AM1321">
        <v>1018</v>
      </c>
      <c r="AO1321">
        <v>168</v>
      </c>
      <c r="AQ1321" t="s">
        <v>11157</v>
      </c>
      <c r="AS1321" t="s">
        <v>11174</v>
      </c>
      <c r="AU1321">
        <v>14</v>
      </c>
      <c r="AW1321" t="s">
        <v>11187</v>
      </c>
      <c r="BA1321" t="s">
        <v>11222</v>
      </c>
      <c r="BE1321" t="s">
        <v>12395</v>
      </c>
      <c r="BF1321" t="s">
        <v>14364</v>
      </c>
      <c r="BM1321" t="s">
        <v>15650</v>
      </c>
    </row>
    <row r="1322" spans="1:65">
      <c r="A1322" s="1">
        <f>HYPERLINK("https://lsnyc.legalserver.org/matter/dynamic-profile/view/1886099","18-1886099")</f>
        <v>0</v>
      </c>
      <c r="B1322" t="s">
        <v>118</v>
      </c>
      <c r="C1322" t="s">
        <v>246</v>
      </c>
      <c r="D1322" t="s">
        <v>405</v>
      </c>
      <c r="F1322" t="s">
        <v>1349</v>
      </c>
      <c r="G1322" t="s">
        <v>3535</v>
      </c>
      <c r="H1322" t="s">
        <v>4976</v>
      </c>
      <c r="I1322" t="s">
        <v>6487</v>
      </c>
      <c r="J1322" t="s">
        <v>7170</v>
      </c>
      <c r="K1322">
        <v>10453</v>
      </c>
      <c r="N1322" t="s">
        <v>7237</v>
      </c>
      <c r="O1322" t="s">
        <v>8149</v>
      </c>
      <c r="P1322">
        <v>1</v>
      </c>
      <c r="Q1322">
        <v>0</v>
      </c>
      <c r="R1322">
        <v>164.74</v>
      </c>
      <c r="U1322">
        <v>20000</v>
      </c>
      <c r="W1322">
        <v>7</v>
      </c>
      <c r="X1322" t="s">
        <v>585</v>
      </c>
      <c r="Y1322" t="s">
        <v>10897</v>
      </c>
      <c r="AA1322" t="s">
        <v>10974</v>
      </c>
      <c r="AB1322" t="s">
        <v>10979</v>
      </c>
      <c r="AD1322" t="s">
        <v>11086</v>
      </c>
      <c r="AF1322" t="s">
        <v>10384</v>
      </c>
      <c r="AH1322" t="s">
        <v>10974</v>
      </c>
      <c r="AJ1322" t="s">
        <v>11141</v>
      </c>
      <c r="AK1322" t="s">
        <v>7225</v>
      </c>
      <c r="AM1322">
        <v>1366.88</v>
      </c>
      <c r="AO1322">
        <v>99</v>
      </c>
      <c r="AQ1322" t="s">
        <v>11157</v>
      </c>
      <c r="AS1322" t="s">
        <v>11173</v>
      </c>
      <c r="AU1322">
        <v>2</v>
      </c>
      <c r="AW1322" t="s">
        <v>11187</v>
      </c>
      <c r="BA1322" t="s">
        <v>11222</v>
      </c>
      <c r="BE1322" t="s">
        <v>12449</v>
      </c>
      <c r="BF1322" t="s">
        <v>14364</v>
      </c>
      <c r="BM1322" t="s">
        <v>15650</v>
      </c>
    </row>
    <row r="1323" spans="1:65">
      <c r="A1323" s="1">
        <f>HYPERLINK("https://lsnyc.legalserver.org/matter/dynamic-profile/view/1863233","18-1863233")</f>
        <v>0</v>
      </c>
      <c r="B1323" t="s">
        <v>118</v>
      </c>
      <c r="C1323" t="s">
        <v>246</v>
      </c>
      <c r="D1323" t="s">
        <v>687</v>
      </c>
      <c r="F1323" t="s">
        <v>1726</v>
      </c>
      <c r="G1323" t="s">
        <v>3515</v>
      </c>
      <c r="H1323" t="s">
        <v>5243</v>
      </c>
      <c r="I1323" t="s">
        <v>6495</v>
      </c>
      <c r="J1323" t="s">
        <v>7170</v>
      </c>
      <c r="K1323">
        <v>10458</v>
      </c>
      <c r="N1323" t="s">
        <v>7237</v>
      </c>
      <c r="O1323" t="s">
        <v>8111</v>
      </c>
      <c r="P1323">
        <v>2</v>
      </c>
      <c r="Q1323">
        <v>3</v>
      </c>
      <c r="R1323">
        <v>122.37</v>
      </c>
      <c r="U1323">
        <v>36000</v>
      </c>
      <c r="W1323">
        <v>110.9</v>
      </c>
      <c r="X1323" t="s">
        <v>437</v>
      </c>
      <c r="Y1323" t="s">
        <v>118</v>
      </c>
      <c r="AA1323" t="s">
        <v>10974</v>
      </c>
      <c r="AB1323" t="s">
        <v>790</v>
      </c>
      <c r="AD1323" t="s">
        <v>11101</v>
      </c>
      <c r="AF1323" t="s">
        <v>11118</v>
      </c>
      <c r="AH1323" t="s">
        <v>10975</v>
      </c>
      <c r="AJ1323" t="s">
        <v>11141</v>
      </c>
      <c r="AK1323" t="s">
        <v>7225</v>
      </c>
      <c r="AM1323">
        <v>1600</v>
      </c>
      <c r="AO1323">
        <v>11</v>
      </c>
      <c r="AQ1323" t="s">
        <v>11157</v>
      </c>
      <c r="AS1323" t="s">
        <v>11173</v>
      </c>
      <c r="AU1323">
        <v>3</v>
      </c>
      <c r="AW1323" t="s">
        <v>11189</v>
      </c>
      <c r="AZ1323" t="s">
        <v>11221</v>
      </c>
      <c r="BE1323" t="s">
        <v>12419</v>
      </c>
      <c r="BG1323" t="s">
        <v>14713</v>
      </c>
      <c r="BM1323" t="s">
        <v>15650</v>
      </c>
    </row>
    <row r="1324" spans="1:65">
      <c r="A1324" s="1">
        <f>HYPERLINK("https://lsnyc.legalserver.org/matter/dynamic-profile/view/1900608","19-1900608")</f>
        <v>0</v>
      </c>
      <c r="B1324" t="s">
        <v>118</v>
      </c>
      <c r="C1324" t="s">
        <v>246</v>
      </c>
      <c r="D1324" t="s">
        <v>549</v>
      </c>
      <c r="F1324" t="s">
        <v>1506</v>
      </c>
      <c r="G1324" t="s">
        <v>3532</v>
      </c>
      <c r="H1324" t="s">
        <v>4971</v>
      </c>
      <c r="I1324" t="s">
        <v>6580</v>
      </c>
      <c r="J1324" t="s">
        <v>7170</v>
      </c>
      <c r="K1324">
        <v>10460</v>
      </c>
      <c r="N1324" t="s">
        <v>7237</v>
      </c>
      <c r="O1324" t="s">
        <v>8144</v>
      </c>
      <c r="P1324">
        <v>2</v>
      </c>
      <c r="Q1324">
        <v>0</v>
      </c>
      <c r="R1324">
        <v>100.53</v>
      </c>
      <c r="U1324">
        <v>17000</v>
      </c>
      <c r="W1324">
        <v>0.3</v>
      </c>
      <c r="X1324" t="s">
        <v>637</v>
      </c>
      <c r="Y1324" t="s">
        <v>10865</v>
      </c>
      <c r="AA1324" t="s">
        <v>10974</v>
      </c>
      <c r="AB1324" t="s">
        <v>10979</v>
      </c>
      <c r="AD1324" t="s">
        <v>11086</v>
      </c>
      <c r="AF1324" t="s">
        <v>11120</v>
      </c>
      <c r="AH1324" t="s">
        <v>10974</v>
      </c>
      <c r="AJ1324" t="s">
        <v>11129</v>
      </c>
      <c r="AK1324" t="s">
        <v>7225</v>
      </c>
      <c r="AM1324">
        <v>517</v>
      </c>
      <c r="AO1324">
        <v>168</v>
      </c>
      <c r="AQ1324" t="s">
        <v>11164</v>
      </c>
      <c r="AS1324" t="s">
        <v>11174</v>
      </c>
      <c r="AU1324">
        <v>24</v>
      </c>
      <c r="AW1324" t="s">
        <v>11187</v>
      </c>
      <c r="BA1324" t="s">
        <v>11222</v>
      </c>
      <c r="BD1324" t="s">
        <v>11667</v>
      </c>
      <c r="BF1324" t="s">
        <v>14364</v>
      </c>
      <c r="BG1324" t="s">
        <v>11228</v>
      </c>
      <c r="BM1324" t="s">
        <v>15650</v>
      </c>
    </row>
    <row r="1325" spans="1:65">
      <c r="A1325" s="1">
        <f>HYPERLINK("https://lsnyc.legalserver.org/matter/dynamic-profile/view/1899842","19-1899842")</f>
        <v>0</v>
      </c>
      <c r="B1325" t="s">
        <v>118</v>
      </c>
      <c r="C1325" t="s">
        <v>246</v>
      </c>
      <c r="D1325" t="s">
        <v>382</v>
      </c>
      <c r="F1325" t="s">
        <v>1519</v>
      </c>
      <c r="G1325" t="s">
        <v>3534</v>
      </c>
      <c r="H1325" t="s">
        <v>4971</v>
      </c>
      <c r="I1325" t="s">
        <v>6468</v>
      </c>
      <c r="J1325" t="s">
        <v>7170</v>
      </c>
      <c r="K1325">
        <v>10460</v>
      </c>
      <c r="N1325" t="s">
        <v>7237</v>
      </c>
      <c r="O1325" t="s">
        <v>8147</v>
      </c>
      <c r="P1325">
        <v>1</v>
      </c>
      <c r="Q1325">
        <v>0</v>
      </c>
      <c r="R1325">
        <v>100.88</v>
      </c>
      <c r="U1325">
        <v>12600</v>
      </c>
      <c r="W1325">
        <v>0</v>
      </c>
      <c r="Y1325" t="s">
        <v>10897</v>
      </c>
      <c r="AA1325" t="s">
        <v>10974</v>
      </c>
      <c r="AB1325" t="s">
        <v>10979</v>
      </c>
      <c r="AD1325" t="s">
        <v>11086</v>
      </c>
      <c r="AF1325" t="s">
        <v>11120</v>
      </c>
      <c r="AH1325" t="s">
        <v>10974</v>
      </c>
      <c r="AJ1325" t="s">
        <v>11141</v>
      </c>
      <c r="AK1325" t="s">
        <v>7225</v>
      </c>
      <c r="AM1325">
        <v>304</v>
      </c>
      <c r="AO1325">
        <v>168</v>
      </c>
      <c r="AQ1325" t="s">
        <v>11157</v>
      </c>
      <c r="AS1325" t="s">
        <v>11174</v>
      </c>
      <c r="AU1325">
        <v>1</v>
      </c>
      <c r="AW1325" t="s">
        <v>11187</v>
      </c>
      <c r="BA1325" t="s">
        <v>11222</v>
      </c>
      <c r="BE1325" t="s">
        <v>12448</v>
      </c>
      <c r="BF1325" t="s">
        <v>14364</v>
      </c>
      <c r="BG1325" t="s">
        <v>11228</v>
      </c>
      <c r="BM1325" t="s">
        <v>15650</v>
      </c>
    </row>
    <row r="1326" spans="1:65">
      <c r="A1326" s="1">
        <f>HYPERLINK("https://lsnyc.legalserver.org/matter/dynamic-profile/view/1867697","18-1867697")</f>
        <v>0</v>
      </c>
      <c r="B1326" t="s">
        <v>118</v>
      </c>
      <c r="C1326" t="s">
        <v>246</v>
      </c>
      <c r="D1326" t="s">
        <v>676</v>
      </c>
      <c r="F1326" t="s">
        <v>1743</v>
      </c>
      <c r="G1326" t="s">
        <v>3533</v>
      </c>
      <c r="H1326" t="s">
        <v>5243</v>
      </c>
      <c r="I1326" t="s">
        <v>6724</v>
      </c>
      <c r="J1326" t="s">
        <v>7170</v>
      </c>
      <c r="K1326">
        <v>10458</v>
      </c>
      <c r="N1326" t="s">
        <v>7237</v>
      </c>
      <c r="O1326" t="s">
        <v>8145</v>
      </c>
      <c r="P1326">
        <v>2</v>
      </c>
      <c r="Q1326">
        <v>1</v>
      </c>
      <c r="R1326">
        <v>349.37</v>
      </c>
      <c r="S1326" t="s">
        <v>10255</v>
      </c>
      <c r="U1326">
        <v>72600</v>
      </c>
      <c r="W1326">
        <v>0</v>
      </c>
      <c r="Y1326" t="s">
        <v>10897</v>
      </c>
      <c r="AA1326" t="s">
        <v>10974</v>
      </c>
      <c r="AB1326" t="s">
        <v>939</v>
      </c>
      <c r="AD1326" t="s">
        <v>11101</v>
      </c>
      <c r="AF1326" t="s">
        <v>11118</v>
      </c>
      <c r="AH1326" t="s">
        <v>10974</v>
      </c>
      <c r="AJ1326" t="s">
        <v>11129</v>
      </c>
      <c r="AK1326" t="s">
        <v>7225</v>
      </c>
      <c r="AM1326">
        <v>1248.06</v>
      </c>
      <c r="AO1326">
        <v>11</v>
      </c>
      <c r="AQ1326" t="s">
        <v>11157</v>
      </c>
      <c r="AS1326" t="s">
        <v>11173</v>
      </c>
      <c r="AU1326">
        <v>16</v>
      </c>
      <c r="AW1326" t="s">
        <v>11187</v>
      </c>
      <c r="AZ1326" t="s">
        <v>11221</v>
      </c>
      <c r="BE1326" t="s">
        <v>12447</v>
      </c>
      <c r="BF1326" t="s">
        <v>14364</v>
      </c>
      <c r="BM1326" t="s">
        <v>15650</v>
      </c>
    </row>
    <row r="1327" spans="1:65">
      <c r="A1327" s="1">
        <f>HYPERLINK("https://lsnyc.legalserver.org/matter/dynamic-profile/view/1854735","17-1854735")</f>
        <v>0</v>
      </c>
      <c r="B1327" t="s">
        <v>118</v>
      </c>
      <c r="C1327" t="s">
        <v>246</v>
      </c>
      <c r="D1327" t="s">
        <v>688</v>
      </c>
      <c r="E1327" t="s">
        <v>449</v>
      </c>
      <c r="F1327" t="s">
        <v>1238</v>
      </c>
      <c r="G1327" t="s">
        <v>3536</v>
      </c>
      <c r="H1327" t="s">
        <v>5259</v>
      </c>
      <c r="I1327" t="s">
        <v>6463</v>
      </c>
      <c r="J1327" t="s">
        <v>7170</v>
      </c>
      <c r="K1327">
        <v>10453</v>
      </c>
      <c r="L1327" t="s">
        <v>7219</v>
      </c>
      <c r="N1327" t="s">
        <v>7237</v>
      </c>
      <c r="O1327" t="s">
        <v>8150</v>
      </c>
      <c r="P1327">
        <v>1</v>
      </c>
      <c r="Q1327">
        <v>0</v>
      </c>
      <c r="R1327">
        <v>116.42</v>
      </c>
      <c r="U1327">
        <v>14040</v>
      </c>
      <c r="V1327" t="s">
        <v>10395</v>
      </c>
      <c r="W1327">
        <v>51.81</v>
      </c>
      <c r="X1327" t="s">
        <v>480</v>
      </c>
      <c r="Y1327" t="s">
        <v>10876</v>
      </c>
      <c r="AA1327" t="s">
        <v>10974</v>
      </c>
      <c r="AB1327" t="s">
        <v>458</v>
      </c>
      <c r="AD1327" t="s">
        <v>11082</v>
      </c>
      <c r="AF1327" t="s">
        <v>11118</v>
      </c>
      <c r="AH1327" t="s">
        <v>10975</v>
      </c>
      <c r="AJ1327" t="s">
        <v>11104</v>
      </c>
      <c r="AK1327" t="s">
        <v>7225</v>
      </c>
      <c r="AM1327">
        <v>1180</v>
      </c>
      <c r="AO1327">
        <v>101</v>
      </c>
      <c r="AQ1327" t="s">
        <v>11165</v>
      </c>
      <c r="AS1327" t="s">
        <v>11173</v>
      </c>
      <c r="AU1327">
        <v>10</v>
      </c>
      <c r="AW1327" t="s">
        <v>11187</v>
      </c>
      <c r="AZ1327" t="s">
        <v>11221</v>
      </c>
      <c r="BE1327" t="s">
        <v>12450</v>
      </c>
      <c r="BG1327" t="s">
        <v>14714</v>
      </c>
      <c r="BH1327" t="s">
        <v>15605</v>
      </c>
      <c r="BJ1327" t="s">
        <v>15615</v>
      </c>
      <c r="BL1327" t="s">
        <v>15648</v>
      </c>
      <c r="BM1327" t="s">
        <v>15651</v>
      </c>
    </row>
    <row r="1328" spans="1:65">
      <c r="A1328" s="1">
        <f>HYPERLINK("https://lsnyc.legalserver.org/matter/dynamic-profile/view/0781269","15-0781269")</f>
        <v>0</v>
      </c>
      <c r="B1328" t="s">
        <v>119</v>
      </c>
      <c r="C1328" t="s">
        <v>248</v>
      </c>
      <c r="D1328" t="s">
        <v>689</v>
      </c>
      <c r="F1328" t="s">
        <v>1746</v>
      </c>
      <c r="G1328" t="s">
        <v>3537</v>
      </c>
      <c r="H1328" t="s">
        <v>5260</v>
      </c>
      <c r="I1328" t="s">
        <v>6433</v>
      </c>
      <c r="J1328" t="s">
        <v>7174</v>
      </c>
      <c r="K1328">
        <v>11216</v>
      </c>
      <c r="M1328" t="s">
        <v>7226</v>
      </c>
      <c r="N1328" t="s">
        <v>7237</v>
      </c>
      <c r="O1328" t="s">
        <v>8151</v>
      </c>
      <c r="P1328">
        <v>1</v>
      </c>
      <c r="Q1328">
        <v>2</v>
      </c>
      <c r="R1328">
        <v>137.7</v>
      </c>
      <c r="U1328">
        <v>27664</v>
      </c>
      <c r="W1328">
        <v>172</v>
      </c>
      <c r="X1328" t="s">
        <v>802</v>
      </c>
      <c r="Y1328" t="s">
        <v>119</v>
      </c>
      <c r="AA1328" t="s">
        <v>10974</v>
      </c>
      <c r="AD1328" t="s">
        <v>11083</v>
      </c>
      <c r="AF1328" t="s">
        <v>11118</v>
      </c>
      <c r="AG1328" t="s">
        <v>11124</v>
      </c>
      <c r="AJ1328" t="s">
        <v>11134</v>
      </c>
      <c r="AK1328" t="s">
        <v>7225</v>
      </c>
      <c r="AM1328">
        <v>1244</v>
      </c>
      <c r="AN1328" t="s">
        <v>11151</v>
      </c>
      <c r="AO1328" t="s">
        <v>11153</v>
      </c>
      <c r="AQ1328" t="s">
        <v>11157</v>
      </c>
      <c r="AR1328" t="s">
        <v>11172</v>
      </c>
      <c r="AU1328">
        <v>14</v>
      </c>
      <c r="AW1328" t="s">
        <v>11187</v>
      </c>
      <c r="AX1328" t="s">
        <v>11212</v>
      </c>
      <c r="AZ1328" t="s">
        <v>11221</v>
      </c>
      <c r="BE1328" t="s">
        <v>12451</v>
      </c>
      <c r="BG1328" t="s">
        <v>14715</v>
      </c>
      <c r="BM1328" t="s">
        <v>15650</v>
      </c>
    </row>
    <row r="1329" spans="1:65">
      <c r="A1329" s="1">
        <f>HYPERLINK("https://lsnyc.legalserver.org/matter/dynamic-profile/view/0785443","15-0785443")</f>
        <v>0</v>
      </c>
      <c r="B1329" t="s">
        <v>120</v>
      </c>
      <c r="C1329" t="s">
        <v>246</v>
      </c>
      <c r="D1329" t="s">
        <v>690</v>
      </c>
      <c r="F1329" t="s">
        <v>1139</v>
      </c>
      <c r="G1329" t="s">
        <v>3538</v>
      </c>
      <c r="H1329" t="s">
        <v>4844</v>
      </c>
      <c r="I1329" t="s">
        <v>6621</v>
      </c>
      <c r="J1329" t="s">
        <v>7170</v>
      </c>
      <c r="K1329">
        <v>10452</v>
      </c>
      <c r="N1329" t="s">
        <v>7237</v>
      </c>
      <c r="O1329" t="s">
        <v>8152</v>
      </c>
      <c r="P1329">
        <v>1</v>
      </c>
      <c r="Q1329">
        <v>0</v>
      </c>
      <c r="R1329">
        <v>390.82</v>
      </c>
      <c r="U1329">
        <v>46000</v>
      </c>
      <c r="W1329">
        <v>2.2</v>
      </c>
      <c r="X1329" t="s">
        <v>920</v>
      </c>
      <c r="Y1329" t="s">
        <v>138</v>
      </c>
      <c r="AA1329" t="s">
        <v>10974</v>
      </c>
      <c r="AB1329" t="s">
        <v>10817</v>
      </c>
      <c r="AD1329" t="s">
        <v>11085</v>
      </c>
      <c r="AF1329" t="s">
        <v>11118</v>
      </c>
      <c r="AH1329" t="s">
        <v>10974</v>
      </c>
      <c r="AI1329" t="s">
        <v>11126</v>
      </c>
      <c r="AK1329" t="s">
        <v>7225</v>
      </c>
      <c r="AM1329">
        <v>749.49</v>
      </c>
      <c r="AO1329">
        <v>122</v>
      </c>
      <c r="AQ1329" t="s">
        <v>11157</v>
      </c>
      <c r="AR1329" t="s">
        <v>11172</v>
      </c>
      <c r="AU1329">
        <v>23</v>
      </c>
      <c r="AW1329" t="s">
        <v>11187</v>
      </c>
      <c r="AZ1329" t="s">
        <v>11221</v>
      </c>
      <c r="BE1329" t="s">
        <v>12452</v>
      </c>
      <c r="BF1329" t="s">
        <v>14364</v>
      </c>
      <c r="BG1329" t="s">
        <v>14716</v>
      </c>
      <c r="BM1329" t="s">
        <v>15650</v>
      </c>
    </row>
    <row r="1330" spans="1:65">
      <c r="A1330" s="1">
        <f>HYPERLINK("https://lsnyc.legalserver.org/matter/dynamic-profile/view/1857538","18-1857538")</f>
        <v>0</v>
      </c>
      <c r="B1330" t="s">
        <v>120</v>
      </c>
      <c r="C1330" t="s">
        <v>246</v>
      </c>
      <c r="D1330" t="s">
        <v>691</v>
      </c>
      <c r="F1330" t="s">
        <v>1367</v>
      </c>
      <c r="G1330" t="s">
        <v>3539</v>
      </c>
      <c r="H1330" t="s">
        <v>4844</v>
      </c>
      <c r="I1330" t="s">
        <v>6726</v>
      </c>
      <c r="J1330" t="s">
        <v>7170</v>
      </c>
      <c r="K1330">
        <v>10452</v>
      </c>
      <c r="N1330" t="s">
        <v>7237</v>
      </c>
      <c r="O1330" t="s">
        <v>8153</v>
      </c>
      <c r="P1330">
        <v>1</v>
      </c>
      <c r="Q1330">
        <v>0</v>
      </c>
      <c r="R1330">
        <v>254.13</v>
      </c>
      <c r="U1330">
        <v>30648</v>
      </c>
      <c r="V1330" t="s">
        <v>10396</v>
      </c>
      <c r="W1330">
        <v>0</v>
      </c>
      <c r="Y1330" t="s">
        <v>10897</v>
      </c>
      <c r="AA1330" t="s">
        <v>10974</v>
      </c>
      <c r="AB1330" t="s">
        <v>891</v>
      </c>
      <c r="AD1330" t="s">
        <v>11096</v>
      </c>
      <c r="AF1330" t="s">
        <v>11122</v>
      </c>
      <c r="AH1330" t="s">
        <v>10974</v>
      </c>
      <c r="AJ1330" t="s">
        <v>11141</v>
      </c>
      <c r="AK1330" t="s">
        <v>7225</v>
      </c>
      <c r="AM1330">
        <v>799.6</v>
      </c>
      <c r="AO1330">
        <v>122</v>
      </c>
      <c r="AQ1330" t="s">
        <v>11157</v>
      </c>
      <c r="AS1330" t="s">
        <v>11173</v>
      </c>
      <c r="AU1330">
        <v>24</v>
      </c>
      <c r="AW1330" t="s">
        <v>11187</v>
      </c>
      <c r="AZ1330" t="s">
        <v>11221</v>
      </c>
      <c r="BE1330" t="s">
        <v>12453</v>
      </c>
      <c r="BG1330" t="s">
        <v>14717</v>
      </c>
      <c r="BM1330" t="s">
        <v>15650</v>
      </c>
    </row>
    <row r="1331" spans="1:65">
      <c r="A1331" s="1">
        <f>HYPERLINK("https://lsnyc.legalserver.org/matter/dynamic-profile/view/1863846","18-1863846")</f>
        <v>0</v>
      </c>
      <c r="B1331" t="s">
        <v>120</v>
      </c>
      <c r="C1331" t="s">
        <v>246</v>
      </c>
      <c r="D1331" t="s">
        <v>350</v>
      </c>
      <c r="E1331" t="s">
        <v>669</v>
      </c>
      <c r="F1331" t="s">
        <v>1545</v>
      </c>
      <c r="G1331" t="s">
        <v>3337</v>
      </c>
      <c r="H1331" t="s">
        <v>5261</v>
      </c>
      <c r="I1331" t="s">
        <v>6405</v>
      </c>
      <c r="J1331" t="s">
        <v>7170</v>
      </c>
      <c r="K1331">
        <v>10452</v>
      </c>
      <c r="L1331" t="s">
        <v>7219</v>
      </c>
      <c r="N1331" t="s">
        <v>7237</v>
      </c>
      <c r="O1331" t="s">
        <v>8154</v>
      </c>
      <c r="P1331">
        <v>1</v>
      </c>
      <c r="Q1331">
        <v>0</v>
      </c>
      <c r="R1331">
        <v>107.08</v>
      </c>
      <c r="U1331">
        <v>13000</v>
      </c>
      <c r="V1331" t="s">
        <v>10306</v>
      </c>
      <c r="W1331">
        <v>64.75</v>
      </c>
      <c r="X1331" t="s">
        <v>436</v>
      </c>
      <c r="Y1331" t="s">
        <v>10866</v>
      </c>
      <c r="AA1331" t="s">
        <v>10974</v>
      </c>
      <c r="AB1331" t="s">
        <v>350</v>
      </c>
      <c r="AD1331" t="s">
        <v>11083</v>
      </c>
      <c r="AF1331" t="s">
        <v>11118</v>
      </c>
      <c r="AG1331" t="s">
        <v>11124</v>
      </c>
      <c r="AJ1331" t="s">
        <v>11136</v>
      </c>
      <c r="AK1331" t="s">
        <v>7225</v>
      </c>
      <c r="AM1331">
        <v>530</v>
      </c>
      <c r="AN1331" t="s">
        <v>11151</v>
      </c>
      <c r="AO1331" t="s">
        <v>11153</v>
      </c>
      <c r="AQ1331" t="s">
        <v>11161</v>
      </c>
      <c r="AS1331" t="s">
        <v>11179</v>
      </c>
      <c r="AU1331">
        <v>13</v>
      </c>
      <c r="AW1331" t="s">
        <v>11187</v>
      </c>
      <c r="AZ1331" t="s">
        <v>11221</v>
      </c>
      <c r="BC1331" t="s">
        <v>11356</v>
      </c>
      <c r="BE1331" t="s">
        <v>12454</v>
      </c>
      <c r="BG1331" t="s">
        <v>14718</v>
      </c>
      <c r="BH1331" t="s">
        <v>15605</v>
      </c>
      <c r="BJ1331" t="s">
        <v>15615</v>
      </c>
      <c r="BL1331" t="s">
        <v>15648</v>
      </c>
      <c r="BM1331" t="s">
        <v>15651</v>
      </c>
    </row>
    <row r="1332" spans="1:65">
      <c r="A1332" s="1">
        <f>HYPERLINK("https://lsnyc.legalserver.org/matter/dynamic-profile/view/1857053","18-1857053")</f>
        <v>0</v>
      </c>
      <c r="B1332" t="s">
        <v>120</v>
      </c>
      <c r="C1332" t="s">
        <v>246</v>
      </c>
      <c r="D1332" t="s">
        <v>692</v>
      </c>
      <c r="F1332" t="s">
        <v>1367</v>
      </c>
      <c r="G1332" t="s">
        <v>3539</v>
      </c>
      <c r="H1332" t="s">
        <v>4844</v>
      </c>
      <c r="I1332" t="s">
        <v>6726</v>
      </c>
      <c r="J1332" t="s">
        <v>7170</v>
      </c>
      <c r="K1332">
        <v>10452</v>
      </c>
      <c r="N1332" t="s">
        <v>7237</v>
      </c>
      <c r="O1332" t="s">
        <v>8153</v>
      </c>
      <c r="P1332">
        <v>1</v>
      </c>
      <c r="Q1332">
        <v>0</v>
      </c>
      <c r="R1332">
        <v>254.13</v>
      </c>
      <c r="U1332">
        <v>30648</v>
      </c>
      <c r="W1332">
        <v>0</v>
      </c>
      <c r="Y1332" t="s">
        <v>10897</v>
      </c>
      <c r="AA1332" t="s">
        <v>10974</v>
      </c>
      <c r="AB1332" t="s">
        <v>11013</v>
      </c>
      <c r="AD1332" t="s">
        <v>11096</v>
      </c>
      <c r="AF1332" t="s">
        <v>11122</v>
      </c>
      <c r="AH1332" t="s">
        <v>10974</v>
      </c>
      <c r="AJ1332" t="s">
        <v>11141</v>
      </c>
      <c r="AK1332" t="s">
        <v>7225</v>
      </c>
      <c r="AM1332">
        <v>799.6</v>
      </c>
      <c r="AO1332">
        <v>122</v>
      </c>
      <c r="AQ1332" t="s">
        <v>11157</v>
      </c>
      <c r="AS1332" t="s">
        <v>11173</v>
      </c>
      <c r="AU1332">
        <v>24</v>
      </c>
      <c r="AW1332" t="s">
        <v>11187</v>
      </c>
      <c r="AZ1332" t="s">
        <v>11221</v>
      </c>
      <c r="BE1332" t="s">
        <v>12453</v>
      </c>
      <c r="BG1332" t="s">
        <v>14719</v>
      </c>
      <c r="BM1332" t="s">
        <v>15650</v>
      </c>
    </row>
    <row r="1333" spans="1:65">
      <c r="A1333" s="1">
        <f>HYPERLINK("https://lsnyc.legalserver.org/matter/dynamic-profile/view/1893050","19-1893050")</f>
        <v>0</v>
      </c>
      <c r="B1333" t="s">
        <v>120</v>
      </c>
      <c r="C1333" t="s">
        <v>246</v>
      </c>
      <c r="D1333" t="s">
        <v>693</v>
      </c>
      <c r="F1333" t="s">
        <v>1747</v>
      </c>
      <c r="G1333" t="s">
        <v>3540</v>
      </c>
      <c r="H1333" t="s">
        <v>5262</v>
      </c>
      <c r="I1333" t="s">
        <v>6595</v>
      </c>
      <c r="J1333" t="s">
        <v>7170</v>
      </c>
      <c r="K1333">
        <v>10467</v>
      </c>
      <c r="N1333" t="s">
        <v>7237</v>
      </c>
      <c r="O1333" t="s">
        <v>8155</v>
      </c>
      <c r="P1333">
        <v>1</v>
      </c>
      <c r="Q1333">
        <v>0</v>
      </c>
      <c r="R1333">
        <v>416.33</v>
      </c>
      <c r="U1333">
        <v>52000</v>
      </c>
      <c r="W1333">
        <v>0</v>
      </c>
      <c r="Y1333" t="s">
        <v>93</v>
      </c>
      <c r="AA1333" t="s">
        <v>10974</v>
      </c>
      <c r="AB1333" t="s">
        <v>10979</v>
      </c>
      <c r="AC1333" t="s">
        <v>11081</v>
      </c>
      <c r="AF1333" t="s">
        <v>11120</v>
      </c>
      <c r="AH1333" t="s">
        <v>10974</v>
      </c>
      <c r="AI1333" t="s">
        <v>11126</v>
      </c>
      <c r="AK1333" t="s">
        <v>7225</v>
      </c>
      <c r="AM1333">
        <v>2150</v>
      </c>
      <c r="AO1333">
        <v>122</v>
      </c>
      <c r="AQ1333" t="s">
        <v>11156</v>
      </c>
      <c r="AS1333" t="s">
        <v>11173</v>
      </c>
      <c r="AU1333">
        <v>-1</v>
      </c>
      <c r="AW1333" t="s">
        <v>11187</v>
      </c>
      <c r="BA1333" t="s">
        <v>11222</v>
      </c>
      <c r="BE1333" t="s">
        <v>12455</v>
      </c>
      <c r="BF1333" t="s">
        <v>14364</v>
      </c>
      <c r="BM1333" t="s">
        <v>15650</v>
      </c>
    </row>
    <row r="1334" spans="1:65">
      <c r="A1334" s="1">
        <f>HYPERLINK("https://lsnyc.legalserver.org/matter/dynamic-profile/view/1883970","18-1883970")</f>
        <v>0</v>
      </c>
      <c r="B1334" t="s">
        <v>120</v>
      </c>
      <c r="C1334" t="s">
        <v>246</v>
      </c>
      <c r="D1334" t="s">
        <v>552</v>
      </c>
      <c r="E1334" t="s">
        <v>266</v>
      </c>
      <c r="F1334" t="s">
        <v>1341</v>
      </c>
      <c r="G1334" t="s">
        <v>2724</v>
      </c>
      <c r="H1334" t="s">
        <v>5263</v>
      </c>
      <c r="I1334" t="s">
        <v>6436</v>
      </c>
      <c r="J1334" t="s">
        <v>7170</v>
      </c>
      <c r="K1334">
        <v>10453</v>
      </c>
      <c r="L1334" t="s">
        <v>7216</v>
      </c>
      <c r="N1334" t="s">
        <v>7237</v>
      </c>
      <c r="O1334" t="s">
        <v>8156</v>
      </c>
      <c r="P1334">
        <v>2</v>
      </c>
      <c r="Q1334">
        <v>0</v>
      </c>
      <c r="R1334">
        <v>58.32</v>
      </c>
      <c r="U1334">
        <v>9600</v>
      </c>
      <c r="V1334" t="s">
        <v>10397</v>
      </c>
      <c r="W1334">
        <v>1.6</v>
      </c>
      <c r="X1334" t="s">
        <v>412</v>
      </c>
      <c r="Y1334" t="s">
        <v>10877</v>
      </c>
      <c r="AA1334" t="s">
        <v>10974</v>
      </c>
      <c r="AB1334" t="s">
        <v>706</v>
      </c>
      <c r="AD1334" t="s">
        <v>11082</v>
      </c>
      <c r="AF1334" t="s">
        <v>11119</v>
      </c>
      <c r="AG1334" t="s">
        <v>11124</v>
      </c>
      <c r="AJ1334" t="s">
        <v>11129</v>
      </c>
      <c r="AK1334" t="s">
        <v>7225</v>
      </c>
      <c r="AM1334">
        <v>833.1</v>
      </c>
      <c r="AO1334">
        <v>30</v>
      </c>
      <c r="AQ1334" t="s">
        <v>11160</v>
      </c>
      <c r="AS1334" t="s">
        <v>11175</v>
      </c>
      <c r="AU1334">
        <v>7</v>
      </c>
      <c r="AW1334" t="s">
        <v>11187</v>
      </c>
      <c r="AY1334" t="s">
        <v>11214</v>
      </c>
      <c r="AZ1334" t="s">
        <v>11221</v>
      </c>
      <c r="BE1334" t="s">
        <v>12456</v>
      </c>
      <c r="BG1334" t="s">
        <v>14720</v>
      </c>
      <c r="BM1334" t="s">
        <v>15651</v>
      </c>
    </row>
    <row r="1335" spans="1:65">
      <c r="A1335" s="1">
        <f>HYPERLINK("https://lsnyc.legalserver.org/matter/dynamic-profile/view/1906975","19-1906975")</f>
        <v>0</v>
      </c>
      <c r="B1335" t="s">
        <v>120</v>
      </c>
      <c r="C1335" t="s">
        <v>246</v>
      </c>
      <c r="D1335" t="s">
        <v>450</v>
      </c>
      <c r="F1335" t="s">
        <v>1613</v>
      </c>
      <c r="G1335" t="s">
        <v>3541</v>
      </c>
      <c r="H1335" t="s">
        <v>5264</v>
      </c>
      <c r="I1335" t="s">
        <v>6727</v>
      </c>
      <c r="J1335" t="s">
        <v>7170</v>
      </c>
      <c r="K1335">
        <v>10453</v>
      </c>
      <c r="N1335" t="s">
        <v>7241</v>
      </c>
      <c r="O1335" t="s">
        <v>8157</v>
      </c>
      <c r="P1335">
        <v>1</v>
      </c>
      <c r="Q1335">
        <v>0</v>
      </c>
      <c r="R1335">
        <v>74.08</v>
      </c>
      <c r="U1335">
        <v>9252</v>
      </c>
      <c r="W1335">
        <v>1</v>
      </c>
      <c r="X1335" t="s">
        <v>420</v>
      </c>
      <c r="Y1335" t="s">
        <v>120</v>
      </c>
      <c r="AA1335" t="s">
        <v>10974</v>
      </c>
      <c r="AD1335" t="s">
        <v>11086</v>
      </c>
      <c r="AF1335" t="s">
        <v>11119</v>
      </c>
      <c r="AH1335" t="s">
        <v>10975</v>
      </c>
      <c r="AJ1335" t="s">
        <v>11129</v>
      </c>
      <c r="AK1335" t="s">
        <v>7225</v>
      </c>
      <c r="AL1335" t="s">
        <v>11150</v>
      </c>
      <c r="AM1335">
        <v>0</v>
      </c>
      <c r="AO1335">
        <v>44</v>
      </c>
      <c r="AQ1335" t="s">
        <v>11163</v>
      </c>
      <c r="AS1335" t="s">
        <v>11174</v>
      </c>
      <c r="AT1335" t="s">
        <v>11184</v>
      </c>
      <c r="AU1335">
        <v>0</v>
      </c>
      <c r="AW1335" t="s">
        <v>11187</v>
      </c>
      <c r="AY1335" t="s">
        <v>11213</v>
      </c>
      <c r="BA1335" t="s">
        <v>11222</v>
      </c>
      <c r="BE1335" t="s">
        <v>12457</v>
      </c>
      <c r="BF1335" t="s">
        <v>14364</v>
      </c>
      <c r="BG1335" t="s">
        <v>11228</v>
      </c>
      <c r="BM1335" t="s">
        <v>15650</v>
      </c>
    </row>
    <row r="1336" spans="1:65">
      <c r="A1336" s="1">
        <f>HYPERLINK("https://lsnyc.legalserver.org/matter/dynamic-profile/view/1841125","17-1841125")</f>
        <v>0</v>
      </c>
      <c r="B1336" t="s">
        <v>120</v>
      </c>
      <c r="C1336" t="s">
        <v>246</v>
      </c>
      <c r="D1336" t="s">
        <v>694</v>
      </c>
      <c r="F1336" t="s">
        <v>1367</v>
      </c>
      <c r="G1336" t="s">
        <v>3539</v>
      </c>
      <c r="H1336" t="s">
        <v>4844</v>
      </c>
      <c r="I1336" t="s">
        <v>6726</v>
      </c>
      <c r="J1336" t="s">
        <v>7170</v>
      </c>
      <c r="K1336">
        <v>10452</v>
      </c>
      <c r="N1336" t="s">
        <v>7237</v>
      </c>
      <c r="O1336" t="s">
        <v>8153</v>
      </c>
      <c r="P1336">
        <v>1</v>
      </c>
      <c r="Q1336">
        <v>0</v>
      </c>
      <c r="R1336">
        <v>254.13</v>
      </c>
      <c r="U1336">
        <v>30648</v>
      </c>
      <c r="W1336">
        <v>0</v>
      </c>
      <c r="Y1336" t="s">
        <v>10897</v>
      </c>
      <c r="AA1336" t="s">
        <v>10974</v>
      </c>
      <c r="AB1336" t="s">
        <v>694</v>
      </c>
      <c r="AD1336" t="s">
        <v>11096</v>
      </c>
      <c r="AF1336" t="s">
        <v>11122</v>
      </c>
      <c r="AH1336" t="s">
        <v>10974</v>
      </c>
      <c r="AI1336" t="s">
        <v>11126</v>
      </c>
      <c r="AK1336" t="s">
        <v>7225</v>
      </c>
      <c r="AM1336">
        <v>799.6</v>
      </c>
      <c r="AO1336">
        <v>122</v>
      </c>
      <c r="AQ1336" t="s">
        <v>11157</v>
      </c>
      <c r="AR1336" t="s">
        <v>11172</v>
      </c>
      <c r="AU1336">
        <v>24</v>
      </c>
      <c r="AW1336" t="s">
        <v>11187</v>
      </c>
      <c r="AZ1336" t="s">
        <v>11221</v>
      </c>
      <c r="BE1336" t="s">
        <v>12453</v>
      </c>
      <c r="BF1336" t="s">
        <v>14364</v>
      </c>
      <c r="BM1336" t="s">
        <v>15650</v>
      </c>
    </row>
    <row r="1337" spans="1:65">
      <c r="A1337" s="1">
        <f>HYPERLINK("https://lsnyc.legalserver.org/matter/dynamic-profile/view/0813896","16-0813896")</f>
        <v>0</v>
      </c>
      <c r="B1337" t="s">
        <v>120</v>
      </c>
      <c r="C1337" t="s">
        <v>246</v>
      </c>
      <c r="D1337" t="s">
        <v>695</v>
      </c>
      <c r="F1337" t="s">
        <v>1443</v>
      </c>
      <c r="G1337" t="s">
        <v>3190</v>
      </c>
      <c r="H1337" t="s">
        <v>5265</v>
      </c>
      <c r="I1337" t="s">
        <v>6414</v>
      </c>
      <c r="J1337" t="s">
        <v>7170</v>
      </c>
      <c r="K1337">
        <v>10452</v>
      </c>
      <c r="N1337" t="s">
        <v>7237</v>
      </c>
      <c r="O1337" t="s">
        <v>8158</v>
      </c>
      <c r="P1337">
        <v>2</v>
      </c>
      <c r="Q1337">
        <v>3</v>
      </c>
      <c r="R1337">
        <v>369.2</v>
      </c>
      <c r="U1337">
        <v>105000</v>
      </c>
      <c r="W1337">
        <v>1.1</v>
      </c>
      <c r="X1337" t="s">
        <v>319</v>
      </c>
      <c r="Y1337" t="s">
        <v>10899</v>
      </c>
      <c r="AA1337" t="s">
        <v>10974</v>
      </c>
      <c r="AB1337" t="s">
        <v>1024</v>
      </c>
      <c r="AD1337" t="s">
        <v>11096</v>
      </c>
      <c r="AF1337" t="s">
        <v>11122</v>
      </c>
      <c r="AH1337" t="s">
        <v>10974</v>
      </c>
      <c r="AJ1337" t="s">
        <v>11141</v>
      </c>
      <c r="AK1337" t="s">
        <v>7225</v>
      </c>
      <c r="AM1337">
        <v>652</v>
      </c>
      <c r="AO1337">
        <v>63</v>
      </c>
      <c r="AQ1337" t="s">
        <v>11157</v>
      </c>
      <c r="AS1337" t="s">
        <v>11173</v>
      </c>
      <c r="AU1337">
        <v>30</v>
      </c>
      <c r="AW1337" t="s">
        <v>11189</v>
      </c>
      <c r="AZ1337" t="s">
        <v>11221</v>
      </c>
      <c r="BE1337" t="s">
        <v>12458</v>
      </c>
      <c r="BG1337" t="s">
        <v>14721</v>
      </c>
      <c r="BM1337" t="s">
        <v>15650</v>
      </c>
    </row>
    <row r="1338" spans="1:65">
      <c r="A1338" s="1">
        <f>HYPERLINK("https://lsnyc.legalserver.org/matter/dynamic-profile/view/1893132","19-1893132")</f>
        <v>0</v>
      </c>
      <c r="B1338" t="s">
        <v>120</v>
      </c>
      <c r="C1338" t="s">
        <v>246</v>
      </c>
      <c r="D1338" t="s">
        <v>693</v>
      </c>
      <c r="E1338" t="s">
        <v>536</v>
      </c>
      <c r="F1338" t="s">
        <v>1748</v>
      </c>
      <c r="G1338" t="s">
        <v>3293</v>
      </c>
      <c r="H1338" t="s">
        <v>5266</v>
      </c>
      <c r="I1338" t="s">
        <v>6637</v>
      </c>
      <c r="J1338" t="s">
        <v>7170</v>
      </c>
      <c r="K1338">
        <v>10455</v>
      </c>
      <c r="L1338" t="s">
        <v>7216</v>
      </c>
      <c r="N1338" t="s">
        <v>7237</v>
      </c>
      <c r="O1338" t="s">
        <v>8159</v>
      </c>
      <c r="P1338">
        <v>1</v>
      </c>
      <c r="Q1338">
        <v>0</v>
      </c>
      <c r="R1338">
        <v>320.26</v>
      </c>
      <c r="U1338">
        <v>40000</v>
      </c>
      <c r="W1338">
        <v>0.5</v>
      </c>
      <c r="X1338" t="s">
        <v>536</v>
      </c>
      <c r="Y1338" t="s">
        <v>120</v>
      </c>
      <c r="AA1338" t="s">
        <v>10974</v>
      </c>
      <c r="AB1338" t="s">
        <v>447</v>
      </c>
      <c r="AD1338" t="s">
        <v>11082</v>
      </c>
      <c r="AF1338" t="s">
        <v>11119</v>
      </c>
      <c r="AH1338" t="s">
        <v>10975</v>
      </c>
      <c r="AI1338" t="s">
        <v>11126</v>
      </c>
      <c r="AK1338" t="s">
        <v>7225</v>
      </c>
      <c r="AL1338" t="s">
        <v>11150</v>
      </c>
      <c r="AM1338">
        <v>0</v>
      </c>
      <c r="AN1338" t="s">
        <v>11151</v>
      </c>
      <c r="AO1338" t="s">
        <v>11153</v>
      </c>
      <c r="AP1338" t="s">
        <v>11155</v>
      </c>
      <c r="AR1338" t="s">
        <v>11172</v>
      </c>
      <c r="AT1338" t="s">
        <v>11184</v>
      </c>
      <c r="AU1338">
        <v>0</v>
      </c>
      <c r="AW1338" t="s">
        <v>11187</v>
      </c>
      <c r="BA1338" t="s">
        <v>11222</v>
      </c>
      <c r="BE1338" t="s">
        <v>12459</v>
      </c>
      <c r="BG1338" t="s">
        <v>14722</v>
      </c>
      <c r="BM1338" t="s">
        <v>15651</v>
      </c>
    </row>
    <row r="1339" spans="1:65">
      <c r="A1339" s="1">
        <f>HYPERLINK("https://lsnyc.legalserver.org/matter/dynamic-profile/view/1892989","19-1892989")</f>
        <v>0</v>
      </c>
      <c r="B1339" t="s">
        <v>120</v>
      </c>
      <c r="C1339" t="s">
        <v>246</v>
      </c>
      <c r="D1339" t="s">
        <v>693</v>
      </c>
      <c r="F1339" t="s">
        <v>1749</v>
      </c>
      <c r="G1339" t="s">
        <v>2877</v>
      </c>
      <c r="H1339" t="s">
        <v>5267</v>
      </c>
      <c r="I1339" t="s">
        <v>6485</v>
      </c>
      <c r="J1339" t="s">
        <v>7170</v>
      </c>
      <c r="K1339">
        <v>10467</v>
      </c>
      <c r="N1339" t="s">
        <v>7237</v>
      </c>
      <c r="O1339" t="s">
        <v>8160</v>
      </c>
      <c r="P1339">
        <v>2</v>
      </c>
      <c r="Q1339">
        <v>0</v>
      </c>
      <c r="R1339">
        <v>184.51</v>
      </c>
      <c r="U1339">
        <v>31200</v>
      </c>
      <c r="W1339">
        <v>0</v>
      </c>
      <c r="Y1339" t="s">
        <v>93</v>
      </c>
      <c r="AA1339" t="s">
        <v>10974</v>
      </c>
      <c r="AB1339" t="s">
        <v>10979</v>
      </c>
      <c r="AC1339" t="s">
        <v>11081</v>
      </c>
      <c r="AF1339" t="s">
        <v>11120</v>
      </c>
      <c r="AH1339" t="s">
        <v>10974</v>
      </c>
      <c r="AJ1339" t="s">
        <v>11134</v>
      </c>
      <c r="AK1339" t="s">
        <v>7225</v>
      </c>
      <c r="AM1339">
        <v>1450</v>
      </c>
      <c r="AO1339">
        <v>122</v>
      </c>
      <c r="AQ1339" t="s">
        <v>11156</v>
      </c>
      <c r="AS1339" t="s">
        <v>11173</v>
      </c>
      <c r="AU1339">
        <v>3</v>
      </c>
      <c r="AV1339" t="s">
        <v>11186</v>
      </c>
      <c r="BA1339" t="s">
        <v>11222</v>
      </c>
      <c r="BE1339" t="s">
        <v>12460</v>
      </c>
      <c r="BF1339" t="s">
        <v>14364</v>
      </c>
      <c r="BM1339" t="s">
        <v>15650</v>
      </c>
    </row>
    <row r="1340" spans="1:65">
      <c r="A1340" s="1">
        <f>HYPERLINK("https://lsnyc.legalserver.org/matter/dynamic-profile/view/1905963","19-1905963")</f>
        <v>0</v>
      </c>
      <c r="B1340" t="s">
        <v>120</v>
      </c>
      <c r="C1340" t="s">
        <v>246</v>
      </c>
      <c r="D1340" t="s">
        <v>394</v>
      </c>
      <c r="F1340" t="s">
        <v>1750</v>
      </c>
      <c r="G1340" t="s">
        <v>3162</v>
      </c>
      <c r="H1340" t="s">
        <v>5268</v>
      </c>
      <c r="I1340" t="s">
        <v>6700</v>
      </c>
      <c r="J1340" t="s">
        <v>7170</v>
      </c>
      <c r="K1340">
        <v>10460</v>
      </c>
      <c r="N1340" t="s">
        <v>7237</v>
      </c>
      <c r="O1340" t="s">
        <v>8161</v>
      </c>
      <c r="P1340">
        <v>1</v>
      </c>
      <c r="Q1340">
        <v>0</v>
      </c>
      <c r="R1340">
        <v>83.3</v>
      </c>
      <c r="U1340">
        <v>10404</v>
      </c>
      <c r="W1340">
        <v>0.66</v>
      </c>
      <c r="X1340" t="s">
        <v>394</v>
      </c>
      <c r="Y1340" t="s">
        <v>10876</v>
      </c>
      <c r="Z1340" t="s">
        <v>10972</v>
      </c>
      <c r="AA1340" t="s">
        <v>10976</v>
      </c>
      <c r="AD1340" t="s">
        <v>11086</v>
      </c>
      <c r="AF1340" t="s">
        <v>11119</v>
      </c>
      <c r="AH1340" t="s">
        <v>10975</v>
      </c>
      <c r="AJ1340" t="s">
        <v>11129</v>
      </c>
      <c r="AK1340" t="s">
        <v>7225</v>
      </c>
      <c r="AM1340">
        <v>1300</v>
      </c>
      <c r="AO1340">
        <v>136</v>
      </c>
      <c r="AQ1340" t="s">
        <v>11162</v>
      </c>
      <c r="AS1340" t="s">
        <v>11176</v>
      </c>
      <c r="AU1340">
        <v>1</v>
      </c>
      <c r="AW1340" t="s">
        <v>11187</v>
      </c>
      <c r="AX1340" t="s">
        <v>11212</v>
      </c>
      <c r="AZ1340" t="s">
        <v>11221</v>
      </c>
      <c r="BE1340" t="s">
        <v>12461</v>
      </c>
      <c r="BF1340" t="s">
        <v>14364</v>
      </c>
      <c r="BM1340" t="s">
        <v>15650</v>
      </c>
    </row>
    <row r="1341" spans="1:65">
      <c r="A1341" s="1">
        <f>HYPERLINK("https://lsnyc.legalserver.org/matter/dynamic-profile/view/1857547","18-1857547")</f>
        <v>0</v>
      </c>
      <c r="B1341" t="s">
        <v>120</v>
      </c>
      <c r="C1341" t="s">
        <v>246</v>
      </c>
      <c r="D1341" t="s">
        <v>691</v>
      </c>
      <c r="F1341" t="s">
        <v>1648</v>
      </c>
      <c r="G1341" t="s">
        <v>1888</v>
      </c>
      <c r="H1341" t="s">
        <v>4844</v>
      </c>
      <c r="I1341" t="s">
        <v>6728</v>
      </c>
      <c r="J1341" t="s">
        <v>7170</v>
      </c>
      <c r="K1341">
        <v>10452</v>
      </c>
      <c r="N1341" t="s">
        <v>7237</v>
      </c>
      <c r="O1341" t="s">
        <v>8162</v>
      </c>
      <c r="P1341">
        <v>1</v>
      </c>
      <c r="Q1341">
        <v>0</v>
      </c>
      <c r="R1341">
        <v>150.91</v>
      </c>
      <c r="U1341">
        <v>18200</v>
      </c>
      <c r="V1341" t="s">
        <v>10396</v>
      </c>
      <c r="W1341">
        <v>0</v>
      </c>
      <c r="Y1341" t="s">
        <v>10897</v>
      </c>
      <c r="AA1341" t="s">
        <v>10974</v>
      </c>
      <c r="AB1341" t="s">
        <v>10984</v>
      </c>
      <c r="AD1341" t="s">
        <v>11096</v>
      </c>
      <c r="AF1341" t="s">
        <v>11122</v>
      </c>
      <c r="AH1341" t="s">
        <v>10974</v>
      </c>
      <c r="AJ1341" t="s">
        <v>11141</v>
      </c>
      <c r="AK1341" t="s">
        <v>7225</v>
      </c>
      <c r="AM1341">
        <v>914.08</v>
      </c>
      <c r="AO1341">
        <v>122</v>
      </c>
      <c r="AQ1341" t="s">
        <v>11157</v>
      </c>
      <c r="AS1341" t="s">
        <v>11173</v>
      </c>
      <c r="AU1341">
        <v>13</v>
      </c>
      <c r="AW1341" t="s">
        <v>11187</v>
      </c>
      <c r="AZ1341" t="s">
        <v>11221</v>
      </c>
      <c r="BE1341" t="s">
        <v>12462</v>
      </c>
      <c r="BG1341" t="s">
        <v>14717</v>
      </c>
      <c r="BM1341" t="s">
        <v>15650</v>
      </c>
    </row>
    <row r="1342" spans="1:65">
      <c r="A1342" s="1">
        <f>HYPERLINK("https://lsnyc.legalserver.org/matter/dynamic-profile/view/1896009","19-1896009")</f>
        <v>0</v>
      </c>
      <c r="B1342" t="s">
        <v>120</v>
      </c>
      <c r="C1342" t="s">
        <v>246</v>
      </c>
      <c r="D1342" t="s">
        <v>295</v>
      </c>
      <c r="E1342" t="s">
        <v>536</v>
      </c>
      <c r="F1342" t="s">
        <v>1751</v>
      </c>
      <c r="G1342" t="s">
        <v>3542</v>
      </c>
      <c r="H1342" t="s">
        <v>5269</v>
      </c>
      <c r="I1342">
        <v>502</v>
      </c>
      <c r="J1342" t="s">
        <v>7170</v>
      </c>
      <c r="K1342">
        <v>10466</v>
      </c>
      <c r="L1342" t="s">
        <v>7216</v>
      </c>
      <c r="N1342" t="s">
        <v>7237</v>
      </c>
      <c r="O1342" t="s">
        <v>8163</v>
      </c>
      <c r="P1342">
        <v>1</v>
      </c>
      <c r="Q1342">
        <v>0</v>
      </c>
      <c r="R1342">
        <v>79.26000000000001</v>
      </c>
      <c r="U1342">
        <v>9900</v>
      </c>
      <c r="W1342">
        <v>0.3</v>
      </c>
      <c r="X1342" t="s">
        <v>601</v>
      </c>
      <c r="Y1342" t="s">
        <v>120</v>
      </c>
      <c r="AA1342" t="s">
        <v>10974</v>
      </c>
      <c r="AB1342" t="s">
        <v>307</v>
      </c>
      <c r="AD1342" t="s">
        <v>11086</v>
      </c>
      <c r="AF1342" t="s">
        <v>11119</v>
      </c>
      <c r="AH1342" t="s">
        <v>10975</v>
      </c>
      <c r="AJ1342" t="s">
        <v>11130</v>
      </c>
      <c r="AK1342" t="s">
        <v>7225</v>
      </c>
      <c r="AM1342">
        <v>202</v>
      </c>
      <c r="AN1342" t="s">
        <v>11151</v>
      </c>
      <c r="AO1342" t="s">
        <v>11153</v>
      </c>
      <c r="AQ1342" t="s">
        <v>11162</v>
      </c>
      <c r="AS1342" t="s">
        <v>11104</v>
      </c>
      <c r="AU1342">
        <v>7</v>
      </c>
      <c r="AW1342" t="s">
        <v>11189</v>
      </c>
      <c r="BA1342" t="s">
        <v>11222</v>
      </c>
      <c r="BD1342" t="s">
        <v>11667</v>
      </c>
      <c r="BF1342" t="s">
        <v>14364</v>
      </c>
      <c r="BG1342" t="s">
        <v>11228</v>
      </c>
      <c r="BM1342" t="s">
        <v>15651</v>
      </c>
    </row>
    <row r="1343" spans="1:65">
      <c r="A1343" s="1">
        <f>HYPERLINK("https://lsnyc.legalserver.org/matter/dynamic-profile/view/1893215","19-1893215")</f>
        <v>0</v>
      </c>
      <c r="B1343" t="s">
        <v>120</v>
      </c>
      <c r="C1343" t="s">
        <v>246</v>
      </c>
      <c r="D1343" t="s">
        <v>696</v>
      </c>
      <c r="F1343" t="s">
        <v>1752</v>
      </c>
      <c r="G1343" t="s">
        <v>3543</v>
      </c>
      <c r="H1343" t="s">
        <v>5262</v>
      </c>
      <c r="I1343" t="s">
        <v>6729</v>
      </c>
      <c r="J1343" t="s">
        <v>7170</v>
      </c>
      <c r="K1343">
        <v>10467</v>
      </c>
      <c r="N1343" t="s">
        <v>7237</v>
      </c>
      <c r="O1343" t="s">
        <v>8164</v>
      </c>
      <c r="P1343">
        <v>1</v>
      </c>
      <c r="Q1343">
        <v>0</v>
      </c>
      <c r="R1343">
        <v>464.37</v>
      </c>
      <c r="T1343" t="s">
        <v>10276</v>
      </c>
      <c r="U1343">
        <v>58000</v>
      </c>
      <c r="W1343">
        <v>0</v>
      </c>
      <c r="Y1343" t="s">
        <v>236</v>
      </c>
      <c r="AA1343" t="s">
        <v>10974</v>
      </c>
      <c r="AB1343" t="s">
        <v>10979</v>
      </c>
      <c r="AD1343" t="s">
        <v>11090</v>
      </c>
      <c r="AF1343" t="s">
        <v>11120</v>
      </c>
      <c r="AH1343" t="s">
        <v>10974</v>
      </c>
      <c r="AJ1343" t="s">
        <v>11144</v>
      </c>
      <c r="AK1343" t="s">
        <v>7225</v>
      </c>
      <c r="AM1343">
        <v>1250</v>
      </c>
      <c r="AO1343">
        <v>123</v>
      </c>
      <c r="AQ1343" t="s">
        <v>11156</v>
      </c>
      <c r="AS1343" t="s">
        <v>11173</v>
      </c>
      <c r="AU1343">
        <v>3</v>
      </c>
      <c r="AW1343" t="s">
        <v>11187</v>
      </c>
      <c r="BA1343" t="s">
        <v>11222</v>
      </c>
      <c r="BD1343" t="s">
        <v>11667</v>
      </c>
      <c r="BF1343" t="s">
        <v>14364</v>
      </c>
      <c r="BM1343" t="s">
        <v>15650</v>
      </c>
    </row>
    <row r="1344" spans="1:65">
      <c r="A1344" s="1">
        <f>HYPERLINK("https://lsnyc.legalserver.org/matter/dynamic-profile/view/0789364","15-0789364")</f>
        <v>0</v>
      </c>
      <c r="B1344" t="s">
        <v>120</v>
      </c>
      <c r="C1344" t="s">
        <v>246</v>
      </c>
      <c r="D1344" t="s">
        <v>697</v>
      </c>
      <c r="F1344" t="s">
        <v>1239</v>
      </c>
      <c r="G1344" t="s">
        <v>3226</v>
      </c>
      <c r="H1344" t="s">
        <v>4844</v>
      </c>
      <c r="I1344" t="s">
        <v>6730</v>
      </c>
      <c r="J1344" t="s">
        <v>7170</v>
      </c>
      <c r="K1344">
        <v>10452</v>
      </c>
      <c r="N1344" t="s">
        <v>7237</v>
      </c>
      <c r="O1344" t="s">
        <v>8165</v>
      </c>
      <c r="P1344">
        <v>2</v>
      </c>
      <c r="Q1344">
        <v>0</v>
      </c>
      <c r="R1344">
        <v>105.46</v>
      </c>
      <c r="U1344">
        <v>16800</v>
      </c>
      <c r="W1344">
        <v>0.1</v>
      </c>
      <c r="X1344" t="s">
        <v>10814</v>
      </c>
      <c r="Y1344" t="s">
        <v>138</v>
      </c>
      <c r="AA1344" t="s">
        <v>10974</v>
      </c>
      <c r="AB1344" t="s">
        <v>697</v>
      </c>
      <c r="AD1344" t="s">
        <v>11085</v>
      </c>
      <c r="AF1344" t="s">
        <v>11118</v>
      </c>
      <c r="AH1344" t="s">
        <v>10974</v>
      </c>
      <c r="AJ1344" t="s">
        <v>11132</v>
      </c>
      <c r="AK1344" t="s">
        <v>7225</v>
      </c>
      <c r="AM1344">
        <v>993</v>
      </c>
      <c r="AN1344" t="s">
        <v>11151</v>
      </c>
      <c r="AO1344" t="s">
        <v>11153</v>
      </c>
      <c r="AP1344" t="s">
        <v>11155</v>
      </c>
      <c r="AR1344" t="s">
        <v>11172</v>
      </c>
      <c r="AU1344">
        <v>23</v>
      </c>
      <c r="AW1344" t="s">
        <v>11189</v>
      </c>
      <c r="AZ1344" t="s">
        <v>11221</v>
      </c>
      <c r="BE1344" t="s">
        <v>12463</v>
      </c>
      <c r="BF1344" t="s">
        <v>14364</v>
      </c>
      <c r="BG1344" t="s">
        <v>14716</v>
      </c>
      <c r="BM1344" t="s">
        <v>15650</v>
      </c>
    </row>
    <row r="1345" spans="1:67">
      <c r="A1345" s="1">
        <f>HYPERLINK("https://lsnyc.legalserver.org/matter/dynamic-profile/view/1841119","17-1841119")</f>
        <v>0</v>
      </c>
      <c r="B1345" t="s">
        <v>120</v>
      </c>
      <c r="C1345" t="s">
        <v>246</v>
      </c>
      <c r="D1345" t="s">
        <v>694</v>
      </c>
      <c r="F1345" t="s">
        <v>1394</v>
      </c>
      <c r="G1345" t="s">
        <v>3544</v>
      </c>
      <c r="H1345" t="s">
        <v>4844</v>
      </c>
      <c r="I1345" t="s">
        <v>6416</v>
      </c>
      <c r="J1345" t="s">
        <v>7170</v>
      </c>
      <c r="K1345">
        <v>10452</v>
      </c>
      <c r="N1345" t="s">
        <v>7237</v>
      </c>
      <c r="O1345" t="s">
        <v>8166</v>
      </c>
      <c r="P1345">
        <v>2</v>
      </c>
      <c r="Q1345">
        <v>0</v>
      </c>
      <c r="R1345">
        <v>189.48</v>
      </c>
      <c r="U1345">
        <v>41019.88</v>
      </c>
      <c r="W1345">
        <v>0</v>
      </c>
      <c r="Y1345" t="s">
        <v>10897</v>
      </c>
      <c r="AA1345" t="s">
        <v>10974</v>
      </c>
      <c r="AB1345" t="s">
        <v>694</v>
      </c>
      <c r="AD1345" t="s">
        <v>11096</v>
      </c>
      <c r="AF1345" t="s">
        <v>11122</v>
      </c>
      <c r="AH1345" t="s">
        <v>10974</v>
      </c>
      <c r="AJ1345" t="s">
        <v>11141</v>
      </c>
      <c r="AK1345" t="s">
        <v>7225</v>
      </c>
      <c r="AM1345">
        <v>705.09</v>
      </c>
      <c r="AO1345">
        <v>122</v>
      </c>
      <c r="AQ1345" t="s">
        <v>11157</v>
      </c>
      <c r="AR1345" t="s">
        <v>11172</v>
      </c>
      <c r="AU1345">
        <v>24</v>
      </c>
      <c r="AW1345" t="s">
        <v>11187</v>
      </c>
      <c r="AZ1345" t="s">
        <v>11221</v>
      </c>
      <c r="BE1345" t="s">
        <v>12464</v>
      </c>
      <c r="BF1345" t="s">
        <v>14364</v>
      </c>
      <c r="BM1345" t="s">
        <v>15650</v>
      </c>
    </row>
    <row r="1346" spans="1:67">
      <c r="A1346" s="1">
        <f>HYPERLINK("https://lsnyc.legalserver.org/matter/dynamic-profile/view/1909487","19-1909487")</f>
        <v>0</v>
      </c>
      <c r="B1346" t="s">
        <v>120</v>
      </c>
      <c r="C1346" t="s">
        <v>246</v>
      </c>
      <c r="D1346" t="s">
        <v>269</v>
      </c>
      <c r="F1346" t="s">
        <v>1127</v>
      </c>
      <c r="G1346" t="s">
        <v>3545</v>
      </c>
      <c r="H1346" t="s">
        <v>5270</v>
      </c>
      <c r="J1346" t="s">
        <v>7170</v>
      </c>
      <c r="K1346">
        <v>10451</v>
      </c>
      <c r="N1346" t="s">
        <v>7237</v>
      </c>
      <c r="O1346" t="s">
        <v>8167</v>
      </c>
      <c r="P1346">
        <v>1</v>
      </c>
      <c r="Q1346">
        <v>0</v>
      </c>
      <c r="R1346">
        <v>188.69</v>
      </c>
      <c r="U1346">
        <v>23568</v>
      </c>
      <c r="W1346">
        <v>0.5</v>
      </c>
      <c r="X1346" t="s">
        <v>269</v>
      </c>
      <c r="Y1346" t="s">
        <v>120</v>
      </c>
      <c r="AA1346" t="s">
        <v>10974</v>
      </c>
      <c r="AD1346" t="s">
        <v>11102</v>
      </c>
      <c r="AF1346" t="s">
        <v>11119</v>
      </c>
      <c r="AH1346" t="s">
        <v>10975</v>
      </c>
      <c r="AJ1346" t="s">
        <v>11130</v>
      </c>
      <c r="AK1346" t="s">
        <v>7225</v>
      </c>
      <c r="AL1346" t="s">
        <v>11150</v>
      </c>
      <c r="AM1346">
        <v>0</v>
      </c>
      <c r="AN1346" t="s">
        <v>11151</v>
      </c>
      <c r="AO1346" t="s">
        <v>11153</v>
      </c>
      <c r="AQ1346" t="s">
        <v>11157</v>
      </c>
      <c r="AR1346" t="s">
        <v>11172</v>
      </c>
      <c r="AU1346">
        <v>13</v>
      </c>
      <c r="AW1346" t="s">
        <v>11187</v>
      </c>
      <c r="AX1346" t="s">
        <v>11212</v>
      </c>
      <c r="BA1346" t="s">
        <v>11222</v>
      </c>
      <c r="BE1346" t="s">
        <v>12465</v>
      </c>
      <c r="BF1346" t="s">
        <v>14364</v>
      </c>
      <c r="BM1346" t="s">
        <v>15650</v>
      </c>
    </row>
    <row r="1347" spans="1:67">
      <c r="A1347" s="1">
        <f>HYPERLINK("https://lsnyc.legalserver.org/matter/dynamic-profile/view/1893001","19-1893001")</f>
        <v>0</v>
      </c>
      <c r="B1347" t="s">
        <v>120</v>
      </c>
      <c r="C1347" t="s">
        <v>246</v>
      </c>
      <c r="D1347" t="s">
        <v>693</v>
      </c>
      <c r="F1347" t="s">
        <v>1753</v>
      </c>
      <c r="G1347" t="s">
        <v>3168</v>
      </c>
      <c r="H1347" t="s">
        <v>5267</v>
      </c>
      <c r="I1347" t="s">
        <v>6596</v>
      </c>
      <c r="J1347" t="s">
        <v>7170</v>
      </c>
      <c r="K1347">
        <v>10467</v>
      </c>
      <c r="N1347" t="s">
        <v>7237</v>
      </c>
      <c r="O1347" t="s">
        <v>8168</v>
      </c>
      <c r="P1347">
        <v>1</v>
      </c>
      <c r="Q1347">
        <v>0</v>
      </c>
      <c r="R1347">
        <v>328.26</v>
      </c>
      <c r="S1347" t="s">
        <v>512</v>
      </c>
      <c r="U1347">
        <v>41000</v>
      </c>
      <c r="W1347">
        <v>6.6</v>
      </c>
      <c r="X1347" t="s">
        <v>470</v>
      </c>
      <c r="Y1347" t="s">
        <v>93</v>
      </c>
      <c r="AA1347" t="s">
        <v>10974</v>
      </c>
      <c r="AB1347" t="s">
        <v>10979</v>
      </c>
      <c r="AC1347" t="s">
        <v>11081</v>
      </c>
      <c r="AF1347" t="s">
        <v>11120</v>
      </c>
      <c r="AH1347" t="s">
        <v>10974</v>
      </c>
      <c r="AJ1347" t="s">
        <v>11134</v>
      </c>
      <c r="AK1347" t="s">
        <v>7225</v>
      </c>
      <c r="AM1347">
        <v>1350</v>
      </c>
      <c r="AN1347" t="s">
        <v>11151</v>
      </c>
      <c r="AO1347" t="s">
        <v>11153</v>
      </c>
      <c r="AQ1347" t="s">
        <v>11156</v>
      </c>
      <c r="AS1347" t="s">
        <v>11173</v>
      </c>
      <c r="AU1347">
        <v>18</v>
      </c>
      <c r="AW1347" t="s">
        <v>11187</v>
      </c>
      <c r="BA1347" t="s">
        <v>11222</v>
      </c>
      <c r="BE1347" t="s">
        <v>12466</v>
      </c>
      <c r="BF1347" t="s">
        <v>14364</v>
      </c>
      <c r="BM1347" t="s">
        <v>15650</v>
      </c>
    </row>
    <row r="1348" spans="1:67">
      <c r="A1348" s="1">
        <f>HYPERLINK("https://lsnyc.legalserver.org/matter/dynamic-profile/view/1882809","18-1882809")</f>
        <v>0</v>
      </c>
      <c r="B1348" t="s">
        <v>120</v>
      </c>
      <c r="C1348" t="s">
        <v>246</v>
      </c>
      <c r="D1348" t="s">
        <v>592</v>
      </c>
      <c r="F1348" t="s">
        <v>1208</v>
      </c>
      <c r="G1348" t="s">
        <v>3094</v>
      </c>
      <c r="H1348" t="s">
        <v>5271</v>
      </c>
      <c r="J1348" t="s">
        <v>7170</v>
      </c>
      <c r="K1348">
        <v>10466</v>
      </c>
      <c r="N1348" t="s">
        <v>7241</v>
      </c>
      <c r="P1348">
        <v>1</v>
      </c>
      <c r="Q1348">
        <v>0</v>
      </c>
      <c r="R1348">
        <v>257.03</v>
      </c>
      <c r="S1348" t="s">
        <v>425</v>
      </c>
      <c r="T1348" t="s">
        <v>10276</v>
      </c>
      <c r="U1348">
        <v>31204</v>
      </c>
      <c r="W1348">
        <v>77.65000000000001</v>
      </c>
      <c r="X1348" t="s">
        <v>429</v>
      </c>
      <c r="Y1348" t="s">
        <v>120</v>
      </c>
      <c r="AA1348" t="s">
        <v>10974</v>
      </c>
      <c r="AB1348" t="s">
        <v>592</v>
      </c>
      <c r="AD1348" t="s">
        <v>11106</v>
      </c>
      <c r="AF1348" t="s">
        <v>11122</v>
      </c>
      <c r="AH1348" t="s">
        <v>10975</v>
      </c>
      <c r="AJ1348" t="s">
        <v>11137</v>
      </c>
      <c r="AK1348" t="s">
        <v>7225</v>
      </c>
      <c r="AM1348">
        <v>1172</v>
      </c>
      <c r="AN1348" t="s">
        <v>11151</v>
      </c>
      <c r="AO1348" t="s">
        <v>11153</v>
      </c>
      <c r="AQ1348" t="s">
        <v>11156</v>
      </c>
      <c r="AS1348" t="s">
        <v>11174</v>
      </c>
      <c r="AT1348" t="s">
        <v>11184</v>
      </c>
      <c r="AU1348">
        <v>0</v>
      </c>
      <c r="AW1348" t="s">
        <v>11187</v>
      </c>
      <c r="AZ1348" t="s">
        <v>11221</v>
      </c>
      <c r="BE1348" t="s">
        <v>12467</v>
      </c>
      <c r="BF1348" t="s">
        <v>14364</v>
      </c>
      <c r="BM1348" t="s">
        <v>15650</v>
      </c>
    </row>
    <row r="1349" spans="1:67">
      <c r="A1349" s="1">
        <f>HYPERLINK("https://lsnyc.legalserver.org/matter/dynamic-profile/view/0823540","16-0823540")</f>
        <v>0</v>
      </c>
      <c r="B1349" t="s">
        <v>120</v>
      </c>
      <c r="C1349" t="s">
        <v>246</v>
      </c>
      <c r="D1349" t="s">
        <v>698</v>
      </c>
      <c r="F1349" t="s">
        <v>1754</v>
      </c>
      <c r="G1349" t="s">
        <v>1279</v>
      </c>
      <c r="H1349" t="s">
        <v>4844</v>
      </c>
      <c r="I1349" t="s">
        <v>6620</v>
      </c>
      <c r="J1349" t="s">
        <v>7170</v>
      </c>
      <c r="K1349">
        <v>10452</v>
      </c>
      <c r="N1349" t="s">
        <v>7237</v>
      </c>
      <c r="O1349" t="s">
        <v>8169</v>
      </c>
      <c r="P1349">
        <v>2</v>
      </c>
      <c r="Q1349">
        <v>1</v>
      </c>
      <c r="R1349">
        <v>167.18</v>
      </c>
      <c r="U1349">
        <v>41408</v>
      </c>
      <c r="W1349">
        <v>0</v>
      </c>
      <c r="Y1349" t="s">
        <v>10897</v>
      </c>
      <c r="AA1349" t="s">
        <v>10974</v>
      </c>
      <c r="AB1349" t="s">
        <v>698</v>
      </c>
      <c r="AD1349" t="s">
        <v>11096</v>
      </c>
      <c r="AF1349" t="s">
        <v>11122</v>
      </c>
      <c r="AH1349" t="s">
        <v>10974</v>
      </c>
      <c r="AJ1349" t="s">
        <v>11132</v>
      </c>
      <c r="AK1349" t="s">
        <v>7225</v>
      </c>
      <c r="AM1349">
        <v>779.61</v>
      </c>
      <c r="AO1349">
        <v>122</v>
      </c>
      <c r="AQ1349" t="s">
        <v>11157</v>
      </c>
      <c r="AR1349" t="s">
        <v>11172</v>
      </c>
      <c r="AU1349">
        <v>26</v>
      </c>
      <c r="AW1349" t="s">
        <v>11187</v>
      </c>
      <c r="AZ1349" t="s">
        <v>11221</v>
      </c>
      <c r="BE1349" t="s">
        <v>12468</v>
      </c>
      <c r="BG1349" t="s">
        <v>14719</v>
      </c>
      <c r="BM1349" t="s">
        <v>15650</v>
      </c>
    </row>
    <row r="1350" spans="1:67">
      <c r="A1350" s="1">
        <f>HYPERLINK("https://lsnyc.legalserver.org/matter/dynamic-profile/view/0781142","15-0781142")</f>
        <v>0</v>
      </c>
      <c r="B1350" t="s">
        <v>120</v>
      </c>
      <c r="C1350" t="s">
        <v>246</v>
      </c>
      <c r="D1350" t="s">
        <v>699</v>
      </c>
      <c r="F1350" t="s">
        <v>1754</v>
      </c>
      <c r="G1350" t="s">
        <v>1279</v>
      </c>
      <c r="H1350" t="s">
        <v>4844</v>
      </c>
      <c r="I1350" t="s">
        <v>6620</v>
      </c>
      <c r="J1350" t="s">
        <v>7170</v>
      </c>
      <c r="K1350">
        <v>10452</v>
      </c>
      <c r="N1350" t="s">
        <v>7237</v>
      </c>
      <c r="O1350" t="s">
        <v>8169</v>
      </c>
      <c r="P1350">
        <v>2</v>
      </c>
      <c r="Q1350">
        <v>1</v>
      </c>
      <c r="R1350">
        <v>167.77</v>
      </c>
      <c r="U1350">
        <v>33704</v>
      </c>
      <c r="W1350">
        <v>0.1</v>
      </c>
      <c r="X1350" t="s">
        <v>10815</v>
      </c>
      <c r="Y1350" t="s">
        <v>138</v>
      </c>
      <c r="AA1350" t="s">
        <v>10974</v>
      </c>
      <c r="AB1350" t="s">
        <v>719</v>
      </c>
      <c r="AD1350" t="s">
        <v>11107</v>
      </c>
      <c r="AF1350" t="s">
        <v>11118</v>
      </c>
      <c r="AH1350" t="s">
        <v>10974</v>
      </c>
      <c r="AJ1350" t="s">
        <v>11141</v>
      </c>
      <c r="AK1350" t="s">
        <v>7225</v>
      </c>
      <c r="AM1350">
        <v>779.61</v>
      </c>
      <c r="AO1350">
        <v>122</v>
      </c>
      <c r="AQ1350" t="s">
        <v>11157</v>
      </c>
      <c r="AR1350" t="s">
        <v>11172</v>
      </c>
      <c r="AU1350">
        <v>25</v>
      </c>
      <c r="AW1350" t="s">
        <v>11187</v>
      </c>
      <c r="AZ1350" t="s">
        <v>11221</v>
      </c>
      <c r="BE1350" t="s">
        <v>12468</v>
      </c>
      <c r="BF1350" t="s">
        <v>14364</v>
      </c>
      <c r="BG1350" t="s">
        <v>14716</v>
      </c>
      <c r="BM1350" t="s">
        <v>15650</v>
      </c>
    </row>
    <row r="1351" spans="1:67">
      <c r="A1351" s="1">
        <f>HYPERLINK("https://lsnyc.legalserver.org/matter/dynamic-profile/view/1857406","18-1857406")</f>
        <v>0</v>
      </c>
      <c r="B1351" t="s">
        <v>120</v>
      </c>
      <c r="C1351" t="s">
        <v>246</v>
      </c>
      <c r="D1351" t="s">
        <v>700</v>
      </c>
      <c r="F1351" t="s">
        <v>1307</v>
      </c>
      <c r="G1351" t="s">
        <v>3546</v>
      </c>
      <c r="H1351" t="s">
        <v>4844</v>
      </c>
      <c r="I1351" t="s">
        <v>6731</v>
      </c>
      <c r="J1351" t="s">
        <v>7170</v>
      </c>
      <c r="K1351">
        <v>10452</v>
      </c>
      <c r="N1351" t="s">
        <v>7237</v>
      </c>
      <c r="O1351" t="s">
        <v>8170</v>
      </c>
      <c r="P1351">
        <v>2</v>
      </c>
      <c r="Q1351">
        <v>0</v>
      </c>
      <c r="R1351">
        <v>114.68</v>
      </c>
      <c r="U1351">
        <v>27936</v>
      </c>
      <c r="W1351">
        <v>0</v>
      </c>
      <c r="Y1351" t="s">
        <v>10897</v>
      </c>
      <c r="AA1351" t="s">
        <v>10974</v>
      </c>
      <c r="AB1351" t="s">
        <v>11013</v>
      </c>
      <c r="AD1351" t="s">
        <v>11096</v>
      </c>
      <c r="AF1351" t="s">
        <v>11122</v>
      </c>
      <c r="AH1351" t="s">
        <v>10974</v>
      </c>
      <c r="AJ1351" t="s">
        <v>11141</v>
      </c>
      <c r="AK1351" t="s">
        <v>7225</v>
      </c>
      <c r="AM1351">
        <v>1011.05</v>
      </c>
      <c r="AO1351">
        <v>122</v>
      </c>
      <c r="AQ1351" t="s">
        <v>11157</v>
      </c>
      <c r="AS1351" t="s">
        <v>11175</v>
      </c>
      <c r="AU1351">
        <v>24</v>
      </c>
      <c r="AW1351" t="s">
        <v>11189</v>
      </c>
      <c r="AZ1351" t="s">
        <v>11221</v>
      </c>
      <c r="BE1351" t="s">
        <v>12469</v>
      </c>
      <c r="BG1351" t="s">
        <v>14717</v>
      </c>
      <c r="BM1351" t="s">
        <v>15650</v>
      </c>
    </row>
    <row r="1352" spans="1:67">
      <c r="A1352" s="1">
        <f>HYPERLINK("https://lsnyc.legalserver.org/matter/dynamic-profile/view/1901520","19-1901520")</f>
        <v>0</v>
      </c>
      <c r="B1352" t="s">
        <v>120</v>
      </c>
      <c r="C1352" t="s">
        <v>246</v>
      </c>
      <c r="D1352" t="s">
        <v>701</v>
      </c>
      <c r="E1352" t="s">
        <v>266</v>
      </c>
      <c r="F1352" t="s">
        <v>1755</v>
      </c>
      <c r="G1352" t="s">
        <v>2998</v>
      </c>
      <c r="H1352" t="s">
        <v>5264</v>
      </c>
      <c r="I1352" t="s">
        <v>6732</v>
      </c>
      <c r="J1352" t="s">
        <v>7170</v>
      </c>
      <c r="K1352">
        <v>10453</v>
      </c>
      <c r="L1352" t="s">
        <v>7216</v>
      </c>
      <c r="N1352" t="s">
        <v>7237</v>
      </c>
      <c r="O1352" t="s">
        <v>8171</v>
      </c>
      <c r="P1352">
        <v>1</v>
      </c>
      <c r="Q1352">
        <v>3</v>
      </c>
      <c r="R1352">
        <v>60.82</v>
      </c>
      <c r="U1352">
        <v>15660</v>
      </c>
      <c r="W1352">
        <v>1.3</v>
      </c>
      <c r="X1352" t="s">
        <v>266</v>
      </c>
      <c r="Y1352" t="s">
        <v>10882</v>
      </c>
      <c r="AA1352" t="s">
        <v>10974</v>
      </c>
      <c r="AB1352" t="s">
        <v>10979</v>
      </c>
      <c r="AD1352" t="s">
        <v>11082</v>
      </c>
      <c r="AF1352" t="s">
        <v>11119</v>
      </c>
      <c r="AH1352" t="s">
        <v>10975</v>
      </c>
      <c r="AI1352" t="s">
        <v>11126</v>
      </c>
      <c r="AK1352" t="s">
        <v>7225</v>
      </c>
      <c r="AM1352">
        <v>1515</v>
      </c>
      <c r="AO1352">
        <v>400</v>
      </c>
      <c r="AQ1352" t="s">
        <v>11164</v>
      </c>
      <c r="AR1352" t="s">
        <v>11172</v>
      </c>
      <c r="AT1352" t="s">
        <v>11184</v>
      </c>
      <c r="AU1352">
        <v>0</v>
      </c>
      <c r="AW1352" t="s">
        <v>11189</v>
      </c>
      <c r="BA1352" t="s">
        <v>11222</v>
      </c>
      <c r="BE1352" t="s">
        <v>12470</v>
      </c>
      <c r="BF1352" t="s">
        <v>14364</v>
      </c>
      <c r="BG1352" t="s">
        <v>14723</v>
      </c>
      <c r="BM1352" t="s">
        <v>15651</v>
      </c>
    </row>
    <row r="1353" spans="1:67">
      <c r="A1353" s="1">
        <f>HYPERLINK("https://lsnyc.legalserver.org/matter/dynamic-profile/view/1893033","19-1893033")</f>
        <v>0</v>
      </c>
      <c r="B1353" t="s">
        <v>120</v>
      </c>
      <c r="C1353" t="s">
        <v>246</v>
      </c>
      <c r="D1353" t="s">
        <v>693</v>
      </c>
      <c r="F1353" t="s">
        <v>1756</v>
      </c>
      <c r="G1353" t="s">
        <v>3547</v>
      </c>
      <c r="H1353" t="s">
        <v>5262</v>
      </c>
      <c r="I1353" t="s">
        <v>6497</v>
      </c>
      <c r="J1353" t="s">
        <v>7170</v>
      </c>
      <c r="K1353">
        <v>10467</v>
      </c>
      <c r="N1353" t="s">
        <v>7237</v>
      </c>
      <c r="O1353" t="s">
        <v>7435</v>
      </c>
      <c r="P1353">
        <v>1</v>
      </c>
      <c r="Q1353">
        <v>0</v>
      </c>
      <c r="R1353">
        <v>0</v>
      </c>
      <c r="U1353">
        <v>0</v>
      </c>
      <c r="W1353">
        <v>0</v>
      </c>
      <c r="Y1353" t="s">
        <v>93</v>
      </c>
      <c r="AA1353" t="s">
        <v>10974</v>
      </c>
      <c r="AB1353" t="s">
        <v>10979</v>
      </c>
      <c r="AC1353" t="s">
        <v>11081</v>
      </c>
      <c r="AF1353" t="s">
        <v>11120</v>
      </c>
      <c r="AH1353" t="s">
        <v>10974</v>
      </c>
      <c r="AJ1353" t="s">
        <v>11134</v>
      </c>
      <c r="AK1353" t="s">
        <v>7225</v>
      </c>
      <c r="AM1353">
        <v>1500</v>
      </c>
      <c r="AO1353">
        <v>122</v>
      </c>
      <c r="AQ1353" t="s">
        <v>11156</v>
      </c>
      <c r="AS1353" t="s">
        <v>11173</v>
      </c>
      <c r="AU1353">
        <v>6</v>
      </c>
      <c r="AW1353" t="s">
        <v>11187</v>
      </c>
      <c r="BA1353" t="s">
        <v>11222</v>
      </c>
      <c r="BD1353" t="s">
        <v>11667</v>
      </c>
      <c r="BF1353" t="s">
        <v>14364</v>
      </c>
      <c r="BM1353" t="s">
        <v>15650</v>
      </c>
    </row>
    <row r="1354" spans="1:67">
      <c r="A1354" s="1">
        <f>HYPERLINK("https://lsnyc.legalserver.org/matter/dynamic-profile/view/0813915","16-0813915")</f>
        <v>0</v>
      </c>
      <c r="B1354" t="s">
        <v>120</v>
      </c>
      <c r="C1354" t="s">
        <v>246</v>
      </c>
      <c r="D1354" t="s">
        <v>695</v>
      </c>
      <c r="F1354" t="s">
        <v>1757</v>
      </c>
      <c r="G1354" t="s">
        <v>3054</v>
      </c>
      <c r="H1354" t="s">
        <v>5265</v>
      </c>
      <c r="I1354" t="s">
        <v>6573</v>
      </c>
      <c r="J1354" t="s">
        <v>7170</v>
      </c>
      <c r="K1354">
        <v>10452</v>
      </c>
      <c r="N1354" t="s">
        <v>7237</v>
      </c>
      <c r="O1354" t="s">
        <v>8172</v>
      </c>
      <c r="P1354">
        <v>1</v>
      </c>
      <c r="Q1354">
        <v>0</v>
      </c>
      <c r="R1354">
        <v>241.84</v>
      </c>
      <c r="U1354">
        <v>28730</v>
      </c>
      <c r="W1354">
        <v>0.6</v>
      </c>
      <c r="X1354" t="s">
        <v>458</v>
      </c>
      <c r="Y1354" t="s">
        <v>10899</v>
      </c>
      <c r="AA1354" t="s">
        <v>10974</v>
      </c>
      <c r="AB1354" t="s">
        <v>1024</v>
      </c>
      <c r="AD1354" t="s">
        <v>11096</v>
      </c>
      <c r="AF1354" t="s">
        <v>11122</v>
      </c>
      <c r="AH1354" t="s">
        <v>10974</v>
      </c>
      <c r="AJ1354" t="s">
        <v>11141</v>
      </c>
      <c r="AK1354" t="s">
        <v>7225</v>
      </c>
      <c r="AM1354">
        <v>594.98</v>
      </c>
      <c r="AO1354">
        <v>63</v>
      </c>
      <c r="AQ1354" t="s">
        <v>11157</v>
      </c>
      <c r="AS1354" t="s">
        <v>11173</v>
      </c>
      <c r="AU1354">
        <v>35</v>
      </c>
      <c r="AW1354" t="s">
        <v>11189</v>
      </c>
      <c r="AZ1354" t="s">
        <v>11221</v>
      </c>
      <c r="BE1354" t="s">
        <v>12471</v>
      </c>
      <c r="BG1354" t="s">
        <v>14721</v>
      </c>
      <c r="BM1354" t="s">
        <v>15650</v>
      </c>
    </row>
    <row r="1355" spans="1:67">
      <c r="A1355" s="1">
        <f>HYPERLINK("https://lsnyc.legalserver.org/matter/dynamic-profile/view/1871147","18-1871147")</f>
        <v>0</v>
      </c>
      <c r="B1355" t="s">
        <v>120</v>
      </c>
      <c r="C1355" t="s">
        <v>246</v>
      </c>
      <c r="D1355" t="s">
        <v>702</v>
      </c>
      <c r="F1355" t="s">
        <v>1758</v>
      </c>
      <c r="G1355" t="s">
        <v>3548</v>
      </c>
      <c r="H1355" t="s">
        <v>5272</v>
      </c>
      <c r="I1355" t="s">
        <v>6733</v>
      </c>
      <c r="J1355" t="s">
        <v>7170</v>
      </c>
      <c r="K1355">
        <v>10452</v>
      </c>
      <c r="N1355" t="s">
        <v>7237</v>
      </c>
      <c r="O1355" t="s">
        <v>8173</v>
      </c>
      <c r="P1355">
        <v>1</v>
      </c>
      <c r="Q1355">
        <v>0</v>
      </c>
      <c r="R1355">
        <v>216.38</v>
      </c>
      <c r="U1355">
        <v>26268</v>
      </c>
      <c r="W1355">
        <v>16.8</v>
      </c>
      <c r="X1355" t="s">
        <v>735</v>
      </c>
      <c r="Y1355" t="s">
        <v>193</v>
      </c>
      <c r="AA1355" t="s">
        <v>10974</v>
      </c>
      <c r="AB1355" t="s">
        <v>939</v>
      </c>
      <c r="AD1355" t="s">
        <v>11082</v>
      </c>
      <c r="AF1355" t="s">
        <v>11118</v>
      </c>
      <c r="AH1355" t="s">
        <v>10975</v>
      </c>
      <c r="AJ1355" t="s">
        <v>11130</v>
      </c>
      <c r="AK1355" t="s">
        <v>7225</v>
      </c>
      <c r="AM1355">
        <v>1194.67</v>
      </c>
      <c r="AN1355" t="s">
        <v>11151</v>
      </c>
      <c r="AO1355" t="s">
        <v>11153</v>
      </c>
      <c r="AP1355" t="s">
        <v>11155</v>
      </c>
      <c r="AR1355" t="s">
        <v>11172</v>
      </c>
      <c r="AU1355">
        <v>20</v>
      </c>
      <c r="AW1355" t="s">
        <v>11187</v>
      </c>
      <c r="AZ1355" t="s">
        <v>11221</v>
      </c>
      <c r="BE1355" t="s">
        <v>12472</v>
      </c>
      <c r="BG1355" t="s">
        <v>14724</v>
      </c>
      <c r="BI1355" t="s">
        <v>15609</v>
      </c>
      <c r="BK1355" t="s">
        <v>15622</v>
      </c>
      <c r="BM1355" t="s">
        <v>15650</v>
      </c>
      <c r="BN1355" t="s">
        <v>15652</v>
      </c>
      <c r="BO1355" t="s">
        <v>15680</v>
      </c>
    </row>
    <row r="1356" spans="1:67">
      <c r="A1356" s="1">
        <f>HYPERLINK("https://lsnyc.legalserver.org/matter/dynamic-profile/view/1885564","18-1885564")</f>
        <v>0</v>
      </c>
      <c r="B1356" t="s">
        <v>120</v>
      </c>
      <c r="C1356" t="s">
        <v>246</v>
      </c>
      <c r="D1356" t="s">
        <v>610</v>
      </c>
      <c r="F1356" t="s">
        <v>1402</v>
      </c>
      <c r="G1356" t="s">
        <v>3549</v>
      </c>
      <c r="H1356" t="s">
        <v>5273</v>
      </c>
      <c r="I1356" t="s">
        <v>6424</v>
      </c>
      <c r="J1356" t="s">
        <v>7170</v>
      </c>
      <c r="K1356">
        <v>10459</v>
      </c>
      <c r="N1356" t="s">
        <v>7237</v>
      </c>
      <c r="O1356" t="s">
        <v>8174</v>
      </c>
      <c r="P1356">
        <v>1</v>
      </c>
      <c r="Q1356">
        <v>0</v>
      </c>
      <c r="R1356">
        <v>128.5</v>
      </c>
      <c r="U1356">
        <v>15600</v>
      </c>
      <c r="W1356">
        <v>0.6</v>
      </c>
      <c r="X1356" t="s">
        <v>610</v>
      </c>
      <c r="Y1356" t="s">
        <v>120</v>
      </c>
      <c r="AA1356" t="s">
        <v>10974</v>
      </c>
      <c r="AB1356" t="s">
        <v>610</v>
      </c>
      <c r="AD1356" t="s">
        <v>11090</v>
      </c>
      <c r="AF1356" t="s">
        <v>11119</v>
      </c>
      <c r="AH1356" t="s">
        <v>10975</v>
      </c>
      <c r="AJ1356" t="s">
        <v>11130</v>
      </c>
      <c r="AK1356" t="s">
        <v>7225</v>
      </c>
      <c r="AM1356">
        <v>186</v>
      </c>
      <c r="AO1356">
        <v>21</v>
      </c>
      <c r="AQ1356" t="s">
        <v>11161</v>
      </c>
      <c r="AS1356" t="s">
        <v>11174</v>
      </c>
      <c r="AU1356">
        <v>20</v>
      </c>
      <c r="AW1356" t="s">
        <v>11187</v>
      </c>
      <c r="AZ1356" t="s">
        <v>11221</v>
      </c>
      <c r="BE1356" t="s">
        <v>12473</v>
      </c>
      <c r="BF1356" t="s">
        <v>14364</v>
      </c>
      <c r="BM1356" t="s">
        <v>15650</v>
      </c>
    </row>
    <row r="1357" spans="1:67">
      <c r="A1357" s="1">
        <f>HYPERLINK("https://lsnyc.legalserver.org/matter/dynamic-profile/view/1841112","17-1841112")</f>
        <v>0</v>
      </c>
      <c r="B1357" t="s">
        <v>120</v>
      </c>
      <c r="C1357" t="s">
        <v>246</v>
      </c>
      <c r="D1357" t="s">
        <v>694</v>
      </c>
      <c r="F1357" t="s">
        <v>1307</v>
      </c>
      <c r="G1357" t="s">
        <v>3546</v>
      </c>
      <c r="H1357" t="s">
        <v>4844</v>
      </c>
      <c r="I1357" t="s">
        <v>6731</v>
      </c>
      <c r="J1357" t="s">
        <v>7170</v>
      </c>
      <c r="K1357">
        <v>10452</v>
      </c>
      <c r="N1357" t="s">
        <v>7237</v>
      </c>
      <c r="O1357" t="s">
        <v>8170</v>
      </c>
      <c r="P1357">
        <v>2</v>
      </c>
      <c r="Q1357">
        <v>0</v>
      </c>
      <c r="R1357">
        <v>114.68</v>
      </c>
      <c r="U1357">
        <v>27936</v>
      </c>
      <c r="W1357">
        <v>0</v>
      </c>
      <c r="Y1357" t="s">
        <v>10897</v>
      </c>
      <c r="AA1357" t="s">
        <v>10974</v>
      </c>
      <c r="AB1357" t="s">
        <v>694</v>
      </c>
      <c r="AD1357" t="s">
        <v>11096</v>
      </c>
      <c r="AF1357" t="s">
        <v>11122</v>
      </c>
      <c r="AH1357" t="s">
        <v>10974</v>
      </c>
      <c r="AJ1357" t="s">
        <v>11141</v>
      </c>
      <c r="AK1357" t="s">
        <v>7225</v>
      </c>
      <c r="AM1357">
        <v>1011.05</v>
      </c>
      <c r="AN1357" t="s">
        <v>11151</v>
      </c>
      <c r="AO1357" t="s">
        <v>11153</v>
      </c>
      <c r="AQ1357" t="s">
        <v>11157</v>
      </c>
      <c r="AS1357" t="s">
        <v>11175</v>
      </c>
      <c r="AU1357">
        <v>24</v>
      </c>
      <c r="AW1357" t="s">
        <v>11189</v>
      </c>
      <c r="AZ1357" t="s">
        <v>11221</v>
      </c>
      <c r="BE1357" t="s">
        <v>12469</v>
      </c>
      <c r="BF1357" t="s">
        <v>14364</v>
      </c>
      <c r="BM1357" t="s">
        <v>15650</v>
      </c>
    </row>
    <row r="1358" spans="1:67">
      <c r="A1358" s="1">
        <f>HYPERLINK("https://lsnyc.legalserver.org/matter/dynamic-profile/view/0826209","17-0826209")</f>
        <v>0</v>
      </c>
      <c r="B1358" t="s">
        <v>120</v>
      </c>
      <c r="C1358" t="s">
        <v>246</v>
      </c>
      <c r="D1358" t="s">
        <v>378</v>
      </c>
      <c r="F1358" t="s">
        <v>1221</v>
      </c>
      <c r="G1358" t="s">
        <v>3550</v>
      </c>
      <c r="H1358" t="s">
        <v>5265</v>
      </c>
      <c r="I1358" t="s">
        <v>6471</v>
      </c>
      <c r="J1358" t="s">
        <v>7170</v>
      </c>
      <c r="K1358">
        <v>10452</v>
      </c>
      <c r="N1358" t="s">
        <v>7237</v>
      </c>
      <c r="O1358" t="s">
        <v>8175</v>
      </c>
      <c r="P1358">
        <v>3</v>
      </c>
      <c r="Q1358">
        <v>0</v>
      </c>
      <c r="R1358">
        <v>83.31</v>
      </c>
      <c r="U1358">
        <v>16796</v>
      </c>
      <c r="W1358">
        <v>0.1</v>
      </c>
      <c r="X1358" t="s">
        <v>458</v>
      </c>
      <c r="Y1358" t="s">
        <v>10899</v>
      </c>
      <c r="AA1358" t="s">
        <v>10974</v>
      </c>
      <c r="AB1358" t="s">
        <v>378</v>
      </c>
      <c r="AD1358" t="s">
        <v>11096</v>
      </c>
      <c r="AF1358" t="s">
        <v>11122</v>
      </c>
      <c r="AH1358" t="s">
        <v>10974</v>
      </c>
      <c r="AJ1358" t="s">
        <v>11141</v>
      </c>
      <c r="AK1358" t="s">
        <v>7225</v>
      </c>
      <c r="AM1358">
        <v>1040</v>
      </c>
      <c r="AO1358">
        <v>63</v>
      </c>
      <c r="AQ1358" t="s">
        <v>11160</v>
      </c>
      <c r="AS1358" t="s">
        <v>11173</v>
      </c>
      <c r="AU1358">
        <v>9</v>
      </c>
      <c r="AW1358" t="s">
        <v>11189</v>
      </c>
      <c r="AZ1358" t="s">
        <v>11221</v>
      </c>
      <c r="BE1358" t="s">
        <v>12474</v>
      </c>
      <c r="BF1358" t="s">
        <v>14364</v>
      </c>
      <c r="BM1358" t="s">
        <v>15650</v>
      </c>
    </row>
    <row r="1359" spans="1:67">
      <c r="A1359" s="1">
        <f>HYPERLINK("https://lsnyc.legalserver.org/matter/dynamic-profile/view/1857072","18-1857072")</f>
        <v>0</v>
      </c>
      <c r="B1359" t="s">
        <v>120</v>
      </c>
      <c r="C1359" t="s">
        <v>246</v>
      </c>
      <c r="D1359" t="s">
        <v>692</v>
      </c>
      <c r="F1359" t="s">
        <v>1648</v>
      </c>
      <c r="G1359" t="s">
        <v>1888</v>
      </c>
      <c r="H1359" t="s">
        <v>4844</v>
      </c>
      <c r="I1359" t="s">
        <v>6728</v>
      </c>
      <c r="J1359" t="s">
        <v>7170</v>
      </c>
      <c r="K1359">
        <v>10452</v>
      </c>
      <c r="N1359" t="s">
        <v>7237</v>
      </c>
      <c r="O1359" t="s">
        <v>8162</v>
      </c>
      <c r="P1359">
        <v>1</v>
      </c>
      <c r="Q1359">
        <v>0</v>
      </c>
      <c r="R1359">
        <v>150.91</v>
      </c>
      <c r="U1359">
        <v>18200</v>
      </c>
      <c r="W1359">
        <v>0</v>
      </c>
      <c r="Y1359" t="s">
        <v>10897</v>
      </c>
      <c r="AA1359" t="s">
        <v>10974</v>
      </c>
      <c r="AB1359" t="s">
        <v>871</v>
      </c>
      <c r="AD1359" t="s">
        <v>11096</v>
      </c>
      <c r="AF1359" t="s">
        <v>11122</v>
      </c>
      <c r="AH1359" t="s">
        <v>10974</v>
      </c>
      <c r="AJ1359" t="s">
        <v>11141</v>
      </c>
      <c r="AK1359" t="s">
        <v>7225</v>
      </c>
      <c r="AM1359">
        <v>914</v>
      </c>
      <c r="AO1359">
        <v>122</v>
      </c>
      <c r="AQ1359" t="s">
        <v>11157</v>
      </c>
      <c r="AS1359" t="s">
        <v>11173</v>
      </c>
      <c r="AU1359">
        <v>13</v>
      </c>
      <c r="AW1359" t="s">
        <v>11187</v>
      </c>
      <c r="AZ1359" t="s">
        <v>11221</v>
      </c>
      <c r="BE1359" t="s">
        <v>12462</v>
      </c>
      <c r="BG1359" t="s">
        <v>14719</v>
      </c>
      <c r="BM1359" t="s">
        <v>15650</v>
      </c>
    </row>
    <row r="1360" spans="1:67">
      <c r="A1360" s="1">
        <f>HYPERLINK("https://lsnyc.legalserver.org/matter/dynamic-profile/view/0812548","16-0812548")</f>
        <v>0</v>
      </c>
      <c r="B1360" t="s">
        <v>120</v>
      </c>
      <c r="C1360" t="s">
        <v>246</v>
      </c>
      <c r="D1360" t="s">
        <v>703</v>
      </c>
      <c r="F1360" t="s">
        <v>1759</v>
      </c>
      <c r="G1360" t="s">
        <v>3357</v>
      </c>
      <c r="H1360" t="s">
        <v>5265</v>
      </c>
      <c r="I1360" t="s">
        <v>6468</v>
      </c>
      <c r="J1360" t="s">
        <v>7170</v>
      </c>
      <c r="K1360">
        <v>10452</v>
      </c>
      <c r="N1360" t="s">
        <v>7237</v>
      </c>
      <c r="O1360" t="s">
        <v>8125</v>
      </c>
      <c r="P1360">
        <v>1</v>
      </c>
      <c r="Q1360">
        <v>0</v>
      </c>
      <c r="R1360">
        <v>526.08</v>
      </c>
      <c r="U1360">
        <v>62498</v>
      </c>
      <c r="W1360">
        <v>1.2</v>
      </c>
      <c r="X1360" t="s">
        <v>458</v>
      </c>
      <c r="Y1360" t="s">
        <v>10897</v>
      </c>
      <c r="AA1360" t="s">
        <v>10974</v>
      </c>
      <c r="AB1360" t="s">
        <v>10993</v>
      </c>
      <c r="AD1360" t="s">
        <v>11096</v>
      </c>
      <c r="AF1360" t="s">
        <v>11122</v>
      </c>
      <c r="AH1360" t="s">
        <v>10974</v>
      </c>
      <c r="AJ1360" t="s">
        <v>11141</v>
      </c>
      <c r="AK1360" t="s">
        <v>7225</v>
      </c>
      <c r="AM1360">
        <v>650.92</v>
      </c>
      <c r="AO1360">
        <v>63</v>
      </c>
      <c r="AQ1360" t="s">
        <v>11157</v>
      </c>
      <c r="AS1360" t="s">
        <v>11173</v>
      </c>
      <c r="AU1360">
        <v>35</v>
      </c>
      <c r="AW1360" t="s">
        <v>11187</v>
      </c>
      <c r="AZ1360" t="s">
        <v>11221</v>
      </c>
      <c r="BE1360" t="s">
        <v>12475</v>
      </c>
      <c r="BG1360" t="s">
        <v>14721</v>
      </c>
      <c r="BM1360" t="s">
        <v>15650</v>
      </c>
    </row>
    <row r="1361" spans="1:65">
      <c r="A1361" s="1">
        <f>HYPERLINK("https://lsnyc.legalserver.org/matter/dynamic-profile/view/1857367","18-1857367")</f>
        <v>0</v>
      </c>
      <c r="B1361" t="s">
        <v>120</v>
      </c>
      <c r="C1361" t="s">
        <v>246</v>
      </c>
      <c r="D1361" t="s">
        <v>700</v>
      </c>
      <c r="F1361" t="s">
        <v>1188</v>
      </c>
      <c r="G1361" t="s">
        <v>2308</v>
      </c>
      <c r="H1361" t="s">
        <v>4844</v>
      </c>
      <c r="J1361" t="s">
        <v>7170</v>
      </c>
      <c r="K1361">
        <v>10452</v>
      </c>
      <c r="N1361" t="s">
        <v>7237</v>
      </c>
      <c r="O1361" t="s">
        <v>7362</v>
      </c>
      <c r="P1361">
        <v>1</v>
      </c>
      <c r="Q1361">
        <v>0</v>
      </c>
      <c r="R1361">
        <v>93.53</v>
      </c>
      <c r="U1361">
        <v>11280</v>
      </c>
      <c r="W1361">
        <v>0</v>
      </c>
      <c r="Y1361" t="s">
        <v>10897</v>
      </c>
      <c r="AA1361" t="s">
        <v>10974</v>
      </c>
      <c r="AB1361" t="s">
        <v>11013</v>
      </c>
      <c r="AD1361" t="s">
        <v>11096</v>
      </c>
      <c r="AF1361" t="s">
        <v>11122</v>
      </c>
      <c r="AH1361" t="s">
        <v>10974</v>
      </c>
      <c r="AJ1361" t="s">
        <v>11141</v>
      </c>
      <c r="AK1361" t="s">
        <v>7225</v>
      </c>
      <c r="AM1361">
        <v>700.84</v>
      </c>
      <c r="AO1361">
        <v>122</v>
      </c>
      <c r="AQ1361" t="s">
        <v>11157</v>
      </c>
      <c r="AS1361" t="s">
        <v>11175</v>
      </c>
      <c r="AU1361">
        <v>26</v>
      </c>
      <c r="AW1361" t="s">
        <v>11187</v>
      </c>
      <c r="AZ1361" t="s">
        <v>11221</v>
      </c>
      <c r="BE1361" t="s">
        <v>11761</v>
      </c>
      <c r="BG1361" t="s">
        <v>14717</v>
      </c>
      <c r="BM1361" t="s">
        <v>15650</v>
      </c>
    </row>
    <row r="1362" spans="1:65">
      <c r="A1362" s="1">
        <f>HYPERLINK("https://lsnyc.legalserver.org/matter/dynamic-profile/view/0789344","15-0789344")</f>
        <v>0</v>
      </c>
      <c r="B1362" t="s">
        <v>120</v>
      </c>
      <c r="C1362" t="s">
        <v>246</v>
      </c>
      <c r="D1362" t="s">
        <v>697</v>
      </c>
      <c r="F1362" t="s">
        <v>1760</v>
      </c>
      <c r="G1362" t="s">
        <v>2938</v>
      </c>
      <c r="H1362" t="s">
        <v>4844</v>
      </c>
      <c r="I1362" t="s">
        <v>6734</v>
      </c>
      <c r="J1362" t="s">
        <v>7170</v>
      </c>
      <c r="K1362">
        <v>10452</v>
      </c>
      <c r="N1362" t="s">
        <v>7237</v>
      </c>
      <c r="O1362" t="s">
        <v>8176</v>
      </c>
      <c r="P1362">
        <v>1</v>
      </c>
      <c r="Q1362">
        <v>0</v>
      </c>
      <c r="R1362">
        <v>111.78</v>
      </c>
      <c r="U1362">
        <v>13156</v>
      </c>
      <c r="W1362">
        <v>0.1</v>
      </c>
      <c r="X1362" t="s">
        <v>698</v>
      </c>
      <c r="Y1362" t="s">
        <v>138</v>
      </c>
      <c r="AA1362" t="s">
        <v>10974</v>
      </c>
      <c r="AB1362" t="s">
        <v>697</v>
      </c>
      <c r="AD1362" t="s">
        <v>11107</v>
      </c>
      <c r="AF1362" t="s">
        <v>11118</v>
      </c>
      <c r="AH1362" t="s">
        <v>10974</v>
      </c>
      <c r="AJ1362" t="s">
        <v>11132</v>
      </c>
      <c r="AK1362" t="s">
        <v>7225</v>
      </c>
      <c r="AM1362">
        <v>683.12</v>
      </c>
      <c r="AN1362" t="s">
        <v>11151</v>
      </c>
      <c r="AO1362" t="s">
        <v>11153</v>
      </c>
      <c r="AP1362" t="s">
        <v>11155</v>
      </c>
      <c r="AR1362" t="s">
        <v>11172</v>
      </c>
      <c r="AU1362">
        <v>23</v>
      </c>
      <c r="AW1362" t="s">
        <v>11189</v>
      </c>
      <c r="AZ1362" t="s">
        <v>11221</v>
      </c>
      <c r="BE1362" t="s">
        <v>12476</v>
      </c>
      <c r="BF1362" t="s">
        <v>14364</v>
      </c>
      <c r="BG1362" t="s">
        <v>14716</v>
      </c>
      <c r="BM1362" t="s">
        <v>15650</v>
      </c>
    </row>
    <row r="1363" spans="1:65">
      <c r="A1363" s="1">
        <f>HYPERLINK("https://lsnyc.legalserver.org/matter/dynamic-profile/view/1908692","19-1908692")</f>
        <v>0</v>
      </c>
      <c r="B1363" t="s">
        <v>120</v>
      </c>
      <c r="C1363" t="s">
        <v>246</v>
      </c>
      <c r="D1363" t="s">
        <v>302</v>
      </c>
      <c r="F1363" t="s">
        <v>1761</v>
      </c>
      <c r="G1363" t="s">
        <v>3551</v>
      </c>
      <c r="H1363" t="s">
        <v>5274</v>
      </c>
      <c r="I1363" t="s">
        <v>6497</v>
      </c>
      <c r="J1363" t="s">
        <v>7172</v>
      </c>
      <c r="K1363">
        <v>11691</v>
      </c>
      <c r="N1363" t="s">
        <v>7244</v>
      </c>
      <c r="P1363">
        <v>2</v>
      </c>
      <c r="Q1363">
        <v>1</v>
      </c>
      <c r="R1363">
        <v>16.88</v>
      </c>
      <c r="U1363">
        <v>3600</v>
      </c>
      <c r="W1363">
        <v>2</v>
      </c>
      <c r="X1363" t="s">
        <v>269</v>
      </c>
      <c r="Y1363" t="s">
        <v>120</v>
      </c>
      <c r="AA1363" t="s">
        <v>10974</v>
      </c>
      <c r="AD1363" t="s">
        <v>11090</v>
      </c>
      <c r="AF1363" t="s">
        <v>11118</v>
      </c>
      <c r="AH1363" t="s">
        <v>10974</v>
      </c>
      <c r="AJ1363" t="s">
        <v>11137</v>
      </c>
      <c r="AK1363" t="s">
        <v>7225</v>
      </c>
      <c r="AM1363">
        <v>1557</v>
      </c>
      <c r="AO1363">
        <v>917</v>
      </c>
      <c r="AQ1363" t="s">
        <v>11157</v>
      </c>
      <c r="AS1363" t="s">
        <v>11176</v>
      </c>
      <c r="AU1363">
        <v>1</v>
      </c>
      <c r="AW1363" t="s">
        <v>11187</v>
      </c>
      <c r="AX1363" t="s">
        <v>11212</v>
      </c>
      <c r="BA1363" t="s">
        <v>11222</v>
      </c>
      <c r="BD1363" t="s">
        <v>11667</v>
      </c>
      <c r="BF1363" t="s">
        <v>14364</v>
      </c>
      <c r="BG1363" t="s">
        <v>14725</v>
      </c>
      <c r="BM1363" t="s">
        <v>15650</v>
      </c>
    </row>
    <row r="1364" spans="1:65">
      <c r="A1364" s="1">
        <f>HYPERLINK("https://lsnyc.legalserver.org/matter/dynamic-profile/view/1841135","17-1841135")</f>
        <v>0</v>
      </c>
      <c r="B1364" t="s">
        <v>120</v>
      </c>
      <c r="C1364" t="s">
        <v>246</v>
      </c>
      <c r="D1364" t="s">
        <v>694</v>
      </c>
      <c r="F1364" t="s">
        <v>1762</v>
      </c>
      <c r="G1364" t="s">
        <v>3032</v>
      </c>
      <c r="H1364" t="s">
        <v>4844</v>
      </c>
      <c r="I1364" t="s">
        <v>6407</v>
      </c>
      <c r="J1364" t="s">
        <v>7170</v>
      </c>
      <c r="K1364">
        <v>10452</v>
      </c>
      <c r="N1364" t="s">
        <v>7237</v>
      </c>
      <c r="O1364" t="s">
        <v>8177</v>
      </c>
      <c r="P1364">
        <v>1</v>
      </c>
      <c r="Q1364">
        <v>0</v>
      </c>
      <c r="R1364">
        <v>265.34</v>
      </c>
      <c r="U1364">
        <v>32000</v>
      </c>
      <c r="W1364">
        <v>0</v>
      </c>
      <c r="Y1364" t="s">
        <v>10897</v>
      </c>
      <c r="AA1364" t="s">
        <v>10974</v>
      </c>
      <c r="AB1364" t="s">
        <v>694</v>
      </c>
      <c r="AD1364" t="s">
        <v>11096</v>
      </c>
      <c r="AF1364" t="s">
        <v>11122</v>
      </c>
      <c r="AH1364" t="s">
        <v>10974</v>
      </c>
      <c r="AJ1364" t="s">
        <v>11141</v>
      </c>
      <c r="AK1364" t="s">
        <v>7225</v>
      </c>
      <c r="AM1364">
        <v>918.4</v>
      </c>
      <c r="AO1364">
        <v>122</v>
      </c>
      <c r="AQ1364" t="s">
        <v>11157</v>
      </c>
      <c r="AS1364" t="s">
        <v>11173</v>
      </c>
      <c r="AU1364">
        <v>22</v>
      </c>
      <c r="AW1364" t="s">
        <v>11189</v>
      </c>
      <c r="AZ1364" t="s">
        <v>11221</v>
      </c>
      <c r="BE1364" t="s">
        <v>12477</v>
      </c>
      <c r="BF1364" t="s">
        <v>14364</v>
      </c>
      <c r="BM1364" t="s">
        <v>15650</v>
      </c>
    </row>
    <row r="1365" spans="1:65">
      <c r="A1365" s="1">
        <f>HYPERLINK("https://lsnyc.legalserver.org/matter/dynamic-profile/view/1857283","18-1857283")</f>
        <v>0</v>
      </c>
      <c r="B1365" t="s">
        <v>120</v>
      </c>
      <c r="C1365" t="s">
        <v>246</v>
      </c>
      <c r="D1365" t="s">
        <v>386</v>
      </c>
      <c r="F1365" t="s">
        <v>1763</v>
      </c>
      <c r="G1365" t="s">
        <v>3552</v>
      </c>
      <c r="H1365" t="s">
        <v>4844</v>
      </c>
      <c r="I1365" t="s">
        <v>6543</v>
      </c>
      <c r="J1365" t="s">
        <v>7170</v>
      </c>
      <c r="K1365">
        <v>10452</v>
      </c>
      <c r="N1365" t="s">
        <v>7237</v>
      </c>
      <c r="O1365" t="s">
        <v>8178</v>
      </c>
      <c r="P1365">
        <v>1</v>
      </c>
      <c r="Q1365">
        <v>2</v>
      </c>
      <c r="R1365">
        <v>58.77</v>
      </c>
      <c r="U1365">
        <v>12000</v>
      </c>
      <c r="W1365">
        <v>0.1</v>
      </c>
      <c r="X1365" t="s">
        <v>920</v>
      </c>
      <c r="Y1365" t="s">
        <v>10897</v>
      </c>
      <c r="AA1365" t="s">
        <v>10974</v>
      </c>
      <c r="AB1365" t="s">
        <v>11013</v>
      </c>
      <c r="AD1365" t="s">
        <v>11096</v>
      </c>
      <c r="AF1365" t="s">
        <v>11122</v>
      </c>
      <c r="AH1365" t="s">
        <v>10974</v>
      </c>
      <c r="AJ1365" t="s">
        <v>11141</v>
      </c>
      <c r="AK1365" t="s">
        <v>7225</v>
      </c>
      <c r="AM1365">
        <v>652</v>
      </c>
      <c r="AO1365">
        <v>122</v>
      </c>
      <c r="AQ1365" t="s">
        <v>11157</v>
      </c>
      <c r="AR1365" t="s">
        <v>11172</v>
      </c>
      <c r="AU1365">
        <v>15</v>
      </c>
      <c r="AW1365" t="s">
        <v>11187</v>
      </c>
      <c r="AZ1365" t="s">
        <v>11221</v>
      </c>
      <c r="BE1365" t="s">
        <v>12478</v>
      </c>
      <c r="BG1365" t="s">
        <v>14717</v>
      </c>
      <c r="BM1365" t="s">
        <v>15650</v>
      </c>
    </row>
    <row r="1366" spans="1:65">
      <c r="A1366" s="1">
        <f>HYPERLINK("https://lsnyc.legalserver.org/matter/dynamic-profile/view/1892953","19-1892953")</f>
        <v>0</v>
      </c>
      <c r="B1366" t="s">
        <v>120</v>
      </c>
      <c r="C1366" t="s">
        <v>246</v>
      </c>
      <c r="D1366" t="s">
        <v>319</v>
      </c>
      <c r="F1366" t="s">
        <v>1764</v>
      </c>
      <c r="G1366" t="s">
        <v>3506</v>
      </c>
      <c r="H1366" t="s">
        <v>5267</v>
      </c>
      <c r="I1366" t="s">
        <v>6609</v>
      </c>
      <c r="J1366" t="s">
        <v>7170</v>
      </c>
      <c r="K1366">
        <v>10467</v>
      </c>
      <c r="N1366" t="s">
        <v>7237</v>
      </c>
      <c r="O1366" t="s">
        <v>8179</v>
      </c>
      <c r="P1366">
        <v>1</v>
      </c>
      <c r="Q1366">
        <v>2</v>
      </c>
      <c r="R1366">
        <v>109.7</v>
      </c>
      <c r="U1366">
        <v>23400</v>
      </c>
      <c r="W1366">
        <v>20.7</v>
      </c>
      <c r="X1366" t="s">
        <v>332</v>
      </c>
      <c r="Y1366" t="s">
        <v>93</v>
      </c>
      <c r="AA1366" t="s">
        <v>10974</v>
      </c>
      <c r="AB1366" t="s">
        <v>10979</v>
      </c>
      <c r="AD1366" t="s">
        <v>11100</v>
      </c>
      <c r="AF1366" t="s">
        <v>11120</v>
      </c>
      <c r="AH1366" t="s">
        <v>10974</v>
      </c>
      <c r="AJ1366" t="s">
        <v>11134</v>
      </c>
      <c r="AK1366" t="s">
        <v>7225</v>
      </c>
      <c r="AM1366">
        <v>1950</v>
      </c>
      <c r="AO1366">
        <v>122</v>
      </c>
      <c r="AQ1366" t="s">
        <v>11156</v>
      </c>
      <c r="AS1366" t="s">
        <v>11174</v>
      </c>
      <c r="AU1366">
        <v>32</v>
      </c>
      <c r="AW1366" t="s">
        <v>11187</v>
      </c>
      <c r="BA1366" t="s">
        <v>11222</v>
      </c>
      <c r="BD1366" t="s">
        <v>11667</v>
      </c>
      <c r="BF1366" t="s">
        <v>14364</v>
      </c>
      <c r="BM1366" t="s">
        <v>15650</v>
      </c>
    </row>
    <row r="1367" spans="1:65">
      <c r="A1367" s="1">
        <f>HYPERLINK("https://lsnyc.legalserver.org/matter/dynamic-profile/view/1848822","17-1848822")</f>
        <v>0</v>
      </c>
      <c r="B1367" t="s">
        <v>120</v>
      </c>
      <c r="C1367" t="s">
        <v>246</v>
      </c>
      <c r="D1367" t="s">
        <v>704</v>
      </c>
      <c r="F1367" t="s">
        <v>1765</v>
      </c>
      <c r="G1367" t="s">
        <v>1412</v>
      </c>
      <c r="H1367" t="s">
        <v>5275</v>
      </c>
      <c r="I1367" t="s">
        <v>6735</v>
      </c>
      <c r="J1367" t="s">
        <v>7170</v>
      </c>
      <c r="K1367">
        <v>10453</v>
      </c>
      <c r="N1367" t="s">
        <v>7237</v>
      </c>
      <c r="O1367" t="s">
        <v>8180</v>
      </c>
      <c r="P1367">
        <v>1</v>
      </c>
      <c r="Q1367">
        <v>0</v>
      </c>
      <c r="R1367">
        <v>117.81</v>
      </c>
      <c r="U1367">
        <v>14208</v>
      </c>
      <c r="W1367">
        <v>35.85</v>
      </c>
      <c r="X1367" t="s">
        <v>449</v>
      </c>
      <c r="Y1367" t="s">
        <v>10865</v>
      </c>
      <c r="AA1367" t="s">
        <v>10974</v>
      </c>
      <c r="AB1367" t="s">
        <v>485</v>
      </c>
      <c r="AD1367" t="s">
        <v>11082</v>
      </c>
      <c r="AF1367" t="s">
        <v>11118</v>
      </c>
      <c r="AH1367" t="s">
        <v>10975</v>
      </c>
      <c r="AJ1367" t="s">
        <v>11129</v>
      </c>
      <c r="AK1367" t="s">
        <v>7225</v>
      </c>
      <c r="AM1367">
        <v>1005.06</v>
      </c>
      <c r="AO1367">
        <v>36</v>
      </c>
      <c r="AQ1367" t="s">
        <v>11157</v>
      </c>
      <c r="AS1367" t="s">
        <v>11173</v>
      </c>
      <c r="AU1367">
        <v>6</v>
      </c>
      <c r="AW1367" t="s">
        <v>11187</v>
      </c>
      <c r="AZ1367" t="s">
        <v>11221</v>
      </c>
      <c r="BE1367" t="s">
        <v>12479</v>
      </c>
      <c r="BF1367" t="s">
        <v>14364</v>
      </c>
      <c r="BG1367" t="s">
        <v>14726</v>
      </c>
      <c r="BM1367" t="s">
        <v>15650</v>
      </c>
    </row>
    <row r="1368" spans="1:65">
      <c r="A1368" s="1">
        <f>HYPERLINK("https://lsnyc.legalserver.org/matter/dynamic-profile/view/0812567","16-0812567")</f>
        <v>0</v>
      </c>
      <c r="B1368" t="s">
        <v>120</v>
      </c>
      <c r="C1368" t="s">
        <v>246</v>
      </c>
      <c r="D1368" t="s">
        <v>703</v>
      </c>
      <c r="F1368" t="s">
        <v>1766</v>
      </c>
      <c r="G1368" t="s">
        <v>2956</v>
      </c>
      <c r="H1368" t="s">
        <v>5265</v>
      </c>
      <c r="I1368" t="s">
        <v>6448</v>
      </c>
      <c r="J1368" t="s">
        <v>7170</v>
      </c>
      <c r="K1368">
        <v>10452</v>
      </c>
      <c r="N1368" t="s">
        <v>7237</v>
      </c>
      <c r="O1368" t="s">
        <v>8181</v>
      </c>
      <c r="P1368">
        <v>1</v>
      </c>
      <c r="Q1368">
        <v>0</v>
      </c>
      <c r="R1368">
        <v>505.05</v>
      </c>
      <c r="U1368">
        <v>60000</v>
      </c>
      <c r="W1368">
        <v>0.2</v>
      </c>
      <c r="X1368" t="s">
        <v>458</v>
      </c>
      <c r="Y1368" t="s">
        <v>10897</v>
      </c>
      <c r="AA1368" t="s">
        <v>10974</v>
      </c>
      <c r="AB1368" t="s">
        <v>10993</v>
      </c>
      <c r="AD1368" t="s">
        <v>11096</v>
      </c>
      <c r="AF1368" t="s">
        <v>11122</v>
      </c>
      <c r="AH1368" t="s">
        <v>10974</v>
      </c>
      <c r="AJ1368" t="s">
        <v>11141</v>
      </c>
      <c r="AK1368" t="s">
        <v>7225</v>
      </c>
      <c r="AM1368">
        <v>893.72</v>
      </c>
      <c r="AO1368">
        <v>63</v>
      </c>
      <c r="AQ1368" t="s">
        <v>11157</v>
      </c>
      <c r="AS1368" t="s">
        <v>11173</v>
      </c>
      <c r="AU1368">
        <v>20</v>
      </c>
      <c r="AW1368" t="s">
        <v>11187</v>
      </c>
      <c r="AZ1368" t="s">
        <v>11221</v>
      </c>
      <c r="BE1368" t="s">
        <v>12480</v>
      </c>
      <c r="BG1368" t="s">
        <v>14721</v>
      </c>
      <c r="BM1368" t="s">
        <v>15650</v>
      </c>
    </row>
    <row r="1369" spans="1:65">
      <c r="A1369" s="1">
        <f>HYPERLINK("https://lsnyc.legalserver.org/matter/dynamic-profile/view/0782387","15-0782387")</f>
        <v>0</v>
      </c>
      <c r="B1369" t="s">
        <v>120</v>
      </c>
      <c r="C1369" t="s">
        <v>246</v>
      </c>
      <c r="D1369" t="s">
        <v>705</v>
      </c>
      <c r="F1369" t="s">
        <v>1491</v>
      </c>
      <c r="G1369" t="s">
        <v>3394</v>
      </c>
      <c r="H1369" t="s">
        <v>4844</v>
      </c>
      <c r="I1369" t="s">
        <v>6736</v>
      </c>
      <c r="J1369" t="s">
        <v>7170</v>
      </c>
      <c r="K1369">
        <v>10452</v>
      </c>
      <c r="N1369" t="s">
        <v>7237</v>
      </c>
      <c r="O1369" t="s">
        <v>8182</v>
      </c>
      <c r="P1369">
        <v>2</v>
      </c>
      <c r="Q1369">
        <v>0</v>
      </c>
      <c r="R1369">
        <v>136.85</v>
      </c>
      <c r="U1369">
        <v>21800</v>
      </c>
      <c r="W1369">
        <v>0.9</v>
      </c>
      <c r="X1369" t="s">
        <v>10815</v>
      </c>
      <c r="Y1369" t="s">
        <v>138</v>
      </c>
      <c r="AA1369" t="s">
        <v>10974</v>
      </c>
      <c r="AB1369" t="s">
        <v>705</v>
      </c>
      <c r="AD1369" t="s">
        <v>11085</v>
      </c>
      <c r="AF1369" t="s">
        <v>11118</v>
      </c>
      <c r="AH1369" t="s">
        <v>10974</v>
      </c>
      <c r="AJ1369" t="s">
        <v>11130</v>
      </c>
      <c r="AK1369" t="s">
        <v>7225</v>
      </c>
      <c r="AM1369">
        <v>1081</v>
      </c>
      <c r="AN1369" t="s">
        <v>11151</v>
      </c>
      <c r="AO1369" t="s">
        <v>11153</v>
      </c>
      <c r="AP1369" t="s">
        <v>11155</v>
      </c>
      <c r="AR1369" t="s">
        <v>11172</v>
      </c>
      <c r="AU1369">
        <v>24</v>
      </c>
      <c r="AW1369" t="s">
        <v>11187</v>
      </c>
      <c r="AZ1369" t="s">
        <v>11221</v>
      </c>
      <c r="BE1369" t="s">
        <v>12481</v>
      </c>
      <c r="BF1369" t="s">
        <v>14364</v>
      </c>
      <c r="BG1369" t="s">
        <v>14716</v>
      </c>
      <c r="BM1369" t="s">
        <v>15650</v>
      </c>
    </row>
    <row r="1370" spans="1:65">
      <c r="A1370" s="1">
        <f>HYPERLINK("https://lsnyc.legalserver.org/matter/dynamic-profile/view/1893083","19-1893083")</f>
        <v>0</v>
      </c>
      <c r="B1370" t="s">
        <v>120</v>
      </c>
      <c r="C1370" t="s">
        <v>246</v>
      </c>
      <c r="D1370" t="s">
        <v>693</v>
      </c>
      <c r="F1370" t="s">
        <v>1767</v>
      </c>
      <c r="G1370" t="s">
        <v>3519</v>
      </c>
      <c r="H1370" t="s">
        <v>5140</v>
      </c>
      <c r="I1370" t="s">
        <v>6497</v>
      </c>
      <c r="J1370" t="s">
        <v>7170</v>
      </c>
      <c r="K1370">
        <v>10453</v>
      </c>
      <c r="N1370" t="s">
        <v>7237</v>
      </c>
      <c r="O1370" t="s">
        <v>8183</v>
      </c>
      <c r="P1370">
        <v>2</v>
      </c>
      <c r="Q1370">
        <v>0</v>
      </c>
      <c r="R1370">
        <v>87.84999999999999</v>
      </c>
      <c r="U1370">
        <v>14856</v>
      </c>
      <c r="W1370">
        <v>1.55</v>
      </c>
      <c r="X1370" t="s">
        <v>306</v>
      </c>
      <c r="Y1370" t="s">
        <v>120</v>
      </c>
      <c r="AA1370" t="s">
        <v>10974</v>
      </c>
      <c r="AB1370" t="s">
        <v>693</v>
      </c>
      <c r="AD1370" t="s">
        <v>11086</v>
      </c>
      <c r="AF1370" t="s">
        <v>10384</v>
      </c>
      <c r="AG1370" t="s">
        <v>11124</v>
      </c>
      <c r="AJ1370" t="s">
        <v>11130</v>
      </c>
      <c r="AK1370" t="s">
        <v>7225</v>
      </c>
      <c r="AM1370">
        <v>1260</v>
      </c>
      <c r="AN1370" t="s">
        <v>11151</v>
      </c>
      <c r="AO1370" t="s">
        <v>11153</v>
      </c>
      <c r="AQ1370" t="s">
        <v>11157</v>
      </c>
      <c r="AS1370" t="s">
        <v>11174</v>
      </c>
      <c r="AU1370">
        <v>6</v>
      </c>
      <c r="AW1370" t="s">
        <v>11189</v>
      </c>
      <c r="BA1370" t="s">
        <v>11222</v>
      </c>
      <c r="BE1370" t="s">
        <v>12482</v>
      </c>
      <c r="BF1370" t="s">
        <v>14364</v>
      </c>
      <c r="BM1370" t="s">
        <v>15650</v>
      </c>
    </row>
    <row r="1371" spans="1:65">
      <c r="A1371" s="1">
        <f>HYPERLINK("https://lsnyc.legalserver.org/matter/dynamic-profile/view/1857039","18-1857039")</f>
        <v>0</v>
      </c>
      <c r="B1371" t="s">
        <v>120</v>
      </c>
      <c r="C1371" t="s">
        <v>246</v>
      </c>
      <c r="D1371" t="s">
        <v>359</v>
      </c>
      <c r="F1371" t="s">
        <v>1239</v>
      </c>
      <c r="G1371" t="s">
        <v>3226</v>
      </c>
      <c r="H1371" t="s">
        <v>4844</v>
      </c>
      <c r="I1371" t="s">
        <v>6730</v>
      </c>
      <c r="J1371" t="s">
        <v>7170</v>
      </c>
      <c r="K1371">
        <v>10452</v>
      </c>
      <c r="N1371" t="s">
        <v>7237</v>
      </c>
      <c r="O1371" t="s">
        <v>8165</v>
      </c>
      <c r="P1371">
        <v>2</v>
      </c>
      <c r="Q1371">
        <v>0</v>
      </c>
      <c r="R1371">
        <v>51.72</v>
      </c>
      <c r="U1371">
        <v>16800</v>
      </c>
      <c r="W1371">
        <v>0</v>
      </c>
      <c r="Y1371" t="s">
        <v>10897</v>
      </c>
      <c r="AA1371" t="s">
        <v>10974</v>
      </c>
      <c r="AB1371" t="s">
        <v>730</v>
      </c>
      <c r="AD1371" t="s">
        <v>11096</v>
      </c>
      <c r="AF1371" t="s">
        <v>11122</v>
      </c>
      <c r="AH1371" t="s">
        <v>10974</v>
      </c>
      <c r="AJ1371" t="s">
        <v>11141</v>
      </c>
      <c r="AK1371" t="s">
        <v>7225</v>
      </c>
      <c r="AM1371">
        <v>993</v>
      </c>
      <c r="AO1371">
        <v>122</v>
      </c>
      <c r="AQ1371" t="s">
        <v>11157</v>
      </c>
      <c r="AS1371" t="s">
        <v>11175</v>
      </c>
      <c r="AU1371">
        <v>25</v>
      </c>
      <c r="AW1371" t="s">
        <v>11189</v>
      </c>
      <c r="AZ1371" t="s">
        <v>11221</v>
      </c>
      <c r="BC1371" t="s">
        <v>11357</v>
      </c>
      <c r="BE1371" t="s">
        <v>12463</v>
      </c>
      <c r="BG1371" t="s">
        <v>14719</v>
      </c>
      <c r="BM1371" t="s">
        <v>15650</v>
      </c>
    </row>
    <row r="1372" spans="1:65">
      <c r="A1372" s="1">
        <f>HYPERLINK("https://lsnyc.legalserver.org/matter/dynamic-profile/view/1896017","19-1896017")</f>
        <v>0</v>
      </c>
      <c r="B1372" t="s">
        <v>120</v>
      </c>
      <c r="C1372" t="s">
        <v>246</v>
      </c>
      <c r="D1372" t="s">
        <v>583</v>
      </c>
      <c r="E1372" t="s">
        <v>436</v>
      </c>
      <c r="F1372" t="s">
        <v>1768</v>
      </c>
      <c r="G1372" t="s">
        <v>3553</v>
      </c>
      <c r="H1372" t="s">
        <v>5276</v>
      </c>
      <c r="I1372">
        <v>25</v>
      </c>
      <c r="J1372" t="s">
        <v>7170</v>
      </c>
      <c r="K1372">
        <v>10452</v>
      </c>
      <c r="L1372" t="s">
        <v>7217</v>
      </c>
      <c r="N1372" t="s">
        <v>7244</v>
      </c>
      <c r="O1372" t="s">
        <v>8184</v>
      </c>
      <c r="P1372">
        <v>3</v>
      </c>
      <c r="Q1372">
        <v>0</v>
      </c>
      <c r="R1372">
        <v>400.09</v>
      </c>
      <c r="U1372">
        <v>85340</v>
      </c>
      <c r="W1372">
        <v>1.4</v>
      </c>
      <c r="X1372" t="s">
        <v>436</v>
      </c>
      <c r="Y1372" t="s">
        <v>120</v>
      </c>
      <c r="AA1372" t="s">
        <v>10974</v>
      </c>
      <c r="AB1372" t="s">
        <v>307</v>
      </c>
      <c r="AC1372" t="s">
        <v>11081</v>
      </c>
      <c r="AF1372" t="s">
        <v>10384</v>
      </c>
      <c r="AG1372" t="s">
        <v>11124</v>
      </c>
      <c r="AI1372" t="s">
        <v>11126</v>
      </c>
      <c r="AK1372" t="s">
        <v>7225</v>
      </c>
      <c r="AL1372" t="s">
        <v>11150</v>
      </c>
      <c r="AM1372">
        <v>0</v>
      </c>
      <c r="AN1372" t="s">
        <v>11151</v>
      </c>
      <c r="AO1372" t="s">
        <v>11153</v>
      </c>
      <c r="AP1372" t="s">
        <v>11155</v>
      </c>
      <c r="AR1372" t="s">
        <v>11172</v>
      </c>
      <c r="AT1372" t="s">
        <v>11184</v>
      </c>
      <c r="AU1372">
        <v>0</v>
      </c>
      <c r="AW1372" t="s">
        <v>11187</v>
      </c>
      <c r="BA1372" t="s">
        <v>11222</v>
      </c>
      <c r="BE1372" t="s">
        <v>12483</v>
      </c>
      <c r="BF1372" t="s">
        <v>14364</v>
      </c>
      <c r="BM1372" t="s">
        <v>15651</v>
      </c>
    </row>
    <row r="1373" spans="1:65">
      <c r="A1373" s="1">
        <f>HYPERLINK("https://lsnyc.legalserver.org/matter/dynamic-profile/view/1857389","18-1857389")</f>
        <v>0</v>
      </c>
      <c r="B1373" t="s">
        <v>120</v>
      </c>
      <c r="C1373" t="s">
        <v>246</v>
      </c>
      <c r="D1373" t="s">
        <v>700</v>
      </c>
      <c r="F1373" t="s">
        <v>1491</v>
      </c>
      <c r="G1373" t="s">
        <v>3394</v>
      </c>
      <c r="H1373" t="s">
        <v>4844</v>
      </c>
      <c r="I1373" t="s">
        <v>6736</v>
      </c>
      <c r="J1373" t="s">
        <v>7170</v>
      </c>
      <c r="K1373">
        <v>10452</v>
      </c>
      <c r="N1373" t="s">
        <v>7237</v>
      </c>
      <c r="O1373" t="s">
        <v>8182</v>
      </c>
      <c r="P1373">
        <v>2</v>
      </c>
      <c r="Q1373">
        <v>0</v>
      </c>
      <c r="R1373">
        <v>134.24</v>
      </c>
      <c r="U1373">
        <v>21800.04</v>
      </c>
      <c r="V1373" t="s">
        <v>10398</v>
      </c>
      <c r="W1373">
        <v>0</v>
      </c>
      <c r="Y1373" t="s">
        <v>10897</v>
      </c>
      <c r="AA1373" t="s">
        <v>10974</v>
      </c>
      <c r="AB1373" t="s">
        <v>939</v>
      </c>
      <c r="AD1373" t="s">
        <v>11096</v>
      </c>
      <c r="AF1373" t="s">
        <v>11122</v>
      </c>
      <c r="AH1373" t="s">
        <v>10974</v>
      </c>
      <c r="AJ1373" t="s">
        <v>11141</v>
      </c>
      <c r="AK1373" t="s">
        <v>7225</v>
      </c>
      <c r="AM1373">
        <v>1081</v>
      </c>
      <c r="AO1373">
        <v>122</v>
      </c>
      <c r="AQ1373" t="s">
        <v>11157</v>
      </c>
      <c r="AS1373" t="s">
        <v>11173</v>
      </c>
      <c r="AU1373">
        <v>122</v>
      </c>
      <c r="AW1373" t="s">
        <v>11187</v>
      </c>
      <c r="AZ1373" t="s">
        <v>11221</v>
      </c>
      <c r="BE1373" t="s">
        <v>12481</v>
      </c>
      <c r="BG1373" t="s">
        <v>14717</v>
      </c>
      <c r="BM1373" t="s">
        <v>15650</v>
      </c>
    </row>
    <row r="1374" spans="1:65">
      <c r="A1374" s="1">
        <f>HYPERLINK("https://lsnyc.legalserver.org/matter/dynamic-profile/view/1893040","19-1893040")</f>
        <v>0</v>
      </c>
      <c r="B1374" t="s">
        <v>120</v>
      </c>
      <c r="C1374" t="s">
        <v>246</v>
      </c>
      <c r="D1374" t="s">
        <v>693</v>
      </c>
      <c r="F1374" t="s">
        <v>1769</v>
      </c>
      <c r="G1374" t="s">
        <v>3193</v>
      </c>
      <c r="H1374" t="s">
        <v>5262</v>
      </c>
      <c r="I1374" t="s">
        <v>6562</v>
      </c>
      <c r="J1374" t="s">
        <v>7170</v>
      </c>
      <c r="K1374">
        <v>10467</v>
      </c>
      <c r="N1374" t="s">
        <v>7237</v>
      </c>
      <c r="O1374" t="s">
        <v>8185</v>
      </c>
      <c r="P1374">
        <v>1</v>
      </c>
      <c r="Q1374">
        <v>0</v>
      </c>
      <c r="R1374">
        <v>400.32</v>
      </c>
      <c r="U1374">
        <v>50000</v>
      </c>
      <c r="W1374">
        <v>0</v>
      </c>
      <c r="Y1374" t="s">
        <v>93</v>
      </c>
      <c r="AA1374" t="s">
        <v>10974</v>
      </c>
      <c r="AB1374" t="s">
        <v>10979</v>
      </c>
      <c r="AC1374" t="s">
        <v>11081</v>
      </c>
      <c r="AF1374" t="s">
        <v>11120</v>
      </c>
      <c r="AH1374" t="s">
        <v>10974</v>
      </c>
      <c r="AJ1374" t="s">
        <v>11134</v>
      </c>
      <c r="AK1374" t="s">
        <v>7225</v>
      </c>
      <c r="AM1374">
        <v>1250</v>
      </c>
      <c r="AO1374">
        <v>122</v>
      </c>
      <c r="AQ1374" t="s">
        <v>11156</v>
      </c>
      <c r="AR1374" t="s">
        <v>11172</v>
      </c>
      <c r="AU1374">
        <v>9</v>
      </c>
      <c r="AW1374" t="s">
        <v>11187</v>
      </c>
      <c r="BA1374" t="s">
        <v>11222</v>
      </c>
      <c r="BE1374" t="s">
        <v>12484</v>
      </c>
      <c r="BF1374" t="s">
        <v>14364</v>
      </c>
      <c r="BM1374" t="s">
        <v>15650</v>
      </c>
    </row>
    <row r="1375" spans="1:65">
      <c r="A1375" s="1">
        <f>HYPERLINK("https://lsnyc.legalserver.org/matter/dynamic-profile/view/1884939","18-1884939")</f>
        <v>0</v>
      </c>
      <c r="B1375" t="s">
        <v>120</v>
      </c>
      <c r="C1375" t="s">
        <v>246</v>
      </c>
      <c r="D1375" t="s">
        <v>706</v>
      </c>
      <c r="E1375" t="s">
        <v>536</v>
      </c>
      <c r="F1375" t="s">
        <v>1770</v>
      </c>
      <c r="G1375" t="s">
        <v>3554</v>
      </c>
      <c r="H1375" t="s">
        <v>5277</v>
      </c>
      <c r="I1375" t="s">
        <v>6551</v>
      </c>
      <c r="J1375" t="s">
        <v>7170</v>
      </c>
      <c r="K1375">
        <v>10459</v>
      </c>
      <c r="L1375" t="s">
        <v>7216</v>
      </c>
      <c r="N1375" t="s">
        <v>7237</v>
      </c>
      <c r="O1375" t="s">
        <v>8186</v>
      </c>
      <c r="P1375">
        <v>1</v>
      </c>
      <c r="Q1375">
        <v>0</v>
      </c>
      <c r="R1375">
        <v>171.33</v>
      </c>
      <c r="U1375">
        <v>20800</v>
      </c>
      <c r="W1375">
        <v>1.3</v>
      </c>
      <c r="X1375" t="s">
        <v>536</v>
      </c>
      <c r="Y1375" t="s">
        <v>120</v>
      </c>
      <c r="AA1375" t="s">
        <v>10974</v>
      </c>
      <c r="AB1375" t="s">
        <v>706</v>
      </c>
      <c r="AD1375" t="s">
        <v>11083</v>
      </c>
      <c r="AF1375" t="s">
        <v>11119</v>
      </c>
      <c r="AH1375" t="s">
        <v>10975</v>
      </c>
      <c r="AJ1375" t="s">
        <v>11130</v>
      </c>
      <c r="AK1375" t="s">
        <v>7225</v>
      </c>
      <c r="AM1375">
        <v>843.08</v>
      </c>
      <c r="AN1375" t="s">
        <v>11151</v>
      </c>
      <c r="AO1375" t="s">
        <v>11153</v>
      </c>
      <c r="AQ1375" t="s">
        <v>11157</v>
      </c>
      <c r="AS1375" t="s">
        <v>11173</v>
      </c>
      <c r="AU1375">
        <v>1</v>
      </c>
      <c r="AW1375" t="s">
        <v>11187</v>
      </c>
      <c r="AY1375" t="s">
        <v>11213</v>
      </c>
      <c r="BA1375" t="s">
        <v>11222</v>
      </c>
      <c r="BE1375" t="s">
        <v>12485</v>
      </c>
      <c r="BG1375" t="s">
        <v>14727</v>
      </c>
      <c r="BM1375" t="s">
        <v>15651</v>
      </c>
    </row>
    <row r="1376" spans="1:65">
      <c r="A1376" s="1">
        <f>HYPERLINK("https://lsnyc.legalserver.org/matter/dynamic-profile/view/1836815","17-1836815")</f>
        <v>0</v>
      </c>
      <c r="B1376" t="s">
        <v>120</v>
      </c>
      <c r="C1376" t="s">
        <v>246</v>
      </c>
      <c r="D1376" t="s">
        <v>357</v>
      </c>
      <c r="F1376" t="s">
        <v>1137</v>
      </c>
      <c r="G1376" t="s">
        <v>3555</v>
      </c>
      <c r="H1376" t="s">
        <v>5278</v>
      </c>
      <c r="I1376" t="s">
        <v>6410</v>
      </c>
      <c r="J1376" t="s">
        <v>7170</v>
      </c>
      <c r="K1376">
        <v>10463</v>
      </c>
      <c r="N1376" t="s">
        <v>7237</v>
      </c>
      <c r="O1376" t="s">
        <v>8187</v>
      </c>
      <c r="P1376">
        <v>1</v>
      </c>
      <c r="Q1376">
        <v>0</v>
      </c>
      <c r="R1376">
        <v>49.75</v>
      </c>
      <c r="S1376" t="s">
        <v>277</v>
      </c>
      <c r="U1376">
        <v>6000</v>
      </c>
      <c r="W1376">
        <v>0.1</v>
      </c>
      <c r="X1376" t="s">
        <v>1038</v>
      </c>
      <c r="Y1376" t="s">
        <v>10899</v>
      </c>
      <c r="AA1376" t="s">
        <v>10974</v>
      </c>
      <c r="AB1376" t="s">
        <v>694</v>
      </c>
      <c r="AD1376" t="s">
        <v>11101</v>
      </c>
      <c r="AF1376" t="s">
        <v>11120</v>
      </c>
      <c r="AH1376" t="s">
        <v>10974</v>
      </c>
      <c r="AJ1376" t="s">
        <v>11139</v>
      </c>
      <c r="AK1376" t="s">
        <v>7225</v>
      </c>
      <c r="AM1376">
        <v>853</v>
      </c>
      <c r="AN1376" t="s">
        <v>11151</v>
      </c>
      <c r="AO1376" t="s">
        <v>11153</v>
      </c>
      <c r="AP1376" t="s">
        <v>11155</v>
      </c>
      <c r="AS1376" t="s">
        <v>11104</v>
      </c>
      <c r="AU1376">
        <v>24</v>
      </c>
      <c r="AW1376" t="s">
        <v>11187</v>
      </c>
      <c r="AZ1376" t="s">
        <v>11221</v>
      </c>
      <c r="BE1376" t="s">
        <v>12486</v>
      </c>
      <c r="BF1376" t="s">
        <v>14364</v>
      </c>
      <c r="BM1376" t="s">
        <v>15650</v>
      </c>
    </row>
    <row r="1377" spans="1:67">
      <c r="A1377" s="1">
        <f>HYPERLINK("https://lsnyc.legalserver.org/matter/dynamic-profile/view/0812526","16-0812526")</f>
        <v>0</v>
      </c>
      <c r="B1377" t="s">
        <v>120</v>
      </c>
      <c r="C1377" t="s">
        <v>246</v>
      </c>
      <c r="D1377" t="s">
        <v>703</v>
      </c>
      <c r="F1377" t="s">
        <v>1432</v>
      </c>
      <c r="G1377" t="s">
        <v>3556</v>
      </c>
      <c r="H1377" t="s">
        <v>5265</v>
      </c>
      <c r="I1377" t="s">
        <v>6419</v>
      </c>
      <c r="J1377" t="s">
        <v>7170</v>
      </c>
      <c r="K1377">
        <v>10452</v>
      </c>
      <c r="N1377" t="s">
        <v>7237</v>
      </c>
      <c r="O1377" t="s">
        <v>7614</v>
      </c>
      <c r="P1377">
        <v>3</v>
      </c>
      <c r="Q1377">
        <v>0</v>
      </c>
      <c r="R1377">
        <v>232.14</v>
      </c>
      <c r="U1377">
        <v>46800</v>
      </c>
      <c r="W1377">
        <v>0.2</v>
      </c>
      <c r="X1377" t="s">
        <v>458</v>
      </c>
      <c r="Y1377" t="s">
        <v>10897</v>
      </c>
      <c r="AA1377" t="s">
        <v>10974</v>
      </c>
      <c r="AB1377" t="s">
        <v>10993</v>
      </c>
      <c r="AD1377" t="s">
        <v>11096</v>
      </c>
      <c r="AF1377" t="s">
        <v>11122</v>
      </c>
      <c r="AH1377" t="s">
        <v>10974</v>
      </c>
      <c r="AJ1377" t="s">
        <v>11141</v>
      </c>
      <c r="AK1377" t="s">
        <v>7225</v>
      </c>
      <c r="AM1377">
        <v>877.1</v>
      </c>
      <c r="AO1377">
        <v>63</v>
      </c>
      <c r="AQ1377" t="s">
        <v>11157</v>
      </c>
      <c r="AS1377" t="s">
        <v>11173</v>
      </c>
      <c r="AU1377">
        <v>23</v>
      </c>
      <c r="AW1377" t="s">
        <v>11189</v>
      </c>
      <c r="AZ1377" t="s">
        <v>11221</v>
      </c>
      <c r="BE1377" t="s">
        <v>12487</v>
      </c>
      <c r="BG1377" t="s">
        <v>14721</v>
      </c>
      <c r="BM1377" t="s">
        <v>15650</v>
      </c>
    </row>
    <row r="1378" spans="1:67">
      <c r="A1378" s="1">
        <f>HYPERLINK("https://lsnyc.legalserver.org/matter/dynamic-profile/view/0823541","16-0823541")</f>
        <v>0</v>
      </c>
      <c r="B1378" t="s">
        <v>120</v>
      </c>
      <c r="C1378" t="s">
        <v>246</v>
      </c>
      <c r="D1378" t="s">
        <v>698</v>
      </c>
      <c r="F1378" t="s">
        <v>1491</v>
      </c>
      <c r="G1378" t="s">
        <v>3394</v>
      </c>
      <c r="H1378" t="s">
        <v>4844</v>
      </c>
      <c r="I1378" t="s">
        <v>6736</v>
      </c>
      <c r="J1378" t="s">
        <v>7170</v>
      </c>
      <c r="K1378">
        <v>10452</v>
      </c>
      <c r="N1378" t="s">
        <v>7237</v>
      </c>
      <c r="O1378" t="s">
        <v>8182</v>
      </c>
      <c r="P1378">
        <v>2</v>
      </c>
      <c r="Q1378">
        <v>0</v>
      </c>
      <c r="R1378">
        <v>136.08</v>
      </c>
      <c r="U1378">
        <v>21800</v>
      </c>
      <c r="W1378">
        <v>0</v>
      </c>
      <c r="Y1378" t="s">
        <v>10897</v>
      </c>
      <c r="AA1378" t="s">
        <v>10974</v>
      </c>
      <c r="AB1378" t="s">
        <v>698</v>
      </c>
      <c r="AD1378" t="s">
        <v>11096</v>
      </c>
      <c r="AF1378" t="s">
        <v>11122</v>
      </c>
      <c r="AH1378" t="s">
        <v>10974</v>
      </c>
      <c r="AJ1378" t="s">
        <v>11144</v>
      </c>
      <c r="AK1378" t="s">
        <v>7225</v>
      </c>
      <c r="AM1378">
        <v>1081</v>
      </c>
      <c r="AO1378">
        <v>122</v>
      </c>
      <c r="AQ1378" t="s">
        <v>11157</v>
      </c>
      <c r="AR1378" t="s">
        <v>11172</v>
      </c>
      <c r="AU1378">
        <v>25</v>
      </c>
      <c r="AW1378" t="s">
        <v>11187</v>
      </c>
      <c r="AZ1378" t="s">
        <v>11221</v>
      </c>
      <c r="BE1378" t="s">
        <v>12481</v>
      </c>
      <c r="BG1378" t="s">
        <v>14719</v>
      </c>
      <c r="BM1378" t="s">
        <v>15650</v>
      </c>
    </row>
    <row r="1379" spans="1:67">
      <c r="A1379" s="1">
        <f>HYPERLINK("https://lsnyc.legalserver.org/matter/dynamic-profile/view/1861191","18-1861191")</f>
        <v>0</v>
      </c>
      <c r="B1379" t="s">
        <v>120</v>
      </c>
      <c r="C1379" t="s">
        <v>246</v>
      </c>
      <c r="D1379" t="s">
        <v>352</v>
      </c>
      <c r="F1379" t="s">
        <v>1771</v>
      </c>
      <c r="G1379" t="s">
        <v>3557</v>
      </c>
      <c r="H1379" t="s">
        <v>5279</v>
      </c>
      <c r="I1379" t="s">
        <v>6404</v>
      </c>
      <c r="J1379" t="s">
        <v>7170</v>
      </c>
      <c r="K1379">
        <v>10453</v>
      </c>
      <c r="N1379" t="s">
        <v>7237</v>
      </c>
      <c r="O1379" t="s">
        <v>8188</v>
      </c>
      <c r="P1379">
        <v>1</v>
      </c>
      <c r="Q1379">
        <v>0</v>
      </c>
      <c r="R1379">
        <v>171.7</v>
      </c>
      <c r="U1379">
        <v>20844</v>
      </c>
      <c r="V1379" t="s">
        <v>10399</v>
      </c>
      <c r="W1379">
        <v>20.5</v>
      </c>
      <c r="X1379" t="s">
        <v>264</v>
      </c>
      <c r="Y1379" t="s">
        <v>10876</v>
      </c>
      <c r="AA1379" t="s">
        <v>10974</v>
      </c>
      <c r="AB1379" t="s">
        <v>895</v>
      </c>
      <c r="AD1379" t="s">
        <v>11082</v>
      </c>
      <c r="AF1379" t="s">
        <v>11118</v>
      </c>
      <c r="AG1379" t="s">
        <v>11124</v>
      </c>
      <c r="AJ1379" t="s">
        <v>11129</v>
      </c>
      <c r="AK1379" t="s">
        <v>7225</v>
      </c>
      <c r="AM1379">
        <v>1437</v>
      </c>
      <c r="AN1379" t="s">
        <v>11151</v>
      </c>
      <c r="AO1379" t="s">
        <v>11153</v>
      </c>
      <c r="AQ1379" t="s">
        <v>11157</v>
      </c>
      <c r="AS1379" t="s">
        <v>11174</v>
      </c>
      <c r="AU1379">
        <v>25</v>
      </c>
      <c r="AW1379" t="s">
        <v>11189</v>
      </c>
      <c r="AZ1379" t="s">
        <v>11221</v>
      </c>
      <c r="BE1379" t="s">
        <v>12488</v>
      </c>
      <c r="BG1379" t="s">
        <v>14728</v>
      </c>
      <c r="BK1379" t="s">
        <v>15628</v>
      </c>
      <c r="BM1379" t="s">
        <v>15650</v>
      </c>
      <c r="BN1379" t="s">
        <v>15652</v>
      </c>
      <c r="BO1379" t="s">
        <v>15681</v>
      </c>
    </row>
    <row r="1380" spans="1:67">
      <c r="A1380" s="1">
        <f>HYPERLINK("https://lsnyc.legalserver.org/matter/dynamic-profile/view/1915515","19-1915515")</f>
        <v>0</v>
      </c>
      <c r="B1380" t="s">
        <v>120</v>
      </c>
      <c r="C1380" t="s">
        <v>246</v>
      </c>
      <c r="D1380" t="s">
        <v>548</v>
      </c>
      <c r="F1380" t="s">
        <v>1143</v>
      </c>
      <c r="G1380" t="s">
        <v>2987</v>
      </c>
      <c r="H1380" t="s">
        <v>5280</v>
      </c>
      <c r="I1380" t="s">
        <v>6596</v>
      </c>
      <c r="J1380" t="s">
        <v>7170</v>
      </c>
      <c r="K1380">
        <v>10453</v>
      </c>
      <c r="N1380" t="s">
        <v>7237</v>
      </c>
      <c r="O1380" t="s">
        <v>8189</v>
      </c>
      <c r="P1380">
        <v>3</v>
      </c>
      <c r="Q1380">
        <v>1</v>
      </c>
      <c r="R1380">
        <v>110.59</v>
      </c>
      <c r="U1380">
        <v>28476</v>
      </c>
      <c r="W1380">
        <v>0.1</v>
      </c>
      <c r="X1380" t="s">
        <v>548</v>
      </c>
      <c r="Y1380" t="s">
        <v>120</v>
      </c>
      <c r="AA1380" t="s">
        <v>10974</v>
      </c>
      <c r="AD1380" t="s">
        <v>11101</v>
      </c>
      <c r="AF1380" t="s">
        <v>11118</v>
      </c>
      <c r="AH1380" t="s">
        <v>10975</v>
      </c>
      <c r="AJ1380" t="s">
        <v>11129</v>
      </c>
      <c r="AK1380" t="s">
        <v>7225</v>
      </c>
      <c r="AM1380">
        <v>868</v>
      </c>
      <c r="AN1380" t="s">
        <v>11151</v>
      </c>
      <c r="AO1380" t="s">
        <v>11153</v>
      </c>
      <c r="AQ1380" t="s">
        <v>11159</v>
      </c>
      <c r="AS1380" t="s">
        <v>11173</v>
      </c>
      <c r="AU1380">
        <v>15</v>
      </c>
      <c r="AW1380" t="s">
        <v>11187</v>
      </c>
      <c r="AY1380" t="s">
        <v>11213</v>
      </c>
      <c r="BA1380" t="s">
        <v>11222</v>
      </c>
      <c r="BE1380" t="s">
        <v>12489</v>
      </c>
      <c r="BF1380" t="s">
        <v>14364</v>
      </c>
      <c r="BG1380" t="s">
        <v>14729</v>
      </c>
      <c r="BM1380" t="s">
        <v>15650</v>
      </c>
    </row>
    <row r="1381" spans="1:67">
      <c r="A1381" s="1">
        <f>HYPERLINK("https://lsnyc.legalserver.org/matter/dynamic-profile/view/1892978","19-1892978")</f>
        <v>0</v>
      </c>
      <c r="B1381" t="s">
        <v>120</v>
      </c>
      <c r="C1381" t="s">
        <v>246</v>
      </c>
      <c r="D1381" t="s">
        <v>693</v>
      </c>
      <c r="F1381" t="s">
        <v>1772</v>
      </c>
      <c r="G1381" t="s">
        <v>3558</v>
      </c>
      <c r="H1381" t="s">
        <v>5267</v>
      </c>
      <c r="I1381" t="s">
        <v>6413</v>
      </c>
      <c r="J1381" t="s">
        <v>7170</v>
      </c>
      <c r="K1381">
        <v>10467</v>
      </c>
      <c r="N1381" t="s">
        <v>7237</v>
      </c>
      <c r="O1381" t="s">
        <v>8190</v>
      </c>
      <c r="P1381">
        <v>1</v>
      </c>
      <c r="Q1381">
        <v>0</v>
      </c>
      <c r="R1381">
        <v>400.32</v>
      </c>
      <c r="U1381">
        <v>50000</v>
      </c>
      <c r="W1381">
        <v>0</v>
      </c>
      <c r="Y1381" t="s">
        <v>93</v>
      </c>
      <c r="AA1381" t="s">
        <v>10974</v>
      </c>
      <c r="AB1381" t="s">
        <v>10979</v>
      </c>
      <c r="AD1381" t="s">
        <v>11100</v>
      </c>
      <c r="AF1381" t="s">
        <v>11120</v>
      </c>
      <c r="AH1381" t="s">
        <v>10974</v>
      </c>
      <c r="AJ1381" t="s">
        <v>11134</v>
      </c>
      <c r="AK1381" t="s">
        <v>7225</v>
      </c>
      <c r="AM1381">
        <v>1300</v>
      </c>
      <c r="AO1381">
        <v>122</v>
      </c>
      <c r="AQ1381" t="s">
        <v>11156</v>
      </c>
      <c r="AS1381" t="s">
        <v>11173</v>
      </c>
      <c r="AU1381">
        <v>-1</v>
      </c>
      <c r="AW1381" t="s">
        <v>11187</v>
      </c>
      <c r="BA1381" t="s">
        <v>11222</v>
      </c>
      <c r="BE1381" t="s">
        <v>12490</v>
      </c>
      <c r="BF1381" t="s">
        <v>14364</v>
      </c>
      <c r="BM1381" t="s">
        <v>15650</v>
      </c>
    </row>
    <row r="1382" spans="1:67">
      <c r="A1382" s="1">
        <f>HYPERLINK("https://lsnyc.legalserver.org/matter/dynamic-profile/view/0824169","17-0824169")</f>
        <v>0</v>
      </c>
      <c r="B1382" t="s">
        <v>120</v>
      </c>
      <c r="C1382" t="s">
        <v>246</v>
      </c>
      <c r="D1382" t="s">
        <v>463</v>
      </c>
      <c r="F1382" t="s">
        <v>1773</v>
      </c>
      <c r="G1382" t="s">
        <v>2913</v>
      </c>
      <c r="H1382" t="s">
        <v>5281</v>
      </c>
      <c r="I1382" t="s">
        <v>6424</v>
      </c>
      <c r="J1382" t="s">
        <v>7170</v>
      </c>
      <c r="K1382">
        <v>10455</v>
      </c>
      <c r="N1382" t="s">
        <v>7237</v>
      </c>
      <c r="O1382" t="s">
        <v>8191</v>
      </c>
      <c r="P1382">
        <v>2</v>
      </c>
      <c r="Q1382">
        <v>0</v>
      </c>
      <c r="R1382">
        <v>168.99</v>
      </c>
      <c r="S1382" t="s">
        <v>10256</v>
      </c>
      <c r="T1382" t="s">
        <v>10277</v>
      </c>
      <c r="U1382">
        <v>27072</v>
      </c>
      <c r="W1382">
        <v>120.15</v>
      </c>
      <c r="X1382" t="s">
        <v>436</v>
      </c>
      <c r="Y1382" t="s">
        <v>10884</v>
      </c>
      <c r="AA1382" t="s">
        <v>10974</v>
      </c>
      <c r="AB1382" t="s">
        <v>11014</v>
      </c>
      <c r="AD1382" t="s">
        <v>11083</v>
      </c>
      <c r="AF1382" t="s">
        <v>11118</v>
      </c>
      <c r="AH1382" t="s">
        <v>10975</v>
      </c>
      <c r="AJ1382" t="s">
        <v>11129</v>
      </c>
      <c r="AK1382" t="s">
        <v>7225</v>
      </c>
      <c r="AM1382">
        <v>1200</v>
      </c>
      <c r="AO1382">
        <v>8</v>
      </c>
      <c r="AQ1382" t="s">
        <v>11157</v>
      </c>
      <c r="AS1382" t="s">
        <v>11173</v>
      </c>
      <c r="AU1382">
        <v>23</v>
      </c>
      <c r="AW1382" t="s">
        <v>11187</v>
      </c>
      <c r="AZ1382" t="s">
        <v>11221</v>
      </c>
      <c r="BE1382" t="s">
        <v>12491</v>
      </c>
      <c r="BG1382" t="s">
        <v>14730</v>
      </c>
      <c r="BI1382" t="s">
        <v>15611</v>
      </c>
      <c r="BK1382" t="s">
        <v>15629</v>
      </c>
      <c r="BM1382" t="s">
        <v>15650</v>
      </c>
      <c r="BN1382" t="s">
        <v>15652</v>
      </c>
      <c r="BO1382" t="s">
        <v>15682</v>
      </c>
    </row>
    <row r="1383" spans="1:67">
      <c r="A1383" s="1">
        <f>HYPERLINK("https://lsnyc.legalserver.org/matter/dynamic-profile/view/0796758","16-0796758")</f>
        <v>0</v>
      </c>
      <c r="B1383" t="s">
        <v>120</v>
      </c>
      <c r="C1383" t="s">
        <v>246</v>
      </c>
      <c r="D1383" t="s">
        <v>707</v>
      </c>
      <c r="F1383" t="s">
        <v>1648</v>
      </c>
      <c r="G1383" t="s">
        <v>1888</v>
      </c>
      <c r="H1383" t="s">
        <v>4844</v>
      </c>
      <c r="I1383" t="s">
        <v>6728</v>
      </c>
      <c r="J1383" t="s">
        <v>7170</v>
      </c>
      <c r="K1383">
        <v>10452</v>
      </c>
      <c r="N1383" t="s">
        <v>7237</v>
      </c>
      <c r="O1383" t="s">
        <v>8162</v>
      </c>
      <c r="P1383">
        <v>1</v>
      </c>
      <c r="Q1383">
        <v>0</v>
      </c>
      <c r="R1383">
        <v>154.63</v>
      </c>
      <c r="U1383">
        <v>18200</v>
      </c>
      <c r="W1383">
        <v>0.1</v>
      </c>
      <c r="X1383" t="s">
        <v>784</v>
      </c>
      <c r="Y1383" t="s">
        <v>138</v>
      </c>
      <c r="AA1383" t="s">
        <v>10974</v>
      </c>
      <c r="AB1383" t="s">
        <v>871</v>
      </c>
      <c r="AD1383" t="s">
        <v>11085</v>
      </c>
      <c r="AF1383" t="s">
        <v>11118</v>
      </c>
      <c r="AH1383" t="s">
        <v>10974</v>
      </c>
      <c r="AJ1383" t="s">
        <v>11141</v>
      </c>
      <c r="AK1383" t="s">
        <v>7225</v>
      </c>
      <c r="AM1383">
        <v>914.08</v>
      </c>
      <c r="AO1383">
        <v>122</v>
      </c>
      <c r="AQ1383" t="s">
        <v>11157</v>
      </c>
      <c r="AR1383" t="s">
        <v>11172</v>
      </c>
      <c r="AU1383">
        <v>12</v>
      </c>
      <c r="AW1383" t="s">
        <v>11187</v>
      </c>
      <c r="AZ1383" t="s">
        <v>11221</v>
      </c>
      <c r="BE1383" t="s">
        <v>12462</v>
      </c>
      <c r="BF1383" t="s">
        <v>14364</v>
      </c>
      <c r="BG1383" t="s">
        <v>14716</v>
      </c>
      <c r="BM1383" t="s">
        <v>15650</v>
      </c>
    </row>
    <row r="1384" spans="1:67">
      <c r="A1384" s="1">
        <f>HYPERLINK("https://lsnyc.legalserver.org/matter/dynamic-profile/view/1849210","17-1849210")</f>
        <v>0</v>
      </c>
      <c r="B1384" t="s">
        <v>120</v>
      </c>
      <c r="C1384" t="s">
        <v>246</v>
      </c>
      <c r="D1384" t="s">
        <v>708</v>
      </c>
      <c r="E1384" t="s">
        <v>528</v>
      </c>
      <c r="F1384" t="s">
        <v>1774</v>
      </c>
      <c r="G1384" t="s">
        <v>3559</v>
      </c>
      <c r="H1384" t="s">
        <v>5282</v>
      </c>
      <c r="I1384" t="s">
        <v>6557</v>
      </c>
      <c r="J1384" t="s">
        <v>7170</v>
      </c>
      <c r="K1384">
        <v>10453</v>
      </c>
      <c r="L1384" t="s">
        <v>7219</v>
      </c>
      <c r="N1384" t="s">
        <v>7237</v>
      </c>
      <c r="O1384" t="s">
        <v>8192</v>
      </c>
      <c r="P1384">
        <v>2</v>
      </c>
      <c r="Q1384">
        <v>0</v>
      </c>
      <c r="R1384">
        <v>425.86</v>
      </c>
      <c r="U1384">
        <v>69160</v>
      </c>
      <c r="W1384">
        <v>44.5</v>
      </c>
      <c r="X1384" t="s">
        <v>669</v>
      </c>
      <c r="Y1384" t="s">
        <v>10865</v>
      </c>
      <c r="AA1384" t="s">
        <v>10974</v>
      </c>
      <c r="AB1384" t="s">
        <v>485</v>
      </c>
      <c r="AD1384" t="s">
        <v>11101</v>
      </c>
      <c r="AF1384" t="s">
        <v>11118</v>
      </c>
      <c r="AH1384" t="s">
        <v>10975</v>
      </c>
      <c r="AJ1384" t="s">
        <v>11141</v>
      </c>
      <c r="AK1384" t="s">
        <v>7225</v>
      </c>
      <c r="AM1384">
        <v>867.79</v>
      </c>
      <c r="AO1384">
        <v>79</v>
      </c>
      <c r="AQ1384" t="s">
        <v>11157</v>
      </c>
      <c r="AS1384" t="s">
        <v>11173</v>
      </c>
      <c r="AU1384">
        <v>15</v>
      </c>
      <c r="AW1384" t="s">
        <v>11187</v>
      </c>
      <c r="AZ1384" t="s">
        <v>11221</v>
      </c>
      <c r="BC1384" t="s">
        <v>11358</v>
      </c>
      <c r="BE1384" t="s">
        <v>12492</v>
      </c>
      <c r="BF1384" t="s">
        <v>14364</v>
      </c>
      <c r="BG1384" t="s">
        <v>14731</v>
      </c>
      <c r="BJ1384" t="s">
        <v>15615</v>
      </c>
      <c r="BM1384" t="s">
        <v>15651</v>
      </c>
    </row>
    <row r="1385" spans="1:67">
      <c r="A1385" s="1">
        <f>HYPERLINK("https://lsnyc.legalserver.org/matter/dynamic-profile/view/0806903","16-0806903")</f>
        <v>0</v>
      </c>
      <c r="B1385" t="s">
        <v>120</v>
      </c>
      <c r="C1385" t="s">
        <v>246</v>
      </c>
      <c r="D1385" t="s">
        <v>709</v>
      </c>
      <c r="F1385" t="s">
        <v>1775</v>
      </c>
      <c r="G1385" t="s">
        <v>3560</v>
      </c>
      <c r="H1385" t="s">
        <v>4844</v>
      </c>
      <c r="I1385">
        <v>35</v>
      </c>
      <c r="J1385" t="s">
        <v>7170</v>
      </c>
      <c r="K1385">
        <v>10452</v>
      </c>
      <c r="N1385" t="s">
        <v>7237</v>
      </c>
      <c r="O1385" t="s">
        <v>8193</v>
      </c>
      <c r="P1385">
        <v>2</v>
      </c>
      <c r="Q1385">
        <v>4</v>
      </c>
      <c r="R1385">
        <v>18.42</v>
      </c>
      <c r="U1385">
        <v>6000</v>
      </c>
      <c r="W1385">
        <v>11.1</v>
      </c>
      <c r="X1385" t="s">
        <v>936</v>
      </c>
      <c r="Y1385" t="s">
        <v>10905</v>
      </c>
      <c r="AA1385" t="s">
        <v>10974</v>
      </c>
      <c r="AB1385" t="s">
        <v>719</v>
      </c>
      <c r="AD1385" t="s">
        <v>11085</v>
      </c>
      <c r="AF1385" t="s">
        <v>11118</v>
      </c>
      <c r="AH1385" t="s">
        <v>10974</v>
      </c>
      <c r="AJ1385" t="s">
        <v>11141</v>
      </c>
      <c r="AK1385" t="s">
        <v>7225</v>
      </c>
      <c r="AM1385">
        <v>818.46</v>
      </c>
      <c r="AO1385">
        <v>122</v>
      </c>
      <c r="AQ1385" t="s">
        <v>11157</v>
      </c>
      <c r="AS1385" t="s">
        <v>11173</v>
      </c>
      <c r="AU1385">
        <v>24</v>
      </c>
      <c r="AW1385" t="s">
        <v>11187</v>
      </c>
      <c r="AZ1385" t="s">
        <v>11221</v>
      </c>
      <c r="BE1385" t="s">
        <v>12493</v>
      </c>
      <c r="BF1385" t="s">
        <v>14364</v>
      </c>
      <c r="BG1385" t="s">
        <v>14716</v>
      </c>
      <c r="BM1385" t="s">
        <v>15650</v>
      </c>
    </row>
    <row r="1386" spans="1:67">
      <c r="A1386" s="1">
        <f>HYPERLINK("https://lsnyc.legalserver.org/matter/dynamic-profile/view/0812518","16-0812518")</f>
        <v>0</v>
      </c>
      <c r="B1386" t="s">
        <v>120</v>
      </c>
      <c r="C1386" t="s">
        <v>246</v>
      </c>
      <c r="D1386" t="s">
        <v>703</v>
      </c>
      <c r="F1386" t="s">
        <v>1776</v>
      </c>
      <c r="G1386" t="s">
        <v>3084</v>
      </c>
      <c r="H1386" t="s">
        <v>5265</v>
      </c>
      <c r="I1386" t="s">
        <v>6404</v>
      </c>
      <c r="J1386" t="s">
        <v>7170</v>
      </c>
      <c r="K1386">
        <v>10452</v>
      </c>
      <c r="N1386" t="s">
        <v>7237</v>
      </c>
      <c r="O1386" t="s">
        <v>8194</v>
      </c>
      <c r="P1386">
        <v>1</v>
      </c>
      <c r="Q1386">
        <v>2</v>
      </c>
      <c r="R1386">
        <v>59.52</v>
      </c>
      <c r="U1386">
        <v>12000</v>
      </c>
      <c r="W1386">
        <v>169.65</v>
      </c>
      <c r="X1386" t="s">
        <v>922</v>
      </c>
      <c r="Y1386" t="s">
        <v>10897</v>
      </c>
      <c r="AA1386" t="s">
        <v>10974</v>
      </c>
      <c r="AB1386" t="s">
        <v>10993</v>
      </c>
      <c r="AD1386" t="s">
        <v>11096</v>
      </c>
      <c r="AF1386" t="s">
        <v>11122</v>
      </c>
      <c r="AH1386" t="s">
        <v>10974</v>
      </c>
      <c r="AJ1386" t="s">
        <v>11141</v>
      </c>
      <c r="AK1386" t="s">
        <v>7225</v>
      </c>
      <c r="AM1386">
        <v>969.75</v>
      </c>
      <c r="AO1386">
        <v>63</v>
      </c>
      <c r="AQ1386" t="s">
        <v>11157</v>
      </c>
      <c r="AS1386" t="s">
        <v>11173</v>
      </c>
      <c r="AU1386">
        <v>4</v>
      </c>
      <c r="AW1386" t="s">
        <v>11187</v>
      </c>
      <c r="AZ1386" t="s">
        <v>11221</v>
      </c>
      <c r="BE1386" t="s">
        <v>12494</v>
      </c>
      <c r="BG1386" t="s">
        <v>14721</v>
      </c>
      <c r="BM1386" t="s">
        <v>15650</v>
      </c>
    </row>
    <row r="1387" spans="1:67">
      <c r="A1387" s="1">
        <f>HYPERLINK("https://lsnyc.legalserver.org/matter/dynamic-profile/view/1865769","18-1865769")</f>
        <v>0</v>
      </c>
      <c r="B1387" t="s">
        <v>120</v>
      </c>
      <c r="C1387" t="s">
        <v>246</v>
      </c>
      <c r="D1387" t="s">
        <v>340</v>
      </c>
      <c r="F1387" t="s">
        <v>1774</v>
      </c>
      <c r="G1387" t="s">
        <v>3559</v>
      </c>
      <c r="H1387" t="s">
        <v>5282</v>
      </c>
      <c r="I1387" t="s">
        <v>6557</v>
      </c>
      <c r="J1387" t="s">
        <v>7170</v>
      </c>
      <c r="K1387">
        <v>10453</v>
      </c>
      <c r="N1387" t="s">
        <v>7237</v>
      </c>
      <c r="O1387" t="s">
        <v>8192</v>
      </c>
      <c r="P1387">
        <v>1</v>
      </c>
      <c r="Q1387">
        <v>0</v>
      </c>
      <c r="R1387">
        <v>569.6900000000001</v>
      </c>
      <c r="U1387">
        <v>86320</v>
      </c>
      <c r="W1387">
        <v>2.35</v>
      </c>
      <c r="X1387" t="s">
        <v>354</v>
      </c>
      <c r="Y1387" t="s">
        <v>216</v>
      </c>
      <c r="AA1387" t="s">
        <v>10974</v>
      </c>
      <c r="AB1387" t="s">
        <v>11007</v>
      </c>
      <c r="AC1387" t="s">
        <v>11081</v>
      </c>
      <c r="AF1387" t="s">
        <v>11120</v>
      </c>
      <c r="AG1387" t="s">
        <v>11124</v>
      </c>
      <c r="AI1387" t="s">
        <v>11126</v>
      </c>
      <c r="AK1387" t="s">
        <v>7225</v>
      </c>
      <c r="AL1387" t="s">
        <v>11150</v>
      </c>
      <c r="AM1387">
        <v>0</v>
      </c>
      <c r="AN1387" t="s">
        <v>11151</v>
      </c>
      <c r="AO1387" t="s">
        <v>11153</v>
      </c>
      <c r="AP1387" t="s">
        <v>11155</v>
      </c>
      <c r="AR1387" t="s">
        <v>11172</v>
      </c>
      <c r="AT1387" t="s">
        <v>11184</v>
      </c>
      <c r="AU1387">
        <v>0</v>
      </c>
      <c r="AW1387" t="s">
        <v>11187</v>
      </c>
      <c r="AZ1387" t="s">
        <v>11221</v>
      </c>
      <c r="BE1387" t="s">
        <v>12492</v>
      </c>
      <c r="BF1387" t="s">
        <v>14364</v>
      </c>
      <c r="BM1387" t="s">
        <v>15650</v>
      </c>
    </row>
    <row r="1388" spans="1:67">
      <c r="A1388" s="1">
        <f>HYPERLINK("https://lsnyc.legalserver.org/matter/dynamic-profile/view/0789377","15-0789377")</f>
        <v>0</v>
      </c>
      <c r="B1388" t="s">
        <v>120</v>
      </c>
      <c r="C1388" t="s">
        <v>246</v>
      </c>
      <c r="D1388" t="s">
        <v>697</v>
      </c>
      <c r="F1388" t="s">
        <v>1777</v>
      </c>
      <c r="G1388" t="s">
        <v>3561</v>
      </c>
      <c r="H1388" t="s">
        <v>4844</v>
      </c>
      <c r="I1388" t="s">
        <v>6737</v>
      </c>
      <c r="J1388" t="s">
        <v>7170</v>
      </c>
      <c r="K1388">
        <v>10452</v>
      </c>
      <c r="N1388" t="s">
        <v>7237</v>
      </c>
      <c r="O1388" t="s">
        <v>8195</v>
      </c>
      <c r="P1388">
        <v>2</v>
      </c>
      <c r="Q1388">
        <v>0</v>
      </c>
      <c r="R1388">
        <v>289.36</v>
      </c>
      <c r="U1388">
        <v>46095.2</v>
      </c>
      <c r="W1388">
        <v>0.45</v>
      </c>
      <c r="X1388" t="s">
        <v>920</v>
      </c>
      <c r="Y1388" t="s">
        <v>138</v>
      </c>
      <c r="AA1388" t="s">
        <v>10974</v>
      </c>
      <c r="AB1388" t="s">
        <v>697</v>
      </c>
      <c r="AD1388" t="s">
        <v>11107</v>
      </c>
      <c r="AF1388" t="s">
        <v>11118</v>
      </c>
      <c r="AH1388" t="s">
        <v>10974</v>
      </c>
      <c r="AJ1388" t="s">
        <v>11132</v>
      </c>
      <c r="AK1388" t="s">
        <v>7225</v>
      </c>
      <c r="AM1388">
        <v>1175</v>
      </c>
      <c r="AN1388" t="s">
        <v>11151</v>
      </c>
      <c r="AO1388" t="s">
        <v>11153</v>
      </c>
      <c r="AQ1388" t="s">
        <v>11157</v>
      </c>
      <c r="AR1388" t="s">
        <v>11172</v>
      </c>
      <c r="AU1388">
        <v>4</v>
      </c>
      <c r="AW1388" t="s">
        <v>11187</v>
      </c>
      <c r="AZ1388" t="s">
        <v>11221</v>
      </c>
      <c r="BE1388" t="s">
        <v>12495</v>
      </c>
      <c r="BF1388" t="s">
        <v>14364</v>
      </c>
      <c r="BG1388" t="s">
        <v>14716</v>
      </c>
      <c r="BM1388" t="s">
        <v>15650</v>
      </c>
    </row>
    <row r="1389" spans="1:67">
      <c r="A1389" s="1">
        <f>HYPERLINK("https://lsnyc.legalserver.org/matter/dynamic-profile/view/0812626","16-0812626")</f>
        <v>0</v>
      </c>
      <c r="B1389" t="s">
        <v>120</v>
      </c>
      <c r="C1389" t="s">
        <v>246</v>
      </c>
      <c r="D1389" t="s">
        <v>710</v>
      </c>
      <c r="F1389" t="s">
        <v>1122</v>
      </c>
      <c r="G1389" t="s">
        <v>3562</v>
      </c>
      <c r="H1389" t="s">
        <v>5265</v>
      </c>
      <c r="I1389" t="s">
        <v>6425</v>
      </c>
      <c r="J1389" t="s">
        <v>7170</v>
      </c>
      <c r="K1389">
        <v>10452</v>
      </c>
      <c r="N1389" t="s">
        <v>7237</v>
      </c>
      <c r="O1389" t="s">
        <v>8196</v>
      </c>
      <c r="P1389">
        <v>1</v>
      </c>
      <c r="Q1389">
        <v>0</v>
      </c>
      <c r="R1389">
        <v>74.75</v>
      </c>
      <c r="U1389">
        <v>8880</v>
      </c>
      <c r="W1389">
        <v>0.7</v>
      </c>
      <c r="X1389" t="s">
        <v>1019</v>
      </c>
      <c r="Y1389" t="s">
        <v>10897</v>
      </c>
      <c r="AA1389" t="s">
        <v>10974</v>
      </c>
      <c r="AB1389" t="s">
        <v>10993</v>
      </c>
      <c r="AD1389" t="s">
        <v>11096</v>
      </c>
      <c r="AF1389" t="s">
        <v>11122</v>
      </c>
      <c r="AH1389" t="s">
        <v>10974</v>
      </c>
      <c r="AJ1389" t="s">
        <v>11141</v>
      </c>
      <c r="AK1389" t="s">
        <v>7225</v>
      </c>
      <c r="AM1389">
        <v>731.3099999999999</v>
      </c>
      <c r="AO1389">
        <v>63</v>
      </c>
      <c r="AQ1389" t="s">
        <v>11157</v>
      </c>
      <c r="AS1389" t="s">
        <v>11175</v>
      </c>
      <c r="AU1389">
        <v>29</v>
      </c>
      <c r="AW1389" t="s">
        <v>11189</v>
      </c>
      <c r="AZ1389" t="s">
        <v>11221</v>
      </c>
      <c r="BE1389" t="s">
        <v>12496</v>
      </c>
      <c r="BG1389" t="s">
        <v>14721</v>
      </c>
      <c r="BM1389" t="s">
        <v>15650</v>
      </c>
    </row>
    <row r="1390" spans="1:67">
      <c r="A1390" s="1">
        <f>HYPERLINK("https://lsnyc.legalserver.org/matter/dynamic-profile/view/0812500","16-0812500")</f>
        <v>0</v>
      </c>
      <c r="B1390" t="s">
        <v>120</v>
      </c>
      <c r="C1390" t="s">
        <v>246</v>
      </c>
      <c r="D1390" t="s">
        <v>647</v>
      </c>
      <c r="F1390" t="s">
        <v>1241</v>
      </c>
      <c r="G1390" t="s">
        <v>3556</v>
      </c>
      <c r="H1390" t="s">
        <v>5265</v>
      </c>
      <c r="I1390" t="s">
        <v>6420</v>
      </c>
      <c r="J1390" t="s">
        <v>7170</v>
      </c>
      <c r="K1390">
        <v>10452</v>
      </c>
      <c r="N1390" t="s">
        <v>7237</v>
      </c>
      <c r="O1390" t="s">
        <v>8197</v>
      </c>
      <c r="P1390">
        <v>2</v>
      </c>
      <c r="Q1390">
        <v>0</v>
      </c>
      <c r="R1390">
        <v>74.83</v>
      </c>
      <c r="U1390">
        <v>11988</v>
      </c>
      <c r="W1390">
        <v>0.2</v>
      </c>
      <c r="X1390" t="s">
        <v>458</v>
      </c>
      <c r="Y1390" t="s">
        <v>10897</v>
      </c>
      <c r="AA1390" t="s">
        <v>10974</v>
      </c>
      <c r="AB1390" t="s">
        <v>10993</v>
      </c>
      <c r="AD1390" t="s">
        <v>11096</v>
      </c>
      <c r="AF1390" t="s">
        <v>11122</v>
      </c>
      <c r="AH1390" t="s">
        <v>10974</v>
      </c>
      <c r="AJ1390" t="s">
        <v>11141</v>
      </c>
      <c r="AK1390" t="s">
        <v>7225</v>
      </c>
      <c r="AM1390">
        <v>665.86</v>
      </c>
      <c r="AO1390">
        <v>63</v>
      </c>
      <c r="AQ1390" t="s">
        <v>11157</v>
      </c>
      <c r="AS1390" t="s">
        <v>11173</v>
      </c>
      <c r="AU1390">
        <v>22</v>
      </c>
      <c r="AW1390" t="s">
        <v>11189</v>
      </c>
      <c r="AZ1390" t="s">
        <v>11221</v>
      </c>
      <c r="BE1390" t="s">
        <v>12497</v>
      </c>
      <c r="BG1390" t="s">
        <v>14721</v>
      </c>
      <c r="BM1390" t="s">
        <v>15650</v>
      </c>
    </row>
    <row r="1391" spans="1:67">
      <c r="A1391" s="1">
        <f>HYPERLINK("https://lsnyc.legalserver.org/matter/dynamic-profile/view/1857438","18-1857438")</f>
        <v>0</v>
      </c>
      <c r="B1391" t="s">
        <v>120</v>
      </c>
      <c r="C1391" t="s">
        <v>246</v>
      </c>
      <c r="D1391" t="s">
        <v>691</v>
      </c>
      <c r="F1391" t="s">
        <v>1762</v>
      </c>
      <c r="G1391" t="s">
        <v>3032</v>
      </c>
      <c r="H1391" t="s">
        <v>4844</v>
      </c>
      <c r="I1391" t="s">
        <v>6407</v>
      </c>
      <c r="J1391" t="s">
        <v>7170</v>
      </c>
      <c r="K1391">
        <v>10452</v>
      </c>
      <c r="N1391" t="s">
        <v>7237</v>
      </c>
      <c r="O1391" t="s">
        <v>8177</v>
      </c>
      <c r="P1391">
        <v>1</v>
      </c>
      <c r="Q1391">
        <v>0</v>
      </c>
      <c r="R1391">
        <v>265.34</v>
      </c>
      <c r="U1391">
        <v>32000</v>
      </c>
      <c r="W1391">
        <v>0</v>
      </c>
      <c r="Y1391" t="s">
        <v>10897</v>
      </c>
      <c r="AA1391" t="s">
        <v>10974</v>
      </c>
      <c r="AB1391" t="s">
        <v>11013</v>
      </c>
      <c r="AD1391" t="s">
        <v>11096</v>
      </c>
      <c r="AF1391" t="s">
        <v>11122</v>
      </c>
      <c r="AH1391" t="s">
        <v>10974</v>
      </c>
      <c r="AJ1391" t="s">
        <v>11141</v>
      </c>
      <c r="AK1391" t="s">
        <v>7225</v>
      </c>
      <c r="AM1391">
        <v>918.4</v>
      </c>
      <c r="AO1391">
        <v>122</v>
      </c>
      <c r="AQ1391" t="s">
        <v>11157</v>
      </c>
      <c r="AS1391" t="s">
        <v>11173</v>
      </c>
      <c r="AU1391">
        <v>22</v>
      </c>
      <c r="AW1391" t="s">
        <v>11189</v>
      </c>
      <c r="AZ1391" t="s">
        <v>11221</v>
      </c>
      <c r="BE1391" t="s">
        <v>12477</v>
      </c>
      <c r="BG1391" t="s">
        <v>14717</v>
      </c>
      <c r="BM1391" t="s">
        <v>15650</v>
      </c>
    </row>
    <row r="1392" spans="1:67">
      <c r="A1392" s="1">
        <f>HYPERLINK("https://lsnyc.legalserver.org/matter/dynamic-profile/view/1901408","19-1901408")</f>
        <v>0</v>
      </c>
      <c r="B1392" t="s">
        <v>120</v>
      </c>
      <c r="C1392" t="s">
        <v>246</v>
      </c>
      <c r="D1392" t="s">
        <v>589</v>
      </c>
      <c r="F1392" t="s">
        <v>1367</v>
      </c>
      <c r="G1392" t="s">
        <v>2996</v>
      </c>
      <c r="H1392" t="s">
        <v>5283</v>
      </c>
      <c r="I1392">
        <v>205</v>
      </c>
      <c r="J1392" t="s">
        <v>7170</v>
      </c>
      <c r="K1392">
        <v>10457</v>
      </c>
      <c r="N1392" t="s">
        <v>7237</v>
      </c>
      <c r="O1392" t="s">
        <v>8198</v>
      </c>
      <c r="P1392">
        <v>2</v>
      </c>
      <c r="Q1392">
        <v>0</v>
      </c>
      <c r="R1392">
        <v>52.55</v>
      </c>
      <c r="U1392">
        <v>8887</v>
      </c>
      <c r="W1392">
        <v>7.5</v>
      </c>
      <c r="X1392" t="s">
        <v>655</v>
      </c>
      <c r="Y1392" t="s">
        <v>200</v>
      </c>
      <c r="AA1392" t="s">
        <v>10974</v>
      </c>
      <c r="AB1392" t="s">
        <v>10979</v>
      </c>
      <c r="AD1392" t="s">
        <v>11086</v>
      </c>
      <c r="AF1392" t="s">
        <v>11119</v>
      </c>
      <c r="AH1392" t="s">
        <v>10975</v>
      </c>
      <c r="AJ1392" t="s">
        <v>11141</v>
      </c>
      <c r="AK1392" t="s">
        <v>7225</v>
      </c>
      <c r="AM1392">
        <v>574</v>
      </c>
      <c r="AN1392" t="s">
        <v>11151</v>
      </c>
      <c r="AO1392" t="s">
        <v>11153</v>
      </c>
      <c r="AQ1392" t="s">
        <v>11164</v>
      </c>
      <c r="AS1392" t="s">
        <v>11174</v>
      </c>
      <c r="AU1392">
        <v>5</v>
      </c>
      <c r="AW1392" t="s">
        <v>11206</v>
      </c>
      <c r="BA1392" t="s">
        <v>11222</v>
      </c>
      <c r="BE1392" t="s">
        <v>12498</v>
      </c>
      <c r="BF1392" t="s">
        <v>14364</v>
      </c>
      <c r="BM1392" t="s">
        <v>15650</v>
      </c>
    </row>
    <row r="1393" spans="1:65">
      <c r="A1393" s="1">
        <f>HYPERLINK("https://lsnyc.legalserver.org/matter/dynamic-profile/view/0795363","16-0795363")</f>
        <v>0</v>
      </c>
      <c r="B1393" t="s">
        <v>120</v>
      </c>
      <c r="C1393" t="s">
        <v>246</v>
      </c>
      <c r="D1393" t="s">
        <v>707</v>
      </c>
      <c r="F1393" t="s">
        <v>1648</v>
      </c>
      <c r="G1393" t="s">
        <v>3563</v>
      </c>
      <c r="H1393" t="s">
        <v>4844</v>
      </c>
      <c r="I1393" t="s">
        <v>6738</v>
      </c>
      <c r="J1393" t="s">
        <v>7170</v>
      </c>
      <c r="K1393">
        <v>10452</v>
      </c>
      <c r="N1393" t="s">
        <v>7237</v>
      </c>
      <c r="O1393" t="s">
        <v>8199</v>
      </c>
      <c r="P1393">
        <v>3</v>
      </c>
      <c r="Q1393">
        <v>0</v>
      </c>
      <c r="R1393">
        <v>248.88</v>
      </c>
      <c r="U1393">
        <v>50000</v>
      </c>
      <c r="V1393" t="s">
        <v>10400</v>
      </c>
      <c r="W1393">
        <v>0.25</v>
      </c>
      <c r="X1393" t="s">
        <v>10816</v>
      </c>
      <c r="Y1393" t="s">
        <v>138</v>
      </c>
      <c r="AA1393" t="s">
        <v>10974</v>
      </c>
      <c r="AB1393" t="s">
        <v>939</v>
      </c>
      <c r="AD1393" t="s">
        <v>11085</v>
      </c>
      <c r="AF1393" t="s">
        <v>11118</v>
      </c>
      <c r="AH1393" t="s">
        <v>10974</v>
      </c>
      <c r="AJ1393" t="s">
        <v>11132</v>
      </c>
      <c r="AK1393" t="s">
        <v>7225</v>
      </c>
      <c r="AM1393">
        <v>818.46</v>
      </c>
      <c r="AN1393" t="s">
        <v>11151</v>
      </c>
      <c r="AO1393" t="s">
        <v>11153</v>
      </c>
      <c r="AP1393" t="s">
        <v>11155</v>
      </c>
      <c r="AR1393" t="s">
        <v>11172</v>
      </c>
      <c r="AU1393">
        <v>24</v>
      </c>
      <c r="AW1393" t="s">
        <v>11187</v>
      </c>
      <c r="AZ1393" t="s">
        <v>11221</v>
      </c>
      <c r="BE1393" t="s">
        <v>12499</v>
      </c>
      <c r="BF1393" t="s">
        <v>14364</v>
      </c>
      <c r="BG1393" t="s">
        <v>14716</v>
      </c>
      <c r="BM1393" t="s">
        <v>15650</v>
      </c>
    </row>
    <row r="1394" spans="1:65">
      <c r="A1394" s="1">
        <f>HYPERLINK("https://lsnyc.legalserver.org/matter/dynamic-profile/view/1889678","19-1889678")</f>
        <v>0</v>
      </c>
      <c r="B1394" t="s">
        <v>120</v>
      </c>
      <c r="C1394" t="s">
        <v>246</v>
      </c>
      <c r="D1394" t="s">
        <v>321</v>
      </c>
      <c r="F1394" t="s">
        <v>1778</v>
      </c>
      <c r="G1394" t="s">
        <v>3564</v>
      </c>
      <c r="H1394" t="s">
        <v>5278</v>
      </c>
      <c r="I1394" t="s">
        <v>6610</v>
      </c>
      <c r="J1394" t="s">
        <v>7170</v>
      </c>
      <c r="K1394">
        <v>10463</v>
      </c>
      <c r="N1394" t="s">
        <v>7237</v>
      </c>
      <c r="O1394" t="s">
        <v>7632</v>
      </c>
      <c r="P1394">
        <v>1</v>
      </c>
      <c r="Q1394">
        <v>0</v>
      </c>
      <c r="R1394">
        <v>138.35</v>
      </c>
      <c r="U1394">
        <v>17280</v>
      </c>
      <c r="W1394">
        <v>6</v>
      </c>
      <c r="X1394" t="s">
        <v>636</v>
      </c>
      <c r="Y1394" t="s">
        <v>216</v>
      </c>
      <c r="AA1394" t="s">
        <v>10974</v>
      </c>
      <c r="AB1394" t="s">
        <v>478</v>
      </c>
      <c r="AD1394" t="s">
        <v>11090</v>
      </c>
      <c r="AF1394" t="s">
        <v>11120</v>
      </c>
      <c r="AH1394" t="s">
        <v>10975</v>
      </c>
      <c r="AJ1394" t="s">
        <v>11141</v>
      </c>
      <c r="AK1394" t="s">
        <v>7225</v>
      </c>
      <c r="AM1394">
        <v>421.7</v>
      </c>
      <c r="AO1394">
        <v>67</v>
      </c>
      <c r="AQ1394" t="s">
        <v>11167</v>
      </c>
      <c r="AS1394" t="s">
        <v>11177</v>
      </c>
      <c r="AU1394">
        <v>19</v>
      </c>
      <c r="AW1394" t="s">
        <v>11187</v>
      </c>
      <c r="AY1394" t="s">
        <v>11213</v>
      </c>
      <c r="AZ1394" t="s">
        <v>11221</v>
      </c>
      <c r="BE1394" t="s">
        <v>12500</v>
      </c>
      <c r="BF1394" t="s">
        <v>14364</v>
      </c>
      <c r="BG1394" t="s">
        <v>14732</v>
      </c>
      <c r="BM1394" t="s">
        <v>15650</v>
      </c>
    </row>
    <row r="1395" spans="1:65">
      <c r="A1395" s="1">
        <f>HYPERLINK("https://lsnyc.legalserver.org/matter/dynamic-profile/view/1892380","19-1892380")</f>
        <v>0</v>
      </c>
      <c r="B1395" t="s">
        <v>120</v>
      </c>
      <c r="C1395" t="s">
        <v>246</v>
      </c>
      <c r="D1395" t="s">
        <v>483</v>
      </c>
      <c r="E1395" t="s">
        <v>536</v>
      </c>
      <c r="F1395" t="s">
        <v>1122</v>
      </c>
      <c r="G1395" t="s">
        <v>3140</v>
      </c>
      <c r="H1395" t="s">
        <v>5284</v>
      </c>
      <c r="I1395" t="s">
        <v>6485</v>
      </c>
      <c r="J1395" t="s">
        <v>7170</v>
      </c>
      <c r="K1395">
        <v>10460</v>
      </c>
      <c r="L1395" t="s">
        <v>7216</v>
      </c>
      <c r="N1395" t="s">
        <v>7237</v>
      </c>
      <c r="O1395" t="s">
        <v>8200</v>
      </c>
      <c r="P1395">
        <v>2</v>
      </c>
      <c r="Q1395">
        <v>0</v>
      </c>
      <c r="R1395">
        <v>58.77</v>
      </c>
      <c r="U1395">
        <v>9938.4</v>
      </c>
      <c r="W1395">
        <v>1.1</v>
      </c>
      <c r="X1395" t="s">
        <v>536</v>
      </c>
      <c r="Y1395" t="s">
        <v>10875</v>
      </c>
      <c r="AA1395" t="s">
        <v>10974</v>
      </c>
      <c r="AB1395" t="s">
        <v>10979</v>
      </c>
      <c r="AD1395" t="s">
        <v>11082</v>
      </c>
      <c r="AF1395" t="s">
        <v>11119</v>
      </c>
      <c r="AG1395" t="s">
        <v>11124</v>
      </c>
      <c r="AJ1395" t="s">
        <v>11130</v>
      </c>
      <c r="AK1395" t="s">
        <v>7225</v>
      </c>
      <c r="AM1395">
        <v>970</v>
      </c>
      <c r="AO1395">
        <v>85</v>
      </c>
      <c r="AQ1395" t="s">
        <v>11163</v>
      </c>
      <c r="AS1395" t="s">
        <v>11173</v>
      </c>
      <c r="AU1395">
        <v>21</v>
      </c>
      <c r="AW1395" t="s">
        <v>11187</v>
      </c>
      <c r="BA1395" t="s">
        <v>11222</v>
      </c>
      <c r="BB1395" t="s">
        <v>11224</v>
      </c>
      <c r="BC1395">
        <v>6532660</v>
      </c>
      <c r="BE1395" t="s">
        <v>12501</v>
      </c>
      <c r="BG1395" t="s">
        <v>14733</v>
      </c>
      <c r="BM1395" t="s">
        <v>15651</v>
      </c>
    </row>
    <row r="1396" spans="1:65">
      <c r="A1396" s="1">
        <f>HYPERLINK("https://lsnyc.legalserver.org/matter/dynamic-profile/view/1899910","19-1899910")</f>
        <v>0</v>
      </c>
      <c r="B1396" t="s">
        <v>120</v>
      </c>
      <c r="C1396" t="s">
        <v>246</v>
      </c>
      <c r="D1396" t="s">
        <v>382</v>
      </c>
      <c r="F1396" t="s">
        <v>1753</v>
      </c>
      <c r="G1396" t="s">
        <v>3168</v>
      </c>
      <c r="H1396" t="s">
        <v>5267</v>
      </c>
      <c r="I1396" t="s">
        <v>6596</v>
      </c>
      <c r="J1396" t="s">
        <v>7170</v>
      </c>
      <c r="K1396">
        <v>10467</v>
      </c>
      <c r="N1396" t="s">
        <v>7241</v>
      </c>
      <c r="O1396" t="s">
        <v>8168</v>
      </c>
      <c r="P1396">
        <v>1</v>
      </c>
      <c r="Q1396">
        <v>0</v>
      </c>
      <c r="R1396">
        <v>340.83</v>
      </c>
      <c r="S1396" t="s">
        <v>512</v>
      </c>
      <c r="T1396" t="s">
        <v>10276</v>
      </c>
      <c r="U1396">
        <v>42570</v>
      </c>
      <c r="V1396" t="s">
        <v>10401</v>
      </c>
      <c r="W1396">
        <v>2.6</v>
      </c>
      <c r="X1396" t="s">
        <v>512</v>
      </c>
      <c r="Y1396" t="s">
        <v>120</v>
      </c>
      <c r="AA1396" t="s">
        <v>10974</v>
      </c>
      <c r="AB1396" t="s">
        <v>382</v>
      </c>
      <c r="AD1396" t="s">
        <v>11094</v>
      </c>
      <c r="AF1396" t="s">
        <v>11122</v>
      </c>
      <c r="AH1396" t="s">
        <v>10975</v>
      </c>
      <c r="AJ1396" t="s">
        <v>11130</v>
      </c>
      <c r="AK1396" t="s">
        <v>7225</v>
      </c>
      <c r="AM1396">
        <v>1350</v>
      </c>
      <c r="AN1396" t="s">
        <v>11151</v>
      </c>
      <c r="AO1396" t="s">
        <v>11153</v>
      </c>
      <c r="AQ1396" t="s">
        <v>11156</v>
      </c>
      <c r="AS1396" t="s">
        <v>11174</v>
      </c>
      <c r="AU1396">
        <v>18</v>
      </c>
      <c r="AW1396" t="s">
        <v>11187</v>
      </c>
      <c r="BA1396" t="s">
        <v>11222</v>
      </c>
      <c r="BE1396" t="s">
        <v>12466</v>
      </c>
      <c r="BF1396" t="s">
        <v>14364</v>
      </c>
      <c r="BG1396" t="s">
        <v>14734</v>
      </c>
      <c r="BM1396" t="s">
        <v>15650</v>
      </c>
    </row>
    <row r="1397" spans="1:65">
      <c r="A1397" s="1">
        <f>HYPERLINK("https://lsnyc.legalserver.org/matter/dynamic-profile/view/1898239","19-1898239")</f>
        <v>0</v>
      </c>
      <c r="B1397" t="s">
        <v>120</v>
      </c>
      <c r="C1397" t="s">
        <v>246</v>
      </c>
      <c r="D1397" t="s">
        <v>591</v>
      </c>
      <c r="F1397" t="s">
        <v>1128</v>
      </c>
      <c r="G1397" t="s">
        <v>3003</v>
      </c>
      <c r="H1397" t="s">
        <v>5285</v>
      </c>
      <c r="I1397" t="s">
        <v>6501</v>
      </c>
      <c r="J1397" t="s">
        <v>7170</v>
      </c>
      <c r="K1397">
        <v>10453</v>
      </c>
      <c r="N1397" t="s">
        <v>7237</v>
      </c>
      <c r="O1397" t="s">
        <v>8201</v>
      </c>
      <c r="P1397">
        <v>1</v>
      </c>
      <c r="Q1397">
        <v>0</v>
      </c>
      <c r="R1397">
        <v>248.77</v>
      </c>
      <c r="U1397">
        <v>31071</v>
      </c>
      <c r="W1397">
        <v>1.1</v>
      </c>
      <c r="X1397" t="s">
        <v>266</v>
      </c>
      <c r="Y1397" t="s">
        <v>120</v>
      </c>
      <c r="AA1397" t="s">
        <v>10974</v>
      </c>
      <c r="AB1397" t="s">
        <v>10979</v>
      </c>
      <c r="AC1397" t="s">
        <v>11081</v>
      </c>
      <c r="AF1397" t="s">
        <v>10384</v>
      </c>
      <c r="AH1397" t="s">
        <v>10975</v>
      </c>
      <c r="AJ1397" t="s">
        <v>11130</v>
      </c>
      <c r="AK1397" t="s">
        <v>7225</v>
      </c>
      <c r="AM1397">
        <v>1138.7</v>
      </c>
      <c r="AN1397" t="s">
        <v>11151</v>
      </c>
      <c r="AO1397" t="s">
        <v>11153</v>
      </c>
      <c r="AQ1397" t="s">
        <v>11157</v>
      </c>
      <c r="AS1397" t="s">
        <v>11175</v>
      </c>
      <c r="AU1397">
        <v>2</v>
      </c>
      <c r="AW1397" t="s">
        <v>11187</v>
      </c>
      <c r="BA1397" t="s">
        <v>11222</v>
      </c>
      <c r="BE1397" t="s">
        <v>12502</v>
      </c>
      <c r="BF1397" t="s">
        <v>14364</v>
      </c>
      <c r="BM1397" t="s">
        <v>15650</v>
      </c>
    </row>
    <row r="1398" spans="1:65">
      <c r="A1398" s="1">
        <f>HYPERLINK("https://lsnyc.legalserver.org/matter/dynamic-profile/view/1893025","19-1893025")</f>
        <v>0</v>
      </c>
      <c r="B1398" t="s">
        <v>120</v>
      </c>
      <c r="C1398" t="s">
        <v>246</v>
      </c>
      <c r="D1398" t="s">
        <v>693</v>
      </c>
      <c r="F1398" t="s">
        <v>1779</v>
      </c>
      <c r="G1398" t="s">
        <v>3565</v>
      </c>
      <c r="H1398" t="s">
        <v>5262</v>
      </c>
      <c r="I1398" t="s">
        <v>6423</v>
      </c>
      <c r="J1398" t="s">
        <v>7170</v>
      </c>
      <c r="K1398">
        <v>10467</v>
      </c>
      <c r="N1398" t="s">
        <v>7237</v>
      </c>
      <c r="O1398" t="s">
        <v>8202</v>
      </c>
      <c r="P1398">
        <v>1</v>
      </c>
      <c r="Q1398">
        <v>1</v>
      </c>
      <c r="R1398">
        <v>18.3</v>
      </c>
      <c r="U1398">
        <v>3094</v>
      </c>
      <c r="W1398">
        <v>0.1</v>
      </c>
      <c r="X1398" t="s">
        <v>470</v>
      </c>
      <c r="Y1398" t="s">
        <v>93</v>
      </c>
      <c r="AA1398" t="s">
        <v>10974</v>
      </c>
      <c r="AB1398" t="s">
        <v>10979</v>
      </c>
      <c r="AC1398" t="s">
        <v>11081</v>
      </c>
      <c r="AF1398" t="s">
        <v>11120</v>
      </c>
      <c r="AH1398" t="s">
        <v>10974</v>
      </c>
      <c r="AJ1398" t="s">
        <v>11134</v>
      </c>
      <c r="AK1398" t="s">
        <v>7225</v>
      </c>
      <c r="AM1398">
        <v>1284</v>
      </c>
      <c r="AO1398">
        <v>122</v>
      </c>
      <c r="AQ1398" t="s">
        <v>11156</v>
      </c>
      <c r="AR1398" t="s">
        <v>11172</v>
      </c>
      <c r="AU1398">
        <v>4</v>
      </c>
      <c r="AW1398" t="s">
        <v>11187</v>
      </c>
      <c r="BA1398" t="s">
        <v>11222</v>
      </c>
      <c r="BD1398" t="s">
        <v>11667</v>
      </c>
      <c r="BF1398" t="s">
        <v>14364</v>
      </c>
      <c r="BM1398" t="s">
        <v>15650</v>
      </c>
    </row>
    <row r="1399" spans="1:65">
      <c r="A1399" s="1">
        <f>HYPERLINK("https://lsnyc.legalserver.org/matter/dynamic-profile/view/1857418","18-1857418")</f>
        <v>0</v>
      </c>
      <c r="B1399" t="s">
        <v>120</v>
      </c>
      <c r="C1399" t="s">
        <v>246</v>
      </c>
      <c r="D1399" t="s">
        <v>691</v>
      </c>
      <c r="F1399" t="s">
        <v>1394</v>
      </c>
      <c r="G1399" t="s">
        <v>3544</v>
      </c>
      <c r="H1399" t="s">
        <v>4844</v>
      </c>
      <c r="I1399" t="s">
        <v>6416</v>
      </c>
      <c r="J1399" t="s">
        <v>7170</v>
      </c>
      <c r="K1399">
        <v>10452</v>
      </c>
      <c r="N1399" t="s">
        <v>7237</v>
      </c>
      <c r="O1399" t="s">
        <v>8166</v>
      </c>
      <c r="P1399">
        <v>2</v>
      </c>
      <c r="Q1399">
        <v>0</v>
      </c>
      <c r="R1399">
        <v>189.48</v>
      </c>
      <c r="U1399">
        <v>41019.88</v>
      </c>
      <c r="W1399">
        <v>0</v>
      </c>
      <c r="Y1399" t="s">
        <v>10897</v>
      </c>
      <c r="AA1399" t="s">
        <v>10974</v>
      </c>
      <c r="AB1399" t="s">
        <v>11013</v>
      </c>
      <c r="AD1399" t="s">
        <v>11096</v>
      </c>
      <c r="AF1399" t="s">
        <v>11122</v>
      </c>
      <c r="AH1399" t="s">
        <v>10974</v>
      </c>
      <c r="AJ1399" t="s">
        <v>11141</v>
      </c>
      <c r="AK1399" t="s">
        <v>7225</v>
      </c>
      <c r="AM1399">
        <v>705.09</v>
      </c>
      <c r="AO1399">
        <v>122</v>
      </c>
      <c r="AQ1399" t="s">
        <v>11157</v>
      </c>
      <c r="AR1399" t="s">
        <v>11172</v>
      </c>
      <c r="AU1399">
        <v>24</v>
      </c>
      <c r="AW1399" t="s">
        <v>11187</v>
      </c>
      <c r="AZ1399" t="s">
        <v>11221</v>
      </c>
      <c r="BE1399" t="s">
        <v>12464</v>
      </c>
      <c r="BG1399" t="s">
        <v>14717</v>
      </c>
      <c r="BM1399" t="s">
        <v>15650</v>
      </c>
    </row>
    <row r="1400" spans="1:65">
      <c r="A1400" s="1">
        <f>HYPERLINK("https://lsnyc.legalserver.org/matter/dynamic-profile/view/1901422","19-1901422")</f>
        <v>0</v>
      </c>
      <c r="B1400" t="s">
        <v>120</v>
      </c>
      <c r="C1400" t="s">
        <v>246</v>
      </c>
      <c r="D1400" t="s">
        <v>701</v>
      </c>
      <c r="E1400" t="s">
        <v>436</v>
      </c>
      <c r="F1400" t="s">
        <v>1780</v>
      </c>
      <c r="G1400" t="s">
        <v>2315</v>
      </c>
      <c r="H1400" t="s">
        <v>5286</v>
      </c>
      <c r="I1400" t="s">
        <v>6739</v>
      </c>
      <c r="J1400" t="s">
        <v>7170</v>
      </c>
      <c r="K1400">
        <v>10453</v>
      </c>
      <c r="L1400" t="s">
        <v>7217</v>
      </c>
      <c r="N1400" t="s">
        <v>7237</v>
      </c>
      <c r="O1400" t="s">
        <v>8203</v>
      </c>
      <c r="P1400">
        <v>1</v>
      </c>
      <c r="Q1400">
        <v>0</v>
      </c>
      <c r="R1400">
        <v>75.31999999999999</v>
      </c>
      <c r="U1400">
        <v>9408</v>
      </c>
      <c r="W1400">
        <v>1.9</v>
      </c>
      <c r="X1400" t="s">
        <v>536</v>
      </c>
      <c r="Y1400" t="s">
        <v>10877</v>
      </c>
      <c r="AA1400" t="s">
        <v>10974</v>
      </c>
      <c r="AB1400" t="s">
        <v>10979</v>
      </c>
      <c r="AD1400" t="s">
        <v>11086</v>
      </c>
      <c r="AF1400" t="s">
        <v>10384</v>
      </c>
      <c r="AH1400" t="s">
        <v>10975</v>
      </c>
      <c r="AJ1400" t="s">
        <v>11129</v>
      </c>
      <c r="AK1400" t="s">
        <v>7225</v>
      </c>
      <c r="AM1400">
        <v>1002</v>
      </c>
      <c r="AO1400">
        <v>400</v>
      </c>
      <c r="AP1400" t="s">
        <v>11155</v>
      </c>
      <c r="AS1400" t="s">
        <v>11173</v>
      </c>
      <c r="AU1400">
        <v>4</v>
      </c>
      <c r="AW1400" t="s">
        <v>11187</v>
      </c>
      <c r="BA1400" t="s">
        <v>11222</v>
      </c>
      <c r="BE1400" t="s">
        <v>12503</v>
      </c>
      <c r="BF1400" t="s">
        <v>14364</v>
      </c>
      <c r="BG1400" t="s">
        <v>14735</v>
      </c>
      <c r="BM1400" t="s">
        <v>15651</v>
      </c>
    </row>
    <row r="1401" spans="1:65">
      <c r="A1401" s="1">
        <f>HYPERLINK("https://lsnyc.legalserver.org/matter/dynamic-profile/view/1839686","17-1839686")</f>
        <v>0</v>
      </c>
      <c r="B1401" t="s">
        <v>120</v>
      </c>
      <c r="C1401" t="s">
        <v>246</v>
      </c>
      <c r="D1401" t="s">
        <v>694</v>
      </c>
      <c r="F1401" t="s">
        <v>1762</v>
      </c>
      <c r="G1401" t="s">
        <v>3032</v>
      </c>
      <c r="H1401" t="s">
        <v>4844</v>
      </c>
      <c r="I1401" t="s">
        <v>6407</v>
      </c>
      <c r="J1401" t="s">
        <v>7170</v>
      </c>
      <c r="K1401">
        <v>10452</v>
      </c>
      <c r="N1401" t="s">
        <v>7237</v>
      </c>
      <c r="O1401" t="s">
        <v>8177</v>
      </c>
      <c r="P1401">
        <v>1</v>
      </c>
      <c r="Q1401">
        <v>0</v>
      </c>
      <c r="R1401">
        <v>265.34</v>
      </c>
      <c r="U1401">
        <v>32000</v>
      </c>
      <c r="W1401">
        <v>0.5</v>
      </c>
      <c r="X1401" t="s">
        <v>694</v>
      </c>
      <c r="Y1401" t="s">
        <v>10899</v>
      </c>
      <c r="AA1401" t="s">
        <v>10974</v>
      </c>
      <c r="AB1401" t="s">
        <v>694</v>
      </c>
      <c r="AD1401" t="s">
        <v>11085</v>
      </c>
      <c r="AF1401" t="s">
        <v>11118</v>
      </c>
      <c r="AH1401" t="s">
        <v>10974</v>
      </c>
      <c r="AJ1401" t="s">
        <v>11141</v>
      </c>
      <c r="AK1401" t="s">
        <v>7225</v>
      </c>
      <c r="AM1401">
        <v>918.4</v>
      </c>
      <c r="AN1401" t="s">
        <v>11151</v>
      </c>
      <c r="AO1401" t="s">
        <v>11153</v>
      </c>
      <c r="AQ1401" t="s">
        <v>11157</v>
      </c>
      <c r="AR1401" t="s">
        <v>11172</v>
      </c>
      <c r="AU1401">
        <v>22</v>
      </c>
      <c r="AW1401" t="s">
        <v>11189</v>
      </c>
      <c r="AZ1401" t="s">
        <v>11221</v>
      </c>
      <c r="BE1401" t="s">
        <v>12477</v>
      </c>
      <c r="BF1401" t="s">
        <v>14364</v>
      </c>
      <c r="BG1401" t="s">
        <v>14716</v>
      </c>
      <c r="BM1401" t="s">
        <v>15650</v>
      </c>
    </row>
    <row r="1402" spans="1:65">
      <c r="A1402" s="1">
        <f>HYPERLINK("https://lsnyc.legalserver.org/matter/dynamic-profile/view/1856746","18-1856746")</f>
        <v>0</v>
      </c>
      <c r="B1402" t="s">
        <v>120</v>
      </c>
      <c r="C1402" t="s">
        <v>246</v>
      </c>
      <c r="D1402" t="s">
        <v>383</v>
      </c>
      <c r="F1402" t="s">
        <v>1555</v>
      </c>
      <c r="G1402" t="s">
        <v>3566</v>
      </c>
      <c r="H1402" t="s">
        <v>5286</v>
      </c>
      <c r="I1402" t="s">
        <v>6740</v>
      </c>
      <c r="J1402" t="s">
        <v>7170</v>
      </c>
      <c r="K1402">
        <v>10453</v>
      </c>
      <c r="N1402" t="s">
        <v>7237</v>
      </c>
      <c r="O1402" t="s">
        <v>8204</v>
      </c>
      <c r="P1402">
        <v>1</v>
      </c>
      <c r="Q1402">
        <v>1</v>
      </c>
      <c r="R1402">
        <v>89.04000000000001</v>
      </c>
      <c r="U1402">
        <v>14460</v>
      </c>
      <c r="V1402" t="s">
        <v>10306</v>
      </c>
      <c r="W1402">
        <v>32.05</v>
      </c>
      <c r="X1402" t="s">
        <v>335</v>
      </c>
      <c r="Y1402" t="s">
        <v>10884</v>
      </c>
      <c r="AA1402" t="s">
        <v>10974</v>
      </c>
      <c r="AB1402" t="s">
        <v>1019</v>
      </c>
      <c r="AD1402" t="s">
        <v>11082</v>
      </c>
      <c r="AF1402" t="s">
        <v>11118</v>
      </c>
      <c r="AH1402" t="s">
        <v>10975</v>
      </c>
      <c r="AJ1402" t="s">
        <v>11129</v>
      </c>
      <c r="AK1402" t="s">
        <v>7225</v>
      </c>
      <c r="AM1402">
        <v>1074</v>
      </c>
      <c r="AO1402">
        <v>400</v>
      </c>
      <c r="AQ1402" t="s">
        <v>11157</v>
      </c>
      <c r="AS1402" t="s">
        <v>11180</v>
      </c>
      <c r="AU1402">
        <v>31</v>
      </c>
      <c r="AW1402" t="s">
        <v>11187</v>
      </c>
      <c r="AZ1402" t="s">
        <v>11221</v>
      </c>
      <c r="BC1402" t="s">
        <v>11359</v>
      </c>
      <c r="BE1402" t="s">
        <v>12504</v>
      </c>
      <c r="BG1402" t="s">
        <v>14736</v>
      </c>
      <c r="BM1402" t="s">
        <v>15650</v>
      </c>
    </row>
    <row r="1403" spans="1:65">
      <c r="A1403" s="1">
        <f>HYPERLINK("https://lsnyc.legalserver.org/matter/dynamic-profile/view/1857079","18-1857079")</f>
        <v>0</v>
      </c>
      <c r="B1403" t="s">
        <v>120</v>
      </c>
      <c r="C1403" t="s">
        <v>246</v>
      </c>
      <c r="D1403" t="s">
        <v>692</v>
      </c>
      <c r="F1403" t="s">
        <v>1648</v>
      </c>
      <c r="G1403" t="s">
        <v>3563</v>
      </c>
      <c r="H1403" t="s">
        <v>4844</v>
      </c>
      <c r="I1403" t="s">
        <v>6738</v>
      </c>
      <c r="J1403" t="s">
        <v>7170</v>
      </c>
      <c r="K1403">
        <v>10452</v>
      </c>
      <c r="N1403" t="s">
        <v>7237</v>
      </c>
      <c r="O1403" t="s">
        <v>8199</v>
      </c>
      <c r="P1403">
        <v>3</v>
      </c>
      <c r="Q1403">
        <v>0</v>
      </c>
      <c r="R1403">
        <v>244.86</v>
      </c>
      <c r="U1403">
        <v>100000</v>
      </c>
      <c r="V1403" t="s">
        <v>10396</v>
      </c>
      <c r="W1403">
        <v>0</v>
      </c>
      <c r="Y1403" t="s">
        <v>10897</v>
      </c>
      <c r="AA1403" t="s">
        <v>10974</v>
      </c>
      <c r="AB1403" t="s">
        <v>372</v>
      </c>
      <c r="AD1403" t="s">
        <v>11096</v>
      </c>
      <c r="AF1403" t="s">
        <v>11122</v>
      </c>
      <c r="AH1403" t="s">
        <v>10974</v>
      </c>
      <c r="AJ1403" t="s">
        <v>11141</v>
      </c>
      <c r="AK1403" t="s">
        <v>7225</v>
      </c>
      <c r="AM1403">
        <v>818.46</v>
      </c>
      <c r="AO1403">
        <v>122</v>
      </c>
      <c r="AQ1403" t="s">
        <v>11157</v>
      </c>
      <c r="AS1403" t="s">
        <v>11173</v>
      </c>
      <c r="AU1403">
        <v>25</v>
      </c>
      <c r="AW1403" t="s">
        <v>11187</v>
      </c>
      <c r="AZ1403" t="s">
        <v>11221</v>
      </c>
      <c r="BE1403" t="s">
        <v>12499</v>
      </c>
      <c r="BG1403" t="s">
        <v>14719</v>
      </c>
      <c r="BM1403" t="s">
        <v>15650</v>
      </c>
    </row>
    <row r="1404" spans="1:65">
      <c r="A1404" s="1">
        <f>HYPERLINK("https://lsnyc.legalserver.org/matter/dynamic-profile/view/1871913","18-1871913")</f>
        <v>0</v>
      </c>
      <c r="B1404" t="s">
        <v>120</v>
      </c>
      <c r="C1404" t="s">
        <v>246</v>
      </c>
      <c r="D1404" t="s">
        <v>657</v>
      </c>
      <c r="F1404" t="s">
        <v>1781</v>
      </c>
      <c r="G1404" t="s">
        <v>3488</v>
      </c>
      <c r="H1404" t="s">
        <v>5287</v>
      </c>
      <c r="I1404" t="s">
        <v>6741</v>
      </c>
      <c r="J1404" t="s">
        <v>7170</v>
      </c>
      <c r="K1404">
        <v>10452</v>
      </c>
      <c r="N1404" t="s">
        <v>7237</v>
      </c>
      <c r="O1404" t="s">
        <v>8205</v>
      </c>
      <c r="P1404">
        <v>2</v>
      </c>
      <c r="Q1404">
        <v>0</v>
      </c>
      <c r="R1404">
        <v>55.04</v>
      </c>
      <c r="U1404">
        <v>9060</v>
      </c>
      <c r="W1404">
        <v>95.40000000000001</v>
      </c>
      <c r="X1404" t="s">
        <v>449</v>
      </c>
      <c r="Y1404" t="s">
        <v>10865</v>
      </c>
      <c r="AA1404" t="s">
        <v>10974</v>
      </c>
      <c r="AB1404" t="s">
        <v>730</v>
      </c>
      <c r="AD1404" t="s">
        <v>11085</v>
      </c>
      <c r="AF1404" t="s">
        <v>11118</v>
      </c>
      <c r="AH1404" t="s">
        <v>10975</v>
      </c>
      <c r="AJ1404" t="s">
        <v>11129</v>
      </c>
      <c r="AK1404" t="s">
        <v>7225</v>
      </c>
      <c r="AM1404">
        <v>877</v>
      </c>
      <c r="AO1404">
        <v>43</v>
      </c>
      <c r="AQ1404" t="s">
        <v>11157</v>
      </c>
      <c r="AS1404" t="s">
        <v>11173</v>
      </c>
      <c r="AU1404">
        <v>30</v>
      </c>
      <c r="AW1404" t="s">
        <v>11187</v>
      </c>
      <c r="AZ1404" t="s">
        <v>11221</v>
      </c>
      <c r="BE1404" t="s">
        <v>12505</v>
      </c>
      <c r="BG1404" t="s">
        <v>14737</v>
      </c>
      <c r="BM1404" t="s">
        <v>15650</v>
      </c>
    </row>
    <row r="1405" spans="1:65">
      <c r="A1405" s="1">
        <f>HYPERLINK("https://lsnyc.legalserver.org/matter/dynamic-profile/view/1857452","18-1857452")</f>
        <v>0</v>
      </c>
      <c r="B1405" t="s">
        <v>120</v>
      </c>
      <c r="C1405" t="s">
        <v>246</v>
      </c>
      <c r="D1405" t="s">
        <v>691</v>
      </c>
      <c r="F1405" t="s">
        <v>1139</v>
      </c>
      <c r="G1405" t="s">
        <v>3538</v>
      </c>
      <c r="H1405" t="s">
        <v>4844</v>
      </c>
      <c r="I1405" t="s">
        <v>6621</v>
      </c>
      <c r="J1405" t="s">
        <v>7170</v>
      </c>
      <c r="K1405">
        <v>10452</v>
      </c>
      <c r="N1405" t="s">
        <v>7237</v>
      </c>
      <c r="O1405" t="s">
        <v>8152</v>
      </c>
      <c r="P1405">
        <v>1</v>
      </c>
      <c r="Q1405">
        <v>0</v>
      </c>
      <c r="R1405">
        <v>381.43</v>
      </c>
      <c r="U1405">
        <v>46000</v>
      </c>
      <c r="W1405">
        <v>0.1</v>
      </c>
      <c r="X1405" t="s">
        <v>920</v>
      </c>
      <c r="Y1405" t="s">
        <v>10897</v>
      </c>
      <c r="AA1405" t="s">
        <v>10974</v>
      </c>
      <c r="AB1405" t="s">
        <v>11013</v>
      </c>
      <c r="AD1405" t="s">
        <v>11096</v>
      </c>
      <c r="AF1405" t="s">
        <v>11122</v>
      </c>
      <c r="AH1405" t="s">
        <v>10974</v>
      </c>
      <c r="AJ1405" t="s">
        <v>11141</v>
      </c>
      <c r="AK1405" t="s">
        <v>7225</v>
      </c>
      <c r="AM1405">
        <v>749</v>
      </c>
      <c r="AO1405">
        <v>122</v>
      </c>
      <c r="AQ1405" t="s">
        <v>11157</v>
      </c>
      <c r="AS1405" t="s">
        <v>11173</v>
      </c>
      <c r="AU1405">
        <v>23</v>
      </c>
      <c r="AW1405" t="s">
        <v>11187</v>
      </c>
      <c r="AZ1405" t="s">
        <v>11221</v>
      </c>
      <c r="BE1405" t="s">
        <v>12452</v>
      </c>
      <c r="BG1405" t="s">
        <v>14717</v>
      </c>
      <c r="BM1405" t="s">
        <v>15650</v>
      </c>
    </row>
    <row r="1406" spans="1:65">
      <c r="A1406" s="1">
        <f>HYPERLINK("https://lsnyc.legalserver.org/matter/dynamic-profile/view/1902340","19-1902340")</f>
        <v>0</v>
      </c>
      <c r="B1406" t="s">
        <v>120</v>
      </c>
      <c r="C1406" t="s">
        <v>246</v>
      </c>
      <c r="D1406" t="s">
        <v>447</v>
      </c>
      <c r="E1406" t="s">
        <v>264</v>
      </c>
      <c r="F1406" t="s">
        <v>1137</v>
      </c>
      <c r="G1406" t="s">
        <v>3567</v>
      </c>
      <c r="H1406" t="s">
        <v>5288</v>
      </c>
      <c r="I1406" t="s">
        <v>6742</v>
      </c>
      <c r="J1406" t="s">
        <v>7170</v>
      </c>
      <c r="K1406">
        <v>10452</v>
      </c>
      <c r="L1406" t="s">
        <v>7216</v>
      </c>
      <c r="N1406" t="s">
        <v>7237</v>
      </c>
      <c r="O1406" t="s">
        <v>8206</v>
      </c>
      <c r="P1406">
        <v>2</v>
      </c>
      <c r="Q1406">
        <v>0</v>
      </c>
      <c r="R1406">
        <v>147.84</v>
      </c>
      <c r="U1406">
        <v>25000</v>
      </c>
      <c r="W1406">
        <v>1.6</v>
      </c>
      <c r="X1406" t="s">
        <v>536</v>
      </c>
      <c r="Y1406" t="s">
        <v>120</v>
      </c>
      <c r="AA1406" t="s">
        <v>10974</v>
      </c>
      <c r="AB1406" t="s">
        <v>10979</v>
      </c>
      <c r="AD1406" t="s">
        <v>11086</v>
      </c>
      <c r="AF1406" t="s">
        <v>11119</v>
      </c>
      <c r="AG1406" t="s">
        <v>11124</v>
      </c>
      <c r="AJ1406" t="s">
        <v>11130</v>
      </c>
      <c r="AK1406" t="s">
        <v>7225</v>
      </c>
      <c r="AM1406">
        <v>1329</v>
      </c>
      <c r="AO1406">
        <v>120</v>
      </c>
      <c r="AQ1406" t="s">
        <v>11159</v>
      </c>
      <c r="AS1406" t="s">
        <v>11173</v>
      </c>
      <c r="AU1406">
        <v>7</v>
      </c>
      <c r="AW1406" t="s">
        <v>11187</v>
      </c>
      <c r="BA1406" t="s">
        <v>11222</v>
      </c>
      <c r="BE1406" t="s">
        <v>12506</v>
      </c>
      <c r="BF1406" t="s">
        <v>14364</v>
      </c>
      <c r="BG1406" t="s">
        <v>14738</v>
      </c>
      <c r="BM1406" t="s">
        <v>15651</v>
      </c>
    </row>
    <row r="1407" spans="1:65">
      <c r="A1407" s="1">
        <f>HYPERLINK("https://lsnyc.legalserver.org/matter/dynamic-profile/view/0781238","15-0781238")</f>
        <v>0</v>
      </c>
      <c r="B1407" t="s">
        <v>120</v>
      </c>
      <c r="C1407" t="s">
        <v>246</v>
      </c>
      <c r="D1407" t="s">
        <v>689</v>
      </c>
      <c r="F1407" t="s">
        <v>1367</v>
      </c>
      <c r="G1407" t="s">
        <v>3539</v>
      </c>
      <c r="H1407" t="s">
        <v>4844</v>
      </c>
      <c r="I1407" t="s">
        <v>6726</v>
      </c>
      <c r="J1407" t="s">
        <v>7170</v>
      </c>
      <c r="K1407">
        <v>10452</v>
      </c>
      <c r="N1407" t="s">
        <v>7237</v>
      </c>
      <c r="O1407" t="s">
        <v>8153</v>
      </c>
      <c r="P1407">
        <v>1</v>
      </c>
      <c r="Q1407">
        <v>0</v>
      </c>
      <c r="R1407">
        <v>260.39</v>
      </c>
      <c r="U1407">
        <v>30648</v>
      </c>
      <c r="W1407">
        <v>0.5</v>
      </c>
      <c r="X1407" t="s">
        <v>10815</v>
      </c>
      <c r="Y1407" t="s">
        <v>138</v>
      </c>
      <c r="AA1407" t="s">
        <v>10974</v>
      </c>
      <c r="AB1407" t="s">
        <v>689</v>
      </c>
      <c r="AD1407" t="s">
        <v>11085</v>
      </c>
      <c r="AF1407" t="s">
        <v>11118</v>
      </c>
      <c r="AH1407" t="s">
        <v>10974</v>
      </c>
      <c r="AI1407" t="s">
        <v>11126</v>
      </c>
      <c r="AK1407" t="s">
        <v>7225</v>
      </c>
      <c r="AM1407">
        <v>779.6</v>
      </c>
      <c r="AN1407" t="s">
        <v>11151</v>
      </c>
      <c r="AO1407" t="s">
        <v>11153</v>
      </c>
      <c r="AP1407" t="s">
        <v>11155</v>
      </c>
      <c r="AR1407" t="s">
        <v>11172</v>
      </c>
      <c r="AU1407">
        <v>24</v>
      </c>
      <c r="AW1407" t="s">
        <v>11187</v>
      </c>
      <c r="AZ1407" t="s">
        <v>11221</v>
      </c>
      <c r="BE1407" t="s">
        <v>12453</v>
      </c>
      <c r="BF1407" t="s">
        <v>14364</v>
      </c>
      <c r="BG1407" t="s">
        <v>14716</v>
      </c>
      <c r="BM1407" t="s">
        <v>15650</v>
      </c>
    </row>
    <row r="1408" spans="1:65">
      <c r="A1408" s="1">
        <f>HYPERLINK("https://lsnyc.legalserver.org/matter/dynamic-profile/view/1841105","17-1841105")</f>
        <v>0</v>
      </c>
      <c r="B1408" t="s">
        <v>120</v>
      </c>
      <c r="C1408" t="s">
        <v>246</v>
      </c>
      <c r="D1408" t="s">
        <v>711</v>
      </c>
      <c r="F1408" t="s">
        <v>1782</v>
      </c>
      <c r="G1408" t="s">
        <v>2954</v>
      </c>
      <c r="H1408" t="s">
        <v>5278</v>
      </c>
      <c r="I1408" t="s">
        <v>6471</v>
      </c>
      <c r="J1408" t="s">
        <v>7170</v>
      </c>
      <c r="K1408">
        <v>10463</v>
      </c>
      <c r="N1408" t="s">
        <v>7237</v>
      </c>
      <c r="O1408" t="s">
        <v>8207</v>
      </c>
      <c r="P1408">
        <v>1</v>
      </c>
      <c r="Q1408">
        <v>0</v>
      </c>
      <c r="R1408">
        <v>199</v>
      </c>
      <c r="S1408" t="s">
        <v>277</v>
      </c>
      <c r="U1408">
        <v>24000</v>
      </c>
      <c r="W1408">
        <v>0.1</v>
      </c>
      <c r="X1408" t="s">
        <v>618</v>
      </c>
      <c r="Y1408" t="s">
        <v>10900</v>
      </c>
      <c r="AA1408" t="s">
        <v>10974</v>
      </c>
      <c r="AB1408" t="s">
        <v>11015</v>
      </c>
      <c r="AD1408" t="s">
        <v>11090</v>
      </c>
      <c r="AF1408" t="s">
        <v>11120</v>
      </c>
      <c r="AH1408" t="s">
        <v>10974</v>
      </c>
      <c r="AJ1408" t="s">
        <v>11139</v>
      </c>
      <c r="AK1408" t="s">
        <v>7225</v>
      </c>
      <c r="AM1408">
        <v>215</v>
      </c>
      <c r="AO1408">
        <v>67</v>
      </c>
      <c r="AQ1408" t="s">
        <v>11157</v>
      </c>
      <c r="AR1408" t="s">
        <v>11172</v>
      </c>
      <c r="AU1408">
        <v>4</v>
      </c>
      <c r="AW1408" t="s">
        <v>11187</v>
      </c>
      <c r="AZ1408" t="s">
        <v>11221</v>
      </c>
      <c r="BE1408" t="s">
        <v>12507</v>
      </c>
      <c r="BF1408" t="s">
        <v>14364</v>
      </c>
      <c r="BG1408" t="s">
        <v>14739</v>
      </c>
      <c r="BM1408" t="s">
        <v>15650</v>
      </c>
    </row>
    <row r="1409" spans="1:65">
      <c r="A1409" s="1">
        <f>HYPERLINK("https://lsnyc.legalserver.org/matter/dynamic-profile/view/0789072","15-0789072")</f>
        <v>0</v>
      </c>
      <c r="B1409" t="s">
        <v>120</v>
      </c>
      <c r="C1409" t="s">
        <v>246</v>
      </c>
      <c r="D1409" t="s">
        <v>697</v>
      </c>
      <c r="F1409" t="s">
        <v>1307</v>
      </c>
      <c r="G1409" t="s">
        <v>3546</v>
      </c>
      <c r="H1409" t="s">
        <v>4844</v>
      </c>
      <c r="I1409" t="s">
        <v>6731</v>
      </c>
      <c r="J1409" t="s">
        <v>7170</v>
      </c>
      <c r="K1409">
        <v>10452</v>
      </c>
      <c r="N1409" t="s">
        <v>7237</v>
      </c>
      <c r="O1409" t="s">
        <v>8170</v>
      </c>
      <c r="P1409">
        <v>2</v>
      </c>
      <c r="Q1409">
        <v>0</v>
      </c>
      <c r="R1409">
        <v>116.91</v>
      </c>
      <c r="U1409">
        <v>18624</v>
      </c>
      <c r="W1409">
        <v>0.5</v>
      </c>
      <c r="X1409" t="s">
        <v>10817</v>
      </c>
      <c r="Y1409" t="s">
        <v>138</v>
      </c>
      <c r="AA1409" t="s">
        <v>10974</v>
      </c>
      <c r="AB1409" t="s">
        <v>697</v>
      </c>
      <c r="AD1409" t="s">
        <v>11085</v>
      </c>
      <c r="AF1409" t="s">
        <v>11118</v>
      </c>
      <c r="AH1409" t="s">
        <v>10974</v>
      </c>
      <c r="AJ1409" t="s">
        <v>11132</v>
      </c>
      <c r="AK1409" t="s">
        <v>7225</v>
      </c>
      <c r="AM1409">
        <v>1011.05</v>
      </c>
      <c r="AN1409" t="s">
        <v>11151</v>
      </c>
      <c r="AO1409" t="s">
        <v>11153</v>
      </c>
      <c r="AQ1409" t="s">
        <v>11157</v>
      </c>
      <c r="AS1409" t="s">
        <v>11175</v>
      </c>
      <c r="AU1409">
        <v>24</v>
      </c>
      <c r="AW1409" t="s">
        <v>11189</v>
      </c>
      <c r="AZ1409" t="s">
        <v>11221</v>
      </c>
      <c r="BE1409" t="s">
        <v>12469</v>
      </c>
      <c r="BF1409" t="s">
        <v>14364</v>
      </c>
      <c r="BG1409" t="s">
        <v>14716</v>
      </c>
      <c r="BM1409" t="s">
        <v>15650</v>
      </c>
    </row>
    <row r="1410" spans="1:65">
      <c r="A1410" s="1">
        <f>HYPERLINK("https://lsnyc.legalserver.org/matter/dynamic-profile/view/1855758","18-1855758")</f>
        <v>0</v>
      </c>
      <c r="B1410" t="s">
        <v>120</v>
      </c>
      <c r="C1410" t="s">
        <v>246</v>
      </c>
      <c r="D1410" t="s">
        <v>712</v>
      </c>
      <c r="F1410" t="s">
        <v>1144</v>
      </c>
      <c r="G1410" t="s">
        <v>3568</v>
      </c>
      <c r="H1410" t="s">
        <v>5289</v>
      </c>
      <c r="I1410" t="s">
        <v>6743</v>
      </c>
      <c r="J1410" t="s">
        <v>7170</v>
      </c>
      <c r="K1410">
        <v>10472</v>
      </c>
      <c r="N1410" t="s">
        <v>7244</v>
      </c>
      <c r="O1410" t="s">
        <v>8208</v>
      </c>
      <c r="P1410">
        <v>1</v>
      </c>
      <c r="Q1410">
        <v>0</v>
      </c>
      <c r="R1410">
        <v>98.51000000000001</v>
      </c>
      <c r="U1410">
        <v>11880</v>
      </c>
      <c r="W1410">
        <v>15.45</v>
      </c>
      <c r="X1410" t="s">
        <v>666</v>
      </c>
      <c r="Y1410" t="s">
        <v>10906</v>
      </c>
      <c r="AA1410" t="s">
        <v>10974</v>
      </c>
      <c r="AB1410" t="s">
        <v>691</v>
      </c>
      <c r="AD1410" t="s">
        <v>11090</v>
      </c>
      <c r="AF1410" t="s">
        <v>11120</v>
      </c>
      <c r="AH1410" t="s">
        <v>10975</v>
      </c>
      <c r="AJ1410" t="s">
        <v>11138</v>
      </c>
      <c r="AK1410" t="s">
        <v>7225</v>
      </c>
      <c r="AM1410">
        <v>990</v>
      </c>
      <c r="AO1410">
        <v>78</v>
      </c>
      <c r="AQ1410" t="s">
        <v>11157</v>
      </c>
      <c r="AS1410" t="s">
        <v>11181</v>
      </c>
      <c r="AU1410">
        <v>6</v>
      </c>
      <c r="AW1410" t="s">
        <v>11187</v>
      </c>
      <c r="AZ1410" t="s">
        <v>11221</v>
      </c>
      <c r="BE1410" t="s">
        <v>12508</v>
      </c>
      <c r="BF1410" t="s">
        <v>14364</v>
      </c>
      <c r="BG1410" t="s">
        <v>14740</v>
      </c>
      <c r="BM1410" t="s">
        <v>15650</v>
      </c>
    </row>
    <row r="1411" spans="1:65">
      <c r="A1411" s="1">
        <f>HYPERLINK("https://lsnyc.legalserver.org/matter/dynamic-profile/view/1853275","17-1853275")</f>
        <v>0</v>
      </c>
      <c r="B1411" t="s">
        <v>120</v>
      </c>
      <c r="C1411" t="s">
        <v>246</v>
      </c>
      <c r="D1411" t="s">
        <v>713</v>
      </c>
      <c r="F1411" t="s">
        <v>1144</v>
      </c>
      <c r="G1411" t="s">
        <v>3568</v>
      </c>
      <c r="H1411" t="s">
        <v>5289</v>
      </c>
      <c r="I1411" t="s">
        <v>6743</v>
      </c>
      <c r="J1411" t="s">
        <v>7170</v>
      </c>
      <c r="K1411">
        <v>10472</v>
      </c>
      <c r="N1411" t="s">
        <v>7237</v>
      </c>
      <c r="O1411" t="s">
        <v>8208</v>
      </c>
      <c r="P1411">
        <v>1</v>
      </c>
      <c r="Q1411">
        <v>0</v>
      </c>
      <c r="R1411">
        <v>98.51000000000001</v>
      </c>
      <c r="U1411">
        <v>11880</v>
      </c>
      <c r="W1411">
        <v>25.3</v>
      </c>
      <c r="X1411" t="s">
        <v>897</v>
      </c>
      <c r="Y1411" t="s">
        <v>10864</v>
      </c>
      <c r="AA1411" t="s">
        <v>10974</v>
      </c>
      <c r="AB1411" t="s">
        <v>700</v>
      </c>
      <c r="AD1411" t="s">
        <v>11101</v>
      </c>
      <c r="AF1411" t="s">
        <v>11118</v>
      </c>
      <c r="AH1411" t="s">
        <v>10975</v>
      </c>
      <c r="AJ1411" t="s">
        <v>11138</v>
      </c>
      <c r="AK1411" t="s">
        <v>7225</v>
      </c>
      <c r="AM1411">
        <v>990</v>
      </c>
      <c r="AO1411">
        <v>78</v>
      </c>
      <c r="AQ1411" t="s">
        <v>11157</v>
      </c>
      <c r="AS1411" t="s">
        <v>11181</v>
      </c>
      <c r="AU1411">
        <v>6</v>
      </c>
      <c r="AW1411" t="s">
        <v>11187</v>
      </c>
      <c r="AZ1411" t="s">
        <v>11221</v>
      </c>
      <c r="BE1411" t="s">
        <v>12508</v>
      </c>
      <c r="BG1411" t="s">
        <v>14741</v>
      </c>
      <c r="BM1411" t="s">
        <v>15650</v>
      </c>
    </row>
    <row r="1412" spans="1:65">
      <c r="A1412" s="1">
        <f>HYPERLINK("https://lsnyc.legalserver.org/matter/dynamic-profile/view/1878072","18-1878072")</f>
        <v>0</v>
      </c>
      <c r="B1412" t="s">
        <v>120</v>
      </c>
      <c r="C1412" t="s">
        <v>246</v>
      </c>
      <c r="D1412" t="s">
        <v>279</v>
      </c>
      <c r="F1412" t="s">
        <v>1771</v>
      </c>
      <c r="G1412" t="s">
        <v>3557</v>
      </c>
      <c r="H1412" t="s">
        <v>5279</v>
      </c>
      <c r="I1412" t="s">
        <v>6404</v>
      </c>
      <c r="J1412" t="s">
        <v>7170</v>
      </c>
      <c r="K1412">
        <v>10453</v>
      </c>
      <c r="N1412" t="s">
        <v>7237</v>
      </c>
      <c r="O1412" t="s">
        <v>8188</v>
      </c>
      <c r="P1412">
        <v>1</v>
      </c>
      <c r="Q1412">
        <v>0</v>
      </c>
      <c r="R1412">
        <v>102.5</v>
      </c>
      <c r="U1412">
        <v>12444</v>
      </c>
      <c r="W1412">
        <v>15.35</v>
      </c>
      <c r="X1412" t="s">
        <v>264</v>
      </c>
      <c r="Y1412" t="s">
        <v>216</v>
      </c>
      <c r="AA1412" t="s">
        <v>10974</v>
      </c>
      <c r="AB1412" t="s">
        <v>11016</v>
      </c>
      <c r="AD1412" t="s">
        <v>11101</v>
      </c>
      <c r="AF1412" t="s">
        <v>11118</v>
      </c>
      <c r="AH1412" t="s">
        <v>10975</v>
      </c>
      <c r="AJ1412" t="s">
        <v>11129</v>
      </c>
      <c r="AK1412" t="s">
        <v>7225</v>
      </c>
      <c r="AM1412">
        <v>1437</v>
      </c>
      <c r="AO1412">
        <v>53</v>
      </c>
      <c r="AQ1412" t="s">
        <v>11157</v>
      </c>
      <c r="AS1412" t="s">
        <v>11174</v>
      </c>
      <c r="AU1412">
        <v>25</v>
      </c>
      <c r="AW1412" t="s">
        <v>11189</v>
      </c>
      <c r="AZ1412" t="s">
        <v>11221</v>
      </c>
      <c r="BE1412" t="s">
        <v>12488</v>
      </c>
      <c r="BG1412" t="s">
        <v>14742</v>
      </c>
      <c r="BM1412" t="s">
        <v>15650</v>
      </c>
    </row>
    <row r="1413" spans="1:65">
      <c r="A1413" s="1">
        <f>HYPERLINK("https://lsnyc.legalserver.org/matter/dynamic-profile/view/1855754","18-1855754")</f>
        <v>0</v>
      </c>
      <c r="B1413" t="s">
        <v>120</v>
      </c>
      <c r="C1413" t="s">
        <v>246</v>
      </c>
      <c r="D1413" t="s">
        <v>712</v>
      </c>
      <c r="F1413" t="s">
        <v>1144</v>
      </c>
      <c r="G1413" t="s">
        <v>3568</v>
      </c>
      <c r="H1413" t="s">
        <v>5289</v>
      </c>
      <c r="I1413" t="s">
        <v>6743</v>
      </c>
      <c r="J1413" t="s">
        <v>7170</v>
      </c>
      <c r="K1413">
        <v>10472</v>
      </c>
      <c r="N1413" t="s">
        <v>7244</v>
      </c>
      <c r="O1413" t="s">
        <v>8208</v>
      </c>
      <c r="P1413">
        <v>1</v>
      </c>
      <c r="Q1413">
        <v>0</v>
      </c>
      <c r="R1413">
        <v>98.51000000000001</v>
      </c>
      <c r="U1413">
        <v>11880</v>
      </c>
      <c r="W1413">
        <v>158.15</v>
      </c>
      <c r="X1413" t="s">
        <v>666</v>
      </c>
      <c r="Y1413" t="s">
        <v>10906</v>
      </c>
      <c r="AA1413" t="s">
        <v>10974</v>
      </c>
      <c r="AB1413" t="s">
        <v>691</v>
      </c>
      <c r="AD1413" t="s">
        <v>11109</v>
      </c>
      <c r="AF1413" t="s">
        <v>11123</v>
      </c>
      <c r="AH1413" t="s">
        <v>10975</v>
      </c>
      <c r="AJ1413" t="s">
        <v>11138</v>
      </c>
      <c r="AK1413" t="s">
        <v>7225</v>
      </c>
      <c r="AM1413">
        <v>990</v>
      </c>
      <c r="AO1413">
        <v>78</v>
      </c>
      <c r="AQ1413" t="s">
        <v>11157</v>
      </c>
      <c r="AS1413" t="s">
        <v>11181</v>
      </c>
      <c r="AU1413">
        <v>6</v>
      </c>
      <c r="AW1413" t="s">
        <v>11187</v>
      </c>
      <c r="AZ1413" t="s">
        <v>11221</v>
      </c>
      <c r="BE1413" t="s">
        <v>12508</v>
      </c>
      <c r="BG1413" t="s">
        <v>14743</v>
      </c>
      <c r="BM1413" t="s">
        <v>15650</v>
      </c>
    </row>
    <row r="1414" spans="1:65">
      <c r="A1414" s="1">
        <f>HYPERLINK("https://lsnyc.legalserver.org/matter/dynamic-profile/view/1893008","19-1893008")</f>
        <v>0</v>
      </c>
      <c r="B1414" t="s">
        <v>120</v>
      </c>
      <c r="C1414" t="s">
        <v>246</v>
      </c>
      <c r="D1414" t="s">
        <v>693</v>
      </c>
      <c r="F1414" t="s">
        <v>1093</v>
      </c>
      <c r="G1414" t="s">
        <v>3569</v>
      </c>
      <c r="H1414" t="s">
        <v>5262</v>
      </c>
      <c r="I1414" t="s">
        <v>6410</v>
      </c>
      <c r="J1414" t="s">
        <v>7170</v>
      </c>
      <c r="K1414">
        <v>10467</v>
      </c>
      <c r="N1414" t="s">
        <v>7237</v>
      </c>
      <c r="O1414" t="s">
        <v>8209</v>
      </c>
      <c r="P1414">
        <v>2</v>
      </c>
      <c r="Q1414">
        <v>0</v>
      </c>
      <c r="R1414">
        <v>54.71</v>
      </c>
      <c r="U1414">
        <v>9252</v>
      </c>
      <c r="W1414">
        <v>1.9</v>
      </c>
      <c r="X1414" t="s">
        <v>445</v>
      </c>
      <c r="Y1414" t="s">
        <v>93</v>
      </c>
      <c r="AA1414" t="s">
        <v>10974</v>
      </c>
      <c r="AB1414" t="s">
        <v>10979</v>
      </c>
      <c r="AC1414" t="s">
        <v>11081</v>
      </c>
      <c r="AF1414" t="s">
        <v>10384</v>
      </c>
      <c r="AH1414" t="s">
        <v>10974</v>
      </c>
      <c r="AJ1414" t="s">
        <v>11134</v>
      </c>
      <c r="AK1414" t="s">
        <v>7225</v>
      </c>
      <c r="AM1414">
        <v>164</v>
      </c>
      <c r="AO1414">
        <v>122</v>
      </c>
      <c r="AQ1414" t="s">
        <v>11156</v>
      </c>
      <c r="AS1414" t="s">
        <v>11174</v>
      </c>
      <c r="AU1414">
        <v>35</v>
      </c>
      <c r="AW1414" t="s">
        <v>11187</v>
      </c>
      <c r="BA1414" t="s">
        <v>11222</v>
      </c>
      <c r="BE1414" t="s">
        <v>12509</v>
      </c>
      <c r="BF1414" t="s">
        <v>14364</v>
      </c>
      <c r="BM1414" t="s">
        <v>15650</v>
      </c>
    </row>
    <row r="1415" spans="1:65">
      <c r="A1415" s="1">
        <f>HYPERLINK("https://lsnyc.legalserver.org/matter/dynamic-profile/view/1903527","19-1903527")</f>
        <v>0</v>
      </c>
      <c r="B1415" t="s">
        <v>120</v>
      </c>
      <c r="C1415" t="s">
        <v>246</v>
      </c>
      <c r="D1415" t="s">
        <v>450</v>
      </c>
      <c r="F1415" t="s">
        <v>1705</v>
      </c>
      <c r="G1415" t="s">
        <v>3481</v>
      </c>
      <c r="H1415" t="s">
        <v>5235</v>
      </c>
      <c r="I1415">
        <v>3</v>
      </c>
      <c r="J1415" t="s">
        <v>7170</v>
      </c>
      <c r="K1415">
        <v>10462</v>
      </c>
      <c r="N1415" t="s">
        <v>7237</v>
      </c>
      <c r="O1415" t="s">
        <v>8069</v>
      </c>
      <c r="P1415">
        <v>1</v>
      </c>
      <c r="Q1415">
        <v>0</v>
      </c>
      <c r="R1415">
        <v>96.16</v>
      </c>
      <c r="U1415">
        <v>12010.68</v>
      </c>
      <c r="W1415">
        <v>2.25</v>
      </c>
      <c r="X1415" t="s">
        <v>264</v>
      </c>
      <c r="Y1415" t="s">
        <v>235</v>
      </c>
      <c r="AA1415" t="s">
        <v>10974</v>
      </c>
      <c r="AD1415" t="s">
        <v>11102</v>
      </c>
      <c r="AF1415" t="s">
        <v>11119</v>
      </c>
      <c r="AH1415" t="s">
        <v>10975</v>
      </c>
      <c r="AI1415" t="s">
        <v>11126</v>
      </c>
      <c r="AK1415" t="s">
        <v>7225</v>
      </c>
      <c r="AL1415" t="s">
        <v>11150</v>
      </c>
      <c r="AM1415">
        <v>0</v>
      </c>
      <c r="AN1415" t="s">
        <v>11151</v>
      </c>
      <c r="AO1415" t="s">
        <v>11153</v>
      </c>
      <c r="AP1415" t="s">
        <v>11155</v>
      </c>
      <c r="AS1415" t="s">
        <v>11180</v>
      </c>
      <c r="AT1415" t="s">
        <v>11184</v>
      </c>
      <c r="AU1415">
        <v>0</v>
      </c>
      <c r="AW1415" t="s">
        <v>11187</v>
      </c>
      <c r="AX1415" t="s">
        <v>11212</v>
      </c>
      <c r="BA1415" t="s">
        <v>11222</v>
      </c>
      <c r="BE1415" t="s">
        <v>12385</v>
      </c>
      <c r="BF1415" t="s">
        <v>14364</v>
      </c>
      <c r="BM1415" t="s">
        <v>15650</v>
      </c>
    </row>
    <row r="1416" spans="1:65">
      <c r="A1416" s="1">
        <f>HYPERLINK("https://lsnyc.legalserver.org/matter/dynamic-profile/view/0822142","16-0822142")</f>
        <v>0</v>
      </c>
      <c r="B1416" t="s">
        <v>120</v>
      </c>
      <c r="C1416" t="s">
        <v>246</v>
      </c>
      <c r="D1416" t="s">
        <v>278</v>
      </c>
      <c r="F1416" t="s">
        <v>1760</v>
      </c>
      <c r="G1416" t="s">
        <v>2938</v>
      </c>
      <c r="H1416" t="s">
        <v>4844</v>
      </c>
      <c r="I1416" t="s">
        <v>6734</v>
      </c>
      <c r="J1416" t="s">
        <v>7170</v>
      </c>
      <c r="K1416">
        <v>10452</v>
      </c>
      <c r="N1416" t="s">
        <v>7237</v>
      </c>
      <c r="O1416" t="s">
        <v>8176</v>
      </c>
      <c r="P1416">
        <v>1</v>
      </c>
      <c r="Q1416">
        <v>0</v>
      </c>
      <c r="R1416">
        <v>97.88</v>
      </c>
      <c r="U1416">
        <v>11628</v>
      </c>
      <c r="W1416">
        <v>0.1</v>
      </c>
      <c r="X1416" t="s">
        <v>698</v>
      </c>
      <c r="Y1416" t="s">
        <v>10897</v>
      </c>
      <c r="AA1416" t="s">
        <v>10974</v>
      </c>
      <c r="AB1416" t="s">
        <v>278</v>
      </c>
      <c r="AD1416" t="s">
        <v>11096</v>
      </c>
      <c r="AF1416" t="s">
        <v>11122</v>
      </c>
      <c r="AH1416" t="s">
        <v>10974</v>
      </c>
      <c r="AI1416" t="s">
        <v>11126</v>
      </c>
      <c r="AK1416" t="s">
        <v>7225</v>
      </c>
      <c r="AM1416">
        <v>683.12</v>
      </c>
      <c r="AO1416">
        <v>122</v>
      </c>
      <c r="AQ1416" t="s">
        <v>11157</v>
      </c>
      <c r="AR1416" t="s">
        <v>11172</v>
      </c>
      <c r="AT1416" t="s">
        <v>11184</v>
      </c>
      <c r="AU1416">
        <v>0</v>
      </c>
      <c r="AW1416" t="s">
        <v>11189</v>
      </c>
      <c r="AZ1416" t="s">
        <v>11221</v>
      </c>
      <c r="BE1416" t="s">
        <v>12476</v>
      </c>
      <c r="BG1416" t="s">
        <v>14719</v>
      </c>
      <c r="BM1416" t="s">
        <v>15650</v>
      </c>
    </row>
    <row r="1417" spans="1:65">
      <c r="A1417" s="1">
        <f>HYPERLINK("https://lsnyc.legalserver.org/matter/dynamic-profile/view/1857401","18-1857401")</f>
        <v>0</v>
      </c>
      <c r="B1417" t="s">
        <v>120</v>
      </c>
      <c r="C1417" t="s">
        <v>246</v>
      </c>
      <c r="D1417" t="s">
        <v>700</v>
      </c>
      <c r="F1417" t="s">
        <v>1760</v>
      </c>
      <c r="G1417" t="s">
        <v>2938</v>
      </c>
      <c r="H1417" t="s">
        <v>4844</v>
      </c>
      <c r="I1417" t="s">
        <v>6734</v>
      </c>
      <c r="J1417" t="s">
        <v>7170</v>
      </c>
      <c r="K1417">
        <v>10452</v>
      </c>
      <c r="N1417" t="s">
        <v>7237</v>
      </c>
      <c r="O1417" t="s">
        <v>8176</v>
      </c>
      <c r="P1417">
        <v>1</v>
      </c>
      <c r="Q1417">
        <v>0</v>
      </c>
      <c r="R1417">
        <v>96.42</v>
      </c>
      <c r="U1417">
        <v>11628</v>
      </c>
      <c r="V1417" t="s">
        <v>10396</v>
      </c>
      <c r="W1417">
        <v>0</v>
      </c>
      <c r="Y1417" t="s">
        <v>10897</v>
      </c>
      <c r="AA1417" t="s">
        <v>10974</v>
      </c>
      <c r="AB1417" t="s">
        <v>871</v>
      </c>
      <c r="AD1417" t="s">
        <v>11096</v>
      </c>
      <c r="AF1417" t="s">
        <v>11122</v>
      </c>
      <c r="AH1417" t="s">
        <v>10974</v>
      </c>
      <c r="AJ1417" t="s">
        <v>11141</v>
      </c>
      <c r="AK1417" t="s">
        <v>7225</v>
      </c>
      <c r="AL1417" t="s">
        <v>11150</v>
      </c>
      <c r="AM1417">
        <v>0</v>
      </c>
      <c r="AO1417">
        <v>122</v>
      </c>
      <c r="AQ1417" t="s">
        <v>11157</v>
      </c>
      <c r="AR1417" t="s">
        <v>11172</v>
      </c>
      <c r="AT1417" t="s">
        <v>11184</v>
      </c>
      <c r="AU1417">
        <v>0</v>
      </c>
      <c r="AW1417" t="s">
        <v>11189</v>
      </c>
      <c r="AZ1417" t="s">
        <v>11221</v>
      </c>
      <c r="BE1417" t="s">
        <v>12476</v>
      </c>
      <c r="BG1417" t="s">
        <v>14717</v>
      </c>
      <c r="BM1417" t="s">
        <v>15650</v>
      </c>
    </row>
    <row r="1418" spans="1:65">
      <c r="A1418" s="1">
        <f>HYPERLINK("https://lsnyc.legalserver.org/matter/dynamic-profile/view/1892999","19-1892999")</f>
        <v>0</v>
      </c>
      <c r="B1418" t="s">
        <v>120</v>
      </c>
      <c r="C1418" t="s">
        <v>246</v>
      </c>
      <c r="D1418" t="s">
        <v>693</v>
      </c>
      <c r="F1418" t="s">
        <v>1632</v>
      </c>
      <c r="G1418" t="s">
        <v>3236</v>
      </c>
      <c r="H1418" t="s">
        <v>5267</v>
      </c>
      <c r="I1418" t="s">
        <v>6503</v>
      </c>
      <c r="J1418" t="s">
        <v>7170</v>
      </c>
      <c r="K1418">
        <v>10467</v>
      </c>
      <c r="N1418" t="s">
        <v>7237</v>
      </c>
      <c r="O1418" t="s">
        <v>7655</v>
      </c>
      <c r="P1418">
        <v>2</v>
      </c>
      <c r="Q1418">
        <v>0</v>
      </c>
      <c r="R1418">
        <v>443.52</v>
      </c>
      <c r="U1418">
        <v>75000</v>
      </c>
      <c r="W1418">
        <v>0</v>
      </c>
      <c r="Y1418" t="s">
        <v>93</v>
      </c>
      <c r="AA1418" t="s">
        <v>10974</v>
      </c>
      <c r="AB1418" t="s">
        <v>10979</v>
      </c>
      <c r="AC1418" t="s">
        <v>11081</v>
      </c>
      <c r="AF1418" t="s">
        <v>11120</v>
      </c>
      <c r="AH1418" t="s">
        <v>10974</v>
      </c>
      <c r="AJ1418" t="s">
        <v>11134</v>
      </c>
      <c r="AK1418" t="s">
        <v>7225</v>
      </c>
      <c r="AM1418">
        <v>2000</v>
      </c>
      <c r="AO1418">
        <v>122</v>
      </c>
      <c r="AQ1418" t="s">
        <v>11156</v>
      </c>
      <c r="AS1418" t="s">
        <v>11173</v>
      </c>
      <c r="AU1418">
        <v>3</v>
      </c>
      <c r="AW1418" t="s">
        <v>11204</v>
      </c>
      <c r="BA1418" t="s">
        <v>11222</v>
      </c>
      <c r="BE1418" t="s">
        <v>12510</v>
      </c>
      <c r="BF1418" t="s">
        <v>14364</v>
      </c>
      <c r="BM1418" t="s">
        <v>15650</v>
      </c>
    </row>
    <row r="1419" spans="1:65">
      <c r="A1419" s="1">
        <f>HYPERLINK("https://lsnyc.legalserver.org/matter/dynamic-profile/view/0822356","16-0822356")</f>
        <v>0</v>
      </c>
      <c r="B1419" t="s">
        <v>120</v>
      </c>
      <c r="C1419" t="s">
        <v>246</v>
      </c>
      <c r="D1419" t="s">
        <v>714</v>
      </c>
      <c r="F1419" t="s">
        <v>1783</v>
      </c>
      <c r="G1419" t="s">
        <v>3514</v>
      </c>
      <c r="H1419" t="s">
        <v>5290</v>
      </c>
      <c r="I1419" t="s">
        <v>6744</v>
      </c>
      <c r="J1419" t="s">
        <v>7170</v>
      </c>
      <c r="K1419">
        <v>10468</v>
      </c>
      <c r="N1419" t="s">
        <v>7237</v>
      </c>
      <c r="O1419" t="s">
        <v>8210</v>
      </c>
      <c r="P1419">
        <v>1</v>
      </c>
      <c r="Q1419">
        <v>2</v>
      </c>
      <c r="R1419">
        <v>34.69</v>
      </c>
      <c r="S1419" t="s">
        <v>250</v>
      </c>
      <c r="U1419">
        <v>8190</v>
      </c>
      <c r="W1419">
        <v>145.6</v>
      </c>
      <c r="X1419" t="s">
        <v>279</v>
      </c>
      <c r="Y1419" t="s">
        <v>10899</v>
      </c>
      <c r="AA1419" t="s">
        <v>10974</v>
      </c>
      <c r="AB1419" t="s">
        <v>714</v>
      </c>
      <c r="AD1419" t="s">
        <v>11082</v>
      </c>
      <c r="AF1419" t="s">
        <v>11118</v>
      </c>
      <c r="AH1419" t="s">
        <v>10975</v>
      </c>
      <c r="AJ1419" t="s">
        <v>11141</v>
      </c>
      <c r="AK1419" t="s">
        <v>7225</v>
      </c>
      <c r="AM1419">
        <v>1300</v>
      </c>
      <c r="AO1419">
        <v>37</v>
      </c>
      <c r="AQ1419" t="s">
        <v>11157</v>
      </c>
      <c r="AS1419" t="s">
        <v>11173</v>
      </c>
      <c r="AU1419">
        <v>4</v>
      </c>
      <c r="AW1419" t="s">
        <v>11187</v>
      </c>
      <c r="AZ1419" t="s">
        <v>11221</v>
      </c>
      <c r="BB1419" t="s">
        <v>11224</v>
      </c>
      <c r="BC1419" t="s">
        <v>11360</v>
      </c>
      <c r="BE1419" t="s">
        <v>12511</v>
      </c>
      <c r="BG1419" t="s">
        <v>14744</v>
      </c>
      <c r="BM1419" t="s">
        <v>15650</v>
      </c>
    </row>
    <row r="1420" spans="1:65">
      <c r="A1420" s="1">
        <f>HYPERLINK("https://lsnyc.legalserver.org/matter/dynamic-profile/view/0812664","16-0812664")</f>
        <v>0</v>
      </c>
      <c r="B1420" t="s">
        <v>120</v>
      </c>
      <c r="C1420" t="s">
        <v>246</v>
      </c>
      <c r="D1420" t="s">
        <v>710</v>
      </c>
      <c r="F1420" t="s">
        <v>1262</v>
      </c>
      <c r="G1420" t="s">
        <v>3570</v>
      </c>
      <c r="H1420" t="s">
        <v>5265</v>
      </c>
      <c r="I1420" t="s">
        <v>6440</v>
      </c>
      <c r="J1420" t="s">
        <v>7170</v>
      </c>
      <c r="K1420">
        <v>10452</v>
      </c>
      <c r="N1420" t="s">
        <v>7237</v>
      </c>
      <c r="O1420" t="s">
        <v>8211</v>
      </c>
      <c r="P1420">
        <v>2</v>
      </c>
      <c r="Q1420">
        <v>0</v>
      </c>
      <c r="R1420">
        <v>192.26</v>
      </c>
      <c r="U1420">
        <v>30800</v>
      </c>
      <c r="W1420">
        <v>12.2</v>
      </c>
      <c r="X1420" t="s">
        <v>290</v>
      </c>
      <c r="Y1420" t="s">
        <v>10897</v>
      </c>
      <c r="AA1420" t="s">
        <v>10974</v>
      </c>
      <c r="AB1420" t="s">
        <v>10993</v>
      </c>
      <c r="AD1420" t="s">
        <v>11096</v>
      </c>
      <c r="AF1420" t="s">
        <v>11122</v>
      </c>
      <c r="AH1420" t="s">
        <v>10974</v>
      </c>
      <c r="AJ1420" t="s">
        <v>11141</v>
      </c>
      <c r="AK1420" t="s">
        <v>7225</v>
      </c>
      <c r="AM1420">
        <v>1084</v>
      </c>
      <c r="AO1420">
        <v>63</v>
      </c>
      <c r="AQ1420" t="s">
        <v>11160</v>
      </c>
      <c r="AS1420" t="s">
        <v>11173</v>
      </c>
      <c r="AU1420">
        <v>23</v>
      </c>
      <c r="AW1420" t="s">
        <v>11189</v>
      </c>
      <c r="AZ1420" t="s">
        <v>11221</v>
      </c>
      <c r="BE1420" t="s">
        <v>12512</v>
      </c>
      <c r="BG1420" t="s">
        <v>14721</v>
      </c>
      <c r="BM1420" t="s">
        <v>15650</v>
      </c>
    </row>
    <row r="1421" spans="1:65">
      <c r="A1421" s="1">
        <f>HYPERLINK("https://lsnyc.legalserver.org/matter/dynamic-profile/view/0806134","16-0806134")</f>
        <v>0</v>
      </c>
      <c r="B1421" t="s">
        <v>120</v>
      </c>
      <c r="C1421" t="s">
        <v>246</v>
      </c>
      <c r="D1421" t="s">
        <v>715</v>
      </c>
      <c r="F1421" t="s">
        <v>1098</v>
      </c>
      <c r="G1421" t="s">
        <v>3571</v>
      </c>
      <c r="H1421" t="s">
        <v>4844</v>
      </c>
      <c r="J1421" t="s">
        <v>7170</v>
      </c>
      <c r="K1421">
        <v>10452</v>
      </c>
      <c r="N1421" t="s">
        <v>7237</v>
      </c>
      <c r="O1421" t="s">
        <v>8212</v>
      </c>
      <c r="P1421">
        <v>2</v>
      </c>
      <c r="Q1421">
        <v>0</v>
      </c>
      <c r="R1421">
        <v>97.38</v>
      </c>
      <c r="U1421">
        <v>15600</v>
      </c>
      <c r="W1421">
        <v>0.1</v>
      </c>
      <c r="X1421" t="s">
        <v>698</v>
      </c>
      <c r="Y1421" t="s">
        <v>138</v>
      </c>
      <c r="AA1421" t="s">
        <v>10974</v>
      </c>
      <c r="AB1421" t="s">
        <v>871</v>
      </c>
      <c r="AD1421" t="s">
        <v>11085</v>
      </c>
      <c r="AF1421" t="s">
        <v>11118</v>
      </c>
      <c r="AH1421" t="s">
        <v>10974</v>
      </c>
      <c r="AJ1421" t="s">
        <v>11141</v>
      </c>
      <c r="AK1421" t="s">
        <v>7225</v>
      </c>
      <c r="AM1421">
        <v>669</v>
      </c>
      <c r="AO1421">
        <v>122</v>
      </c>
      <c r="AQ1421" t="s">
        <v>11157</v>
      </c>
      <c r="AR1421" t="s">
        <v>11172</v>
      </c>
      <c r="AT1421" t="s">
        <v>11184</v>
      </c>
      <c r="AU1421">
        <v>0</v>
      </c>
      <c r="AW1421" t="s">
        <v>11189</v>
      </c>
      <c r="AZ1421" t="s">
        <v>11221</v>
      </c>
      <c r="BE1421" t="s">
        <v>12513</v>
      </c>
      <c r="BF1421" t="s">
        <v>14364</v>
      </c>
      <c r="BG1421" t="s">
        <v>14716</v>
      </c>
      <c r="BM1421" t="s">
        <v>15650</v>
      </c>
    </row>
    <row r="1422" spans="1:65">
      <c r="A1422" s="1">
        <f>HYPERLINK("https://lsnyc.legalserver.org/matter/dynamic-profile/view/0812555","16-0812555")</f>
        <v>0</v>
      </c>
      <c r="B1422" t="s">
        <v>120</v>
      </c>
      <c r="C1422" t="s">
        <v>246</v>
      </c>
      <c r="D1422" t="s">
        <v>703</v>
      </c>
      <c r="F1422" t="s">
        <v>1784</v>
      </c>
      <c r="G1422" t="s">
        <v>3572</v>
      </c>
      <c r="H1422" t="s">
        <v>5265</v>
      </c>
      <c r="I1422" t="s">
        <v>6745</v>
      </c>
      <c r="J1422" t="s">
        <v>7170</v>
      </c>
      <c r="K1422">
        <v>10452</v>
      </c>
      <c r="N1422" t="s">
        <v>7237</v>
      </c>
      <c r="O1422" t="s">
        <v>8213</v>
      </c>
      <c r="P1422">
        <v>1</v>
      </c>
      <c r="Q1422">
        <v>0</v>
      </c>
      <c r="R1422">
        <v>81.92</v>
      </c>
      <c r="U1422">
        <v>9732</v>
      </c>
      <c r="W1422">
        <v>0.2</v>
      </c>
      <c r="X1422" t="s">
        <v>10818</v>
      </c>
      <c r="Y1422" t="s">
        <v>10897</v>
      </c>
      <c r="AA1422" t="s">
        <v>10974</v>
      </c>
      <c r="AB1422" t="s">
        <v>10993</v>
      </c>
      <c r="AD1422" t="s">
        <v>11096</v>
      </c>
      <c r="AF1422" t="s">
        <v>11122</v>
      </c>
      <c r="AH1422" t="s">
        <v>10974</v>
      </c>
      <c r="AJ1422" t="s">
        <v>11141</v>
      </c>
      <c r="AK1422" t="s">
        <v>7225</v>
      </c>
      <c r="AM1422">
        <v>834</v>
      </c>
      <c r="AO1422">
        <v>63</v>
      </c>
      <c r="AQ1422" t="s">
        <v>11157</v>
      </c>
      <c r="AS1422" t="s">
        <v>11104</v>
      </c>
      <c r="AU1422">
        <v>24</v>
      </c>
      <c r="AW1422" t="s">
        <v>11187</v>
      </c>
      <c r="AZ1422" t="s">
        <v>11221</v>
      </c>
      <c r="BE1422" t="s">
        <v>12514</v>
      </c>
      <c r="BG1422" t="s">
        <v>14721</v>
      </c>
      <c r="BM1422" t="s">
        <v>15650</v>
      </c>
    </row>
    <row r="1423" spans="1:65">
      <c r="A1423" s="1">
        <f>HYPERLINK("https://lsnyc.legalserver.org/matter/dynamic-profile/view/1893019","19-1893019")</f>
        <v>0</v>
      </c>
      <c r="B1423" t="s">
        <v>120</v>
      </c>
      <c r="C1423" t="s">
        <v>246</v>
      </c>
      <c r="D1423" t="s">
        <v>693</v>
      </c>
      <c r="F1423" t="s">
        <v>1322</v>
      </c>
      <c r="G1423" t="s">
        <v>2769</v>
      </c>
      <c r="H1423" t="s">
        <v>5262</v>
      </c>
      <c r="I1423" t="s">
        <v>6424</v>
      </c>
      <c r="J1423" t="s">
        <v>7170</v>
      </c>
      <c r="K1423">
        <v>10467</v>
      </c>
      <c r="N1423" t="s">
        <v>7237</v>
      </c>
      <c r="O1423" t="s">
        <v>8214</v>
      </c>
      <c r="P1423">
        <v>1</v>
      </c>
      <c r="Q1423">
        <v>0</v>
      </c>
      <c r="R1423">
        <v>72.15000000000001</v>
      </c>
      <c r="U1423">
        <v>9012</v>
      </c>
      <c r="W1423">
        <v>0.9</v>
      </c>
      <c r="X1423" t="s">
        <v>544</v>
      </c>
      <c r="Y1423" t="s">
        <v>93</v>
      </c>
      <c r="AA1423" t="s">
        <v>10974</v>
      </c>
      <c r="AB1423" t="s">
        <v>10979</v>
      </c>
      <c r="AC1423" t="s">
        <v>11081</v>
      </c>
      <c r="AF1423" t="s">
        <v>11120</v>
      </c>
      <c r="AH1423" t="s">
        <v>10974</v>
      </c>
      <c r="AJ1423" t="s">
        <v>11134</v>
      </c>
      <c r="AK1423" t="s">
        <v>7225</v>
      </c>
      <c r="AM1423">
        <v>286</v>
      </c>
      <c r="AO1423">
        <v>122</v>
      </c>
      <c r="AQ1423" t="s">
        <v>11156</v>
      </c>
      <c r="AS1423" t="s">
        <v>11174</v>
      </c>
      <c r="AU1423">
        <v>1</v>
      </c>
      <c r="AW1423" t="s">
        <v>11187</v>
      </c>
      <c r="BA1423" t="s">
        <v>11222</v>
      </c>
      <c r="BE1423" t="s">
        <v>12515</v>
      </c>
      <c r="BF1423" t="s">
        <v>14364</v>
      </c>
      <c r="BM1423" t="s">
        <v>15650</v>
      </c>
    </row>
    <row r="1424" spans="1:65">
      <c r="A1424" s="1">
        <f>HYPERLINK("https://lsnyc.legalserver.org/matter/dynamic-profile/view/1913383","19-1913383")</f>
        <v>0</v>
      </c>
      <c r="B1424" t="s">
        <v>120</v>
      </c>
      <c r="C1424" t="s">
        <v>246</v>
      </c>
      <c r="D1424" t="s">
        <v>273</v>
      </c>
      <c r="F1424" t="s">
        <v>1785</v>
      </c>
      <c r="G1424" t="s">
        <v>3422</v>
      </c>
      <c r="H1424" t="s">
        <v>5291</v>
      </c>
      <c r="I1424" t="s">
        <v>6746</v>
      </c>
      <c r="J1424" t="s">
        <v>7169</v>
      </c>
      <c r="K1424">
        <v>10025</v>
      </c>
      <c r="N1424" t="s">
        <v>7244</v>
      </c>
      <c r="O1424" t="s">
        <v>8215</v>
      </c>
      <c r="P1424">
        <v>2</v>
      </c>
      <c r="Q1424">
        <v>0</v>
      </c>
      <c r="R1424">
        <v>69.19</v>
      </c>
      <c r="U1424">
        <v>11700</v>
      </c>
      <c r="W1424">
        <v>1.9</v>
      </c>
      <c r="X1424" t="s">
        <v>436</v>
      </c>
      <c r="Y1424" t="s">
        <v>93</v>
      </c>
      <c r="AA1424" t="s">
        <v>10974</v>
      </c>
      <c r="AD1424" t="s">
        <v>11106</v>
      </c>
      <c r="AF1424" t="s">
        <v>11118</v>
      </c>
      <c r="AH1424" t="s">
        <v>10974</v>
      </c>
      <c r="AJ1424" t="s">
        <v>11137</v>
      </c>
      <c r="AK1424" t="s">
        <v>7225</v>
      </c>
      <c r="AL1424" t="s">
        <v>11150</v>
      </c>
      <c r="AM1424">
        <v>0</v>
      </c>
      <c r="AO1424">
        <v>899</v>
      </c>
      <c r="AQ1424" t="s">
        <v>11164</v>
      </c>
      <c r="AS1424" t="s">
        <v>11177</v>
      </c>
      <c r="AU1424">
        <v>5</v>
      </c>
      <c r="AW1424" t="s">
        <v>11187</v>
      </c>
      <c r="AY1424" t="s">
        <v>11213</v>
      </c>
      <c r="BA1424" t="s">
        <v>11222</v>
      </c>
      <c r="BE1424" t="s">
        <v>12516</v>
      </c>
      <c r="BF1424" t="s">
        <v>14364</v>
      </c>
      <c r="BG1424" t="s">
        <v>14745</v>
      </c>
      <c r="BM1424" t="s">
        <v>15650</v>
      </c>
    </row>
    <row r="1425" spans="1:67">
      <c r="A1425" s="1">
        <f>HYPERLINK("https://lsnyc.legalserver.org/matter/dynamic-profile/view/1864988","18-1864988")</f>
        <v>0</v>
      </c>
      <c r="B1425" t="s">
        <v>120</v>
      </c>
      <c r="C1425" t="s">
        <v>246</v>
      </c>
      <c r="D1425" t="s">
        <v>716</v>
      </c>
      <c r="E1425" t="s">
        <v>638</v>
      </c>
      <c r="F1425" t="s">
        <v>1786</v>
      </c>
      <c r="G1425" t="s">
        <v>3573</v>
      </c>
      <c r="H1425" t="s">
        <v>5292</v>
      </c>
      <c r="I1425" t="s">
        <v>6463</v>
      </c>
      <c r="J1425" t="s">
        <v>7170</v>
      </c>
      <c r="K1425">
        <v>10453</v>
      </c>
      <c r="L1425" t="s">
        <v>7219</v>
      </c>
      <c r="N1425" t="s">
        <v>7237</v>
      </c>
      <c r="O1425" t="s">
        <v>8216</v>
      </c>
      <c r="P1425">
        <v>1</v>
      </c>
      <c r="Q1425">
        <v>0</v>
      </c>
      <c r="R1425">
        <v>6.92</v>
      </c>
      <c r="U1425">
        <v>840</v>
      </c>
      <c r="W1425">
        <v>64.59999999999999</v>
      </c>
      <c r="X1425" t="s">
        <v>436</v>
      </c>
      <c r="Y1425" t="s">
        <v>10921</v>
      </c>
      <c r="AA1425" t="s">
        <v>10974</v>
      </c>
      <c r="AB1425" t="s">
        <v>939</v>
      </c>
      <c r="AD1425" t="s">
        <v>11082</v>
      </c>
      <c r="AF1425" t="s">
        <v>11118</v>
      </c>
      <c r="AH1425" t="s">
        <v>10975</v>
      </c>
      <c r="AJ1425" t="s">
        <v>11141</v>
      </c>
      <c r="AK1425" t="s">
        <v>7225</v>
      </c>
      <c r="AL1425" t="s">
        <v>11150</v>
      </c>
      <c r="AM1425">
        <v>0</v>
      </c>
      <c r="AO1425">
        <v>425</v>
      </c>
      <c r="AQ1425" t="s">
        <v>11165</v>
      </c>
      <c r="AS1425" t="s">
        <v>11177</v>
      </c>
      <c r="AU1425">
        <v>11</v>
      </c>
      <c r="AW1425" t="s">
        <v>11187</v>
      </c>
      <c r="AZ1425" t="s">
        <v>11221</v>
      </c>
      <c r="BE1425" t="s">
        <v>12517</v>
      </c>
      <c r="BF1425" t="s">
        <v>14364</v>
      </c>
      <c r="BG1425" t="s">
        <v>14746</v>
      </c>
      <c r="BH1425" t="s">
        <v>15605</v>
      </c>
      <c r="BJ1425" t="s">
        <v>15615</v>
      </c>
      <c r="BL1425" t="s">
        <v>15648</v>
      </c>
      <c r="BM1425" t="s">
        <v>15651</v>
      </c>
    </row>
    <row r="1426" spans="1:67">
      <c r="A1426" s="1">
        <f>HYPERLINK("https://lsnyc.legalserver.org/matter/dynamic-profile/view/1860410","18-1860410")</f>
        <v>0</v>
      </c>
      <c r="B1426" t="s">
        <v>120</v>
      </c>
      <c r="C1426" t="s">
        <v>246</v>
      </c>
      <c r="D1426" t="s">
        <v>717</v>
      </c>
      <c r="F1426" t="s">
        <v>1781</v>
      </c>
      <c r="G1426" t="s">
        <v>3488</v>
      </c>
      <c r="H1426" t="s">
        <v>5287</v>
      </c>
      <c r="I1426" t="s">
        <v>6741</v>
      </c>
      <c r="J1426" t="s">
        <v>7170</v>
      </c>
      <c r="K1426">
        <v>10452</v>
      </c>
      <c r="N1426" t="s">
        <v>7237</v>
      </c>
      <c r="O1426" t="s">
        <v>8205</v>
      </c>
      <c r="P1426">
        <v>2</v>
      </c>
      <c r="Q1426">
        <v>0</v>
      </c>
      <c r="R1426">
        <v>55.04</v>
      </c>
      <c r="U1426">
        <v>9060</v>
      </c>
      <c r="W1426">
        <v>37.26</v>
      </c>
      <c r="X1426" t="s">
        <v>554</v>
      </c>
      <c r="Y1426" t="s">
        <v>10897</v>
      </c>
      <c r="AA1426" t="s">
        <v>10974</v>
      </c>
      <c r="AB1426" t="s">
        <v>836</v>
      </c>
      <c r="AD1426" t="s">
        <v>11082</v>
      </c>
      <c r="AF1426" t="s">
        <v>11118</v>
      </c>
      <c r="AH1426" t="s">
        <v>10975</v>
      </c>
      <c r="AJ1426" t="s">
        <v>11141</v>
      </c>
      <c r="AK1426" t="s">
        <v>7225</v>
      </c>
      <c r="AM1426">
        <v>877</v>
      </c>
      <c r="AO1426">
        <v>43</v>
      </c>
      <c r="AQ1426" t="s">
        <v>11157</v>
      </c>
      <c r="AS1426" t="s">
        <v>11173</v>
      </c>
      <c r="AU1426">
        <v>30</v>
      </c>
      <c r="AW1426" t="s">
        <v>11187</v>
      </c>
      <c r="AZ1426" t="s">
        <v>11221</v>
      </c>
      <c r="BE1426" t="s">
        <v>12505</v>
      </c>
      <c r="BG1426" t="s">
        <v>14747</v>
      </c>
      <c r="BI1426" t="s">
        <v>15611</v>
      </c>
      <c r="BK1426" t="s">
        <v>15622</v>
      </c>
      <c r="BM1426" t="s">
        <v>15650</v>
      </c>
      <c r="BN1426" t="s">
        <v>15652</v>
      </c>
      <c r="BO1426" t="s">
        <v>15683</v>
      </c>
    </row>
    <row r="1427" spans="1:67">
      <c r="A1427" s="1">
        <f>HYPERLINK("https://lsnyc.legalserver.org/matter/dynamic-profile/view/1861487","18-1861487")</f>
        <v>0</v>
      </c>
      <c r="B1427" t="s">
        <v>120</v>
      </c>
      <c r="C1427" t="s">
        <v>246</v>
      </c>
      <c r="D1427" t="s">
        <v>718</v>
      </c>
      <c r="F1427" t="s">
        <v>1787</v>
      </c>
      <c r="G1427" t="s">
        <v>3574</v>
      </c>
      <c r="H1427" t="s">
        <v>4844</v>
      </c>
      <c r="I1427" t="s">
        <v>6747</v>
      </c>
      <c r="J1427" t="s">
        <v>7170</v>
      </c>
      <c r="K1427">
        <v>10452</v>
      </c>
      <c r="N1427" t="s">
        <v>7237</v>
      </c>
      <c r="O1427" t="s">
        <v>8217</v>
      </c>
      <c r="P1427">
        <v>2</v>
      </c>
      <c r="Q1427">
        <v>3</v>
      </c>
      <c r="R1427">
        <v>97.20999999999999</v>
      </c>
      <c r="U1427">
        <v>28600</v>
      </c>
      <c r="W1427">
        <v>0.2</v>
      </c>
      <c r="X1427" t="s">
        <v>437</v>
      </c>
      <c r="Y1427" t="s">
        <v>10903</v>
      </c>
      <c r="AA1427" t="s">
        <v>10974</v>
      </c>
      <c r="AB1427" t="s">
        <v>1047</v>
      </c>
      <c r="AC1427" t="s">
        <v>11081</v>
      </c>
      <c r="AF1427" t="s">
        <v>11120</v>
      </c>
      <c r="AH1427" t="s">
        <v>10974</v>
      </c>
      <c r="AJ1427" t="s">
        <v>11141</v>
      </c>
      <c r="AK1427" t="s">
        <v>7225</v>
      </c>
      <c r="AM1427">
        <v>1160</v>
      </c>
      <c r="AO1427">
        <v>122</v>
      </c>
      <c r="AQ1427" t="s">
        <v>11157</v>
      </c>
      <c r="AR1427" t="s">
        <v>11172</v>
      </c>
      <c r="AU1427">
        <v>10</v>
      </c>
      <c r="AW1427" t="s">
        <v>11187</v>
      </c>
      <c r="AZ1427" t="s">
        <v>11221</v>
      </c>
      <c r="BB1427" t="s">
        <v>11224</v>
      </c>
      <c r="BC1427" t="s">
        <v>11361</v>
      </c>
      <c r="BE1427" t="s">
        <v>12518</v>
      </c>
      <c r="BF1427" t="s">
        <v>14364</v>
      </c>
      <c r="BM1427" t="s">
        <v>15650</v>
      </c>
    </row>
    <row r="1428" spans="1:67">
      <c r="A1428" s="1">
        <f>HYPERLINK("https://lsnyc.legalserver.org/matter/dynamic-profile/view/1857410","18-1857410")</f>
        <v>0</v>
      </c>
      <c r="B1428" t="s">
        <v>120</v>
      </c>
      <c r="C1428" t="s">
        <v>246</v>
      </c>
      <c r="D1428" t="s">
        <v>700</v>
      </c>
      <c r="F1428" t="s">
        <v>1648</v>
      </c>
      <c r="G1428" t="s">
        <v>3575</v>
      </c>
      <c r="H1428" t="s">
        <v>4844</v>
      </c>
      <c r="I1428" t="s">
        <v>6748</v>
      </c>
      <c r="J1428" t="s">
        <v>7170</v>
      </c>
      <c r="K1428">
        <v>10452</v>
      </c>
      <c r="N1428" t="s">
        <v>7237</v>
      </c>
      <c r="O1428" t="s">
        <v>8218</v>
      </c>
      <c r="P1428">
        <v>2</v>
      </c>
      <c r="Q1428">
        <v>4</v>
      </c>
      <c r="R1428">
        <v>102.43</v>
      </c>
      <c r="U1428">
        <v>34560</v>
      </c>
      <c r="V1428" t="s">
        <v>10402</v>
      </c>
      <c r="W1428">
        <v>2.9</v>
      </c>
      <c r="X1428" t="s">
        <v>681</v>
      </c>
      <c r="Y1428" t="s">
        <v>10897</v>
      </c>
      <c r="AA1428" t="s">
        <v>10974</v>
      </c>
      <c r="AB1428" t="s">
        <v>871</v>
      </c>
      <c r="AD1428" t="s">
        <v>11096</v>
      </c>
      <c r="AF1428" t="s">
        <v>11122</v>
      </c>
      <c r="AH1428" t="s">
        <v>10974</v>
      </c>
      <c r="AJ1428" t="s">
        <v>11141</v>
      </c>
      <c r="AK1428" t="s">
        <v>7225</v>
      </c>
      <c r="AM1428">
        <v>1088.6</v>
      </c>
      <c r="AO1428">
        <v>122</v>
      </c>
      <c r="AQ1428" t="s">
        <v>11157</v>
      </c>
      <c r="AR1428" t="s">
        <v>11172</v>
      </c>
      <c r="AU1428">
        <v>4</v>
      </c>
      <c r="AW1428" t="s">
        <v>11187</v>
      </c>
      <c r="AZ1428" t="s">
        <v>11221</v>
      </c>
      <c r="BB1428" t="s">
        <v>11224</v>
      </c>
      <c r="BC1428" t="s">
        <v>11362</v>
      </c>
      <c r="BE1428" t="s">
        <v>12519</v>
      </c>
      <c r="BF1428" t="s">
        <v>14364</v>
      </c>
      <c r="BM1428" t="s">
        <v>15650</v>
      </c>
    </row>
    <row r="1429" spans="1:67">
      <c r="A1429" s="1">
        <f>HYPERLINK("https://lsnyc.legalserver.org/matter/dynamic-profile/view/1885003","18-1885003")</f>
        <v>0</v>
      </c>
      <c r="B1429" t="s">
        <v>120</v>
      </c>
      <c r="C1429" t="s">
        <v>246</v>
      </c>
      <c r="D1429" t="s">
        <v>706</v>
      </c>
      <c r="F1429" t="s">
        <v>1704</v>
      </c>
      <c r="G1429" t="s">
        <v>3576</v>
      </c>
      <c r="H1429" t="s">
        <v>5293</v>
      </c>
      <c r="I1429" t="s">
        <v>6438</v>
      </c>
      <c r="J1429" t="s">
        <v>7170</v>
      </c>
      <c r="K1429">
        <v>10456</v>
      </c>
      <c r="N1429" t="s">
        <v>7237</v>
      </c>
      <c r="O1429" t="s">
        <v>7668</v>
      </c>
      <c r="P1429">
        <v>1</v>
      </c>
      <c r="Q1429">
        <v>1</v>
      </c>
      <c r="R1429">
        <v>102.11</v>
      </c>
      <c r="U1429">
        <v>16807.92</v>
      </c>
      <c r="W1429">
        <v>0.5</v>
      </c>
      <c r="X1429" t="s">
        <v>706</v>
      </c>
      <c r="Y1429" t="s">
        <v>120</v>
      </c>
      <c r="AA1429" t="s">
        <v>10974</v>
      </c>
      <c r="AB1429" t="s">
        <v>405</v>
      </c>
      <c r="AD1429" t="s">
        <v>11098</v>
      </c>
      <c r="AF1429" t="s">
        <v>10384</v>
      </c>
      <c r="AH1429" t="s">
        <v>10975</v>
      </c>
      <c r="AI1429" t="s">
        <v>11126</v>
      </c>
      <c r="AK1429" t="s">
        <v>7225</v>
      </c>
      <c r="AM1429">
        <v>515.24</v>
      </c>
      <c r="AN1429" t="s">
        <v>11151</v>
      </c>
      <c r="AO1429" t="s">
        <v>11153</v>
      </c>
      <c r="AQ1429" t="s">
        <v>11160</v>
      </c>
      <c r="AS1429" t="s">
        <v>11173</v>
      </c>
      <c r="AU1429">
        <v>40</v>
      </c>
      <c r="AW1429" t="s">
        <v>11187</v>
      </c>
      <c r="AY1429" t="s">
        <v>11213</v>
      </c>
      <c r="AZ1429" t="s">
        <v>11221</v>
      </c>
      <c r="BE1429" t="s">
        <v>12520</v>
      </c>
      <c r="BF1429" t="s">
        <v>14364</v>
      </c>
      <c r="BG1429" t="s">
        <v>14748</v>
      </c>
      <c r="BM1429" t="s">
        <v>15650</v>
      </c>
    </row>
    <row r="1430" spans="1:67">
      <c r="A1430" s="1">
        <f>HYPERLINK("https://lsnyc.legalserver.org/matter/dynamic-profile/view/1893027","19-1893027")</f>
        <v>0</v>
      </c>
      <c r="B1430" t="s">
        <v>120</v>
      </c>
      <c r="C1430" t="s">
        <v>246</v>
      </c>
      <c r="D1430" t="s">
        <v>693</v>
      </c>
      <c r="F1430" t="s">
        <v>1244</v>
      </c>
      <c r="G1430" t="s">
        <v>3577</v>
      </c>
      <c r="H1430" t="s">
        <v>5262</v>
      </c>
      <c r="I1430" t="s">
        <v>6448</v>
      </c>
      <c r="J1430" t="s">
        <v>7170</v>
      </c>
      <c r="K1430">
        <v>10467</v>
      </c>
      <c r="N1430" t="s">
        <v>7237</v>
      </c>
      <c r="O1430" t="s">
        <v>8219</v>
      </c>
      <c r="P1430">
        <v>3</v>
      </c>
      <c r="Q1430">
        <v>0</v>
      </c>
      <c r="R1430">
        <v>164.09</v>
      </c>
      <c r="U1430">
        <v>35000</v>
      </c>
      <c r="W1430">
        <v>4.1</v>
      </c>
      <c r="X1430" t="s">
        <v>626</v>
      </c>
      <c r="Y1430" t="s">
        <v>93</v>
      </c>
      <c r="AA1430" t="s">
        <v>10974</v>
      </c>
      <c r="AB1430" t="s">
        <v>10979</v>
      </c>
      <c r="AC1430" t="s">
        <v>11081</v>
      </c>
      <c r="AF1430" t="s">
        <v>11120</v>
      </c>
      <c r="AH1430" t="s">
        <v>10974</v>
      </c>
      <c r="AI1430" t="s">
        <v>11126</v>
      </c>
      <c r="AK1430" t="s">
        <v>7225</v>
      </c>
      <c r="AM1430">
        <v>1400</v>
      </c>
      <c r="AO1430">
        <v>122</v>
      </c>
      <c r="AQ1430" t="s">
        <v>11156</v>
      </c>
      <c r="AS1430" t="s">
        <v>11174</v>
      </c>
      <c r="AU1430">
        <v>18</v>
      </c>
      <c r="AW1430" t="s">
        <v>11187</v>
      </c>
      <c r="BA1430" t="s">
        <v>11222</v>
      </c>
      <c r="BE1430" t="s">
        <v>12521</v>
      </c>
      <c r="BF1430" t="s">
        <v>14364</v>
      </c>
      <c r="BM1430" t="s">
        <v>15650</v>
      </c>
    </row>
    <row r="1431" spans="1:67">
      <c r="A1431" s="1">
        <f>HYPERLINK("https://lsnyc.legalserver.org/matter/dynamic-profile/view/1841122","17-1841122")</f>
        <v>0</v>
      </c>
      <c r="B1431" t="s">
        <v>120</v>
      </c>
      <c r="C1431" t="s">
        <v>246</v>
      </c>
      <c r="D1431" t="s">
        <v>694</v>
      </c>
      <c r="F1431" t="s">
        <v>1139</v>
      </c>
      <c r="G1431" t="s">
        <v>3538</v>
      </c>
      <c r="H1431" t="s">
        <v>4844</v>
      </c>
      <c r="I1431" t="s">
        <v>6621</v>
      </c>
      <c r="J1431" t="s">
        <v>7170</v>
      </c>
      <c r="K1431">
        <v>10452</v>
      </c>
      <c r="N1431" t="s">
        <v>7237</v>
      </c>
      <c r="O1431" t="s">
        <v>8152</v>
      </c>
      <c r="P1431">
        <v>1</v>
      </c>
      <c r="Q1431">
        <v>0</v>
      </c>
      <c r="R1431">
        <v>381.43</v>
      </c>
      <c r="U1431">
        <v>46000</v>
      </c>
      <c r="W1431">
        <v>0.1</v>
      </c>
      <c r="X1431" t="s">
        <v>920</v>
      </c>
      <c r="Y1431" t="s">
        <v>10897</v>
      </c>
      <c r="AA1431" t="s">
        <v>10974</v>
      </c>
      <c r="AB1431" t="s">
        <v>694</v>
      </c>
      <c r="AD1431" t="s">
        <v>11096</v>
      </c>
      <c r="AF1431" t="s">
        <v>11122</v>
      </c>
      <c r="AH1431" t="s">
        <v>10974</v>
      </c>
      <c r="AJ1431" t="s">
        <v>11141</v>
      </c>
      <c r="AK1431" t="s">
        <v>7225</v>
      </c>
      <c r="AM1431">
        <v>749</v>
      </c>
      <c r="AN1431" t="s">
        <v>11151</v>
      </c>
      <c r="AO1431" t="s">
        <v>11153</v>
      </c>
      <c r="AQ1431" t="s">
        <v>11157</v>
      </c>
      <c r="AS1431" t="s">
        <v>11173</v>
      </c>
      <c r="AU1431">
        <v>23</v>
      </c>
      <c r="AW1431" t="s">
        <v>11187</v>
      </c>
      <c r="AZ1431" t="s">
        <v>11221</v>
      </c>
      <c r="BE1431" t="s">
        <v>12452</v>
      </c>
      <c r="BF1431" t="s">
        <v>14364</v>
      </c>
      <c r="BM1431" t="s">
        <v>15650</v>
      </c>
    </row>
    <row r="1432" spans="1:67">
      <c r="A1432" s="1">
        <f>HYPERLINK("https://lsnyc.legalserver.org/matter/dynamic-profile/view/1906918","19-1906918")</f>
        <v>0</v>
      </c>
      <c r="B1432" t="s">
        <v>120</v>
      </c>
      <c r="C1432" t="s">
        <v>246</v>
      </c>
      <c r="D1432" t="s">
        <v>450</v>
      </c>
      <c r="E1432" t="s">
        <v>536</v>
      </c>
      <c r="F1432" t="s">
        <v>1788</v>
      </c>
      <c r="G1432" t="s">
        <v>2921</v>
      </c>
      <c r="H1432" t="s">
        <v>5294</v>
      </c>
      <c r="I1432" t="s">
        <v>6482</v>
      </c>
      <c r="J1432" t="s">
        <v>7170</v>
      </c>
      <c r="K1432">
        <v>10457</v>
      </c>
      <c r="L1432" t="s">
        <v>7217</v>
      </c>
      <c r="N1432" t="s">
        <v>7237</v>
      </c>
      <c r="O1432" t="s">
        <v>8220</v>
      </c>
      <c r="P1432">
        <v>1</v>
      </c>
      <c r="Q1432">
        <v>0</v>
      </c>
      <c r="R1432">
        <v>160.93</v>
      </c>
      <c r="U1432">
        <v>20100</v>
      </c>
      <c r="W1432">
        <v>0.2</v>
      </c>
      <c r="X1432" t="s">
        <v>536</v>
      </c>
      <c r="Y1432" t="s">
        <v>120</v>
      </c>
      <c r="AA1432" t="s">
        <v>10974</v>
      </c>
      <c r="AD1432" t="s">
        <v>11086</v>
      </c>
      <c r="AF1432" t="s">
        <v>10384</v>
      </c>
      <c r="AH1432" t="s">
        <v>10975</v>
      </c>
      <c r="AJ1432" t="s">
        <v>11130</v>
      </c>
      <c r="AK1432" t="s">
        <v>7225</v>
      </c>
      <c r="AM1432">
        <v>873</v>
      </c>
      <c r="AN1432" t="s">
        <v>11151</v>
      </c>
      <c r="AO1432" t="s">
        <v>11153</v>
      </c>
      <c r="AQ1432" t="s">
        <v>11157</v>
      </c>
      <c r="AS1432" t="s">
        <v>11173</v>
      </c>
      <c r="AU1432">
        <v>6</v>
      </c>
      <c r="AW1432" t="s">
        <v>11187</v>
      </c>
      <c r="AX1432" t="s">
        <v>11212</v>
      </c>
      <c r="BA1432" t="s">
        <v>11222</v>
      </c>
      <c r="BE1432" t="s">
        <v>12522</v>
      </c>
      <c r="BF1432" t="s">
        <v>14364</v>
      </c>
      <c r="BG1432" t="s">
        <v>14749</v>
      </c>
      <c r="BM1432" t="s">
        <v>15651</v>
      </c>
    </row>
    <row r="1433" spans="1:67">
      <c r="A1433" s="1">
        <f>HYPERLINK("https://lsnyc.legalserver.org/matter/dynamic-profile/view/1857395","18-1857395")</f>
        <v>0</v>
      </c>
      <c r="B1433" t="s">
        <v>120</v>
      </c>
      <c r="C1433" t="s">
        <v>246</v>
      </c>
      <c r="D1433" t="s">
        <v>700</v>
      </c>
      <c r="F1433" t="s">
        <v>1754</v>
      </c>
      <c r="G1433" t="s">
        <v>1279</v>
      </c>
      <c r="H1433" t="s">
        <v>4844</v>
      </c>
      <c r="I1433" t="s">
        <v>6620</v>
      </c>
      <c r="J1433" t="s">
        <v>7170</v>
      </c>
      <c r="K1433">
        <v>10452</v>
      </c>
      <c r="N1433" t="s">
        <v>7237</v>
      </c>
      <c r="O1433" t="s">
        <v>8169</v>
      </c>
      <c r="P1433">
        <v>2</v>
      </c>
      <c r="Q1433">
        <v>1</v>
      </c>
      <c r="R1433">
        <v>162.19</v>
      </c>
      <c r="U1433">
        <v>33704.04</v>
      </c>
      <c r="V1433" t="s">
        <v>10403</v>
      </c>
      <c r="W1433">
        <v>0</v>
      </c>
      <c r="Y1433" t="s">
        <v>10897</v>
      </c>
      <c r="AA1433" t="s">
        <v>10974</v>
      </c>
      <c r="AB1433" t="s">
        <v>939</v>
      </c>
      <c r="AD1433" t="s">
        <v>11096</v>
      </c>
      <c r="AF1433" t="s">
        <v>11122</v>
      </c>
      <c r="AH1433" t="s">
        <v>10974</v>
      </c>
      <c r="AJ1433" t="s">
        <v>11141</v>
      </c>
      <c r="AK1433" t="s">
        <v>7225</v>
      </c>
      <c r="AM1433">
        <v>779.61</v>
      </c>
      <c r="AO1433">
        <v>122</v>
      </c>
      <c r="AQ1433" t="s">
        <v>11157</v>
      </c>
      <c r="AR1433" t="s">
        <v>11172</v>
      </c>
      <c r="AU1433">
        <v>27</v>
      </c>
      <c r="AW1433" t="s">
        <v>11187</v>
      </c>
      <c r="AZ1433" t="s">
        <v>11221</v>
      </c>
      <c r="BE1433" t="s">
        <v>12468</v>
      </c>
      <c r="BF1433" t="s">
        <v>14364</v>
      </c>
      <c r="BM1433" t="s">
        <v>15650</v>
      </c>
    </row>
    <row r="1434" spans="1:67">
      <c r="A1434" s="1">
        <f>HYPERLINK("https://lsnyc.legalserver.org/matter/dynamic-profile/view/1857559","18-1857559")</f>
        <v>0</v>
      </c>
      <c r="B1434" t="s">
        <v>120</v>
      </c>
      <c r="C1434" t="s">
        <v>246</v>
      </c>
      <c r="D1434" t="s">
        <v>691</v>
      </c>
      <c r="F1434" t="s">
        <v>1098</v>
      </c>
      <c r="G1434" t="s">
        <v>3571</v>
      </c>
      <c r="H1434" t="s">
        <v>4844</v>
      </c>
      <c r="J1434" t="s">
        <v>7170</v>
      </c>
      <c r="K1434">
        <v>10452</v>
      </c>
      <c r="N1434" t="s">
        <v>7237</v>
      </c>
      <c r="O1434" t="s">
        <v>8212</v>
      </c>
      <c r="P1434">
        <v>2</v>
      </c>
      <c r="Q1434">
        <v>0</v>
      </c>
      <c r="R1434">
        <v>96.06</v>
      </c>
      <c r="U1434">
        <v>15600</v>
      </c>
      <c r="W1434">
        <v>0</v>
      </c>
      <c r="Y1434" t="s">
        <v>10897</v>
      </c>
      <c r="AA1434" t="s">
        <v>10974</v>
      </c>
      <c r="AB1434" t="s">
        <v>871</v>
      </c>
      <c r="AD1434" t="s">
        <v>11096</v>
      </c>
      <c r="AF1434" t="s">
        <v>11122</v>
      </c>
      <c r="AH1434" t="s">
        <v>10974</v>
      </c>
      <c r="AJ1434" t="s">
        <v>11141</v>
      </c>
      <c r="AK1434" t="s">
        <v>7225</v>
      </c>
      <c r="AM1434">
        <v>669</v>
      </c>
      <c r="AO1434">
        <v>122</v>
      </c>
      <c r="AQ1434" t="s">
        <v>11157</v>
      </c>
      <c r="AS1434" t="s">
        <v>11173</v>
      </c>
      <c r="AT1434" t="s">
        <v>11184</v>
      </c>
      <c r="AU1434">
        <v>0</v>
      </c>
      <c r="AW1434" t="s">
        <v>11189</v>
      </c>
      <c r="AZ1434" t="s">
        <v>11221</v>
      </c>
      <c r="BE1434" t="s">
        <v>12513</v>
      </c>
      <c r="BG1434" t="s">
        <v>14717</v>
      </c>
      <c r="BM1434" t="s">
        <v>15650</v>
      </c>
    </row>
    <row r="1435" spans="1:67">
      <c r="A1435" s="1">
        <f>HYPERLINK("https://lsnyc.legalserver.org/matter/dynamic-profile/view/1851960","17-1851960")</f>
        <v>0</v>
      </c>
      <c r="B1435" t="s">
        <v>120</v>
      </c>
      <c r="C1435" t="s">
        <v>246</v>
      </c>
      <c r="D1435" t="s">
        <v>613</v>
      </c>
      <c r="F1435" t="s">
        <v>1789</v>
      </c>
      <c r="G1435" t="s">
        <v>3578</v>
      </c>
      <c r="H1435" t="s">
        <v>4844</v>
      </c>
      <c r="J1435" t="s">
        <v>7170</v>
      </c>
      <c r="K1435">
        <v>10452</v>
      </c>
      <c r="N1435" t="s">
        <v>7237</v>
      </c>
      <c r="O1435" t="s">
        <v>8221</v>
      </c>
      <c r="P1435">
        <v>1</v>
      </c>
      <c r="Q1435">
        <v>0</v>
      </c>
      <c r="R1435">
        <v>331.67</v>
      </c>
      <c r="T1435" t="s">
        <v>10279</v>
      </c>
      <c r="U1435">
        <v>40000</v>
      </c>
      <c r="W1435">
        <v>2.55</v>
      </c>
      <c r="X1435" t="s">
        <v>637</v>
      </c>
      <c r="Y1435" t="s">
        <v>138</v>
      </c>
      <c r="AA1435" t="s">
        <v>10974</v>
      </c>
      <c r="AB1435" t="s">
        <v>1047</v>
      </c>
      <c r="AD1435" t="s">
        <v>11085</v>
      </c>
      <c r="AF1435" t="s">
        <v>11118</v>
      </c>
      <c r="AH1435" t="s">
        <v>10974</v>
      </c>
      <c r="AJ1435" t="s">
        <v>11104</v>
      </c>
      <c r="AK1435" t="s">
        <v>7225</v>
      </c>
      <c r="AM1435">
        <v>1329.18</v>
      </c>
      <c r="AO1435">
        <v>122</v>
      </c>
      <c r="AQ1435" t="s">
        <v>11157</v>
      </c>
      <c r="AS1435" t="s">
        <v>11173</v>
      </c>
      <c r="AU1435">
        <v>9</v>
      </c>
      <c r="AW1435" t="s">
        <v>11187</v>
      </c>
      <c r="AZ1435" t="s">
        <v>11221</v>
      </c>
      <c r="BE1435" t="s">
        <v>12523</v>
      </c>
      <c r="BF1435" t="s">
        <v>14364</v>
      </c>
      <c r="BM1435" t="s">
        <v>15650</v>
      </c>
    </row>
    <row r="1436" spans="1:67">
      <c r="A1436" s="1">
        <f>HYPERLINK("https://lsnyc.legalserver.org/matter/dynamic-profile/view/1884972","18-1884972")</f>
        <v>0</v>
      </c>
      <c r="B1436" t="s">
        <v>120</v>
      </c>
      <c r="C1436" t="s">
        <v>246</v>
      </c>
      <c r="D1436" t="s">
        <v>706</v>
      </c>
      <c r="E1436" t="s">
        <v>266</v>
      </c>
      <c r="F1436" t="s">
        <v>1790</v>
      </c>
      <c r="G1436" t="s">
        <v>3579</v>
      </c>
      <c r="H1436" t="s">
        <v>5295</v>
      </c>
      <c r="I1436" t="s">
        <v>6596</v>
      </c>
      <c r="J1436" t="s">
        <v>7170</v>
      </c>
      <c r="K1436">
        <v>10467</v>
      </c>
      <c r="L1436" t="s">
        <v>7216</v>
      </c>
      <c r="N1436" t="s">
        <v>7237</v>
      </c>
      <c r="O1436" t="s">
        <v>8222</v>
      </c>
      <c r="P1436">
        <v>2</v>
      </c>
      <c r="Q1436">
        <v>0</v>
      </c>
      <c r="R1436">
        <v>67.52</v>
      </c>
      <c r="U1436">
        <v>11114</v>
      </c>
      <c r="W1436">
        <v>1.1</v>
      </c>
      <c r="X1436" t="s">
        <v>671</v>
      </c>
      <c r="Y1436" t="s">
        <v>120</v>
      </c>
      <c r="AA1436" t="s">
        <v>10974</v>
      </c>
      <c r="AB1436" t="s">
        <v>706</v>
      </c>
      <c r="AD1436" t="s">
        <v>11101</v>
      </c>
      <c r="AF1436" t="s">
        <v>11119</v>
      </c>
      <c r="AH1436" t="s">
        <v>10975</v>
      </c>
      <c r="AJ1436" t="s">
        <v>11130</v>
      </c>
      <c r="AK1436" t="s">
        <v>7225</v>
      </c>
      <c r="AM1436">
        <v>1509</v>
      </c>
      <c r="AN1436" t="s">
        <v>11151</v>
      </c>
      <c r="AO1436" t="s">
        <v>11153</v>
      </c>
      <c r="AQ1436" t="s">
        <v>11157</v>
      </c>
      <c r="AS1436" t="s">
        <v>11174</v>
      </c>
      <c r="AT1436" t="s">
        <v>11184</v>
      </c>
      <c r="AU1436">
        <v>0</v>
      </c>
      <c r="AW1436" t="s">
        <v>11187</v>
      </c>
      <c r="AY1436" t="s">
        <v>11213</v>
      </c>
      <c r="AZ1436" t="s">
        <v>11221</v>
      </c>
      <c r="BB1436" t="s">
        <v>11224</v>
      </c>
      <c r="BC1436">
        <v>4043580</v>
      </c>
      <c r="BE1436" t="s">
        <v>12524</v>
      </c>
      <c r="BG1436" t="s">
        <v>14750</v>
      </c>
      <c r="BM1436" t="s">
        <v>15651</v>
      </c>
    </row>
    <row r="1437" spans="1:67">
      <c r="A1437" s="1">
        <f>HYPERLINK("https://lsnyc.legalserver.org/matter/dynamic-profile/view/0796053","16-0796053")</f>
        <v>0</v>
      </c>
      <c r="B1437" t="s">
        <v>120</v>
      </c>
      <c r="C1437" t="s">
        <v>246</v>
      </c>
      <c r="D1437" t="s">
        <v>719</v>
      </c>
      <c r="F1437" t="s">
        <v>1648</v>
      </c>
      <c r="G1437" t="s">
        <v>3575</v>
      </c>
      <c r="H1437" t="s">
        <v>4844</v>
      </c>
      <c r="I1437" t="s">
        <v>6748</v>
      </c>
      <c r="J1437" t="s">
        <v>7170</v>
      </c>
      <c r="K1437">
        <v>10452</v>
      </c>
      <c r="N1437" t="s">
        <v>7237</v>
      </c>
      <c r="O1437" t="s">
        <v>8218</v>
      </c>
      <c r="P1437">
        <v>2</v>
      </c>
      <c r="Q1437">
        <v>4</v>
      </c>
      <c r="R1437">
        <v>95.79000000000001</v>
      </c>
      <c r="U1437">
        <v>31200</v>
      </c>
      <c r="V1437" t="s">
        <v>10404</v>
      </c>
      <c r="W1437">
        <v>2.85</v>
      </c>
      <c r="X1437" t="s">
        <v>365</v>
      </c>
      <c r="Y1437" t="s">
        <v>138</v>
      </c>
      <c r="AA1437" t="s">
        <v>10974</v>
      </c>
      <c r="AB1437" t="s">
        <v>10984</v>
      </c>
      <c r="AD1437" t="s">
        <v>11096</v>
      </c>
      <c r="AF1437" t="s">
        <v>11122</v>
      </c>
      <c r="AH1437" t="s">
        <v>10974</v>
      </c>
      <c r="AJ1437" t="s">
        <v>11141</v>
      </c>
      <c r="AK1437" t="s">
        <v>7225</v>
      </c>
      <c r="AM1437">
        <v>1088.6</v>
      </c>
      <c r="AO1437">
        <v>122</v>
      </c>
      <c r="AQ1437" t="s">
        <v>11157</v>
      </c>
      <c r="AS1437" t="s">
        <v>11173</v>
      </c>
      <c r="AU1437">
        <v>3</v>
      </c>
      <c r="AW1437" t="s">
        <v>11187</v>
      </c>
      <c r="AZ1437" t="s">
        <v>11221</v>
      </c>
      <c r="BE1437" t="s">
        <v>12519</v>
      </c>
      <c r="BG1437" t="s">
        <v>14719</v>
      </c>
      <c r="BM1437" t="s">
        <v>15650</v>
      </c>
    </row>
    <row r="1438" spans="1:67">
      <c r="A1438" s="1">
        <f>HYPERLINK("https://lsnyc.legalserver.org/matter/dynamic-profile/view/1893016","19-1893016")</f>
        <v>0</v>
      </c>
      <c r="B1438" t="s">
        <v>120</v>
      </c>
      <c r="C1438" t="s">
        <v>246</v>
      </c>
      <c r="D1438" t="s">
        <v>693</v>
      </c>
      <c r="E1438" t="s">
        <v>536</v>
      </c>
      <c r="F1438" t="s">
        <v>1791</v>
      </c>
      <c r="G1438" t="s">
        <v>3580</v>
      </c>
      <c r="H1438" t="s">
        <v>5296</v>
      </c>
      <c r="I1438" t="s">
        <v>6497</v>
      </c>
      <c r="J1438" t="s">
        <v>7170</v>
      </c>
      <c r="K1438">
        <v>10453</v>
      </c>
      <c r="L1438" t="s">
        <v>7216</v>
      </c>
      <c r="N1438" t="s">
        <v>7237</v>
      </c>
      <c r="O1438" t="s">
        <v>8223</v>
      </c>
      <c r="P1438">
        <v>2</v>
      </c>
      <c r="Q1438">
        <v>0</v>
      </c>
      <c r="R1438">
        <v>0</v>
      </c>
      <c r="U1438">
        <v>0</v>
      </c>
      <c r="W1438">
        <v>0.2</v>
      </c>
      <c r="X1438" t="s">
        <v>536</v>
      </c>
      <c r="Y1438" t="s">
        <v>120</v>
      </c>
      <c r="AA1438" t="s">
        <v>10974</v>
      </c>
      <c r="AB1438" t="s">
        <v>693</v>
      </c>
      <c r="AD1438" t="s">
        <v>11082</v>
      </c>
      <c r="AF1438" t="s">
        <v>11119</v>
      </c>
      <c r="AH1438" t="s">
        <v>10975</v>
      </c>
      <c r="AI1438" t="s">
        <v>11126</v>
      </c>
      <c r="AK1438" t="s">
        <v>7225</v>
      </c>
      <c r="AM1438">
        <v>1527.83</v>
      </c>
      <c r="AN1438" t="s">
        <v>11151</v>
      </c>
      <c r="AO1438" t="s">
        <v>11153</v>
      </c>
      <c r="AQ1438" t="s">
        <v>11157</v>
      </c>
      <c r="AS1438" t="s">
        <v>11174</v>
      </c>
      <c r="AU1438">
        <v>3</v>
      </c>
      <c r="AW1438" t="s">
        <v>11207</v>
      </c>
      <c r="AZ1438" t="s">
        <v>11221</v>
      </c>
      <c r="BE1438" t="s">
        <v>12525</v>
      </c>
      <c r="BF1438" t="s">
        <v>14364</v>
      </c>
      <c r="BM1438" t="s">
        <v>15651</v>
      </c>
    </row>
    <row r="1439" spans="1:67">
      <c r="A1439" s="1">
        <f>HYPERLINK("https://lsnyc.legalserver.org/matter/dynamic-profile/view/1857086","18-1857086")</f>
        <v>0</v>
      </c>
      <c r="B1439" t="s">
        <v>120</v>
      </c>
      <c r="C1439" t="s">
        <v>246</v>
      </c>
      <c r="D1439" t="s">
        <v>692</v>
      </c>
      <c r="F1439" t="s">
        <v>1098</v>
      </c>
      <c r="G1439" t="s">
        <v>3571</v>
      </c>
      <c r="H1439" t="s">
        <v>4844</v>
      </c>
      <c r="J1439" t="s">
        <v>7170</v>
      </c>
      <c r="K1439">
        <v>10452</v>
      </c>
      <c r="N1439" t="s">
        <v>7237</v>
      </c>
      <c r="O1439" t="s">
        <v>8212</v>
      </c>
      <c r="P1439">
        <v>2</v>
      </c>
      <c r="Q1439">
        <v>0</v>
      </c>
      <c r="R1439">
        <v>96.06</v>
      </c>
      <c r="U1439">
        <v>15600</v>
      </c>
      <c r="V1439" t="s">
        <v>10396</v>
      </c>
      <c r="W1439">
        <v>0</v>
      </c>
      <c r="Y1439" t="s">
        <v>10897</v>
      </c>
      <c r="AA1439" t="s">
        <v>10974</v>
      </c>
      <c r="AB1439" t="s">
        <v>10984</v>
      </c>
      <c r="AD1439" t="s">
        <v>11096</v>
      </c>
      <c r="AF1439" t="s">
        <v>11122</v>
      </c>
      <c r="AH1439" t="s">
        <v>10974</v>
      </c>
      <c r="AJ1439" t="s">
        <v>11141</v>
      </c>
      <c r="AK1439" t="s">
        <v>7225</v>
      </c>
      <c r="AM1439">
        <v>699</v>
      </c>
      <c r="AO1439">
        <v>122</v>
      </c>
      <c r="AQ1439" t="s">
        <v>11157</v>
      </c>
      <c r="AS1439" t="s">
        <v>11173</v>
      </c>
      <c r="AU1439">
        <v>19</v>
      </c>
      <c r="AW1439" t="s">
        <v>11189</v>
      </c>
      <c r="AZ1439" t="s">
        <v>11221</v>
      </c>
      <c r="BE1439" t="s">
        <v>12513</v>
      </c>
      <c r="BG1439" t="s">
        <v>14719</v>
      </c>
      <c r="BM1439" t="s">
        <v>15650</v>
      </c>
    </row>
    <row r="1440" spans="1:67">
      <c r="A1440" s="1">
        <f>HYPERLINK("https://lsnyc.legalserver.org/matter/dynamic-profile/view/1857526","18-1857526")</f>
        <v>0</v>
      </c>
      <c r="B1440" t="s">
        <v>120</v>
      </c>
      <c r="C1440" t="s">
        <v>246</v>
      </c>
      <c r="D1440" t="s">
        <v>691</v>
      </c>
      <c r="F1440" t="s">
        <v>1239</v>
      </c>
      <c r="G1440" t="s">
        <v>3226</v>
      </c>
      <c r="H1440" t="s">
        <v>4844</v>
      </c>
      <c r="I1440" t="s">
        <v>6730</v>
      </c>
      <c r="J1440" t="s">
        <v>7170</v>
      </c>
      <c r="K1440">
        <v>10452</v>
      </c>
      <c r="N1440" t="s">
        <v>7237</v>
      </c>
      <c r="O1440" t="s">
        <v>8165</v>
      </c>
      <c r="P1440">
        <v>2</v>
      </c>
      <c r="Q1440">
        <v>0</v>
      </c>
      <c r="R1440">
        <v>103.45</v>
      </c>
      <c r="U1440">
        <v>25428</v>
      </c>
      <c r="V1440" t="s">
        <v>10396</v>
      </c>
      <c r="W1440">
        <v>0</v>
      </c>
      <c r="Y1440" t="s">
        <v>10897</v>
      </c>
      <c r="AA1440" t="s">
        <v>10974</v>
      </c>
      <c r="AB1440" t="s">
        <v>849</v>
      </c>
      <c r="AD1440" t="s">
        <v>11096</v>
      </c>
      <c r="AF1440" t="s">
        <v>11122</v>
      </c>
      <c r="AH1440" t="s">
        <v>10974</v>
      </c>
      <c r="AJ1440" t="s">
        <v>11141</v>
      </c>
      <c r="AK1440" t="s">
        <v>7225</v>
      </c>
      <c r="AM1440">
        <v>993</v>
      </c>
      <c r="AO1440">
        <v>122</v>
      </c>
      <c r="AQ1440" t="s">
        <v>11157</v>
      </c>
      <c r="AR1440" t="s">
        <v>11172</v>
      </c>
      <c r="AU1440">
        <v>25</v>
      </c>
      <c r="AW1440" t="s">
        <v>11189</v>
      </c>
      <c r="AZ1440" t="s">
        <v>11221</v>
      </c>
      <c r="BC1440" t="s">
        <v>11357</v>
      </c>
      <c r="BE1440" t="s">
        <v>12463</v>
      </c>
      <c r="BG1440" t="s">
        <v>14717</v>
      </c>
      <c r="BM1440" t="s">
        <v>15650</v>
      </c>
    </row>
    <row r="1441" spans="1:65">
      <c r="A1441" s="1">
        <f>HYPERLINK("https://lsnyc.legalserver.org/matter/dynamic-profile/view/1871698","18-1871698")</f>
        <v>0</v>
      </c>
      <c r="B1441" t="s">
        <v>121</v>
      </c>
      <c r="C1441" t="s">
        <v>247</v>
      </c>
      <c r="D1441" t="s">
        <v>720</v>
      </c>
      <c r="F1441" t="s">
        <v>1792</v>
      </c>
      <c r="G1441" t="s">
        <v>1303</v>
      </c>
      <c r="H1441" t="s">
        <v>5297</v>
      </c>
      <c r="I1441" t="s">
        <v>6611</v>
      </c>
      <c r="J1441" t="s">
        <v>7173</v>
      </c>
      <c r="K1441">
        <v>11354</v>
      </c>
      <c r="N1441" t="s">
        <v>7237</v>
      </c>
      <c r="O1441" t="s">
        <v>8224</v>
      </c>
      <c r="P1441">
        <v>3</v>
      </c>
      <c r="Q1441">
        <v>0</v>
      </c>
      <c r="R1441">
        <v>211.74</v>
      </c>
      <c r="U1441">
        <v>44000</v>
      </c>
      <c r="W1441">
        <v>1.8</v>
      </c>
      <c r="X1441" t="s">
        <v>503</v>
      </c>
      <c r="Y1441" t="s">
        <v>188</v>
      </c>
      <c r="AA1441" t="s">
        <v>10974</v>
      </c>
      <c r="AB1441" t="s">
        <v>720</v>
      </c>
      <c r="AD1441" t="s">
        <v>11088</v>
      </c>
      <c r="AF1441" t="s">
        <v>11120</v>
      </c>
      <c r="AH1441" t="s">
        <v>10975</v>
      </c>
      <c r="AJ1441" t="s">
        <v>11139</v>
      </c>
      <c r="AK1441" t="s">
        <v>7225</v>
      </c>
      <c r="AM1441">
        <v>1590.83</v>
      </c>
      <c r="AO1441">
        <v>90</v>
      </c>
      <c r="AQ1441" t="s">
        <v>11157</v>
      </c>
      <c r="AS1441" t="s">
        <v>11173</v>
      </c>
      <c r="AU1441">
        <v>8</v>
      </c>
      <c r="AW1441" t="s">
        <v>11203</v>
      </c>
      <c r="AY1441" t="s">
        <v>11213</v>
      </c>
      <c r="AZ1441" t="s">
        <v>11221</v>
      </c>
      <c r="BC1441" t="s">
        <v>11173</v>
      </c>
      <c r="BE1441" t="s">
        <v>12526</v>
      </c>
      <c r="BF1441" t="s">
        <v>14364</v>
      </c>
      <c r="BG1441" t="s">
        <v>11228</v>
      </c>
      <c r="BM1441" t="s">
        <v>15650</v>
      </c>
    </row>
    <row r="1442" spans="1:65">
      <c r="A1442" s="1">
        <f>HYPERLINK("https://lsnyc.legalserver.org/matter/dynamic-profile/view/1884108","18-1884108")</f>
        <v>0</v>
      </c>
      <c r="B1442" t="s">
        <v>121</v>
      </c>
      <c r="C1442" t="s">
        <v>247</v>
      </c>
      <c r="D1442" t="s">
        <v>721</v>
      </c>
      <c r="F1442" t="s">
        <v>1122</v>
      </c>
      <c r="G1442" t="s">
        <v>2916</v>
      </c>
      <c r="H1442" t="s">
        <v>5298</v>
      </c>
      <c r="I1442" t="s">
        <v>6749</v>
      </c>
      <c r="J1442" t="s">
        <v>7187</v>
      </c>
      <c r="K1442">
        <v>11415</v>
      </c>
      <c r="N1442" t="s">
        <v>7237</v>
      </c>
      <c r="O1442" t="s">
        <v>8225</v>
      </c>
      <c r="P1442">
        <v>1</v>
      </c>
      <c r="Q1442">
        <v>0</v>
      </c>
      <c r="R1442">
        <v>0</v>
      </c>
      <c r="U1442">
        <v>0</v>
      </c>
      <c r="W1442">
        <v>1.1</v>
      </c>
      <c r="X1442" t="s">
        <v>10819</v>
      </c>
      <c r="Y1442" t="s">
        <v>10870</v>
      </c>
      <c r="Z1442" t="s">
        <v>10972</v>
      </c>
      <c r="AA1442" t="s">
        <v>10976</v>
      </c>
      <c r="AD1442" t="s">
        <v>11088</v>
      </c>
      <c r="AF1442" t="s">
        <v>11120</v>
      </c>
      <c r="AH1442" t="s">
        <v>10974</v>
      </c>
      <c r="AJ1442" t="s">
        <v>11129</v>
      </c>
      <c r="AK1442" t="s">
        <v>7225</v>
      </c>
      <c r="AL1442" t="s">
        <v>11150</v>
      </c>
      <c r="AM1442">
        <v>0</v>
      </c>
      <c r="AO1442">
        <v>57</v>
      </c>
      <c r="AQ1442" t="s">
        <v>11157</v>
      </c>
      <c r="AS1442" t="s">
        <v>11173</v>
      </c>
      <c r="AU1442">
        <v>2</v>
      </c>
      <c r="AW1442" t="s">
        <v>11189</v>
      </c>
      <c r="AY1442" t="s">
        <v>11213</v>
      </c>
      <c r="AZ1442" t="s">
        <v>11221</v>
      </c>
      <c r="BB1442" t="s">
        <v>11224</v>
      </c>
      <c r="BC1442" t="s">
        <v>11236</v>
      </c>
      <c r="BE1442" t="s">
        <v>11236</v>
      </c>
      <c r="BF1442" t="s">
        <v>14364</v>
      </c>
      <c r="BG1442" t="s">
        <v>11086</v>
      </c>
      <c r="BM1442" t="s">
        <v>15650</v>
      </c>
    </row>
    <row r="1443" spans="1:65">
      <c r="A1443" s="1">
        <f>HYPERLINK("https://lsnyc.legalserver.org/matter/dynamic-profile/view/1879783","18-1879783")</f>
        <v>0</v>
      </c>
      <c r="B1443" t="s">
        <v>121</v>
      </c>
      <c r="C1443" t="s">
        <v>247</v>
      </c>
      <c r="D1443" t="s">
        <v>722</v>
      </c>
      <c r="F1443" t="s">
        <v>1793</v>
      </c>
      <c r="G1443" t="s">
        <v>3581</v>
      </c>
      <c r="H1443" t="s">
        <v>5299</v>
      </c>
      <c r="I1443">
        <v>510</v>
      </c>
      <c r="J1443" t="s">
        <v>7173</v>
      </c>
      <c r="K1443">
        <v>11355</v>
      </c>
      <c r="N1443" t="s">
        <v>7237</v>
      </c>
      <c r="O1443" t="s">
        <v>8226</v>
      </c>
      <c r="P1443">
        <v>1</v>
      </c>
      <c r="Q1443">
        <v>0</v>
      </c>
      <c r="R1443">
        <v>118.81</v>
      </c>
      <c r="U1443">
        <v>14424</v>
      </c>
      <c r="W1443">
        <v>1.7</v>
      </c>
      <c r="X1443" t="s">
        <v>10819</v>
      </c>
      <c r="Y1443" t="s">
        <v>188</v>
      </c>
      <c r="Z1443" t="s">
        <v>10972</v>
      </c>
      <c r="AA1443" t="s">
        <v>10975</v>
      </c>
      <c r="AD1443" t="s">
        <v>11086</v>
      </c>
      <c r="AF1443" t="s">
        <v>11120</v>
      </c>
      <c r="AH1443" t="s">
        <v>10975</v>
      </c>
      <c r="AJ1443" t="s">
        <v>11139</v>
      </c>
      <c r="AK1443" t="s">
        <v>7225</v>
      </c>
      <c r="AM1443">
        <v>1213</v>
      </c>
      <c r="AO1443">
        <v>158</v>
      </c>
      <c r="AQ1443" t="s">
        <v>11157</v>
      </c>
      <c r="AS1443" t="s">
        <v>11181</v>
      </c>
      <c r="AU1443">
        <v>5</v>
      </c>
      <c r="AW1443" t="s">
        <v>11187</v>
      </c>
      <c r="AY1443" t="s">
        <v>11213</v>
      </c>
      <c r="AZ1443" t="s">
        <v>11221</v>
      </c>
      <c r="BB1443" t="s">
        <v>11224</v>
      </c>
      <c r="BC1443" t="s">
        <v>11236</v>
      </c>
      <c r="BE1443" t="s">
        <v>12527</v>
      </c>
      <c r="BF1443" t="s">
        <v>14364</v>
      </c>
      <c r="BG1443" t="s">
        <v>11228</v>
      </c>
      <c r="BM1443" t="s">
        <v>15650</v>
      </c>
    </row>
    <row r="1444" spans="1:65">
      <c r="A1444" s="1">
        <f>HYPERLINK("https://lsnyc.legalserver.org/matter/dynamic-profile/view/1858274","18-1858274")</f>
        <v>0</v>
      </c>
      <c r="B1444" t="s">
        <v>121</v>
      </c>
      <c r="C1444" t="s">
        <v>247</v>
      </c>
      <c r="D1444" t="s">
        <v>723</v>
      </c>
      <c r="F1444" t="s">
        <v>1794</v>
      </c>
      <c r="G1444" t="s">
        <v>3582</v>
      </c>
      <c r="H1444" t="s">
        <v>5300</v>
      </c>
      <c r="I1444" t="s">
        <v>6413</v>
      </c>
      <c r="J1444" t="s">
        <v>7188</v>
      </c>
      <c r="K1444">
        <v>11365</v>
      </c>
      <c r="N1444" t="s">
        <v>7237</v>
      </c>
      <c r="O1444" t="s">
        <v>8227</v>
      </c>
      <c r="P1444">
        <v>1</v>
      </c>
      <c r="Q1444">
        <v>2</v>
      </c>
      <c r="R1444">
        <v>37.02</v>
      </c>
      <c r="S1444" t="s">
        <v>10254</v>
      </c>
      <c r="T1444" t="s">
        <v>10275</v>
      </c>
      <c r="U1444">
        <v>7560</v>
      </c>
      <c r="W1444">
        <v>31.06</v>
      </c>
      <c r="X1444" t="s">
        <v>426</v>
      </c>
      <c r="Y1444" t="s">
        <v>10870</v>
      </c>
      <c r="AA1444" t="s">
        <v>10974</v>
      </c>
      <c r="AB1444" t="s">
        <v>723</v>
      </c>
      <c r="AD1444" t="s">
        <v>11090</v>
      </c>
      <c r="AF1444" t="s">
        <v>11120</v>
      </c>
      <c r="AH1444" t="s">
        <v>10975</v>
      </c>
      <c r="AJ1444" t="s">
        <v>11133</v>
      </c>
      <c r="AK1444" t="s">
        <v>11149</v>
      </c>
      <c r="AM1444">
        <v>521</v>
      </c>
      <c r="AO1444">
        <v>100</v>
      </c>
      <c r="AQ1444" t="s">
        <v>11166</v>
      </c>
      <c r="AS1444" t="s">
        <v>11173</v>
      </c>
      <c r="AU1444">
        <v>13</v>
      </c>
      <c r="AW1444" t="s">
        <v>11187</v>
      </c>
      <c r="AZ1444" t="s">
        <v>11221</v>
      </c>
      <c r="BC1444" t="s">
        <v>11363</v>
      </c>
      <c r="BE1444" t="s">
        <v>12528</v>
      </c>
      <c r="BF1444" t="s">
        <v>14364</v>
      </c>
      <c r="BG1444" t="s">
        <v>11086</v>
      </c>
      <c r="BM1444" t="s">
        <v>15650</v>
      </c>
    </row>
    <row r="1445" spans="1:65">
      <c r="A1445" s="1">
        <f>HYPERLINK("https://lsnyc.legalserver.org/matter/dynamic-profile/view/1912236","19-1912236")</f>
        <v>0</v>
      </c>
      <c r="B1445" t="s">
        <v>121</v>
      </c>
      <c r="C1445" t="s">
        <v>247</v>
      </c>
      <c r="D1445" t="s">
        <v>265</v>
      </c>
      <c r="F1445" t="s">
        <v>1795</v>
      </c>
      <c r="G1445" t="s">
        <v>3583</v>
      </c>
      <c r="H1445" t="s">
        <v>5301</v>
      </c>
      <c r="I1445" t="s">
        <v>6441</v>
      </c>
      <c r="J1445" t="s">
        <v>7173</v>
      </c>
      <c r="K1445">
        <v>11358</v>
      </c>
      <c r="N1445" t="s">
        <v>7237</v>
      </c>
      <c r="O1445" t="s">
        <v>8228</v>
      </c>
      <c r="P1445">
        <v>2</v>
      </c>
      <c r="Q1445">
        <v>0</v>
      </c>
      <c r="R1445">
        <v>106.45</v>
      </c>
      <c r="U1445">
        <v>18000</v>
      </c>
      <c r="W1445">
        <v>0.33</v>
      </c>
      <c r="X1445" t="s">
        <v>265</v>
      </c>
      <c r="Y1445" t="s">
        <v>10875</v>
      </c>
      <c r="AA1445" t="s">
        <v>10974</v>
      </c>
      <c r="AD1445" t="s">
        <v>11083</v>
      </c>
      <c r="AF1445" t="s">
        <v>11121</v>
      </c>
      <c r="AH1445" t="s">
        <v>10975</v>
      </c>
      <c r="AJ1445" t="s">
        <v>11138</v>
      </c>
      <c r="AK1445" t="s">
        <v>7225</v>
      </c>
      <c r="AM1445">
        <v>1500</v>
      </c>
      <c r="AO1445">
        <v>3</v>
      </c>
      <c r="AP1445" t="s">
        <v>11155</v>
      </c>
      <c r="AS1445" t="s">
        <v>11173</v>
      </c>
      <c r="AU1445">
        <v>1</v>
      </c>
      <c r="AW1445" t="s">
        <v>11203</v>
      </c>
      <c r="AX1445" t="s">
        <v>11212</v>
      </c>
      <c r="BA1445" t="s">
        <v>11222</v>
      </c>
      <c r="BE1445" t="s">
        <v>12529</v>
      </c>
      <c r="BG1445" t="s">
        <v>14751</v>
      </c>
      <c r="BM1445" t="s">
        <v>15650</v>
      </c>
    </row>
    <row r="1446" spans="1:65">
      <c r="A1446" s="1">
        <f>HYPERLINK("https://lsnyc.legalserver.org/matter/dynamic-profile/view/1869788","18-1869788")</f>
        <v>0</v>
      </c>
      <c r="B1446" t="s">
        <v>121</v>
      </c>
      <c r="C1446" t="s">
        <v>247</v>
      </c>
      <c r="D1446" t="s">
        <v>724</v>
      </c>
      <c r="F1446" t="s">
        <v>1122</v>
      </c>
      <c r="G1446" t="s">
        <v>3115</v>
      </c>
      <c r="H1446" t="s">
        <v>5302</v>
      </c>
      <c r="I1446" t="s">
        <v>6405</v>
      </c>
      <c r="J1446" t="s">
        <v>7189</v>
      </c>
      <c r="K1446">
        <v>11356</v>
      </c>
      <c r="N1446" t="s">
        <v>7238</v>
      </c>
      <c r="O1446" t="s">
        <v>8229</v>
      </c>
      <c r="P1446">
        <v>1</v>
      </c>
      <c r="Q1446">
        <v>0</v>
      </c>
      <c r="R1446">
        <v>51.7</v>
      </c>
      <c r="U1446">
        <v>6276</v>
      </c>
      <c r="W1446">
        <v>2.95</v>
      </c>
      <c r="X1446" t="s">
        <v>428</v>
      </c>
      <c r="Y1446" t="s">
        <v>10870</v>
      </c>
      <c r="AA1446" t="s">
        <v>10974</v>
      </c>
      <c r="AB1446" t="s">
        <v>724</v>
      </c>
      <c r="AD1446" t="s">
        <v>11088</v>
      </c>
      <c r="AF1446" t="s">
        <v>11119</v>
      </c>
      <c r="AH1446" t="s">
        <v>10975</v>
      </c>
      <c r="AJ1446" t="s">
        <v>11128</v>
      </c>
      <c r="AK1446" t="s">
        <v>7225</v>
      </c>
      <c r="AM1446">
        <v>1232.12</v>
      </c>
      <c r="AN1446" t="s">
        <v>11151</v>
      </c>
      <c r="AO1446" t="s">
        <v>11153</v>
      </c>
      <c r="AQ1446" t="s">
        <v>11157</v>
      </c>
      <c r="AS1446" t="s">
        <v>11182</v>
      </c>
      <c r="AU1446">
        <v>8</v>
      </c>
      <c r="AW1446" t="s">
        <v>11189</v>
      </c>
      <c r="AZ1446" t="s">
        <v>11221</v>
      </c>
      <c r="BC1446" t="s">
        <v>11364</v>
      </c>
      <c r="BE1446" t="s">
        <v>12530</v>
      </c>
      <c r="BF1446" t="s">
        <v>14364</v>
      </c>
      <c r="BG1446" t="s">
        <v>11228</v>
      </c>
      <c r="BM1446" t="s">
        <v>15650</v>
      </c>
    </row>
    <row r="1447" spans="1:65">
      <c r="A1447" s="1">
        <f>HYPERLINK("https://lsnyc.legalserver.org/matter/dynamic-profile/view/1862540","18-1862540")</f>
        <v>0</v>
      </c>
      <c r="B1447" t="s">
        <v>121</v>
      </c>
      <c r="C1447" t="s">
        <v>247</v>
      </c>
      <c r="D1447" t="s">
        <v>725</v>
      </c>
      <c r="F1447" t="s">
        <v>1428</v>
      </c>
      <c r="G1447" t="s">
        <v>2913</v>
      </c>
      <c r="H1447" t="s">
        <v>5303</v>
      </c>
      <c r="I1447">
        <v>2</v>
      </c>
      <c r="J1447" t="s">
        <v>7172</v>
      </c>
      <c r="K1447">
        <v>11691</v>
      </c>
      <c r="N1447" t="s">
        <v>7237</v>
      </c>
      <c r="O1447" t="s">
        <v>8230</v>
      </c>
      <c r="P1447">
        <v>2</v>
      </c>
      <c r="Q1447">
        <v>0</v>
      </c>
      <c r="R1447">
        <v>17.24</v>
      </c>
      <c r="U1447">
        <v>2838</v>
      </c>
      <c r="W1447">
        <v>1.23</v>
      </c>
      <c r="X1447" t="s">
        <v>676</v>
      </c>
      <c r="Y1447" t="s">
        <v>10870</v>
      </c>
      <c r="AA1447" t="s">
        <v>10974</v>
      </c>
      <c r="AB1447" t="s">
        <v>725</v>
      </c>
      <c r="AD1447" t="s">
        <v>11090</v>
      </c>
      <c r="AF1447" t="s">
        <v>10384</v>
      </c>
      <c r="AH1447" t="s">
        <v>10975</v>
      </c>
      <c r="AJ1447" t="s">
        <v>11129</v>
      </c>
      <c r="AK1447" t="s">
        <v>7225</v>
      </c>
      <c r="AM1447">
        <v>1560</v>
      </c>
      <c r="AO1447">
        <v>2</v>
      </c>
      <c r="AQ1447" t="s">
        <v>11164</v>
      </c>
      <c r="AS1447" t="s">
        <v>11182</v>
      </c>
      <c r="AU1447">
        <v>4</v>
      </c>
      <c r="AW1447" t="s">
        <v>11187</v>
      </c>
      <c r="AZ1447" t="s">
        <v>11221</v>
      </c>
      <c r="BC1447" t="s">
        <v>11365</v>
      </c>
      <c r="BE1447" t="s">
        <v>12531</v>
      </c>
      <c r="BF1447" t="s">
        <v>14364</v>
      </c>
      <c r="BG1447" t="s">
        <v>11228</v>
      </c>
      <c r="BM1447" t="s">
        <v>15650</v>
      </c>
    </row>
    <row r="1448" spans="1:65">
      <c r="A1448" s="1">
        <f>HYPERLINK("https://lsnyc.legalserver.org/matter/dynamic-profile/view/1878038","18-1878038")</f>
        <v>0</v>
      </c>
      <c r="B1448" t="s">
        <v>121</v>
      </c>
      <c r="C1448" t="s">
        <v>247</v>
      </c>
      <c r="D1448" t="s">
        <v>556</v>
      </c>
      <c r="F1448" t="s">
        <v>1796</v>
      </c>
      <c r="G1448" t="s">
        <v>3584</v>
      </c>
      <c r="H1448" t="s">
        <v>5304</v>
      </c>
      <c r="I1448">
        <v>509</v>
      </c>
      <c r="J1448" t="s">
        <v>7173</v>
      </c>
      <c r="K1448">
        <v>11354</v>
      </c>
      <c r="N1448" t="s">
        <v>7237</v>
      </c>
      <c r="O1448" t="s">
        <v>8231</v>
      </c>
      <c r="P1448">
        <v>1</v>
      </c>
      <c r="Q1448">
        <v>0</v>
      </c>
      <c r="R1448">
        <v>70.70999999999999</v>
      </c>
      <c r="U1448">
        <v>8584</v>
      </c>
      <c r="W1448">
        <v>2.65</v>
      </c>
      <c r="X1448" t="s">
        <v>546</v>
      </c>
      <c r="Y1448" t="s">
        <v>10875</v>
      </c>
      <c r="Z1448" t="s">
        <v>10972</v>
      </c>
      <c r="AA1448" t="s">
        <v>10975</v>
      </c>
      <c r="AD1448" t="s">
        <v>11086</v>
      </c>
      <c r="AF1448" t="s">
        <v>11120</v>
      </c>
      <c r="AH1448" t="s">
        <v>10975</v>
      </c>
      <c r="AJ1448" t="s">
        <v>11130</v>
      </c>
      <c r="AK1448" t="s">
        <v>7225</v>
      </c>
      <c r="AM1448">
        <v>541</v>
      </c>
      <c r="AO1448">
        <v>80</v>
      </c>
      <c r="AQ1448" t="s">
        <v>11164</v>
      </c>
      <c r="AS1448" t="s">
        <v>11173</v>
      </c>
      <c r="AU1448">
        <v>23</v>
      </c>
      <c r="AW1448" t="s">
        <v>11189</v>
      </c>
      <c r="AY1448" t="s">
        <v>11213</v>
      </c>
      <c r="AZ1448" t="s">
        <v>11221</v>
      </c>
      <c r="BD1448" t="s">
        <v>11667</v>
      </c>
      <c r="BF1448" t="s">
        <v>14364</v>
      </c>
      <c r="BG1448" t="s">
        <v>11228</v>
      </c>
      <c r="BM1448" t="s">
        <v>15650</v>
      </c>
    </row>
    <row r="1449" spans="1:65">
      <c r="A1449" s="1">
        <f>HYPERLINK("https://lsnyc.legalserver.org/matter/dynamic-profile/view/1870821","18-1870821")</f>
        <v>0</v>
      </c>
      <c r="B1449" t="s">
        <v>122</v>
      </c>
      <c r="C1449" t="s">
        <v>245</v>
      </c>
      <c r="D1449" t="s">
        <v>726</v>
      </c>
      <c r="F1449" t="s">
        <v>1797</v>
      </c>
      <c r="G1449" t="s">
        <v>3585</v>
      </c>
      <c r="H1449" t="s">
        <v>5305</v>
      </c>
      <c r="I1449" t="s">
        <v>6495</v>
      </c>
      <c r="J1449" t="s">
        <v>7169</v>
      </c>
      <c r="K1449">
        <v>10029</v>
      </c>
      <c r="N1449" t="s">
        <v>7237</v>
      </c>
      <c r="O1449" t="s">
        <v>8232</v>
      </c>
      <c r="P1449">
        <v>1</v>
      </c>
      <c r="Q1449">
        <v>0</v>
      </c>
      <c r="R1449">
        <v>280.07</v>
      </c>
      <c r="S1449" t="s">
        <v>605</v>
      </c>
      <c r="T1449" t="s">
        <v>10276</v>
      </c>
      <c r="U1449">
        <v>34000</v>
      </c>
      <c r="W1449">
        <v>18.6</v>
      </c>
      <c r="X1449" t="s">
        <v>264</v>
      </c>
      <c r="Y1449" t="s">
        <v>10873</v>
      </c>
      <c r="AA1449" t="s">
        <v>10974</v>
      </c>
      <c r="AB1449" t="s">
        <v>1020</v>
      </c>
      <c r="AD1449" t="s">
        <v>11083</v>
      </c>
      <c r="AF1449" t="s">
        <v>11118</v>
      </c>
      <c r="AH1449" t="s">
        <v>10975</v>
      </c>
      <c r="AJ1449" t="s">
        <v>11147</v>
      </c>
      <c r="AK1449" t="s">
        <v>7225</v>
      </c>
      <c r="AM1449">
        <v>101</v>
      </c>
      <c r="AO1449">
        <v>23</v>
      </c>
      <c r="AQ1449" t="s">
        <v>11160</v>
      </c>
      <c r="AS1449" t="s">
        <v>11173</v>
      </c>
      <c r="AU1449">
        <v>36</v>
      </c>
      <c r="AW1449" t="s">
        <v>11187</v>
      </c>
      <c r="AY1449" t="s">
        <v>11213</v>
      </c>
      <c r="AZ1449" t="s">
        <v>11221</v>
      </c>
      <c r="BE1449" t="s">
        <v>12532</v>
      </c>
      <c r="BG1449" t="s">
        <v>14752</v>
      </c>
      <c r="BM1449" t="s">
        <v>15650</v>
      </c>
    </row>
    <row r="1450" spans="1:65">
      <c r="A1450" s="1">
        <f>HYPERLINK("https://lsnyc.legalserver.org/matter/dynamic-profile/view/1884428","18-1884428")</f>
        <v>0</v>
      </c>
      <c r="B1450" t="s">
        <v>122</v>
      </c>
      <c r="C1450" t="s">
        <v>245</v>
      </c>
      <c r="D1450" t="s">
        <v>259</v>
      </c>
      <c r="E1450" t="s">
        <v>614</v>
      </c>
      <c r="F1450" t="s">
        <v>1291</v>
      </c>
      <c r="G1450" t="s">
        <v>3586</v>
      </c>
      <c r="H1450" t="s">
        <v>5306</v>
      </c>
      <c r="I1450" t="s">
        <v>6667</v>
      </c>
      <c r="J1450" t="s">
        <v>7169</v>
      </c>
      <c r="K1450">
        <v>10021</v>
      </c>
      <c r="L1450" t="s">
        <v>7216</v>
      </c>
      <c r="N1450" t="s">
        <v>7237</v>
      </c>
      <c r="O1450" t="s">
        <v>8233</v>
      </c>
      <c r="P1450">
        <v>1</v>
      </c>
      <c r="Q1450">
        <v>0</v>
      </c>
      <c r="R1450">
        <v>0</v>
      </c>
      <c r="U1450">
        <v>0</v>
      </c>
      <c r="W1450">
        <v>0.75</v>
      </c>
      <c r="X1450" t="s">
        <v>614</v>
      </c>
      <c r="Y1450" t="s">
        <v>10885</v>
      </c>
      <c r="AA1450" t="s">
        <v>10974</v>
      </c>
      <c r="AB1450" t="s">
        <v>259</v>
      </c>
      <c r="AD1450" t="s">
        <v>11083</v>
      </c>
      <c r="AF1450" t="s">
        <v>11119</v>
      </c>
      <c r="AH1450" t="s">
        <v>10975</v>
      </c>
      <c r="AJ1450" t="s">
        <v>11138</v>
      </c>
      <c r="AK1450" t="s">
        <v>7225</v>
      </c>
      <c r="AM1450">
        <v>2250</v>
      </c>
      <c r="AO1450">
        <v>53</v>
      </c>
      <c r="AP1450" t="s">
        <v>11155</v>
      </c>
      <c r="AS1450" t="s">
        <v>11173</v>
      </c>
      <c r="AU1450">
        <v>10</v>
      </c>
      <c r="AW1450" t="s">
        <v>11187</v>
      </c>
      <c r="AZ1450" t="s">
        <v>11221</v>
      </c>
      <c r="BE1450" t="s">
        <v>12533</v>
      </c>
      <c r="BG1450" t="s">
        <v>14753</v>
      </c>
      <c r="BM1450" t="s">
        <v>15651</v>
      </c>
    </row>
    <row r="1451" spans="1:65">
      <c r="A1451" s="1">
        <f>HYPERLINK("https://lsnyc.legalserver.org/matter/dynamic-profile/view/1914386","19-1914386")</f>
        <v>0</v>
      </c>
      <c r="B1451" t="s">
        <v>122</v>
      </c>
      <c r="C1451" t="s">
        <v>245</v>
      </c>
      <c r="D1451" t="s">
        <v>497</v>
      </c>
      <c r="F1451" t="s">
        <v>1108</v>
      </c>
      <c r="G1451" t="s">
        <v>3587</v>
      </c>
      <c r="H1451" t="s">
        <v>5307</v>
      </c>
      <c r="I1451">
        <v>64</v>
      </c>
      <c r="J1451" t="s">
        <v>7169</v>
      </c>
      <c r="K1451">
        <v>10031</v>
      </c>
      <c r="N1451" t="s">
        <v>7237</v>
      </c>
      <c r="O1451" t="s">
        <v>8234</v>
      </c>
      <c r="P1451">
        <v>1</v>
      </c>
      <c r="Q1451">
        <v>0</v>
      </c>
      <c r="R1451">
        <v>105.68</v>
      </c>
      <c r="U1451">
        <v>13200</v>
      </c>
      <c r="W1451">
        <v>1</v>
      </c>
      <c r="X1451" t="s">
        <v>264</v>
      </c>
      <c r="Y1451" t="s">
        <v>10885</v>
      </c>
      <c r="Z1451" t="s">
        <v>10972</v>
      </c>
      <c r="AA1451" t="s">
        <v>10976</v>
      </c>
      <c r="AD1451" t="s">
        <v>11086</v>
      </c>
      <c r="AF1451" t="s">
        <v>11121</v>
      </c>
      <c r="AH1451" t="s">
        <v>10975</v>
      </c>
      <c r="AJ1451" t="s">
        <v>11132</v>
      </c>
      <c r="AK1451" t="s">
        <v>7225</v>
      </c>
      <c r="AM1451">
        <v>977</v>
      </c>
      <c r="AO1451">
        <v>30</v>
      </c>
      <c r="AQ1451" t="s">
        <v>11157</v>
      </c>
      <c r="AS1451" t="s">
        <v>11175</v>
      </c>
      <c r="AU1451">
        <v>48</v>
      </c>
      <c r="AW1451" t="s">
        <v>11187</v>
      </c>
      <c r="AX1451" t="s">
        <v>11212</v>
      </c>
      <c r="AZ1451" t="s">
        <v>11221</v>
      </c>
      <c r="BE1451" t="s">
        <v>12534</v>
      </c>
      <c r="BF1451" t="s">
        <v>14364</v>
      </c>
      <c r="BM1451" t="s">
        <v>15650</v>
      </c>
    </row>
    <row r="1452" spans="1:65">
      <c r="A1452" s="1">
        <f>HYPERLINK("https://lsnyc.legalserver.org/matter/dynamic-profile/view/1861085","18-1861085")</f>
        <v>0</v>
      </c>
      <c r="B1452" t="s">
        <v>122</v>
      </c>
      <c r="C1452" t="s">
        <v>245</v>
      </c>
      <c r="D1452" t="s">
        <v>419</v>
      </c>
      <c r="E1452" t="s">
        <v>264</v>
      </c>
      <c r="F1452" t="s">
        <v>1798</v>
      </c>
      <c r="G1452" t="s">
        <v>2885</v>
      </c>
      <c r="H1452" t="s">
        <v>5308</v>
      </c>
      <c r="I1452" t="s">
        <v>6750</v>
      </c>
      <c r="J1452" t="s">
        <v>7169</v>
      </c>
      <c r="K1452">
        <v>10016</v>
      </c>
      <c r="L1452" t="s">
        <v>7217</v>
      </c>
      <c r="M1452" t="s">
        <v>7224</v>
      </c>
      <c r="N1452" t="s">
        <v>7237</v>
      </c>
      <c r="O1452" t="s">
        <v>8235</v>
      </c>
      <c r="P1452">
        <v>1</v>
      </c>
      <c r="Q1452">
        <v>0</v>
      </c>
      <c r="R1452">
        <v>87.81</v>
      </c>
      <c r="U1452">
        <v>10660</v>
      </c>
      <c r="W1452">
        <v>8.9</v>
      </c>
      <c r="X1452" t="s">
        <v>264</v>
      </c>
      <c r="Y1452" t="s">
        <v>10861</v>
      </c>
      <c r="AA1452" t="s">
        <v>10974</v>
      </c>
      <c r="AB1452" t="s">
        <v>849</v>
      </c>
      <c r="AD1452" t="s">
        <v>11082</v>
      </c>
      <c r="AF1452" t="s">
        <v>10384</v>
      </c>
      <c r="AG1452" t="s">
        <v>11124</v>
      </c>
      <c r="AJ1452" t="s">
        <v>11141</v>
      </c>
      <c r="AK1452" t="s">
        <v>7225</v>
      </c>
      <c r="AM1452">
        <v>3633</v>
      </c>
      <c r="AN1452" t="s">
        <v>11151</v>
      </c>
      <c r="AO1452" t="s">
        <v>11153</v>
      </c>
      <c r="AQ1452" t="s">
        <v>11164</v>
      </c>
      <c r="AS1452" t="s">
        <v>11174</v>
      </c>
      <c r="AU1452">
        <v>25</v>
      </c>
      <c r="AV1452" t="s">
        <v>11186</v>
      </c>
      <c r="AZ1452" t="s">
        <v>11221</v>
      </c>
      <c r="BE1452" t="s">
        <v>12535</v>
      </c>
      <c r="BG1452" t="s">
        <v>14754</v>
      </c>
      <c r="BM1452" t="s">
        <v>15651</v>
      </c>
    </row>
    <row r="1453" spans="1:65">
      <c r="A1453" s="1">
        <f>HYPERLINK("https://lsnyc.legalserver.org/matter/dynamic-profile/view/1894918","19-1894918")</f>
        <v>0</v>
      </c>
      <c r="B1453" t="s">
        <v>123</v>
      </c>
      <c r="C1453" t="s">
        <v>248</v>
      </c>
      <c r="D1453" t="s">
        <v>521</v>
      </c>
      <c r="F1453" t="s">
        <v>1799</v>
      </c>
      <c r="G1453" t="s">
        <v>3588</v>
      </c>
      <c r="H1453" t="s">
        <v>5309</v>
      </c>
      <c r="I1453" t="s">
        <v>6466</v>
      </c>
      <c r="J1453" t="s">
        <v>7174</v>
      </c>
      <c r="K1453">
        <v>11225</v>
      </c>
      <c r="M1453" t="s">
        <v>7227</v>
      </c>
      <c r="N1453" t="s">
        <v>7237</v>
      </c>
      <c r="O1453" t="s">
        <v>8236</v>
      </c>
      <c r="P1453">
        <v>2</v>
      </c>
      <c r="Q1453">
        <v>0</v>
      </c>
      <c r="R1453">
        <v>261.38</v>
      </c>
      <c r="U1453">
        <v>44200</v>
      </c>
      <c r="W1453">
        <v>0.1</v>
      </c>
      <c r="X1453" t="s">
        <v>437</v>
      </c>
      <c r="Y1453" t="s">
        <v>81</v>
      </c>
      <c r="AA1453" t="s">
        <v>10974</v>
      </c>
      <c r="AB1453" t="s">
        <v>435</v>
      </c>
      <c r="AD1453" t="s">
        <v>11085</v>
      </c>
      <c r="AF1453" t="s">
        <v>11118</v>
      </c>
      <c r="AH1453" t="s">
        <v>10974</v>
      </c>
      <c r="AI1453" t="s">
        <v>11126</v>
      </c>
      <c r="AK1453" t="s">
        <v>7225</v>
      </c>
      <c r="AM1453">
        <v>1093.84</v>
      </c>
      <c r="AN1453" t="s">
        <v>11151</v>
      </c>
      <c r="AO1453" t="s">
        <v>11153</v>
      </c>
      <c r="AP1453" t="s">
        <v>11155</v>
      </c>
      <c r="AR1453" t="s">
        <v>11172</v>
      </c>
      <c r="AU1453">
        <v>13</v>
      </c>
      <c r="AW1453" t="s">
        <v>11187</v>
      </c>
      <c r="AZ1453" t="s">
        <v>11221</v>
      </c>
      <c r="BD1453" t="s">
        <v>11667</v>
      </c>
      <c r="BF1453" t="s">
        <v>14364</v>
      </c>
      <c r="BM1453" t="s">
        <v>15650</v>
      </c>
    </row>
    <row r="1454" spans="1:65">
      <c r="A1454" s="1">
        <f>HYPERLINK("https://lsnyc.legalserver.org/matter/dynamic-profile/view/1882257","18-1882257")</f>
        <v>0</v>
      </c>
      <c r="B1454" t="s">
        <v>123</v>
      </c>
      <c r="C1454" t="s">
        <v>248</v>
      </c>
      <c r="D1454" t="s">
        <v>727</v>
      </c>
      <c r="F1454" t="s">
        <v>1800</v>
      </c>
      <c r="G1454" t="s">
        <v>3589</v>
      </c>
      <c r="H1454" t="s">
        <v>5310</v>
      </c>
      <c r="I1454" t="s">
        <v>6751</v>
      </c>
      <c r="J1454" t="s">
        <v>7174</v>
      </c>
      <c r="K1454">
        <v>11220</v>
      </c>
      <c r="N1454" t="s">
        <v>7247</v>
      </c>
      <c r="O1454" t="s">
        <v>8237</v>
      </c>
      <c r="P1454">
        <v>2</v>
      </c>
      <c r="Q1454">
        <v>4</v>
      </c>
      <c r="R1454">
        <v>70.67</v>
      </c>
      <c r="U1454">
        <v>23844</v>
      </c>
      <c r="W1454">
        <v>1</v>
      </c>
      <c r="X1454" t="s">
        <v>337</v>
      </c>
      <c r="Y1454" t="s">
        <v>174</v>
      </c>
      <c r="AA1454" t="s">
        <v>10974</v>
      </c>
      <c r="AB1454" t="s">
        <v>727</v>
      </c>
      <c r="AD1454" t="s">
        <v>11098</v>
      </c>
      <c r="AF1454" t="s">
        <v>11122</v>
      </c>
      <c r="AH1454" t="s">
        <v>10974</v>
      </c>
      <c r="AI1454" t="s">
        <v>11126</v>
      </c>
      <c r="AK1454" t="s">
        <v>7225</v>
      </c>
      <c r="AL1454" t="s">
        <v>11150</v>
      </c>
      <c r="AM1454">
        <v>0</v>
      </c>
      <c r="AO1454">
        <v>28</v>
      </c>
      <c r="AP1454" t="s">
        <v>11155</v>
      </c>
      <c r="AR1454" t="s">
        <v>11172</v>
      </c>
      <c r="AT1454" t="s">
        <v>11184</v>
      </c>
      <c r="AU1454">
        <v>0</v>
      </c>
      <c r="AW1454" t="s">
        <v>11189</v>
      </c>
      <c r="AZ1454" t="s">
        <v>11221</v>
      </c>
      <c r="BE1454" t="s">
        <v>12536</v>
      </c>
      <c r="BF1454" t="s">
        <v>14364</v>
      </c>
      <c r="BM1454" t="s">
        <v>15650</v>
      </c>
    </row>
    <row r="1455" spans="1:65">
      <c r="A1455" s="1">
        <f>HYPERLINK("https://lsnyc.legalserver.org/matter/dynamic-profile/view/1892457","19-1892457")</f>
        <v>0</v>
      </c>
      <c r="B1455" t="s">
        <v>123</v>
      </c>
      <c r="C1455" t="s">
        <v>248</v>
      </c>
      <c r="D1455" t="s">
        <v>483</v>
      </c>
      <c r="F1455" t="s">
        <v>1407</v>
      </c>
      <c r="G1455" t="s">
        <v>1643</v>
      </c>
      <c r="H1455" t="s">
        <v>5311</v>
      </c>
      <c r="I1455" t="s">
        <v>6433</v>
      </c>
      <c r="J1455" t="s">
        <v>7174</v>
      </c>
      <c r="K1455">
        <v>11225</v>
      </c>
      <c r="M1455" t="s">
        <v>7227</v>
      </c>
      <c r="N1455" t="s">
        <v>7237</v>
      </c>
      <c r="O1455" t="s">
        <v>8238</v>
      </c>
      <c r="P1455">
        <v>1</v>
      </c>
      <c r="Q1455">
        <v>0</v>
      </c>
      <c r="R1455">
        <v>83.27</v>
      </c>
      <c r="U1455">
        <v>10400</v>
      </c>
      <c r="W1455">
        <v>0.1</v>
      </c>
      <c r="X1455" t="s">
        <v>437</v>
      </c>
      <c r="Y1455" t="s">
        <v>81</v>
      </c>
      <c r="AA1455" t="s">
        <v>10974</v>
      </c>
      <c r="AB1455" t="s">
        <v>651</v>
      </c>
      <c r="AD1455" t="s">
        <v>11085</v>
      </c>
      <c r="AF1455" t="s">
        <v>11118</v>
      </c>
      <c r="AG1455" t="s">
        <v>11124</v>
      </c>
      <c r="AI1455" t="s">
        <v>11126</v>
      </c>
      <c r="AK1455" t="s">
        <v>7225</v>
      </c>
      <c r="AL1455" t="s">
        <v>11150</v>
      </c>
      <c r="AM1455">
        <v>0</v>
      </c>
      <c r="AN1455" t="s">
        <v>11151</v>
      </c>
      <c r="AO1455" t="s">
        <v>11153</v>
      </c>
      <c r="AP1455" t="s">
        <v>11155</v>
      </c>
      <c r="AR1455" t="s">
        <v>11172</v>
      </c>
      <c r="AT1455" t="s">
        <v>11184</v>
      </c>
      <c r="AU1455">
        <v>0</v>
      </c>
      <c r="AW1455" t="s">
        <v>11187</v>
      </c>
      <c r="AZ1455" t="s">
        <v>11221</v>
      </c>
      <c r="BE1455" t="s">
        <v>12537</v>
      </c>
      <c r="BG1455" t="s">
        <v>14755</v>
      </c>
      <c r="BM1455" t="s">
        <v>15650</v>
      </c>
    </row>
    <row r="1456" spans="1:65">
      <c r="A1456" s="1">
        <f>HYPERLINK("https://lsnyc.legalserver.org/matter/dynamic-profile/view/1915057","19-1915057")</f>
        <v>0</v>
      </c>
      <c r="B1456" t="s">
        <v>123</v>
      </c>
      <c r="C1456" t="s">
        <v>248</v>
      </c>
      <c r="D1456" t="s">
        <v>264</v>
      </c>
      <c r="F1456" t="s">
        <v>1801</v>
      </c>
      <c r="G1456" t="s">
        <v>3590</v>
      </c>
      <c r="H1456" t="s">
        <v>5311</v>
      </c>
      <c r="I1456" t="s">
        <v>6633</v>
      </c>
      <c r="J1456" t="s">
        <v>7174</v>
      </c>
      <c r="K1456">
        <v>11225</v>
      </c>
      <c r="N1456" t="s">
        <v>7237</v>
      </c>
      <c r="O1456" t="s">
        <v>8239</v>
      </c>
      <c r="P1456">
        <v>1</v>
      </c>
      <c r="Q1456">
        <v>1</v>
      </c>
      <c r="R1456">
        <v>131.99</v>
      </c>
      <c r="U1456">
        <v>22320</v>
      </c>
      <c r="W1456">
        <v>0</v>
      </c>
      <c r="Y1456" t="s">
        <v>81</v>
      </c>
      <c r="AA1456" t="s">
        <v>10974</v>
      </c>
      <c r="AB1456" t="s">
        <v>11017</v>
      </c>
      <c r="AC1456" t="s">
        <v>11081</v>
      </c>
      <c r="AF1456" t="s">
        <v>11118</v>
      </c>
      <c r="AH1456" t="s">
        <v>10974</v>
      </c>
      <c r="AI1456" t="s">
        <v>11126</v>
      </c>
      <c r="AK1456" t="s">
        <v>7225</v>
      </c>
      <c r="AL1456" t="s">
        <v>11150</v>
      </c>
      <c r="AM1456">
        <v>0</v>
      </c>
      <c r="AN1456" t="s">
        <v>11151</v>
      </c>
      <c r="AO1456" t="s">
        <v>11153</v>
      </c>
      <c r="AP1456" t="s">
        <v>11155</v>
      </c>
      <c r="AR1456" t="s">
        <v>11172</v>
      </c>
      <c r="AT1456" t="s">
        <v>11184</v>
      </c>
      <c r="AU1456">
        <v>0</v>
      </c>
      <c r="AW1456" t="s">
        <v>11187</v>
      </c>
      <c r="BA1456" t="s">
        <v>11222</v>
      </c>
      <c r="BE1456" t="s">
        <v>12538</v>
      </c>
      <c r="BF1456" t="s">
        <v>14364</v>
      </c>
      <c r="BM1456" t="s">
        <v>15650</v>
      </c>
    </row>
    <row r="1457" spans="1:65">
      <c r="A1457" s="1">
        <f>HYPERLINK("https://lsnyc.legalserver.org/matter/dynamic-profile/view/1892301","19-1892301")</f>
        <v>0</v>
      </c>
      <c r="B1457" t="s">
        <v>123</v>
      </c>
      <c r="C1457" t="s">
        <v>248</v>
      </c>
      <c r="D1457" t="s">
        <v>503</v>
      </c>
      <c r="F1457" t="s">
        <v>1093</v>
      </c>
      <c r="G1457" t="s">
        <v>3591</v>
      </c>
      <c r="H1457" t="s">
        <v>5312</v>
      </c>
      <c r="I1457" t="s">
        <v>6437</v>
      </c>
      <c r="J1457" t="s">
        <v>7174</v>
      </c>
      <c r="K1457">
        <v>11225</v>
      </c>
      <c r="M1457" t="s">
        <v>7227</v>
      </c>
      <c r="N1457" t="s">
        <v>7237</v>
      </c>
      <c r="O1457" t="s">
        <v>8240</v>
      </c>
      <c r="P1457">
        <v>3</v>
      </c>
      <c r="Q1457">
        <v>0</v>
      </c>
      <c r="R1457">
        <v>150.02</v>
      </c>
      <c r="U1457">
        <v>32000</v>
      </c>
      <c r="W1457">
        <v>7.8</v>
      </c>
      <c r="X1457" t="s">
        <v>437</v>
      </c>
      <c r="Y1457" t="s">
        <v>81</v>
      </c>
      <c r="AA1457" t="s">
        <v>10974</v>
      </c>
      <c r="AB1457" t="s">
        <v>651</v>
      </c>
      <c r="AD1457" t="s">
        <v>11085</v>
      </c>
      <c r="AF1457" t="s">
        <v>11118</v>
      </c>
      <c r="AG1457" t="s">
        <v>11124</v>
      </c>
      <c r="AI1457" t="s">
        <v>11126</v>
      </c>
      <c r="AK1457" t="s">
        <v>7225</v>
      </c>
      <c r="AL1457" t="s">
        <v>11150</v>
      </c>
      <c r="AM1457">
        <v>0</v>
      </c>
      <c r="AN1457" t="s">
        <v>11151</v>
      </c>
      <c r="AO1457" t="s">
        <v>11153</v>
      </c>
      <c r="AP1457" t="s">
        <v>11155</v>
      </c>
      <c r="AR1457" t="s">
        <v>11172</v>
      </c>
      <c r="AT1457" t="s">
        <v>11184</v>
      </c>
      <c r="AU1457">
        <v>0</v>
      </c>
      <c r="AW1457" t="s">
        <v>11187</v>
      </c>
      <c r="AZ1457" t="s">
        <v>11221</v>
      </c>
      <c r="BE1457" t="s">
        <v>12539</v>
      </c>
      <c r="BG1457" t="s">
        <v>14755</v>
      </c>
      <c r="BM1457" t="s">
        <v>15650</v>
      </c>
    </row>
    <row r="1458" spans="1:65">
      <c r="A1458" s="1">
        <f>HYPERLINK("https://lsnyc.legalserver.org/matter/dynamic-profile/view/1882312","18-1882312")</f>
        <v>0</v>
      </c>
      <c r="B1458" t="s">
        <v>123</v>
      </c>
      <c r="C1458" t="s">
        <v>248</v>
      </c>
      <c r="D1458" t="s">
        <v>606</v>
      </c>
      <c r="F1458" t="s">
        <v>1802</v>
      </c>
      <c r="G1458" t="s">
        <v>3018</v>
      </c>
      <c r="H1458" t="s">
        <v>5310</v>
      </c>
      <c r="I1458" t="s">
        <v>6436</v>
      </c>
      <c r="J1458" t="s">
        <v>7174</v>
      </c>
      <c r="K1458">
        <v>11220</v>
      </c>
      <c r="N1458" t="s">
        <v>7237</v>
      </c>
      <c r="O1458" t="s">
        <v>8241</v>
      </c>
      <c r="P1458">
        <v>1</v>
      </c>
      <c r="Q1458">
        <v>0</v>
      </c>
      <c r="R1458">
        <v>81.45</v>
      </c>
      <c r="U1458">
        <v>9888</v>
      </c>
      <c r="W1458">
        <v>1.2</v>
      </c>
      <c r="X1458" t="s">
        <v>606</v>
      </c>
      <c r="Y1458" t="s">
        <v>174</v>
      </c>
      <c r="AA1458" t="s">
        <v>10974</v>
      </c>
      <c r="AB1458" t="s">
        <v>606</v>
      </c>
      <c r="AD1458" t="s">
        <v>11098</v>
      </c>
      <c r="AF1458" t="s">
        <v>11122</v>
      </c>
      <c r="AH1458" t="s">
        <v>10974</v>
      </c>
      <c r="AI1458" t="s">
        <v>11126</v>
      </c>
      <c r="AK1458" t="s">
        <v>7225</v>
      </c>
      <c r="AL1458" t="s">
        <v>11150</v>
      </c>
      <c r="AM1458">
        <v>0</v>
      </c>
      <c r="AO1458">
        <v>28</v>
      </c>
      <c r="AP1458" t="s">
        <v>11155</v>
      </c>
      <c r="AR1458" t="s">
        <v>11172</v>
      </c>
      <c r="AT1458" t="s">
        <v>11184</v>
      </c>
      <c r="AU1458">
        <v>0</v>
      </c>
      <c r="AW1458" t="s">
        <v>11189</v>
      </c>
      <c r="AZ1458" t="s">
        <v>11221</v>
      </c>
      <c r="BE1458" t="s">
        <v>12540</v>
      </c>
      <c r="BF1458" t="s">
        <v>14364</v>
      </c>
      <c r="BM1458" t="s">
        <v>15650</v>
      </c>
    </row>
    <row r="1459" spans="1:65">
      <c r="A1459" s="1">
        <f>HYPERLINK("https://lsnyc.legalserver.org/matter/dynamic-profile/view/1879223","18-1879223")</f>
        <v>0</v>
      </c>
      <c r="B1459" t="s">
        <v>123</v>
      </c>
      <c r="C1459" t="s">
        <v>248</v>
      </c>
      <c r="D1459" t="s">
        <v>609</v>
      </c>
      <c r="F1459" t="s">
        <v>1738</v>
      </c>
      <c r="G1459" t="s">
        <v>3047</v>
      </c>
      <c r="H1459" t="s">
        <v>5313</v>
      </c>
      <c r="I1459" t="s">
        <v>6436</v>
      </c>
      <c r="J1459" t="s">
        <v>7174</v>
      </c>
      <c r="K1459">
        <v>11226</v>
      </c>
      <c r="N1459" t="s">
        <v>7237</v>
      </c>
      <c r="O1459" t="s">
        <v>8242</v>
      </c>
      <c r="P1459">
        <v>4</v>
      </c>
      <c r="Q1459">
        <v>1</v>
      </c>
      <c r="R1459">
        <v>198.25</v>
      </c>
      <c r="U1459">
        <v>58324</v>
      </c>
      <c r="W1459">
        <v>81.55</v>
      </c>
      <c r="X1459" t="s">
        <v>629</v>
      </c>
      <c r="Y1459" t="s">
        <v>212</v>
      </c>
      <c r="AA1459" t="s">
        <v>10974</v>
      </c>
      <c r="AB1459" t="s">
        <v>569</v>
      </c>
      <c r="AD1459" t="s">
        <v>11082</v>
      </c>
      <c r="AF1459" t="s">
        <v>11118</v>
      </c>
      <c r="AG1459" t="s">
        <v>11124</v>
      </c>
      <c r="AI1459" t="s">
        <v>11126</v>
      </c>
      <c r="AK1459" t="s">
        <v>7225</v>
      </c>
      <c r="AL1459" t="s">
        <v>11150</v>
      </c>
      <c r="AM1459">
        <v>0</v>
      </c>
      <c r="AN1459" t="s">
        <v>11151</v>
      </c>
      <c r="AO1459" t="s">
        <v>11153</v>
      </c>
      <c r="AP1459" t="s">
        <v>11155</v>
      </c>
      <c r="AR1459" t="s">
        <v>11172</v>
      </c>
      <c r="AT1459" t="s">
        <v>11184</v>
      </c>
      <c r="AU1459">
        <v>0</v>
      </c>
      <c r="AW1459" t="s">
        <v>11187</v>
      </c>
      <c r="AZ1459" t="s">
        <v>11221</v>
      </c>
      <c r="BE1459" t="s">
        <v>12541</v>
      </c>
      <c r="BF1459" t="s">
        <v>14364</v>
      </c>
      <c r="BM1459" t="s">
        <v>15650</v>
      </c>
    </row>
    <row r="1460" spans="1:65">
      <c r="A1460" s="1">
        <f>HYPERLINK("https://lsnyc.legalserver.org/matter/dynamic-profile/view/1910830","19-1910830")</f>
        <v>0</v>
      </c>
      <c r="B1460" t="s">
        <v>123</v>
      </c>
      <c r="C1460" t="s">
        <v>248</v>
      </c>
      <c r="D1460" t="s">
        <v>728</v>
      </c>
      <c r="F1460" t="s">
        <v>1801</v>
      </c>
      <c r="G1460" t="s">
        <v>3590</v>
      </c>
      <c r="H1460" t="s">
        <v>5311</v>
      </c>
      <c r="I1460" t="s">
        <v>6633</v>
      </c>
      <c r="J1460" t="s">
        <v>7174</v>
      </c>
      <c r="K1460">
        <v>11225</v>
      </c>
      <c r="N1460" t="s">
        <v>7237</v>
      </c>
      <c r="O1460" t="s">
        <v>8239</v>
      </c>
      <c r="P1460">
        <v>1</v>
      </c>
      <c r="Q1460">
        <v>1</v>
      </c>
      <c r="R1460">
        <v>131.99</v>
      </c>
      <c r="U1460">
        <v>22320</v>
      </c>
      <c r="W1460">
        <v>2.5</v>
      </c>
      <c r="X1460" t="s">
        <v>634</v>
      </c>
      <c r="Y1460" t="s">
        <v>81</v>
      </c>
      <c r="AA1460" t="s">
        <v>10974</v>
      </c>
      <c r="AB1460" t="s">
        <v>335</v>
      </c>
      <c r="AC1460" t="s">
        <v>11081</v>
      </c>
      <c r="AF1460" t="s">
        <v>11122</v>
      </c>
      <c r="AH1460" t="s">
        <v>10974</v>
      </c>
      <c r="AI1460" t="s">
        <v>11126</v>
      </c>
      <c r="AK1460" t="s">
        <v>7225</v>
      </c>
      <c r="AL1460" t="s">
        <v>11150</v>
      </c>
      <c r="AM1460">
        <v>0</v>
      </c>
      <c r="AO1460">
        <v>11</v>
      </c>
      <c r="AP1460" t="s">
        <v>11155</v>
      </c>
      <c r="AR1460" t="s">
        <v>11172</v>
      </c>
      <c r="AT1460" t="s">
        <v>11184</v>
      </c>
      <c r="AU1460">
        <v>0</v>
      </c>
      <c r="AW1460" t="s">
        <v>11187</v>
      </c>
      <c r="BA1460" t="s">
        <v>11222</v>
      </c>
      <c r="BE1460" t="s">
        <v>12538</v>
      </c>
      <c r="BF1460" t="s">
        <v>14364</v>
      </c>
      <c r="BM1460" t="s">
        <v>15650</v>
      </c>
    </row>
    <row r="1461" spans="1:65">
      <c r="A1461" s="1">
        <f>HYPERLINK("https://lsnyc.legalserver.org/matter/dynamic-profile/view/1879768","18-1879768")</f>
        <v>0</v>
      </c>
      <c r="B1461" t="s">
        <v>123</v>
      </c>
      <c r="C1461" t="s">
        <v>248</v>
      </c>
      <c r="D1461" t="s">
        <v>722</v>
      </c>
      <c r="F1461" t="s">
        <v>1137</v>
      </c>
      <c r="G1461" t="s">
        <v>3592</v>
      </c>
      <c r="H1461" t="s">
        <v>5309</v>
      </c>
      <c r="I1461" t="s">
        <v>6417</v>
      </c>
      <c r="J1461" t="s">
        <v>7174</v>
      </c>
      <c r="K1461">
        <v>11225</v>
      </c>
      <c r="N1461" t="s">
        <v>7237</v>
      </c>
      <c r="O1461" t="s">
        <v>8243</v>
      </c>
      <c r="P1461">
        <v>1</v>
      </c>
      <c r="Q1461">
        <v>0</v>
      </c>
      <c r="R1461">
        <v>26.02</v>
      </c>
      <c r="U1461">
        <v>3159.36</v>
      </c>
      <c r="W1461">
        <v>11.2</v>
      </c>
      <c r="X1461" t="s">
        <v>605</v>
      </c>
      <c r="Y1461" t="s">
        <v>212</v>
      </c>
      <c r="AA1461" t="s">
        <v>10974</v>
      </c>
      <c r="AB1461" t="s">
        <v>722</v>
      </c>
      <c r="AD1461" t="s">
        <v>11098</v>
      </c>
      <c r="AF1461" t="s">
        <v>11122</v>
      </c>
      <c r="AH1461" t="s">
        <v>10974</v>
      </c>
      <c r="AJ1461" t="s">
        <v>11141</v>
      </c>
      <c r="AK1461" t="s">
        <v>7225</v>
      </c>
      <c r="AM1461">
        <v>1108.02</v>
      </c>
      <c r="AO1461">
        <v>14</v>
      </c>
      <c r="AQ1461" t="s">
        <v>11157</v>
      </c>
      <c r="AS1461" t="s">
        <v>11174</v>
      </c>
      <c r="AU1461">
        <v>13</v>
      </c>
      <c r="AW1461" t="s">
        <v>11187</v>
      </c>
      <c r="AZ1461" t="s">
        <v>11221</v>
      </c>
      <c r="BC1461" t="s">
        <v>11366</v>
      </c>
      <c r="BE1461" t="s">
        <v>12542</v>
      </c>
      <c r="BF1461" t="s">
        <v>14364</v>
      </c>
      <c r="BM1461" t="s">
        <v>15650</v>
      </c>
    </row>
    <row r="1462" spans="1:65">
      <c r="A1462" s="1">
        <f>HYPERLINK("https://lsnyc.legalserver.org/matter/dynamic-profile/view/1915063","19-1915063")</f>
        <v>0</v>
      </c>
      <c r="B1462" t="s">
        <v>123</v>
      </c>
      <c r="C1462" t="s">
        <v>248</v>
      </c>
      <c r="D1462" t="s">
        <v>264</v>
      </c>
      <c r="F1462" t="s">
        <v>1093</v>
      </c>
      <c r="G1462" t="s">
        <v>3591</v>
      </c>
      <c r="H1462" t="s">
        <v>5312</v>
      </c>
      <c r="I1462" t="s">
        <v>6437</v>
      </c>
      <c r="J1462" t="s">
        <v>7174</v>
      </c>
      <c r="K1462">
        <v>11225</v>
      </c>
      <c r="N1462" t="s">
        <v>7237</v>
      </c>
      <c r="O1462" t="s">
        <v>8240</v>
      </c>
      <c r="P1462">
        <v>3</v>
      </c>
      <c r="Q1462">
        <v>0</v>
      </c>
      <c r="R1462">
        <v>150.02</v>
      </c>
      <c r="U1462">
        <v>32000</v>
      </c>
      <c r="W1462">
        <v>0</v>
      </c>
      <c r="Y1462" t="s">
        <v>81</v>
      </c>
      <c r="AA1462" t="s">
        <v>10974</v>
      </c>
      <c r="AB1462" t="s">
        <v>443</v>
      </c>
      <c r="AC1462" t="s">
        <v>11081</v>
      </c>
      <c r="AF1462" t="s">
        <v>11118</v>
      </c>
      <c r="AH1462" t="s">
        <v>10974</v>
      </c>
      <c r="AI1462" t="s">
        <v>11126</v>
      </c>
      <c r="AK1462" t="s">
        <v>7225</v>
      </c>
      <c r="AL1462" t="s">
        <v>11150</v>
      </c>
      <c r="AM1462">
        <v>0</v>
      </c>
      <c r="AN1462" t="s">
        <v>11151</v>
      </c>
      <c r="AO1462" t="s">
        <v>11153</v>
      </c>
      <c r="AP1462" t="s">
        <v>11155</v>
      </c>
      <c r="AR1462" t="s">
        <v>11172</v>
      </c>
      <c r="AT1462" t="s">
        <v>11184</v>
      </c>
      <c r="AU1462">
        <v>0</v>
      </c>
      <c r="AW1462" t="s">
        <v>11187</v>
      </c>
      <c r="BA1462" t="s">
        <v>11222</v>
      </c>
      <c r="BE1462" t="s">
        <v>12539</v>
      </c>
      <c r="BF1462" t="s">
        <v>14364</v>
      </c>
      <c r="BM1462" t="s">
        <v>15650</v>
      </c>
    </row>
    <row r="1463" spans="1:65">
      <c r="A1463" s="1">
        <f>HYPERLINK("https://lsnyc.legalserver.org/matter/dynamic-profile/view/1910440","19-1910440")</f>
        <v>0</v>
      </c>
      <c r="B1463" t="s">
        <v>123</v>
      </c>
      <c r="C1463" t="s">
        <v>248</v>
      </c>
      <c r="D1463" t="s">
        <v>263</v>
      </c>
      <c r="F1463" t="s">
        <v>1803</v>
      </c>
      <c r="G1463" t="s">
        <v>3204</v>
      </c>
      <c r="H1463" t="s">
        <v>5314</v>
      </c>
      <c r="I1463" t="s">
        <v>6752</v>
      </c>
      <c r="J1463" t="s">
        <v>7174</v>
      </c>
      <c r="K1463">
        <v>11231</v>
      </c>
      <c r="N1463" t="s">
        <v>7237</v>
      </c>
      <c r="O1463" t="s">
        <v>8244</v>
      </c>
      <c r="P1463">
        <v>4</v>
      </c>
      <c r="Q1463">
        <v>1</v>
      </c>
      <c r="R1463">
        <v>0</v>
      </c>
      <c r="U1463">
        <v>0</v>
      </c>
      <c r="W1463">
        <v>1.6</v>
      </c>
      <c r="X1463" t="s">
        <v>384</v>
      </c>
      <c r="Y1463" t="s">
        <v>81</v>
      </c>
      <c r="AA1463" t="s">
        <v>10974</v>
      </c>
      <c r="AB1463" t="s">
        <v>335</v>
      </c>
      <c r="AD1463" t="s">
        <v>11100</v>
      </c>
      <c r="AF1463" t="s">
        <v>11120</v>
      </c>
      <c r="AG1463" t="s">
        <v>11124</v>
      </c>
      <c r="AI1463" t="s">
        <v>11126</v>
      </c>
      <c r="AK1463" t="s">
        <v>7225</v>
      </c>
      <c r="AL1463" t="s">
        <v>11150</v>
      </c>
      <c r="AM1463">
        <v>0</v>
      </c>
      <c r="AO1463">
        <v>10</v>
      </c>
      <c r="AP1463" t="s">
        <v>11155</v>
      </c>
      <c r="AR1463" t="s">
        <v>11172</v>
      </c>
      <c r="AT1463" t="s">
        <v>11184</v>
      </c>
      <c r="AU1463">
        <v>0</v>
      </c>
      <c r="AW1463" t="s">
        <v>11187</v>
      </c>
      <c r="AZ1463" t="s">
        <v>11221</v>
      </c>
      <c r="BB1463" t="s">
        <v>11224</v>
      </c>
      <c r="BC1463" t="s">
        <v>11367</v>
      </c>
      <c r="BE1463" t="s">
        <v>12543</v>
      </c>
      <c r="BF1463" t="s">
        <v>14364</v>
      </c>
      <c r="BM1463" t="s">
        <v>15650</v>
      </c>
    </row>
    <row r="1464" spans="1:65">
      <c r="A1464" s="1">
        <f>HYPERLINK("https://lsnyc.legalserver.org/matter/dynamic-profile/view/1911742","19-1911742")</f>
        <v>0</v>
      </c>
      <c r="B1464" t="s">
        <v>123</v>
      </c>
      <c r="C1464" t="s">
        <v>248</v>
      </c>
      <c r="D1464" t="s">
        <v>563</v>
      </c>
      <c r="F1464" t="s">
        <v>1699</v>
      </c>
      <c r="G1464" t="s">
        <v>3054</v>
      </c>
      <c r="H1464" t="s">
        <v>5315</v>
      </c>
      <c r="I1464" t="s">
        <v>6438</v>
      </c>
      <c r="J1464" t="s">
        <v>7174</v>
      </c>
      <c r="K1464">
        <v>11232</v>
      </c>
      <c r="N1464" t="s">
        <v>7238</v>
      </c>
      <c r="O1464" t="s">
        <v>8245</v>
      </c>
      <c r="P1464">
        <v>1</v>
      </c>
      <c r="Q1464">
        <v>3</v>
      </c>
      <c r="R1464">
        <v>11.65</v>
      </c>
      <c r="U1464">
        <v>3000</v>
      </c>
      <c r="W1464">
        <v>12.9</v>
      </c>
      <c r="X1464" t="s">
        <v>539</v>
      </c>
      <c r="Y1464" t="s">
        <v>10922</v>
      </c>
      <c r="AA1464" t="s">
        <v>10974</v>
      </c>
      <c r="AB1464" t="s">
        <v>563</v>
      </c>
      <c r="AD1464" t="s">
        <v>11100</v>
      </c>
      <c r="AF1464" t="s">
        <v>11120</v>
      </c>
      <c r="AG1464" t="s">
        <v>11124</v>
      </c>
      <c r="AI1464" t="s">
        <v>11126</v>
      </c>
      <c r="AK1464" t="s">
        <v>7225</v>
      </c>
      <c r="AL1464" t="s">
        <v>11150</v>
      </c>
      <c r="AM1464">
        <v>0</v>
      </c>
      <c r="AO1464">
        <v>8</v>
      </c>
      <c r="AP1464" t="s">
        <v>11155</v>
      </c>
      <c r="AR1464" t="s">
        <v>11172</v>
      </c>
      <c r="AT1464" t="s">
        <v>11184</v>
      </c>
      <c r="AU1464">
        <v>0</v>
      </c>
      <c r="AW1464" t="s">
        <v>11189</v>
      </c>
      <c r="BA1464" t="s">
        <v>11222</v>
      </c>
      <c r="BD1464" t="s">
        <v>11667</v>
      </c>
      <c r="BF1464" t="s">
        <v>14364</v>
      </c>
      <c r="BM1464" t="s">
        <v>15650</v>
      </c>
    </row>
    <row r="1465" spans="1:65">
      <c r="A1465" s="1">
        <f>HYPERLINK("https://lsnyc.legalserver.org/matter/dynamic-profile/view/1882523","18-1882523")</f>
        <v>0</v>
      </c>
      <c r="B1465" t="s">
        <v>123</v>
      </c>
      <c r="C1465" t="s">
        <v>248</v>
      </c>
      <c r="D1465" t="s">
        <v>466</v>
      </c>
      <c r="F1465" t="s">
        <v>1207</v>
      </c>
      <c r="G1465" t="s">
        <v>3593</v>
      </c>
      <c r="H1465" t="s">
        <v>5309</v>
      </c>
      <c r="I1465" t="s">
        <v>6413</v>
      </c>
      <c r="J1465" t="s">
        <v>7174</v>
      </c>
      <c r="K1465">
        <v>11225</v>
      </c>
      <c r="M1465" t="s">
        <v>7227</v>
      </c>
      <c r="N1465" t="s">
        <v>7237</v>
      </c>
      <c r="O1465" t="s">
        <v>8246</v>
      </c>
      <c r="P1465">
        <v>2</v>
      </c>
      <c r="Q1465">
        <v>0</v>
      </c>
      <c r="R1465">
        <v>493.32</v>
      </c>
      <c r="U1465">
        <v>81200</v>
      </c>
      <c r="W1465">
        <v>3</v>
      </c>
      <c r="X1465" t="s">
        <v>437</v>
      </c>
      <c r="Y1465" t="s">
        <v>10912</v>
      </c>
      <c r="AA1465" t="s">
        <v>10974</v>
      </c>
      <c r="AB1465" t="s">
        <v>466</v>
      </c>
      <c r="AC1465" t="s">
        <v>11081</v>
      </c>
      <c r="AF1465" t="s">
        <v>11118</v>
      </c>
      <c r="AG1465" t="s">
        <v>11124</v>
      </c>
      <c r="AI1465" t="s">
        <v>11126</v>
      </c>
      <c r="AK1465" t="s">
        <v>7225</v>
      </c>
      <c r="AL1465" t="s">
        <v>11150</v>
      </c>
      <c r="AM1465">
        <v>0</v>
      </c>
      <c r="AN1465" t="s">
        <v>11151</v>
      </c>
      <c r="AO1465" t="s">
        <v>11153</v>
      </c>
      <c r="AQ1465" t="s">
        <v>11157</v>
      </c>
      <c r="AR1465" t="s">
        <v>11172</v>
      </c>
      <c r="AT1465" t="s">
        <v>11184</v>
      </c>
      <c r="AU1465">
        <v>0</v>
      </c>
      <c r="AW1465" t="s">
        <v>11187</v>
      </c>
      <c r="BA1465" t="s">
        <v>11222</v>
      </c>
      <c r="BE1465" t="s">
        <v>11236</v>
      </c>
      <c r="BF1465" t="s">
        <v>14364</v>
      </c>
      <c r="BM1465" t="s">
        <v>15650</v>
      </c>
    </row>
    <row r="1466" spans="1:65">
      <c r="A1466" s="1">
        <f>HYPERLINK("https://lsnyc.legalserver.org/matter/dynamic-profile/view/1892717","19-1892717")</f>
        <v>0</v>
      </c>
      <c r="B1466" t="s">
        <v>123</v>
      </c>
      <c r="C1466" t="s">
        <v>248</v>
      </c>
      <c r="D1466" t="s">
        <v>729</v>
      </c>
      <c r="F1466" t="s">
        <v>1801</v>
      </c>
      <c r="G1466" t="s">
        <v>3590</v>
      </c>
      <c r="H1466" t="s">
        <v>5311</v>
      </c>
      <c r="I1466" t="s">
        <v>6633</v>
      </c>
      <c r="J1466" t="s">
        <v>7174</v>
      </c>
      <c r="K1466">
        <v>11225</v>
      </c>
      <c r="M1466" t="s">
        <v>7227</v>
      </c>
      <c r="N1466" t="s">
        <v>7237</v>
      </c>
      <c r="O1466" t="s">
        <v>8239</v>
      </c>
      <c r="P1466">
        <v>1</v>
      </c>
      <c r="Q1466">
        <v>1</v>
      </c>
      <c r="R1466">
        <v>131.99</v>
      </c>
      <c r="U1466">
        <v>22320</v>
      </c>
      <c r="V1466" t="s">
        <v>10405</v>
      </c>
      <c r="W1466">
        <v>3.4</v>
      </c>
      <c r="X1466" t="s">
        <v>976</v>
      </c>
      <c r="Y1466" t="s">
        <v>81</v>
      </c>
      <c r="AA1466" t="s">
        <v>10974</v>
      </c>
      <c r="AB1466" t="s">
        <v>1006</v>
      </c>
      <c r="AD1466" t="s">
        <v>11098</v>
      </c>
      <c r="AF1466" t="s">
        <v>11122</v>
      </c>
      <c r="AH1466" t="s">
        <v>10974</v>
      </c>
      <c r="AI1466" t="s">
        <v>11126</v>
      </c>
      <c r="AK1466" t="s">
        <v>7225</v>
      </c>
      <c r="AM1466">
        <v>1526.3</v>
      </c>
      <c r="AN1466" t="s">
        <v>11151</v>
      </c>
      <c r="AO1466" t="s">
        <v>11153</v>
      </c>
      <c r="AP1466" t="s">
        <v>11155</v>
      </c>
      <c r="AR1466" t="s">
        <v>11172</v>
      </c>
      <c r="AU1466">
        <v>6</v>
      </c>
      <c r="AW1466" t="s">
        <v>11187</v>
      </c>
      <c r="AZ1466" t="s">
        <v>11221</v>
      </c>
      <c r="BE1466" t="s">
        <v>12538</v>
      </c>
      <c r="BF1466" t="s">
        <v>14364</v>
      </c>
      <c r="BM1466" t="s">
        <v>15650</v>
      </c>
    </row>
    <row r="1467" spans="1:65">
      <c r="A1467" s="1">
        <f>HYPERLINK("https://lsnyc.legalserver.org/matter/dynamic-profile/view/1910267","19-1910267")</f>
        <v>0</v>
      </c>
      <c r="B1467" t="s">
        <v>123</v>
      </c>
      <c r="C1467" t="s">
        <v>248</v>
      </c>
      <c r="D1467" t="s">
        <v>443</v>
      </c>
      <c r="F1467" t="s">
        <v>1093</v>
      </c>
      <c r="G1467" t="s">
        <v>3591</v>
      </c>
      <c r="H1467" t="s">
        <v>5312</v>
      </c>
      <c r="I1467" t="s">
        <v>6437</v>
      </c>
      <c r="J1467" t="s">
        <v>7174</v>
      </c>
      <c r="K1467">
        <v>11225</v>
      </c>
      <c r="N1467" t="s">
        <v>7237</v>
      </c>
      <c r="O1467" t="s">
        <v>8240</v>
      </c>
      <c r="P1467">
        <v>3</v>
      </c>
      <c r="Q1467">
        <v>0</v>
      </c>
      <c r="R1467">
        <v>150.02</v>
      </c>
      <c r="U1467">
        <v>32000</v>
      </c>
      <c r="W1467">
        <v>0</v>
      </c>
      <c r="Y1467" t="s">
        <v>81</v>
      </c>
      <c r="AA1467" t="s">
        <v>10974</v>
      </c>
      <c r="AB1467" t="s">
        <v>443</v>
      </c>
      <c r="AC1467" t="s">
        <v>11081</v>
      </c>
      <c r="AF1467" t="s">
        <v>11122</v>
      </c>
      <c r="AH1467" t="s">
        <v>10974</v>
      </c>
      <c r="AI1467" t="s">
        <v>11126</v>
      </c>
      <c r="AK1467" t="s">
        <v>7225</v>
      </c>
      <c r="AM1467">
        <v>813.54</v>
      </c>
      <c r="AO1467">
        <v>8</v>
      </c>
      <c r="AP1467" t="s">
        <v>11155</v>
      </c>
      <c r="AR1467" t="s">
        <v>11172</v>
      </c>
      <c r="AU1467">
        <v>26</v>
      </c>
      <c r="AW1467" t="s">
        <v>11187</v>
      </c>
      <c r="BA1467" t="s">
        <v>11222</v>
      </c>
      <c r="BE1467" t="s">
        <v>12539</v>
      </c>
      <c r="BF1467" t="s">
        <v>14364</v>
      </c>
      <c r="BM1467" t="s">
        <v>15650</v>
      </c>
    </row>
    <row r="1468" spans="1:65">
      <c r="A1468" s="1">
        <f>HYPERLINK("https://lsnyc.legalserver.org/matter/dynamic-profile/view/1910981","19-1910981")</f>
        <v>0</v>
      </c>
      <c r="B1468" t="s">
        <v>123</v>
      </c>
      <c r="C1468" t="s">
        <v>248</v>
      </c>
      <c r="D1468" t="s">
        <v>626</v>
      </c>
      <c r="F1468" t="s">
        <v>1804</v>
      </c>
      <c r="G1468" t="s">
        <v>3594</v>
      </c>
      <c r="H1468" t="s">
        <v>5311</v>
      </c>
      <c r="I1468" t="s">
        <v>6437</v>
      </c>
      <c r="J1468" t="s">
        <v>7174</v>
      </c>
      <c r="K1468">
        <v>11225</v>
      </c>
      <c r="N1468" t="s">
        <v>7237</v>
      </c>
      <c r="O1468" t="s">
        <v>8247</v>
      </c>
      <c r="P1468">
        <v>2</v>
      </c>
      <c r="Q1468">
        <v>0</v>
      </c>
      <c r="R1468">
        <v>225.59</v>
      </c>
      <c r="S1468" t="s">
        <v>10264</v>
      </c>
      <c r="T1468" t="s">
        <v>10276</v>
      </c>
      <c r="U1468">
        <v>38148</v>
      </c>
      <c r="W1468">
        <v>0</v>
      </c>
      <c r="Y1468" t="s">
        <v>81</v>
      </c>
      <c r="AA1468" t="s">
        <v>10974</v>
      </c>
      <c r="AB1468" t="s">
        <v>335</v>
      </c>
      <c r="AC1468" t="s">
        <v>11081</v>
      </c>
      <c r="AF1468" t="s">
        <v>11122</v>
      </c>
      <c r="AH1468" t="s">
        <v>10974</v>
      </c>
      <c r="AI1468" t="s">
        <v>11126</v>
      </c>
      <c r="AK1468" t="s">
        <v>7225</v>
      </c>
      <c r="AL1468" t="s">
        <v>11150</v>
      </c>
      <c r="AM1468">
        <v>0</v>
      </c>
      <c r="AO1468">
        <v>11</v>
      </c>
      <c r="AP1468" t="s">
        <v>11155</v>
      </c>
      <c r="AR1468" t="s">
        <v>11172</v>
      </c>
      <c r="AT1468" t="s">
        <v>11184</v>
      </c>
      <c r="AU1468">
        <v>0</v>
      </c>
      <c r="AW1468" t="s">
        <v>11187</v>
      </c>
      <c r="BA1468" t="s">
        <v>11222</v>
      </c>
      <c r="BD1468" t="s">
        <v>11667</v>
      </c>
      <c r="BF1468" t="s">
        <v>14364</v>
      </c>
      <c r="BM1468" t="s">
        <v>15650</v>
      </c>
    </row>
    <row r="1469" spans="1:65">
      <c r="A1469" s="1">
        <f>HYPERLINK("https://lsnyc.legalserver.org/matter/dynamic-profile/view/1879764","18-1879764")</f>
        <v>0</v>
      </c>
      <c r="B1469" t="s">
        <v>123</v>
      </c>
      <c r="C1469" t="s">
        <v>248</v>
      </c>
      <c r="D1469" t="s">
        <v>403</v>
      </c>
      <c r="F1469" t="s">
        <v>1137</v>
      </c>
      <c r="G1469" t="s">
        <v>3592</v>
      </c>
      <c r="H1469" t="s">
        <v>5309</v>
      </c>
      <c r="I1469" t="s">
        <v>6417</v>
      </c>
      <c r="J1469" t="s">
        <v>7174</v>
      </c>
      <c r="K1469">
        <v>11225</v>
      </c>
      <c r="N1469" t="s">
        <v>7237</v>
      </c>
      <c r="O1469" t="s">
        <v>8243</v>
      </c>
      <c r="P1469">
        <v>1</v>
      </c>
      <c r="Q1469">
        <v>0</v>
      </c>
      <c r="R1469">
        <v>7.05</v>
      </c>
      <c r="U1469">
        <v>855.36</v>
      </c>
      <c r="W1469">
        <v>0</v>
      </c>
      <c r="Y1469" t="s">
        <v>212</v>
      </c>
      <c r="AA1469" t="s">
        <v>10974</v>
      </c>
      <c r="AB1469" t="s">
        <v>280</v>
      </c>
      <c r="AD1469" t="s">
        <v>11085</v>
      </c>
      <c r="AF1469" t="s">
        <v>11118</v>
      </c>
      <c r="AG1469" t="s">
        <v>11124</v>
      </c>
      <c r="AI1469" t="s">
        <v>11126</v>
      </c>
      <c r="AK1469" t="s">
        <v>7225</v>
      </c>
      <c r="AL1469" t="s">
        <v>11150</v>
      </c>
      <c r="AM1469">
        <v>0</v>
      </c>
      <c r="AN1469" t="s">
        <v>11151</v>
      </c>
      <c r="AO1469" t="s">
        <v>11153</v>
      </c>
      <c r="AP1469" t="s">
        <v>11155</v>
      </c>
      <c r="AR1469" t="s">
        <v>11172</v>
      </c>
      <c r="AT1469" t="s">
        <v>11184</v>
      </c>
      <c r="AU1469">
        <v>0</v>
      </c>
      <c r="AW1469" t="s">
        <v>11187</v>
      </c>
      <c r="BA1469" t="s">
        <v>11223</v>
      </c>
      <c r="BC1469" t="s">
        <v>11366</v>
      </c>
      <c r="BE1469" t="s">
        <v>12542</v>
      </c>
      <c r="BG1469" t="s">
        <v>14755</v>
      </c>
      <c r="BM1469" t="s">
        <v>15650</v>
      </c>
    </row>
    <row r="1470" spans="1:65">
      <c r="A1470" s="1">
        <f>HYPERLINK("https://lsnyc.legalserver.org/matter/dynamic-profile/view/1892876","19-1892876")</f>
        <v>0</v>
      </c>
      <c r="B1470" t="s">
        <v>123</v>
      </c>
      <c r="C1470" t="s">
        <v>248</v>
      </c>
      <c r="D1470" t="s">
        <v>319</v>
      </c>
      <c r="F1470" t="s">
        <v>1804</v>
      </c>
      <c r="G1470" t="s">
        <v>3594</v>
      </c>
      <c r="H1470" t="s">
        <v>5311</v>
      </c>
      <c r="I1470" t="s">
        <v>6437</v>
      </c>
      <c r="J1470" t="s">
        <v>7174</v>
      </c>
      <c r="K1470">
        <v>11225</v>
      </c>
      <c r="M1470" t="s">
        <v>7227</v>
      </c>
      <c r="N1470" t="s">
        <v>7237</v>
      </c>
      <c r="O1470" t="s">
        <v>8247</v>
      </c>
      <c r="P1470">
        <v>2</v>
      </c>
      <c r="Q1470">
        <v>0</v>
      </c>
      <c r="R1470">
        <v>225.59</v>
      </c>
      <c r="U1470">
        <v>38148</v>
      </c>
      <c r="W1470">
        <v>0.1</v>
      </c>
      <c r="X1470" t="s">
        <v>437</v>
      </c>
      <c r="Y1470" t="s">
        <v>81</v>
      </c>
      <c r="AA1470" t="s">
        <v>10974</v>
      </c>
      <c r="AB1470" t="s">
        <v>1006</v>
      </c>
      <c r="AD1470" t="s">
        <v>11098</v>
      </c>
      <c r="AF1470" t="s">
        <v>11122</v>
      </c>
      <c r="AH1470" t="s">
        <v>10974</v>
      </c>
      <c r="AI1470" t="s">
        <v>11126</v>
      </c>
      <c r="AK1470" t="s">
        <v>7225</v>
      </c>
      <c r="AM1470">
        <v>1726.17</v>
      </c>
      <c r="AN1470" t="s">
        <v>11151</v>
      </c>
      <c r="AO1470" t="s">
        <v>11153</v>
      </c>
      <c r="AP1470" t="s">
        <v>11155</v>
      </c>
      <c r="AR1470" t="s">
        <v>11172</v>
      </c>
      <c r="AU1470">
        <v>14</v>
      </c>
      <c r="AW1470" t="s">
        <v>11187</v>
      </c>
      <c r="AZ1470" t="s">
        <v>11221</v>
      </c>
      <c r="BD1470" t="s">
        <v>11667</v>
      </c>
      <c r="BF1470" t="s">
        <v>14364</v>
      </c>
      <c r="BM1470" t="s">
        <v>15650</v>
      </c>
    </row>
    <row r="1471" spans="1:65">
      <c r="A1471" s="1">
        <f>HYPERLINK("https://lsnyc.legalserver.org/matter/dynamic-profile/view/1878687","18-1878687")</f>
        <v>0</v>
      </c>
      <c r="B1471" t="s">
        <v>123</v>
      </c>
      <c r="C1471" t="s">
        <v>248</v>
      </c>
      <c r="D1471" t="s">
        <v>543</v>
      </c>
      <c r="F1471" t="s">
        <v>1496</v>
      </c>
      <c r="G1471" t="s">
        <v>3595</v>
      </c>
      <c r="H1471" t="s">
        <v>5031</v>
      </c>
      <c r="I1471" t="s">
        <v>6408</v>
      </c>
      <c r="J1471" t="s">
        <v>7174</v>
      </c>
      <c r="K1471">
        <v>11226</v>
      </c>
      <c r="N1471" t="s">
        <v>7237</v>
      </c>
      <c r="O1471" t="s">
        <v>8248</v>
      </c>
      <c r="P1471">
        <v>3</v>
      </c>
      <c r="Q1471">
        <v>0</v>
      </c>
      <c r="R1471">
        <v>99.13</v>
      </c>
      <c r="U1471">
        <v>20600</v>
      </c>
      <c r="W1471">
        <v>26.6</v>
      </c>
      <c r="X1471" t="s">
        <v>863</v>
      </c>
      <c r="Y1471" t="s">
        <v>212</v>
      </c>
      <c r="AA1471" t="s">
        <v>10974</v>
      </c>
      <c r="AB1471" t="s">
        <v>569</v>
      </c>
      <c r="AD1471" t="s">
        <v>11101</v>
      </c>
      <c r="AF1471" t="s">
        <v>11118</v>
      </c>
      <c r="AG1471" t="s">
        <v>11124</v>
      </c>
      <c r="AI1471" t="s">
        <v>11126</v>
      </c>
      <c r="AK1471" t="s">
        <v>7225</v>
      </c>
      <c r="AL1471" t="s">
        <v>11150</v>
      </c>
      <c r="AM1471">
        <v>0</v>
      </c>
      <c r="AO1471">
        <v>48</v>
      </c>
      <c r="AQ1471" t="s">
        <v>11157</v>
      </c>
      <c r="AR1471" t="s">
        <v>11172</v>
      </c>
      <c r="AT1471" t="s">
        <v>11184</v>
      </c>
      <c r="AU1471">
        <v>0</v>
      </c>
      <c r="AW1471" t="s">
        <v>11199</v>
      </c>
      <c r="AZ1471" t="s">
        <v>11221</v>
      </c>
      <c r="BD1471" t="s">
        <v>11667</v>
      </c>
      <c r="BF1471" t="s">
        <v>14364</v>
      </c>
      <c r="BM1471" t="s">
        <v>15650</v>
      </c>
    </row>
    <row r="1472" spans="1:65">
      <c r="A1472" s="1">
        <f>HYPERLINK("https://lsnyc.legalserver.org/matter/dynamic-profile/view/1894656","19-1894656")</f>
        <v>0</v>
      </c>
      <c r="B1472" t="s">
        <v>123</v>
      </c>
      <c r="C1472" t="s">
        <v>248</v>
      </c>
      <c r="D1472" t="s">
        <v>550</v>
      </c>
      <c r="F1472" t="s">
        <v>1805</v>
      </c>
      <c r="G1472" t="s">
        <v>2969</v>
      </c>
      <c r="H1472" t="s">
        <v>5312</v>
      </c>
      <c r="I1472" t="s">
        <v>6419</v>
      </c>
      <c r="J1472" t="s">
        <v>7174</v>
      </c>
      <c r="K1472">
        <v>11225</v>
      </c>
      <c r="N1472" t="s">
        <v>7237</v>
      </c>
      <c r="O1472" t="s">
        <v>8249</v>
      </c>
      <c r="P1472">
        <v>1</v>
      </c>
      <c r="Q1472">
        <v>0</v>
      </c>
      <c r="R1472">
        <v>200.16</v>
      </c>
      <c r="U1472">
        <v>25000</v>
      </c>
      <c r="V1472" t="s">
        <v>10405</v>
      </c>
      <c r="W1472">
        <v>0</v>
      </c>
      <c r="Y1472" t="s">
        <v>81</v>
      </c>
      <c r="AA1472" t="s">
        <v>10974</v>
      </c>
      <c r="AB1472" t="s">
        <v>472</v>
      </c>
      <c r="AD1472" t="s">
        <v>11098</v>
      </c>
      <c r="AF1472" t="s">
        <v>11122</v>
      </c>
      <c r="AH1472" t="s">
        <v>10974</v>
      </c>
      <c r="AI1472" t="s">
        <v>11126</v>
      </c>
      <c r="AK1472" t="s">
        <v>7225</v>
      </c>
      <c r="AM1472">
        <v>1928.63</v>
      </c>
      <c r="AN1472" t="s">
        <v>11151</v>
      </c>
      <c r="AO1472" t="s">
        <v>11153</v>
      </c>
      <c r="AP1472" t="s">
        <v>11155</v>
      </c>
      <c r="AR1472" t="s">
        <v>11172</v>
      </c>
      <c r="AU1472">
        <v>8</v>
      </c>
      <c r="AW1472" t="s">
        <v>11187</v>
      </c>
      <c r="BA1472" t="s">
        <v>11222</v>
      </c>
      <c r="BD1472" t="s">
        <v>11667</v>
      </c>
      <c r="BG1472" t="s">
        <v>14755</v>
      </c>
      <c r="BM1472" t="s">
        <v>15650</v>
      </c>
    </row>
    <row r="1473" spans="1:65">
      <c r="A1473" s="1">
        <f>HYPERLINK("https://lsnyc.legalserver.org/matter/dynamic-profile/view/1885244","18-1885244")</f>
        <v>0</v>
      </c>
      <c r="B1473" t="s">
        <v>123</v>
      </c>
      <c r="C1473" t="s">
        <v>248</v>
      </c>
      <c r="D1473" t="s">
        <v>566</v>
      </c>
      <c r="F1473" t="s">
        <v>1806</v>
      </c>
      <c r="G1473" t="s">
        <v>1810</v>
      </c>
      <c r="H1473" t="s">
        <v>5313</v>
      </c>
      <c r="J1473" t="s">
        <v>7174</v>
      </c>
      <c r="K1473">
        <v>11226</v>
      </c>
      <c r="N1473" t="s">
        <v>7237</v>
      </c>
      <c r="O1473" t="s">
        <v>8250</v>
      </c>
      <c r="P1473">
        <v>1</v>
      </c>
      <c r="Q1473">
        <v>0</v>
      </c>
      <c r="R1473">
        <v>71.86</v>
      </c>
      <c r="U1473">
        <v>8724</v>
      </c>
      <c r="W1473">
        <v>0.5</v>
      </c>
      <c r="X1473" t="s">
        <v>629</v>
      </c>
      <c r="Y1473" t="s">
        <v>81</v>
      </c>
      <c r="AA1473" t="s">
        <v>10974</v>
      </c>
      <c r="AB1473" t="s">
        <v>605</v>
      </c>
      <c r="AD1473" t="s">
        <v>11083</v>
      </c>
      <c r="AF1473" t="s">
        <v>11118</v>
      </c>
      <c r="AG1473" t="s">
        <v>11124</v>
      </c>
      <c r="AI1473" t="s">
        <v>11126</v>
      </c>
      <c r="AK1473" t="s">
        <v>7225</v>
      </c>
      <c r="AM1473">
        <v>778.9299999999999</v>
      </c>
      <c r="AN1473" t="s">
        <v>11151</v>
      </c>
      <c r="AO1473" t="s">
        <v>11153</v>
      </c>
      <c r="AP1473" t="s">
        <v>11155</v>
      </c>
      <c r="AR1473" t="s">
        <v>11172</v>
      </c>
      <c r="AU1473">
        <v>8</v>
      </c>
      <c r="AW1473" t="s">
        <v>11187</v>
      </c>
      <c r="AZ1473" t="s">
        <v>11221</v>
      </c>
      <c r="BE1473" t="s">
        <v>12544</v>
      </c>
      <c r="BF1473" t="s">
        <v>14364</v>
      </c>
      <c r="BM1473" t="s">
        <v>15650</v>
      </c>
    </row>
    <row r="1474" spans="1:65">
      <c r="A1474" s="1">
        <f>HYPERLINK("https://lsnyc.legalserver.org/matter/dynamic-profile/view/1875668","18-1875668")</f>
        <v>0</v>
      </c>
      <c r="B1474" t="s">
        <v>123</v>
      </c>
      <c r="C1474" t="s">
        <v>248</v>
      </c>
      <c r="D1474" t="s">
        <v>730</v>
      </c>
      <c r="F1474" t="s">
        <v>1407</v>
      </c>
      <c r="G1474" t="s">
        <v>1643</v>
      </c>
      <c r="H1474" t="s">
        <v>5311</v>
      </c>
      <c r="I1474" t="s">
        <v>6433</v>
      </c>
      <c r="J1474" t="s">
        <v>7174</v>
      </c>
      <c r="K1474">
        <v>11225</v>
      </c>
      <c r="N1474" t="s">
        <v>7237</v>
      </c>
      <c r="O1474" t="s">
        <v>8238</v>
      </c>
      <c r="P1474">
        <v>1</v>
      </c>
      <c r="Q1474">
        <v>0</v>
      </c>
      <c r="R1474">
        <v>85.67</v>
      </c>
      <c r="U1474">
        <v>10400</v>
      </c>
      <c r="V1474" t="s">
        <v>10383</v>
      </c>
      <c r="W1474">
        <v>77.47</v>
      </c>
      <c r="X1474" t="s">
        <v>296</v>
      </c>
      <c r="Y1474" t="s">
        <v>212</v>
      </c>
      <c r="AA1474" t="s">
        <v>10974</v>
      </c>
      <c r="AB1474" t="s">
        <v>754</v>
      </c>
      <c r="AD1474" t="s">
        <v>11082</v>
      </c>
      <c r="AF1474" t="s">
        <v>11118</v>
      </c>
      <c r="AH1474" t="s">
        <v>10975</v>
      </c>
      <c r="AJ1474" t="s">
        <v>11134</v>
      </c>
      <c r="AK1474" t="s">
        <v>7225</v>
      </c>
      <c r="AL1474" t="s">
        <v>11150</v>
      </c>
      <c r="AM1474">
        <v>0</v>
      </c>
      <c r="AN1474" t="s">
        <v>11151</v>
      </c>
      <c r="AO1474" t="s">
        <v>11153</v>
      </c>
      <c r="AP1474" t="s">
        <v>11155</v>
      </c>
      <c r="AR1474" t="s">
        <v>11172</v>
      </c>
      <c r="AT1474" t="s">
        <v>11184</v>
      </c>
      <c r="AU1474">
        <v>0</v>
      </c>
      <c r="AW1474" t="s">
        <v>11187</v>
      </c>
      <c r="AZ1474" t="s">
        <v>11221</v>
      </c>
      <c r="BE1474" t="s">
        <v>12537</v>
      </c>
      <c r="BF1474" t="s">
        <v>14364</v>
      </c>
      <c r="BM1474" t="s">
        <v>15650</v>
      </c>
    </row>
    <row r="1475" spans="1:65">
      <c r="A1475" s="1">
        <f>HYPERLINK("https://lsnyc.legalserver.org/matter/dynamic-profile/view/1906527","19-1906527")</f>
        <v>0</v>
      </c>
      <c r="B1475" t="s">
        <v>123</v>
      </c>
      <c r="C1475" t="s">
        <v>248</v>
      </c>
      <c r="D1475" t="s">
        <v>731</v>
      </c>
      <c r="F1475" t="s">
        <v>1616</v>
      </c>
      <c r="G1475" t="s">
        <v>3596</v>
      </c>
      <c r="H1475" t="s">
        <v>5311</v>
      </c>
      <c r="I1475" t="s">
        <v>6417</v>
      </c>
      <c r="J1475" t="s">
        <v>7174</v>
      </c>
      <c r="K1475">
        <v>11225</v>
      </c>
      <c r="M1475" t="s">
        <v>7227</v>
      </c>
      <c r="N1475" t="s">
        <v>7237</v>
      </c>
      <c r="O1475" t="s">
        <v>8251</v>
      </c>
      <c r="P1475">
        <v>2</v>
      </c>
      <c r="Q1475">
        <v>0</v>
      </c>
      <c r="R1475">
        <v>473.09</v>
      </c>
      <c r="U1475">
        <v>80000</v>
      </c>
      <c r="W1475">
        <v>0.1</v>
      </c>
      <c r="X1475" t="s">
        <v>437</v>
      </c>
      <c r="Y1475" t="s">
        <v>81</v>
      </c>
      <c r="AA1475" t="s">
        <v>10974</v>
      </c>
      <c r="AB1475" t="s">
        <v>394</v>
      </c>
      <c r="AD1475" t="s">
        <v>11085</v>
      </c>
      <c r="AF1475" t="s">
        <v>11118</v>
      </c>
      <c r="AH1475" t="s">
        <v>10974</v>
      </c>
      <c r="AI1475" t="s">
        <v>11126</v>
      </c>
      <c r="AK1475" t="s">
        <v>7225</v>
      </c>
      <c r="AM1475">
        <v>1639.25</v>
      </c>
      <c r="AO1475">
        <v>11</v>
      </c>
      <c r="AP1475" t="s">
        <v>11155</v>
      </c>
      <c r="AR1475" t="s">
        <v>11172</v>
      </c>
      <c r="AU1475">
        <v>7</v>
      </c>
      <c r="AW1475" t="s">
        <v>11187</v>
      </c>
      <c r="BA1475" t="s">
        <v>11222</v>
      </c>
      <c r="BE1475" t="s">
        <v>12545</v>
      </c>
      <c r="BF1475" t="s">
        <v>14364</v>
      </c>
      <c r="BM1475" t="s">
        <v>15650</v>
      </c>
    </row>
    <row r="1476" spans="1:65">
      <c r="A1476" s="1">
        <f>HYPERLINK("https://lsnyc.legalserver.org/matter/dynamic-profile/view/1892617","19-1892617")</f>
        <v>0</v>
      </c>
      <c r="B1476" t="s">
        <v>123</v>
      </c>
      <c r="C1476" t="s">
        <v>248</v>
      </c>
      <c r="D1476" t="s">
        <v>403</v>
      </c>
      <c r="F1476" t="s">
        <v>1807</v>
      </c>
      <c r="G1476" t="s">
        <v>2994</v>
      </c>
      <c r="H1476" t="s">
        <v>5316</v>
      </c>
      <c r="I1476">
        <v>2</v>
      </c>
      <c r="J1476" t="s">
        <v>7174</v>
      </c>
      <c r="K1476">
        <v>11206</v>
      </c>
      <c r="N1476" t="s">
        <v>7237</v>
      </c>
      <c r="O1476" t="s">
        <v>8252</v>
      </c>
      <c r="P1476">
        <v>2</v>
      </c>
      <c r="Q1476">
        <v>1</v>
      </c>
      <c r="R1476">
        <v>84.39</v>
      </c>
      <c r="U1476">
        <v>18000</v>
      </c>
      <c r="W1476">
        <v>12.8</v>
      </c>
      <c r="X1476" t="s">
        <v>420</v>
      </c>
      <c r="Y1476" t="s">
        <v>81</v>
      </c>
      <c r="AA1476" t="s">
        <v>10974</v>
      </c>
      <c r="AB1476" t="s">
        <v>483</v>
      </c>
      <c r="AD1476" t="s">
        <v>11101</v>
      </c>
      <c r="AF1476" t="s">
        <v>11118</v>
      </c>
      <c r="AH1476" t="s">
        <v>10975</v>
      </c>
      <c r="AI1476" t="s">
        <v>11126</v>
      </c>
      <c r="AK1476" t="s">
        <v>7225</v>
      </c>
      <c r="AL1476" t="s">
        <v>11150</v>
      </c>
      <c r="AM1476">
        <v>0</v>
      </c>
      <c r="AN1476" t="s">
        <v>11151</v>
      </c>
      <c r="AO1476" t="s">
        <v>11153</v>
      </c>
      <c r="AP1476" t="s">
        <v>11155</v>
      </c>
      <c r="AR1476" t="s">
        <v>11172</v>
      </c>
      <c r="AT1476" t="s">
        <v>11184</v>
      </c>
      <c r="AU1476">
        <v>0</v>
      </c>
      <c r="AW1476" t="s">
        <v>11189</v>
      </c>
      <c r="AZ1476" t="s">
        <v>11221</v>
      </c>
      <c r="BE1476" t="s">
        <v>12546</v>
      </c>
      <c r="BF1476" t="s">
        <v>14364</v>
      </c>
      <c r="BM1476" t="s">
        <v>15650</v>
      </c>
    </row>
    <row r="1477" spans="1:65">
      <c r="A1477" s="1">
        <f>HYPERLINK("https://lsnyc.legalserver.org/matter/dynamic-profile/view/1906550","19-1906550")</f>
        <v>0</v>
      </c>
      <c r="B1477" t="s">
        <v>123</v>
      </c>
      <c r="C1477" t="s">
        <v>248</v>
      </c>
      <c r="D1477" t="s">
        <v>429</v>
      </c>
      <c r="F1477" t="s">
        <v>1616</v>
      </c>
      <c r="G1477" t="s">
        <v>3596</v>
      </c>
      <c r="H1477" t="s">
        <v>5311</v>
      </c>
      <c r="I1477" t="s">
        <v>6417</v>
      </c>
      <c r="J1477" t="s">
        <v>7174</v>
      </c>
      <c r="K1477">
        <v>11225</v>
      </c>
      <c r="M1477" t="s">
        <v>7227</v>
      </c>
      <c r="N1477" t="s">
        <v>7237</v>
      </c>
      <c r="O1477" t="s">
        <v>8251</v>
      </c>
      <c r="P1477">
        <v>2</v>
      </c>
      <c r="Q1477">
        <v>0</v>
      </c>
      <c r="R1477">
        <v>473.09</v>
      </c>
      <c r="U1477">
        <v>80000</v>
      </c>
      <c r="W1477">
        <v>0.1</v>
      </c>
      <c r="X1477" t="s">
        <v>437</v>
      </c>
      <c r="Y1477" t="s">
        <v>81</v>
      </c>
      <c r="AA1477" t="s">
        <v>10974</v>
      </c>
      <c r="AB1477" t="s">
        <v>429</v>
      </c>
      <c r="AD1477" t="s">
        <v>11098</v>
      </c>
      <c r="AF1477" t="s">
        <v>11122</v>
      </c>
      <c r="AH1477" t="s">
        <v>10974</v>
      </c>
      <c r="AI1477" t="s">
        <v>11126</v>
      </c>
      <c r="AK1477" t="s">
        <v>7225</v>
      </c>
      <c r="AM1477">
        <v>1639.26</v>
      </c>
      <c r="AO1477">
        <v>11</v>
      </c>
      <c r="AQ1477" t="s">
        <v>11157</v>
      </c>
      <c r="AR1477" t="s">
        <v>11172</v>
      </c>
      <c r="AU1477">
        <v>7</v>
      </c>
      <c r="AW1477" t="s">
        <v>11187</v>
      </c>
      <c r="BA1477" t="s">
        <v>11222</v>
      </c>
      <c r="BE1477" t="s">
        <v>12545</v>
      </c>
      <c r="BF1477" t="s">
        <v>14364</v>
      </c>
      <c r="BM1477" t="s">
        <v>15650</v>
      </c>
    </row>
    <row r="1478" spans="1:65">
      <c r="A1478" s="1">
        <f>HYPERLINK("https://lsnyc.legalserver.org/matter/dynamic-profile/view/1906678","19-1906678")</f>
        <v>0</v>
      </c>
      <c r="B1478" t="s">
        <v>123</v>
      </c>
      <c r="C1478" t="s">
        <v>248</v>
      </c>
      <c r="D1478" t="s">
        <v>429</v>
      </c>
      <c r="F1478" t="s">
        <v>1616</v>
      </c>
      <c r="G1478" t="s">
        <v>3596</v>
      </c>
      <c r="H1478" t="s">
        <v>5311</v>
      </c>
      <c r="I1478" t="s">
        <v>6417</v>
      </c>
      <c r="J1478" t="s">
        <v>7174</v>
      </c>
      <c r="K1478">
        <v>11225</v>
      </c>
      <c r="M1478" t="s">
        <v>7227</v>
      </c>
      <c r="N1478" t="s">
        <v>7237</v>
      </c>
      <c r="O1478" t="s">
        <v>8251</v>
      </c>
      <c r="P1478">
        <v>2</v>
      </c>
      <c r="Q1478">
        <v>0</v>
      </c>
      <c r="R1478">
        <v>473.09</v>
      </c>
      <c r="U1478">
        <v>80000</v>
      </c>
      <c r="W1478">
        <v>0.1</v>
      </c>
      <c r="X1478" t="s">
        <v>437</v>
      </c>
      <c r="Y1478" t="s">
        <v>81</v>
      </c>
      <c r="AA1478" t="s">
        <v>10974</v>
      </c>
      <c r="AB1478" t="s">
        <v>539</v>
      </c>
      <c r="AC1478" t="s">
        <v>11081</v>
      </c>
      <c r="AF1478" t="s">
        <v>11122</v>
      </c>
      <c r="AH1478" t="s">
        <v>10974</v>
      </c>
      <c r="AI1478" t="s">
        <v>11126</v>
      </c>
      <c r="AK1478" t="s">
        <v>7225</v>
      </c>
      <c r="AM1478">
        <v>1639.25</v>
      </c>
      <c r="AN1478" t="s">
        <v>11151</v>
      </c>
      <c r="AO1478" t="s">
        <v>11153</v>
      </c>
      <c r="AP1478" t="s">
        <v>11155</v>
      </c>
      <c r="AR1478" t="s">
        <v>11172</v>
      </c>
      <c r="AU1478">
        <v>7</v>
      </c>
      <c r="AW1478" t="s">
        <v>11187</v>
      </c>
      <c r="BA1478" t="s">
        <v>11222</v>
      </c>
      <c r="BE1478" t="s">
        <v>12545</v>
      </c>
      <c r="BF1478" t="s">
        <v>14364</v>
      </c>
      <c r="BM1478" t="s">
        <v>15650</v>
      </c>
    </row>
    <row r="1479" spans="1:65">
      <c r="A1479" s="1">
        <f>HYPERLINK("https://lsnyc.legalserver.org/matter/dynamic-profile/view/1895658","19-1895658")</f>
        <v>0</v>
      </c>
      <c r="B1479" t="s">
        <v>123</v>
      </c>
      <c r="C1479" t="s">
        <v>248</v>
      </c>
      <c r="D1479" t="s">
        <v>602</v>
      </c>
      <c r="F1479" t="s">
        <v>1805</v>
      </c>
      <c r="G1479" t="s">
        <v>2969</v>
      </c>
      <c r="H1479" t="s">
        <v>5312</v>
      </c>
      <c r="I1479" t="s">
        <v>6419</v>
      </c>
      <c r="J1479" t="s">
        <v>7174</v>
      </c>
      <c r="K1479">
        <v>11225</v>
      </c>
      <c r="N1479" t="s">
        <v>7237</v>
      </c>
      <c r="O1479" t="s">
        <v>8249</v>
      </c>
      <c r="P1479">
        <v>1</v>
      </c>
      <c r="Q1479">
        <v>0</v>
      </c>
      <c r="R1479">
        <v>200.16</v>
      </c>
      <c r="U1479">
        <v>25000</v>
      </c>
      <c r="W1479">
        <v>0</v>
      </c>
      <c r="Y1479" t="s">
        <v>81</v>
      </c>
      <c r="AA1479" t="s">
        <v>10974</v>
      </c>
      <c r="AB1479" t="s">
        <v>602</v>
      </c>
      <c r="AD1479" t="s">
        <v>11085</v>
      </c>
      <c r="AF1479" t="s">
        <v>11118</v>
      </c>
      <c r="AH1479" t="s">
        <v>10974</v>
      </c>
      <c r="AI1479" t="s">
        <v>11126</v>
      </c>
      <c r="AK1479" t="s">
        <v>7225</v>
      </c>
      <c r="AM1479">
        <v>1928.63</v>
      </c>
      <c r="AN1479" t="s">
        <v>11151</v>
      </c>
      <c r="AO1479" t="s">
        <v>11153</v>
      </c>
      <c r="AP1479" t="s">
        <v>11155</v>
      </c>
      <c r="AR1479" t="s">
        <v>11172</v>
      </c>
      <c r="AU1479">
        <v>8</v>
      </c>
      <c r="AW1479" t="s">
        <v>11187</v>
      </c>
      <c r="AZ1479" t="s">
        <v>11221</v>
      </c>
      <c r="BD1479" t="s">
        <v>11667</v>
      </c>
      <c r="BF1479" t="s">
        <v>14364</v>
      </c>
      <c r="BM1479" t="s">
        <v>15650</v>
      </c>
    </row>
    <row r="1480" spans="1:65">
      <c r="A1480" s="1">
        <f>HYPERLINK("https://lsnyc.legalserver.org/matter/dynamic-profile/view/1875656","18-1875656")</f>
        <v>0</v>
      </c>
      <c r="B1480" t="s">
        <v>123</v>
      </c>
      <c r="C1480" t="s">
        <v>248</v>
      </c>
      <c r="D1480" t="s">
        <v>518</v>
      </c>
      <c r="F1480" t="s">
        <v>1808</v>
      </c>
      <c r="G1480" t="s">
        <v>2877</v>
      </c>
      <c r="H1480" t="s">
        <v>5317</v>
      </c>
      <c r="I1480">
        <v>7</v>
      </c>
      <c r="J1480" t="s">
        <v>7174</v>
      </c>
      <c r="K1480">
        <v>11215</v>
      </c>
      <c r="N1480" t="s">
        <v>7237</v>
      </c>
      <c r="O1480" t="s">
        <v>8253</v>
      </c>
      <c r="P1480">
        <v>1</v>
      </c>
      <c r="Q1480">
        <v>0</v>
      </c>
      <c r="R1480">
        <v>82.73</v>
      </c>
      <c r="U1480">
        <v>10044</v>
      </c>
      <c r="V1480" t="s">
        <v>10383</v>
      </c>
      <c r="W1480">
        <v>34.98</v>
      </c>
      <c r="X1480" t="s">
        <v>301</v>
      </c>
      <c r="Y1480" t="s">
        <v>10923</v>
      </c>
      <c r="AA1480" t="s">
        <v>10974</v>
      </c>
      <c r="AB1480" t="s">
        <v>730</v>
      </c>
      <c r="AD1480" t="s">
        <v>11100</v>
      </c>
      <c r="AF1480" t="s">
        <v>11120</v>
      </c>
      <c r="AG1480" t="s">
        <v>11124</v>
      </c>
      <c r="AI1480" t="s">
        <v>11126</v>
      </c>
      <c r="AK1480" t="s">
        <v>7225</v>
      </c>
      <c r="AL1480" t="s">
        <v>11150</v>
      </c>
      <c r="AM1480">
        <v>0</v>
      </c>
      <c r="AN1480" t="s">
        <v>11151</v>
      </c>
      <c r="AO1480" t="s">
        <v>11153</v>
      </c>
      <c r="AP1480" t="s">
        <v>11155</v>
      </c>
      <c r="AR1480" t="s">
        <v>11172</v>
      </c>
      <c r="AT1480" t="s">
        <v>11184</v>
      </c>
      <c r="AU1480">
        <v>0</v>
      </c>
      <c r="AW1480" t="s">
        <v>11187</v>
      </c>
      <c r="AZ1480" t="s">
        <v>11221</v>
      </c>
      <c r="BE1480" t="s">
        <v>12547</v>
      </c>
      <c r="BF1480" t="s">
        <v>14364</v>
      </c>
      <c r="BM1480" t="s">
        <v>15650</v>
      </c>
    </row>
    <row r="1481" spans="1:65">
      <c r="A1481" s="1">
        <f>HYPERLINK("https://lsnyc.legalserver.org/matter/dynamic-profile/view/1906026","19-1906026")</f>
        <v>0</v>
      </c>
      <c r="B1481" t="s">
        <v>123</v>
      </c>
      <c r="C1481" t="s">
        <v>248</v>
      </c>
      <c r="D1481" t="s">
        <v>394</v>
      </c>
      <c r="F1481" t="s">
        <v>1809</v>
      </c>
      <c r="G1481" t="s">
        <v>3597</v>
      </c>
      <c r="H1481" t="s">
        <v>5318</v>
      </c>
      <c r="I1481">
        <v>8</v>
      </c>
      <c r="J1481" t="s">
        <v>7174</v>
      </c>
      <c r="K1481">
        <v>11218</v>
      </c>
      <c r="N1481" t="s">
        <v>7237</v>
      </c>
      <c r="O1481" t="s">
        <v>8254</v>
      </c>
      <c r="P1481">
        <v>1</v>
      </c>
      <c r="Q1481">
        <v>0</v>
      </c>
      <c r="R1481">
        <v>240.19</v>
      </c>
      <c r="S1481" t="s">
        <v>866</v>
      </c>
      <c r="T1481" t="s">
        <v>10276</v>
      </c>
      <c r="U1481">
        <v>30000</v>
      </c>
      <c r="W1481">
        <v>87.59999999999999</v>
      </c>
      <c r="X1481" t="s">
        <v>528</v>
      </c>
      <c r="Y1481" t="s">
        <v>81</v>
      </c>
      <c r="AA1481" t="s">
        <v>10974</v>
      </c>
      <c r="AB1481" t="s">
        <v>546</v>
      </c>
      <c r="AD1481" t="s">
        <v>11083</v>
      </c>
      <c r="AF1481" t="s">
        <v>11118</v>
      </c>
      <c r="AH1481" t="s">
        <v>10975</v>
      </c>
      <c r="AJ1481" t="s">
        <v>11138</v>
      </c>
      <c r="AK1481" t="s">
        <v>7225</v>
      </c>
      <c r="AM1481">
        <v>1615</v>
      </c>
      <c r="AO1481">
        <v>42</v>
      </c>
      <c r="AQ1481" t="s">
        <v>11157</v>
      </c>
      <c r="AR1481" t="s">
        <v>11172</v>
      </c>
      <c r="AU1481">
        <v>3</v>
      </c>
      <c r="AW1481" t="s">
        <v>11187</v>
      </c>
      <c r="BA1481" t="s">
        <v>11222</v>
      </c>
      <c r="BE1481" t="s">
        <v>12548</v>
      </c>
      <c r="BF1481" t="s">
        <v>14364</v>
      </c>
      <c r="BM1481" t="s">
        <v>15650</v>
      </c>
    </row>
    <row r="1482" spans="1:65">
      <c r="A1482" s="1">
        <f>HYPERLINK("https://lsnyc.legalserver.org/matter/dynamic-profile/view/1894638","19-1894638")</f>
        <v>0</v>
      </c>
      <c r="B1482" t="s">
        <v>123</v>
      </c>
      <c r="C1482" t="s">
        <v>248</v>
      </c>
      <c r="D1482" t="s">
        <v>550</v>
      </c>
      <c r="F1482" t="s">
        <v>1805</v>
      </c>
      <c r="G1482" t="s">
        <v>2969</v>
      </c>
      <c r="H1482" t="s">
        <v>5312</v>
      </c>
      <c r="I1482" t="s">
        <v>6419</v>
      </c>
      <c r="J1482" t="s">
        <v>7174</v>
      </c>
      <c r="K1482">
        <v>11225</v>
      </c>
      <c r="M1482" t="s">
        <v>7227</v>
      </c>
      <c r="N1482" t="s">
        <v>7237</v>
      </c>
      <c r="O1482" t="s">
        <v>8249</v>
      </c>
      <c r="P1482">
        <v>1</v>
      </c>
      <c r="Q1482">
        <v>0</v>
      </c>
      <c r="R1482">
        <v>200.16</v>
      </c>
      <c r="U1482">
        <v>25000</v>
      </c>
      <c r="W1482">
        <v>0.1</v>
      </c>
      <c r="X1482" t="s">
        <v>437</v>
      </c>
      <c r="Y1482" t="s">
        <v>81</v>
      </c>
      <c r="AA1482" t="s">
        <v>10974</v>
      </c>
      <c r="AB1482" t="s">
        <v>472</v>
      </c>
      <c r="AD1482" t="s">
        <v>11085</v>
      </c>
      <c r="AF1482" t="s">
        <v>11118</v>
      </c>
      <c r="AH1482" t="s">
        <v>10974</v>
      </c>
      <c r="AI1482" t="s">
        <v>11126</v>
      </c>
      <c r="AK1482" t="s">
        <v>7225</v>
      </c>
      <c r="AM1482">
        <v>1928.63</v>
      </c>
      <c r="AN1482" t="s">
        <v>11151</v>
      </c>
      <c r="AO1482" t="s">
        <v>11153</v>
      </c>
      <c r="AP1482" t="s">
        <v>11155</v>
      </c>
      <c r="AR1482" t="s">
        <v>11172</v>
      </c>
      <c r="AU1482">
        <v>8</v>
      </c>
      <c r="AW1482" t="s">
        <v>11187</v>
      </c>
      <c r="BA1482" t="s">
        <v>11222</v>
      </c>
      <c r="BD1482" t="s">
        <v>11667</v>
      </c>
      <c r="BG1482" t="s">
        <v>14755</v>
      </c>
      <c r="BM1482" t="s">
        <v>15650</v>
      </c>
    </row>
    <row r="1483" spans="1:65">
      <c r="A1483" s="1">
        <f>HYPERLINK("https://lsnyc.legalserver.org/matter/dynamic-profile/view/1890374","19-1890374")</f>
        <v>0</v>
      </c>
      <c r="B1483" t="s">
        <v>123</v>
      </c>
      <c r="C1483" t="s">
        <v>248</v>
      </c>
      <c r="D1483" t="s">
        <v>515</v>
      </c>
      <c r="F1483" t="s">
        <v>1810</v>
      </c>
      <c r="G1483" t="s">
        <v>1806</v>
      </c>
      <c r="H1483" t="s">
        <v>5313</v>
      </c>
      <c r="I1483" t="s">
        <v>6436</v>
      </c>
      <c r="J1483" t="s">
        <v>7174</v>
      </c>
      <c r="K1483">
        <v>11226</v>
      </c>
      <c r="N1483" t="s">
        <v>7237</v>
      </c>
      <c r="O1483" t="s">
        <v>8250</v>
      </c>
      <c r="P1483">
        <v>4</v>
      </c>
      <c r="Q1483">
        <v>1</v>
      </c>
      <c r="R1483">
        <v>193.32</v>
      </c>
      <c r="U1483">
        <v>58324</v>
      </c>
      <c r="W1483">
        <v>2.6</v>
      </c>
      <c r="X1483" t="s">
        <v>337</v>
      </c>
      <c r="Y1483" t="s">
        <v>81</v>
      </c>
      <c r="AA1483" t="s">
        <v>10974</v>
      </c>
      <c r="AB1483" t="s">
        <v>339</v>
      </c>
      <c r="AD1483" t="s">
        <v>11101</v>
      </c>
      <c r="AF1483" t="s">
        <v>11118</v>
      </c>
      <c r="AH1483" t="s">
        <v>10975</v>
      </c>
      <c r="AI1483" t="s">
        <v>11126</v>
      </c>
      <c r="AK1483" t="s">
        <v>7225</v>
      </c>
      <c r="AM1483">
        <v>778.9299999999999</v>
      </c>
      <c r="AO1483">
        <v>36</v>
      </c>
      <c r="AP1483" t="s">
        <v>11155</v>
      </c>
      <c r="AR1483" t="s">
        <v>11172</v>
      </c>
      <c r="AU1483">
        <v>8</v>
      </c>
      <c r="AW1483" t="s">
        <v>11199</v>
      </c>
      <c r="AZ1483" t="s">
        <v>11221</v>
      </c>
      <c r="BE1483" t="s">
        <v>12544</v>
      </c>
      <c r="BF1483" t="s">
        <v>14364</v>
      </c>
      <c r="BM1483" t="s">
        <v>15650</v>
      </c>
    </row>
    <row r="1484" spans="1:65">
      <c r="A1484" s="1">
        <f>HYPERLINK("https://lsnyc.legalserver.org/matter/dynamic-profile/view/1875110","18-1875110")</f>
        <v>0</v>
      </c>
      <c r="B1484" t="s">
        <v>123</v>
      </c>
      <c r="C1484" t="s">
        <v>248</v>
      </c>
      <c r="D1484" t="s">
        <v>732</v>
      </c>
      <c r="F1484" t="s">
        <v>1803</v>
      </c>
      <c r="G1484" t="s">
        <v>3204</v>
      </c>
      <c r="H1484" t="s">
        <v>5314</v>
      </c>
      <c r="I1484" t="s">
        <v>6752</v>
      </c>
      <c r="J1484" t="s">
        <v>7174</v>
      </c>
      <c r="K1484">
        <v>11231</v>
      </c>
      <c r="N1484" t="s">
        <v>7237</v>
      </c>
      <c r="O1484" t="s">
        <v>8244</v>
      </c>
      <c r="P1484">
        <v>4</v>
      </c>
      <c r="Q1484">
        <v>1</v>
      </c>
      <c r="R1484">
        <v>0</v>
      </c>
      <c r="U1484">
        <v>0</v>
      </c>
      <c r="V1484" t="s">
        <v>10406</v>
      </c>
      <c r="W1484">
        <v>35.6</v>
      </c>
      <c r="X1484" t="s">
        <v>548</v>
      </c>
      <c r="Y1484" t="s">
        <v>212</v>
      </c>
      <c r="AA1484" t="s">
        <v>10974</v>
      </c>
      <c r="AB1484" t="s">
        <v>730</v>
      </c>
      <c r="AD1484" t="s">
        <v>11082</v>
      </c>
      <c r="AF1484" t="s">
        <v>11118</v>
      </c>
      <c r="AH1484" t="s">
        <v>10975</v>
      </c>
      <c r="AI1484" t="s">
        <v>11126</v>
      </c>
      <c r="AK1484" t="s">
        <v>7225</v>
      </c>
      <c r="AL1484" t="s">
        <v>11150</v>
      </c>
      <c r="AM1484">
        <v>0</v>
      </c>
      <c r="AO1484">
        <v>10</v>
      </c>
      <c r="AP1484" t="s">
        <v>11155</v>
      </c>
      <c r="AR1484" t="s">
        <v>11172</v>
      </c>
      <c r="AT1484" t="s">
        <v>11184</v>
      </c>
      <c r="AU1484">
        <v>0</v>
      </c>
      <c r="AW1484" t="s">
        <v>11187</v>
      </c>
      <c r="AZ1484" t="s">
        <v>11221</v>
      </c>
      <c r="BB1484" t="s">
        <v>11224</v>
      </c>
      <c r="BC1484" t="s">
        <v>11367</v>
      </c>
      <c r="BE1484" t="s">
        <v>12543</v>
      </c>
      <c r="BF1484" t="s">
        <v>14364</v>
      </c>
      <c r="BM1484" t="s">
        <v>15650</v>
      </c>
    </row>
    <row r="1485" spans="1:65">
      <c r="A1485" s="1">
        <f>HYPERLINK("https://lsnyc.legalserver.org/matter/dynamic-profile/view/1892917","19-1892917")</f>
        <v>0</v>
      </c>
      <c r="B1485" t="s">
        <v>123</v>
      </c>
      <c r="C1485" t="s">
        <v>248</v>
      </c>
      <c r="D1485" t="s">
        <v>319</v>
      </c>
      <c r="F1485" t="s">
        <v>1137</v>
      </c>
      <c r="G1485" t="s">
        <v>3592</v>
      </c>
      <c r="H1485" t="s">
        <v>5309</v>
      </c>
      <c r="I1485" t="s">
        <v>6417</v>
      </c>
      <c r="J1485" t="s">
        <v>7174</v>
      </c>
      <c r="K1485">
        <v>11225</v>
      </c>
      <c r="N1485" t="s">
        <v>7237</v>
      </c>
      <c r="O1485" t="s">
        <v>8243</v>
      </c>
      <c r="P1485">
        <v>1</v>
      </c>
      <c r="Q1485">
        <v>0</v>
      </c>
      <c r="R1485">
        <v>6.85</v>
      </c>
      <c r="U1485">
        <v>855.36</v>
      </c>
      <c r="V1485" t="s">
        <v>10407</v>
      </c>
      <c r="W1485">
        <v>2.6</v>
      </c>
      <c r="X1485" t="s">
        <v>896</v>
      </c>
      <c r="Y1485" t="s">
        <v>81</v>
      </c>
      <c r="AA1485" t="s">
        <v>10974</v>
      </c>
      <c r="AB1485" t="s">
        <v>1006</v>
      </c>
      <c r="AD1485" t="s">
        <v>11098</v>
      </c>
      <c r="AF1485" t="s">
        <v>11122</v>
      </c>
      <c r="AH1485" t="s">
        <v>10974</v>
      </c>
      <c r="AI1485" t="s">
        <v>11126</v>
      </c>
      <c r="AK1485" t="s">
        <v>7225</v>
      </c>
      <c r="AM1485">
        <v>1108.02</v>
      </c>
      <c r="AN1485" t="s">
        <v>11151</v>
      </c>
      <c r="AO1485" t="s">
        <v>11153</v>
      </c>
      <c r="AP1485" t="s">
        <v>11155</v>
      </c>
      <c r="AS1485" t="s">
        <v>11174</v>
      </c>
      <c r="AU1485">
        <v>13</v>
      </c>
      <c r="AW1485" t="s">
        <v>11187</v>
      </c>
      <c r="BA1485" t="s">
        <v>11222</v>
      </c>
      <c r="BC1485" t="s">
        <v>11366</v>
      </c>
      <c r="BE1485" t="s">
        <v>12542</v>
      </c>
      <c r="BF1485" t="s">
        <v>14364</v>
      </c>
      <c r="BM1485" t="s">
        <v>15650</v>
      </c>
    </row>
    <row r="1486" spans="1:65">
      <c r="A1486" s="1">
        <f>HYPERLINK("https://lsnyc.legalserver.org/matter/dynamic-profile/view/1882276","18-1882276")</f>
        <v>0</v>
      </c>
      <c r="B1486" t="s">
        <v>123</v>
      </c>
      <c r="C1486" t="s">
        <v>248</v>
      </c>
      <c r="D1486" t="s">
        <v>606</v>
      </c>
      <c r="F1486" t="s">
        <v>1280</v>
      </c>
      <c r="G1486" t="s">
        <v>2902</v>
      </c>
      <c r="H1486" t="s">
        <v>5310</v>
      </c>
      <c r="I1486" t="s">
        <v>6420</v>
      </c>
      <c r="J1486" t="s">
        <v>7174</v>
      </c>
      <c r="K1486">
        <v>11220</v>
      </c>
      <c r="N1486" t="s">
        <v>7237</v>
      </c>
      <c r="O1486" t="s">
        <v>8255</v>
      </c>
      <c r="P1486">
        <v>1</v>
      </c>
      <c r="Q1486">
        <v>0</v>
      </c>
      <c r="R1486">
        <v>83.23</v>
      </c>
      <c r="U1486">
        <v>10104</v>
      </c>
      <c r="W1486">
        <v>3</v>
      </c>
      <c r="X1486" t="s">
        <v>995</v>
      </c>
      <c r="Y1486" t="s">
        <v>174</v>
      </c>
      <c r="AA1486" t="s">
        <v>10974</v>
      </c>
      <c r="AB1486" t="s">
        <v>727</v>
      </c>
      <c r="AD1486" t="s">
        <v>11098</v>
      </c>
      <c r="AF1486" t="s">
        <v>11122</v>
      </c>
      <c r="AH1486" t="s">
        <v>10974</v>
      </c>
      <c r="AI1486" t="s">
        <v>11126</v>
      </c>
      <c r="AK1486" t="s">
        <v>7225</v>
      </c>
      <c r="AL1486" t="s">
        <v>11150</v>
      </c>
      <c r="AM1486">
        <v>0</v>
      </c>
      <c r="AO1486">
        <v>28</v>
      </c>
      <c r="AP1486" t="s">
        <v>11155</v>
      </c>
      <c r="AR1486" t="s">
        <v>11172</v>
      </c>
      <c r="AT1486" t="s">
        <v>11184</v>
      </c>
      <c r="AU1486">
        <v>0</v>
      </c>
      <c r="AW1486" t="s">
        <v>11189</v>
      </c>
      <c r="AZ1486" t="s">
        <v>11221</v>
      </c>
      <c r="BE1486" t="s">
        <v>12549</v>
      </c>
      <c r="BF1486" t="s">
        <v>14364</v>
      </c>
      <c r="BM1486" t="s">
        <v>15650</v>
      </c>
    </row>
    <row r="1487" spans="1:65">
      <c r="A1487" s="1">
        <f>HYPERLINK("https://lsnyc.legalserver.org/matter/dynamic-profile/view/1906090","19-1906090")</f>
        <v>0</v>
      </c>
      <c r="B1487" t="s">
        <v>123</v>
      </c>
      <c r="C1487" t="s">
        <v>248</v>
      </c>
      <c r="D1487" t="s">
        <v>349</v>
      </c>
      <c r="F1487" t="s">
        <v>1809</v>
      </c>
      <c r="G1487" t="s">
        <v>3597</v>
      </c>
      <c r="H1487" t="s">
        <v>5319</v>
      </c>
      <c r="I1487">
        <v>8</v>
      </c>
      <c r="J1487" t="s">
        <v>7174</v>
      </c>
      <c r="K1487">
        <v>11218</v>
      </c>
      <c r="N1487" t="s">
        <v>7237</v>
      </c>
      <c r="O1487" t="s">
        <v>8254</v>
      </c>
      <c r="P1487">
        <v>1</v>
      </c>
      <c r="Q1487">
        <v>0</v>
      </c>
      <c r="R1487">
        <v>240.19</v>
      </c>
      <c r="S1487" t="s">
        <v>866</v>
      </c>
      <c r="T1487" t="s">
        <v>10276</v>
      </c>
      <c r="U1487">
        <v>30000</v>
      </c>
      <c r="W1487">
        <v>3.1</v>
      </c>
      <c r="X1487" t="s">
        <v>301</v>
      </c>
      <c r="Y1487" t="s">
        <v>81</v>
      </c>
      <c r="AA1487" t="s">
        <v>10974</v>
      </c>
      <c r="AB1487" t="s">
        <v>349</v>
      </c>
      <c r="AC1487" t="s">
        <v>11081</v>
      </c>
      <c r="AF1487" t="s">
        <v>11118</v>
      </c>
      <c r="AH1487" t="s">
        <v>10975</v>
      </c>
      <c r="AJ1487" t="s">
        <v>11138</v>
      </c>
      <c r="AK1487" t="s">
        <v>7225</v>
      </c>
      <c r="AM1487">
        <v>1615</v>
      </c>
      <c r="AO1487">
        <v>42</v>
      </c>
      <c r="AQ1487" t="s">
        <v>11157</v>
      </c>
      <c r="AR1487" t="s">
        <v>11172</v>
      </c>
      <c r="AU1487">
        <v>3</v>
      </c>
      <c r="AW1487" t="s">
        <v>11187</v>
      </c>
      <c r="BA1487" t="s">
        <v>11222</v>
      </c>
      <c r="BE1487" t="s">
        <v>12550</v>
      </c>
      <c r="BF1487" t="s">
        <v>14364</v>
      </c>
      <c r="BM1487" t="s">
        <v>15650</v>
      </c>
    </row>
    <row r="1488" spans="1:65">
      <c r="A1488" s="1">
        <f>HYPERLINK("https://lsnyc.legalserver.org/matter/dynamic-profile/view/1892994","19-1892994")</f>
        <v>0</v>
      </c>
      <c r="B1488" t="s">
        <v>123</v>
      </c>
      <c r="C1488" t="s">
        <v>248</v>
      </c>
      <c r="D1488" t="s">
        <v>693</v>
      </c>
      <c r="F1488" t="s">
        <v>1207</v>
      </c>
      <c r="G1488" t="s">
        <v>3593</v>
      </c>
      <c r="H1488" t="s">
        <v>5309</v>
      </c>
      <c r="I1488" t="s">
        <v>6413</v>
      </c>
      <c r="J1488" t="s">
        <v>7174</v>
      </c>
      <c r="K1488">
        <v>11225</v>
      </c>
      <c r="N1488" t="s">
        <v>7237</v>
      </c>
      <c r="O1488" t="s">
        <v>8246</v>
      </c>
      <c r="P1488">
        <v>2</v>
      </c>
      <c r="Q1488">
        <v>0</v>
      </c>
      <c r="R1488">
        <v>5762.27</v>
      </c>
      <c r="U1488">
        <v>974400</v>
      </c>
      <c r="W1488">
        <v>5.2</v>
      </c>
      <c r="X1488" t="s">
        <v>337</v>
      </c>
      <c r="Y1488" t="s">
        <v>81</v>
      </c>
      <c r="AA1488" t="s">
        <v>10974</v>
      </c>
      <c r="AB1488" t="s">
        <v>651</v>
      </c>
      <c r="AD1488" t="s">
        <v>11085</v>
      </c>
      <c r="AF1488" t="s">
        <v>11118</v>
      </c>
      <c r="AG1488" t="s">
        <v>11124</v>
      </c>
      <c r="AI1488" t="s">
        <v>11126</v>
      </c>
      <c r="AK1488" t="s">
        <v>7225</v>
      </c>
      <c r="AL1488" t="s">
        <v>11150</v>
      </c>
      <c r="AM1488">
        <v>0</v>
      </c>
      <c r="AN1488" t="s">
        <v>11151</v>
      </c>
      <c r="AO1488" t="s">
        <v>11153</v>
      </c>
      <c r="AP1488" t="s">
        <v>11155</v>
      </c>
      <c r="AR1488" t="s">
        <v>11172</v>
      </c>
      <c r="AT1488" t="s">
        <v>11184</v>
      </c>
      <c r="AU1488">
        <v>0</v>
      </c>
      <c r="AW1488" t="s">
        <v>11187</v>
      </c>
      <c r="AZ1488" t="s">
        <v>11221</v>
      </c>
      <c r="BE1488" t="s">
        <v>11236</v>
      </c>
      <c r="BG1488" t="s">
        <v>14755</v>
      </c>
      <c r="BM1488" t="s">
        <v>15650</v>
      </c>
    </row>
    <row r="1489" spans="1:65">
      <c r="A1489" s="1">
        <f>HYPERLINK("https://lsnyc.legalserver.org/matter/dynamic-profile/view/1915017","19-1915017")</f>
        <v>0</v>
      </c>
      <c r="B1489" t="s">
        <v>123</v>
      </c>
      <c r="C1489" t="s">
        <v>248</v>
      </c>
      <c r="D1489" t="s">
        <v>264</v>
      </c>
      <c r="F1489" t="s">
        <v>1137</v>
      </c>
      <c r="G1489" t="s">
        <v>3592</v>
      </c>
      <c r="H1489" t="s">
        <v>5309</v>
      </c>
      <c r="I1489" t="s">
        <v>6417</v>
      </c>
      <c r="J1489" t="s">
        <v>7174</v>
      </c>
      <c r="K1489">
        <v>11225</v>
      </c>
      <c r="N1489" t="s">
        <v>7237</v>
      </c>
      <c r="O1489" t="s">
        <v>8243</v>
      </c>
      <c r="P1489">
        <v>1</v>
      </c>
      <c r="Q1489">
        <v>0</v>
      </c>
      <c r="R1489">
        <v>6.85</v>
      </c>
      <c r="U1489">
        <v>855.36</v>
      </c>
      <c r="W1489">
        <v>0</v>
      </c>
      <c r="Y1489" t="s">
        <v>81</v>
      </c>
      <c r="AA1489" t="s">
        <v>10974</v>
      </c>
      <c r="AB1489" t="s">
        <v>319</v>
      </c>
      <c r="AC1489" t="s">
        <v>11081</v>
      </c>
      <c r="AF1489" t="s">
        <v>11118</v>
      </c>
      <c r="AH1489" t="s">
        <v>10974</v>
      </c>
      <c r="AI1489" t="s">
        <v>11126</v>
      </c>
      <c r="AK1489" t="s">
        <v>7225</v>
      </c>
      <c r="AM1489">
        <v>1108.02</v>
      </c>
      <c r="AN1489" t="s">
        <v>11151</v>
      </c>
      <c r="AO1489" t="s">
        <v>11153</v>
      </c>
      <c r="AP1489" t="s">
        <v>11155</v>
      </c>
      <c r="AS1489" t="s">
        <v>11174</v>
      </c>
      <c r="AU1489">
        <v>13</v>
      </c>
      <c r="AW1489" t="s">
        <v>11187</v>
      </c>
      <c r="BA1489" t="s">
        <v>11222</v>
      </c>
      <c r="BC1489" t="s">
        <v>11366</v>
      </c>
      <c r="BE1489" t="s">
        <v>12542</v>
      </c>
      <c r="BF1489" t="s">
        <v>14364</v>
      </c>
      <c r="BM1489" t="s">
        <v>15650</v>
      </c>
    </row>
    <row r="1490" spans="1:65">
      <c r="A1490" s="1">
        <f>HYPERLINK("https://lsnyc.legalserver.org/matter/dynamic-profile/view/1876998","18-1876998")</f>
        <v>0</v>
      </c>
      <c r="B1490" t="s">
        <v>123</v>
      </c>
      <c r="C1490" t="s">
        <v>248</v>
      </c>
      <c r="D1490" t="s">
        <v>658</v>
      </c>
      <c r="F1490" t="s">
        <v>1811</v>
      </c>
      <c r="G1490" t="s">
        <v>3598</v>
      </c>
      <c r="H1490" t="s">
        <v>5320</v>
      </c>
      <c r="I1490" t="s">
        <v>6596</v>
      </c>
      <c r="J1490" t="s">
        <v>7174</v>
      </c>
      <c r="K1490">
        <v>11226</v>
      </c>
      <c r="N1490" t="s">
        <v>7237</v>
      </c>
      <c r="O1490" t="s">
        <v>8256</v>
      </c>
      <c r="P1490">
        <v>1</v>
      </c>
      <c r="Q1490">
        <v>0</v>
      </c>
      <c r="R1490">
        <v>235.95</v>
      </c>
      <c r="S1490" t="s">
        <v>605</v>
      </c>
      <c r="T1490" t="s">
        <v>10276</v>
      </c>
      <c r="U1490">
        <v>28644</v>
      </c>
      <c r="W1490">
        <v>64.75</v>
      </c>
      <c r="X1490" t="s">
        <v>593</v>
      </c>
      <c r="Y1490" t="s">
        <v>212</v>
      </c>
      <c r="AA1490" t="s">
        <v>10974</v>
      </c>
      <c r="AB1490" t="s">
        <v>569</v>
      </c>
      <c r="AD1490" t="s">
        <v>11082</v>
      </c>
      <c r="AF1490" t="s">
        <v>11118</v>
      </c>
      <c r="AG1490" t="s">
        <v>11124</v>
      </c>
      <c r="AI1490" t="s">
        <v>11126</v>
      </c>
      <c r="AK1490" t="s">
        <v>7225</v>
      </c>
      <c r="AL1490" t="s">
        <v>11150</v>
      </c>
      <c r="AM1490">
        <v>0</v>
      </c>
      <c r="AO1490">
        <v>61</v>
      </c>
      <c r="AP1490" t="s">
        <v>11155</v>
      </c>
      <c r="AR1490" t="s">
        <v>11172</v>
      </c>
      <c r="AT1490" t="s">
        <v>11184</v>
      </c>
      <c r="AU1490">
        <v>0</v>
      </c>
      <c r="AW1490" t="s">
        <v>11187</v>
      </c>
      <c r="AZ1490" t="s">
        <v>11221</v>
      </c>
      <c r="BE1490" t="s">
        <v>12551</v>
      </c>
      <c r="BG1490" t="s">
        <v>14756</v>
      </c>
      <c r="BM1490" t="s">
        <v>15650</v>
      </c>
    </row>
    <row r="1491" spans="1:65">
      <c r="A1491" s="1">
        <f>HYPERLINK("https://lsnyc.legalserver.org/matter/dynamic-profile/view/1892480","19-1892480")</f>
        <v>0</v>
      </c>
      <c r="B1491" t="s">
        <v>123</v>
      </c>
      <c r="C1491" t="s">
        <v>248</v>
      </c>
      <c r="D1491" t="s">
        <v>403</v>
      </c>
      <c r="F1491" t="s">
        <v>1407</v>
      </c>
      <c r="G1491" t="s">
        <v>1643</v>
      </c>
      <c r="H1491" t="s">
        <v>5311</v>
      </c>
      <c r="I1491" t="s">
        <v>6433</v>
      </c>
      <c r="J1491" t="s">
        <v>7174</v>
      </c>
      <c r="K1491">
        <v>11225</v>
      </c>
      <c r="M1491" t="s">
        <v>7227</v>
      </c>
      <c r="N1491" t="s">
        <v>7237</v>
      </c>
      <c r="O1491" t="s">
        <v>8238</v>
      </c>
      <c r="P1491">
        <v>1</v>
      </c>
      <c r="Q1491">
        <v>0</v>
      </c>
      <c r="R1491">
        <v>83.27</v>
      </c>
      <c r="U1491">
        <v>10400</v>
      </c>
      <c r="W1491">
        <v>4.8</v>
      </c>
      <c r="X1491" t="s">
        <v>626</v>
      </c>
      <c r="Y1491" t="s">
        <v>81</v>
      </c>
      <c r="AA1491" t="s">
        <v>10974</v>
      </c>
      <c r="AB1491" t="s">
        <v>1006</v>
      </c>
      <c r="AD1491" t="s">
        <v>11082</v>
      </c>
      <c r="AF1491" t="s">
        <v>11118</v>
      </c>
      <c r="AH1491" t="s">
        <v>10974</v>
      </c>
      <c r="AI1491" t="s">
        <v>11126</v>
      </c>
      <c r="AK1491" t="s">
        <v>7225</v>
      </c>
      <c r="AL1491" t="s">
        <v>11150</v>
      </c>
      <c r="AM1491">
        <v>0</v>
      </c>
      <c r="AN1491" t="s">
        <v>11151</v>
      </c>
      <c r="AO1491" t="s">
        <v>11153</v>
      </c>
      <c r="AP1491" t="s">
        <v>11155</v>
      </c>
      <c r="AR1491" t="s">
        <v>11172</v>
      </c>
      <c r="AT1491" t="s">
        <v>11184</v>
      </c>
      <c r="AU1491">
        <v>0</v>
      </c>
      <c r="AW1491" t="s">
        <v>11187</v>
      </c>
      <c r="AZ1491" t="s">
        <v>11221</v>
      </c>
      <c r="BE1491" t="s">
        <v>12537</v>
      </c>
      <c r="BG1491" t="s">
        <v>14757</v>
      </c>
      <c r="BM1491" t="s">
        <v>15650</v>
      </c>
    </row>
    <row r="1492" spans="1:65">
      <c r="A1492" s="1">
        <f>HYPERLINK("https://lsnyc.legalserver.org/matter/dynamic-profile/view/1880078","18-1880078")</f>
        <v>0</v>
      </c>
      <c r="B1492" t="s">
        <v>123</v>
      </c>
      <c r="C1492" t="s">
        <v>248</v>
      </c>
      <c r="D1492" t="s">
        <v>619</v>
      </c>
      <c r="F1492" t="s">
        <v>1093</v>
      </c>
      <c r="G1492" t="s">
        <v>3591</v>
      </c>
      <c r="H1492" t="s">
        <v>5312</v>
      </c>
      <c r="I1492" t="s">
        <v>6437</v>
      </c>
      <c r="J1492" t="s">
        <v>7174</v>
      </c>
      <c r="K1492">
        <v>11225</v>
      </c>
      <c r="N1492" t="s">
        <v>7237</v>
      </c>
      <c r="O1492" t="s">
        <v>8240</v>
      </c>
      <c r="P1492">
        <v>3</v>
      </c>
      <c r="Q1492">
        <v>0</v>
      </c>
      <c r="R1492">
        <v>153.99</v>
      </c>
      <c r="U1492">
        <v>32000</v>
      </c>
      <c r="W1492">
        <v>2.3</v>
      </c>
      <c r="X1492" t="s">
        <v>339</v>
      </c>
      <c r="Y1492" t="s">
        <v>10913</v>
      </c>
      <c r="AA1492" t="s">
        <v>10974</v>
      </c>
      <c r="AB1492" t="s">
        <v>651</v>
      </c>
      <c r="AD1492" t="s">
        <v>11098</v>
      </c>
      <c r="AF1492" t="s">
        <v>11122</v>
      </c>
      <c r="AG1492" t="s">
        <v>11124</v>
      </c>
      <c r="AI1492" t="s">
        <v>11126</v>
      </c>
      <c r="AK1492" t="s">
        <v>7225</v>
      </c>
      <c r="AM1492">
        <v>813.54</v>
      </c>
      <c r="AO1492">
        <v>8</v>
      </c>
      <c r="AP1492" t="s">
        <v>11155</v>
      </c>
      <c r="AR1492" t="s">
        <v>11172</v>
      </c>
      <c r="AU1492">
        <v>26</v>
      </c>
      <c r="AW1492" t="s">
        <v>11187</v>
      </c>
      <c r="BA1492" t="s">
        <v>11222</v>
      </c>
      <c r="BE1492" t="s">
        <v>12539</v>
      </c>
      <c r="BF1492" t="s">
        <v>14364</v>
      </c>
      <c r="BM1492" t="s">
        <v>15650</v>
      </c>
    </row>
    <row r="1493" spans="1:65">
      <c r="A1493" s="1">
        <f>HYPERLINK("https://lsnyc.legalserver.org/matter/dynamic-profile/view/1892729","19-1892729")</f>
        <v>0</v>
      </c>
      <c r="B1493" t="s">
        <v>123</v>
      </c>
      <c r="C1493" t="s">
        <v>248</v>
      </c>
      <c r="D1493" t="s">
        <v>729</v>
      </c>
      <c r="F1493" t="s">
        <v>1407</v>
      </c>
      <c r="G1493" t="s">
        <v>1643</v>
      </c>
      <c r="H1493" t="s">
        <v>5311</v>
      </c>
      <c r="I1493" t="s">
        <v>6433</v>
      </c>
      <c r="J1493" t="s">
        <v>7174</v>
      </c>
      <c r="K1493">
        <v>11225</v>
      </c>
      <c r="M1493" t="s">
        <v>7227</v>
      </c>
      <c r="N1493" t="s">
        <v>7237</v>
      </c>
      <c r="O1493" t="s">
        <v>8238</v>
      </c>
      <c r="P1493">
        <v>1</v>
      </c>
      <c r="Q1493">
        <v>0</v>
      </c>
      <c r="R1493">
        <v>83.27</v>
      </c>
      <c r="U1493">
        <v>10400</v>
      </c>
      <c r="V1493" t="s">
        <v>10408</v>
      </c>
      <c r="W1493">
        <v>0.1</v>
      </c>
      <c r="X1493" t="s">
        <v>437</v>
      </c>
      <c r="Y1493" t="s">
        <v>81</v>
      </c>
      <c r="AA1493" t="s">
        <v>10974</v>
      </c>
      <c r="AB1493" t="s">
        <v>1006</v>
      </c>
      <c r="AD1493" t="s">
        <v>11098</v>
      </c>
      <c r="AF1493" t="s">
        <v>11122</v>
      </c>
      <c r="AH1493" t="s">
        <v>10974</v>
      </c>
      <c r="AI1493" t="s">
        <v>11126</v>
      </c>
      <c r="AK1493" t="s">
        <v>7225</v>
      </c>
      <c r="AM1493">
        <v>1480.9</v>
      </c>
      <c r="AN1493" t="s">
        <v>11151</v>
      </c>
      <c r="AO1493" t="s">
        <v>11153</v>
      </c>
      <c r="AP1493" t="s">
        <v>11155</v>
      </c>
      <c r="AR1493" t="s">
        <v>11172</v>
      </c>
      <c r="AU1493">
        <v>11</v>
      </c>
      <c r="AW1493" t="s">
        <v>11187</v>
      </c>
      <c r="AZ1493" t="s">
        <v>11221</v>
      </c>
      <c r="BE1493" t="s">
        <v>12537</v>
      </c>
      <c r="BF1493" t="s">
        <v>14364</v>
      </c>
      <c r="BM1493" t="s">
        <v>15650</v>
      </c>
    </row>
    <row r="1494" spans="1:65">
      <c r="A1494" s="1">
        <f>HYPERLINK("https://lsnyc.legalserver.org/matter/dynamic-profile/view/1911025","19-1911025")</f>
        <v>0</v>
      </c>
      <c r="B1494" t="s">
        <v>123</v>
      </c>
      <c r="C1494" t="s">
        <v>248</v>
      </c>
      <c r="D1494" t="s">
        <v>626</v>
      </c>
      <c r="F1494" t="s">
        <v>1207</v>
      </c>
      <c r="G1494" t="s">
        <v>3593</v>
      </c>
      <c r="H1494" t="s">
        <v>5309</v>
      </c>
      <c r="I1494" t="s">
        <v>6413</v>
      </c>
      <c r="J1494" t="s">
        <v>7174</v>
      </c>
      <c r="K1494">
        <v>11225</v>
      </c>
      <c r="N1494" t="s">
        <v>7237</v>
      </c>
      <c r="O1494" t="s">
        <v>8246</v>
      </c>
      <c r="P1494">
        <v>2</v>
      </c>
      <c r="Q1494">
        <v>0</v>
      </c>
      <c r="R1494">
        <v>480.19</v>
      </c>
      <c r="U1494">
        <v>81200</v>
      </c>
      <c r="W1494">
        <v>0</v>
      </c>
      <c r="Y1494" t="s">
        <v>81</v>
      </c>
      <c r="AA1494" t="s">
        <v>10974</v>
      </c>
      <c r="AB1494" t="s">
        <v>384</v>
      </c>
      <c r="AC1494" t="s">
        <v>11081</v>
      </c>
      <c r="AF1494" t="s">
        <v>11122</v>
      </c>
      <c r="AH1494" t="s">
        <v>10974</v>
      </c>
      <c r="AI1494" t="s">
        <v>11126</v>
      </c>
      <c r="AK1494" t="s">
        <v>7225</v>
      </c>
      <c r="AL1494" t="s">
        <v>11150</v>
      </c>
      <c r="AM1494">
        <v>0</v>
      </c>
      <c r="AO1494">
        <v>14</v>
      </c>
      <c r="AP1494" t="s">
        <v>11155</v>
      </c>
      <c r="AR1494" t="s">
        <v>11172</v>
      </c>
      <c r="AT1494" t="s">
        <v>11184</v>
      </c>
      <c r="AU1494">
        <v>0</v>
      </c>
      <c r="AW1494" t="s">
        <v>11187</v>
      </c>
      <c r="BA1494" t="s">
        <v>11222</v>
      </c>
      <c r="BE1494" t="s">
        <v>11236</v>
      </c>
      <c r="BF1494" t="s">
        <v>14364</v>
      </c>
      <c r="BM1494" t="s">
        <v>15650</v>
      </c>
    </row>
    <row r="1495" spans="1:65">
      <c r="A1495" s="1">
        <f>HYPERLINK("https://lsnyc.legalserver.org/matter/dynamic-profile/view/1880462","18-1880462")</f>
        <v>0</v>
      </c>
      <c r="B1495" t="s">
        <v>123</v>
      </c>
      <c r="C1495" t="s">
        <v>248</v>
      </c>
      <c r="D1495" t="s">
        <v>467</v>
      </c>
      <c r="F1495" t="s">
        <v>1812</v>
      </c>
      <c r="G1495" t="s">
        <v>1973</v>
      </c>
      <c r="H1495" t="s">
        <v>5321</v>
      </c>
      <c r="I1495" t="s">
        <v>6419</v>
      </c>
      <c r="J1495" t="s">
        <v>7174</v>
      </c>
      <c r="K1495">
        <v>11206</v>
      </c>
      <c r="N1495" t="s">
        <v>7237</v>
      </c>
      <c r="O1495" t="s">
        <v>8257</v>
      </c>
      <c r="P1495">
        <v>2</v>
      </c>
      <c r="Q1495">
        <v>2</v>
      </c>
      <c r="R1495">
        <v>157.29</v>
      </c>
      <c r="U1495">
        <v>39480</v>
      </c>
      <c r="W1495">
        <v>12.1</v>
      </c>
      <c r="X1495" t="s">
        <v>794</v>
      </c>
      <c r="Y1495" t="s">
        <v>212</v>
      </c>
      <c r="AA1495" t="s">
        <v>10974</v>
      </c>
      <c r="AB1495" t="s">
        <v>569</v>
      </c>
      <c r="AD1495" t="s">
        <v>11082</v>
      </c>
      <c r="AF1495" t="s">
        <v>11118</v>
      </c>
      <c r="AG1495" t="s">
        <v>11124</v>
      </c>
      <c r="AI1495" t="s">
        <v>11126</v>
      </c>
      <c r="AK1495" t="s">
        <v>7225</v>
      </c>
      <c r="AL1495" t="s">
        <v>11150</v>
      </c>
      <c r="AM1495">
        <v>0</v>
      </c>
      <c r="AN1495" t="s">
        <v>11151</v>
      </c>
      <c r="AO1495" t="s">
        <v>11153</v>
      </c>
      <c r="AP1495" t="s">
        <v>11155</v>
      </c>
      <c r="AR1495" t="s">
        <v>11172</v>
      </c>
      <c r="AU1495">
        <v>11</v>
      </c>
      <c r="AW1495" t="s">
        <v>11187</v>
      </c>
      <c r="AZ1495" t="s">
        <v>11221</v>
      </c>
      <c r="BE1495" t="s">
        <v>12552</v>
      </c>
      <c r="BG1495" t="s">
        <v>14758</v>
      </c>
      <c r="BM1495" t="s">
        <v>15650</v>
      </c>
    </row>
    <row r="1496" spans="1:65">
      <c r="A1496" s="1">
        <f>HYPERLINK("https://lsnyc.legalserver.org/matter/dynamic-profile/view/1915060","19-1915060")</f>
        <v>0</v>
      </c>
      <c r="B1496" t="s">
        <v>123</v>
      </c>
      <c r="C1496" t="s">
        <v>248</v>
      </c>
      <c r="D1496" t="s">
        <v>264</v>
      </c>
      <c r="F1496" t="s">
        <v>1813</v>
      </c>
      <c r="G1496" t="s">
        <v>3599</v>
      </c>
      <c r="H1496" t="s">
        <v>5309</v>
      </c>
      <c r="I1496" t="s">
        <v>6419</v>
      </c>
      <c r="J1496" t="s">
        <v>7174</v>
      </c>
      <c r="K1496">
        <v>11225</v>
      </c>
      <c r="N1496" t="s">
        <v>7237</v>
      </c>
      <c r="O1496" t="s">
        <v>8258</v>
      </c>
      <c r="P1496">
        <v>2</v>
      </c>
      <c r="Q1496">
        <v>0</v>
      </c>
      <c r="R1496">
        <v>656.42</v>
      </c>
      <c r="U1496">
        <v>111000</v>
      </c>
      <c r="W1496">
        <v>0</v>
      </c>
      <c r="Y1496" t="s">
        <v>81</v>
      </c>
      <c r="AA1496" t="s">
        <v>10974</v>
      </c>
      <c r="AB1496" t="s">
        <v>605</v>
      </c>
      <c r="AC1496" t="s">
        <v>11081</v>
      </c>
      <c r="AF1496" t="s">
        <v>11118</v>
      </c>
      <c r="AH1496" t="s">
        <v>10974</v>
      </c>
      <c r="AI1496" t="s">
        <v>11126</v>
      </c>
      <c r="AK1496" t="s">
        <v>7225</v>
      </c>
      <c r="AL1496" t="s">
        <v>11150</v>
      </c>
      <c r="AM1496">
        <v>0</v>
      </c>
      <c r="AN1496" t="s">
        <v>11151</v>
      </c>
      <c r="AO1496" t="s">
        <v>11153</v>
      </c>
      <c r="AP1496" t="s">
        <v>11155</v>
      </c>
      <c r="AR1496" t="s">
        <v>11172</v>
      </c>
      <c r="AT1496" t="s">
        <v>11184</v>
      </c>
      <c r="AU1496">
        <v>0</v>
      </c>
      <c r="AW1496" t="s">
        <v>11187</v>
      </c>
      <c r="BA1496" t="s">
        <v>11222</v>
      </c>
      <c r="BE1496" t="s">
        <v>12553</v>
      </c>
      <c r="BF1496" t="s">
        <v>14364</v>
      </c>
      <c r="BM1496" t="s">
        <v>15650</v>
      </c>
    </row>
    <row r="1497" spans="1:65">
      <c r="A1497" s="1">
        <f>HYPERLINK("https://lsnyc.legalserver.org/matter/dynamic-profile/view/1892395","19-1892395")</f>
        <v>0</v>
      </c>
      <c r="B1497" t="s">
        <v>123</v>
      </c>
      <c r="C1497" t="s">
        <v>248</v>
      </c>
      <c r="D1497" t="s">
        <v>483</v>
      </c>
      <c r="F1497" t="s">
        <v>1801</v>
      </c>
      <c r="G1497" t="s">
        <v>3590</v>
      </c>
      <c r="H1497" t="s">
        <v>5311</v>
      </c>
      <c r="I1497" t="s">
        <v>6633</v>
      </c>
      <c r="J1497" t="s">
        <v>7174</v>
      </c>
      <c r="K1497">
        <v>11225</v>
      </c>
      <c r="M1497" t="s">
        <v>7227</v>
      </c>
      <c r="N1497" t="s">
        <v>7237</v>
      </c>
      <c r="O1497" t="s">
        <v>8239</v>
      </c>
      <c r="P1497">
        <v>1</v>
      </c>
      <c r="Q1497">
        <v>1</v>
      </c>
      <c r="R1497">
        <v>114.25</v>
      </c>
      <c r="U1497">
        <v>19320</v>
      </c>
      <c r="W1497">
        <v>1.6</v>
      </c>
      <c r="X1497" t="s">
        <v>306</v>
      </c>
      <c r="Y1497" t="s">
        <v>81</v>
      </c>
      <c r="AA1497" t="s">
        <v>10974</v>
      </c>
      <c r="AB1497" t="s">
        <v>651</v>
      </c>
      <c r="AD1497" t="s">
        <v>11085</v>
      </c>
      <c r="AF1497" t="s">
        <v>11118</v>
      </c>
      <c r="AH1497" t="s">
        <v>10974</v>
      </c>
      <c r="AI1497" t="s">
        <v>11126</v>
      </c>
      <c r="AK1497" t="s">
        <v>7225</v>
      </c>
      <c r="AL1497" t="s">
        <v>11150</v>
      </c>
      <c r="AM1497">
        <v>0</v>
      </c>
      <c r="AN1497" t="s">
        <v>11151</v>
      </c>
      <c r="AO1497" t="s">
        <v>11153</v>
      </c>
      <c r="AP1497" t="s">
        <v>11155</v>
      </c>
      <c r="AR1497" t="s">
        <v>11172</v>
      </c>
      <c r="AT1497" t="s">
        <v>11184</v>
      </c>
      <c r="AU1497">
        <v>0</v>
      </c>
      <c r="AW1497" t="s">
        <v>11187</v>
      </c>
      <c r="AZ1497" t="s">
        <v>11221</v>
      </c>
      <c r="BE1497" t="s">
        <v>12538</v>
      </c>
      <c r="BG1497" t="s">
        <v>14755</v>
      </c>
      <c r="BM1497" t="s">
        <v>15650</v>
      </c>
    </row>
    <row r="1498" spans="1:65">
      <c r="A1498" s="1">
        <f>HYPERLINK("https://lsnyc.legalserver.org/matter/dynamic-profile/view/1882288","18-1882288")</f>
        <v>0</v>
      </c>
      <c r="B1498" t="s">
        <v>123</v>
      </c>
      <c r="C1498" t="s">
        <v>248</v>
      </c>
      <c r="D1498" t="s">
        <v>606</v>
      </c>
      <c r="F1498" t="s">
        <v>1814</v>
      </c>
      <c r="G1498" t="s">
        <v>2998</v>
      </c>
      <c r="H1498" t="s">
        <v>5310</v>
      </c>
      <c r="J1498" t="s">
        <v>7174</v>
      </c>
      <c r="K1498">
        <v>11220</v>
      </c>
      <c r="N1498" t="s">
        <v>7237</v>
      </c>
      <c r="O1498" t="s">
        <v>8259</v>
      </c>
      <c r="P1498">
        <v>2</v>
      </c>
      <c r="Q1498">
        <v>0</v>
      </c>
      <c r="R1498">
        <v>61.39</v>
      </c>
      <c r="U1498">
        <v>10104</v>
      </c>
      <c r="W1498">
        <v>37.35</v>
      </c>
      <c r="X1498" t="s">
        <v>735</v>
      </c>
      <c r="Y1498" t="s">
        <v>174</v>
      </c>
      <c r="AA1498" t="s">
        <v>10974</v>
      </c>
      <c r="AB1498" t="s">
        <v>727</v>
      </c>
      <c r="AD1498" t="s">
        <v>11098</v>
      </c>
      <c r="AF1498" t="s">
        <v>11122</v>
      </c>
      <c r="AH1498" t="s">
        <v>10974</v>
      </c>
      <c r="AI1498" t="s">
        <v>11126</v>
      </c>
      <c r="AK1498" t="s">
        <v>7225</v>
      </c>
      <c r="AL1498" t="s">
        <v>11150</v>
      </c>
      <c r="AM1498">
        <v>0</v>
      </c>
      <c r="AN1498" t="s">
        <v>11151</v>
      </c>
      <c r="AO1498" t="s">
        <v>11153</v>
      </c>
      <c r="AP1498" t="s">
        <v>11155</v>
      </c>
      <c r="AR1498" t="s">
        <v>11172</v>
      </c>
      <c r="AT1498" t="s">
        <v>11184</v>
      </c>
      <c r="AU1498">
        <v>0</v>
      </c>
      <c r="AW1498" t="s">
        <v>11189</v>
      </c>
      <c r="AZ1498" t="s">
        <v>11221</v>
      </c>
      <c r="BE1498" t="s">
        <v>12554</v>
      </c>
      <c r="BF1498" t="s">
        <v>14364</v>
      </c>
      <c r="BM1498" t="s">
        <v>15650</v>
      </c>
    </row>
    <row r="1499" spans="1:65">
      <c r="A1499" s="1">
        <f>HYPERLINK("https://lsnyc.legalserver.org/matter/dynamic-profile/view/1894310","19-1894310")</f>
        <v>0</v>
      </c>
      <c r="B1499" t="s">
        <v>123</v>
      </c>
      <c r="C1499" t="s">
        <v>248</v>
      </c>
      <c r="D1499" t="s">
        <v>472</v>
      </c>
      <c r="F1499" t="s">
        <v>1207</v>
      </c>
      <c r="G1499" t="s">
        <v>3593</v>
      </c>
      <c r="H1499" t="s">
        <v>5309</v>
      </c>
      <c r="I1499" t="s">
        <v>6413</v>
      </c>
      <c r="J1499" t="s">
        <v>7174</v>
      </c>
      <c r="K1499">
        <v>11225</v>
      </c>
      <c r="N1499" t="s">
        <v>7237</v>
      </c>
      <c r="O1499" t="s">
        <v>8246</v>
      </c>
      <c r="P1499">
        <v>2</v>
      </c>
      <c r="Q1499">
        <v>0</v>
      </c>
      <c r="R1499">
        <v>480.19</v>
      </c>
      <c r="U1499">
        <v>81200</v>
      </c>
      <c r="W1499">
        <v>0</v>
      </c>
      <c r="Y1499" t="s">
        <v>81</v>
      </c>
      <c r="AA1499" t="s">
        <v>10974</v>
      </c>
      <c r="AB1499" t="s">
        <v>472</v>
      </c>
      <c r="AC1499" t="s">
        <v>11081</v>
      </c>
      <c r="AF1499" t="s">
        <v>11118</v>
      </c>
      <c r="AH1499" t="s">
        <v>10974</v>
      </c>
      <c r="AI1499" t="s">
        <v>11126</v>
      </c>
      <c r="AK1499" t="s">
        <v>7225</v>
      </c>
      <c r="AL1499" t="s">
        <v>11150</v>
      </c>
      <c r="AM1499">
        <v>0</v>
      </c>
      <c r="AN1499" t="s">
        <v>11151</v>
      </c>
      <c r="AO1499" t="s">
        <v>11153</v>
      </c>
      <c r="AP1499" t="s">
        <v>11155</v>
      </c>
      <c r="AR1499" t="s">
        <v>11172</v>
      </c>
      <c r="AT1499" t="s">
        <v>11184</v>
      </c>
      <c r="AU1499">
        <v>0</v>
      </c>
      <c r="AW1499" t="s">
        <v>11187</v>
      </c>
      <c r="AZ1499" t="s">
        <v>11221</v>
      </c>
      <c r="BE1499" t="s">
        <v>11236</v>
      </c>
      <c r="BF1499" t="s">
        <v>14364</v>
      </c>
      <c r="BM1499" t="s">
        <v>15650</v>
      </c>
    </row>
    <row r="1500" spans="1:65">
      <c r="A1500" s="1">
        <f>HYPERLINK("https://lsnyc.legalserver.org/matter/dynamic-profile/view/1892896","19-1892896")</f>
        <v>0</v>
      </c>
      <c r="B1500" t="s">
        <v>123</v>
      </c>
      <c r="C1500" t="s">
        <v>248</v>
      </c>
      <c r="D1500" t="s">
        <v>319</v>
      </c>
      <c r="F1500" t="s">
        <v>1813</v>
      </c>
      <c r="G1500" t="s">
        <v>3599</v>
      </c>
      <c r="H1500" t="s">
        <v>5309</v>
      </c>
      <c r="I1500" t="s">
        <v>6419</v>
      </c>
      <c r="J1500" t="s">
        <v>7174</v>
      </c>
      <c r="K1500">
        <v>11225</v>
      </c>
      <c r="M1500" t="s">
        <v>7227</v>
      </c>
      <c r="N1500" t="s">
        <v>7237</v>
      </c>
      <c r="O1500" t="s">
        <v>8258</v>
      </c>
      <c r="P1500">
        <v>2</v>
      </c>
      <c r="Q1500">
        <v>0</v>
      </c>
      <c r="R1500">
        <v>656.42</v>
      </c>
      <c r="U1500">
        <v>111000</v>
      </c>
      <c r="V1500" t="s">
        <v>10409</v>
      </c>
      <c r="W1500">
        <v>451.29</v>
      </c>
      <c r="X1500" t="s">
        <v>638</v>
      </c>
      <c r="Y1500" t="s">
        <v>81</v>
      </c>
      <c r="AA1500" t="s">
        <v>10974</v>
      </c>
      <c r="AB1500" t="s">
        <v>1006</v>
      </c>
      <c r="AD1500" t="s">
        <v>11098</v>
      </c>
      <c r="AF1500" t="s">
        <v>11122</v>
      </c>
      <c r="AH1500" t="s">
        <v>10974</v>
      </c>
      <c r="AI1500" t="s">
        <v>11126</v>
      </c>
      <c r="AK1500" t="s">
        <v>7225</v>
      </c>
      <c r="AL1500" t="s">
        <v>11150</v>
      </c>
      <c r="AM1500">
        <v>0</v>
      </c>
      <c r="AN1500" t="s">
        <v>11151</v>
      </c>
      <c r="AO1500" t="s">
        <v>11153</v>
      </c>
      <c r="AP1500" t="s">
        <v>11155</v>
      </c>
      <c r="AR1500" t="s">
        <v>11172</v>
      </c>
      <c r="AT1500" t="s">
        <v>11184</v>
      </c>
      <c r="AU1500">
        <v>0</v>
      </c>
      <c r="AW1500" t="s">
        <v>11187</v>
      </c>
      <c r="AZ1500" t="s">
        <v>11221</v>
      </c>
      <c r="BE1500" t="s">
        <v>12553</v>
      </c>
      <c r="BF1500" t="s">
        <v>14364</v>
      </c>
      <c r="BM1500" t="s">
        <v>15650</v>
      </c>
    </row>
    <row r="1501" spans="1:65">
      <c r="A1501" s="1">
        <f>HYPERLINK("https://lsnyc.legalserver.org/matter/dynamic-profile/view/1911067","19-1911067")</f>
        <v>0</v>
      </c>
      <c r="B1501" t="s">
        <v>123</v>
      </c>
      <c r="C1501" t="s">
        <v>248</v>
      </c>
      <c r="D1501" t="s">
        <v>626</v>
      </c>
      <c r="F1501" t="s">
        <v>1813</v>
      </c>
      <c r="G1501" t="s">
        <v>3599</v>
      </c>
      <c r="H1501" t="s">
        <v>5309</v>
      </c>
      <c r="I1501" t="s">
        <v>6419</v>
      </c>
      <c r="J1501" t="s">
        <v>7174</v>
      </c>
      <c r="K1501">
        <v>11225</v>
      </c>
      <c r="N1501" t="s">
        <v>7237</v>
      </c>
      <c r="O1501" t="s">
        <v>8258</v>
      </c>
      <c r="P1501">
        <v>2</v>
      </c>
      <c r="Q1501">
        <v>0</v>
      </c>
      <c r="R1501">
        <v>656.42</v>
      </c>
      <c r="U1501">
        <v>111000</v>
      </c>
      <c r="W1501">
        <v>0</v>
      </c>
      <c r="Y1501" t="s">
        <v>81</v>
      </c>
      <c r="AA1501" t="s">
        <v>10974</v>
      </c>
      <c r="AB1501" t="s">
        <v>384</v>
      </c>
      <c r="AC1501" t="s">
        <v>11081</v>
      </c>
      <c r="AF1501" t="s">
        <v>11122</v>
      </c>
      <c r="AH1501" t="s">
        <v>10974</v>
      </c>
      <c r="AI1501" t="s">
        <v>11126</v>
      </c>
      <c r="AK1501" t="s">
        <v>7225</v>
      </c>
      <c r="AL1501" t="s">
        <v>11150</v>
      </c>
      <c r="AM1501">
        <v>0</v>
      </c>
      <c r="AO1501">
        <v>14</v>
      </c>
      <c r="AP1501" t="s">
        <v>11155</v>
      </c>
      <c r="AR1501" t="s">
        <v>11172</v>
      </c>
      <c r="AT1501" t="s">
        <v>11184</v>
      </c>
      <c r="AU1501">
        <v>0</v>
      </c>
      <c r="AW1501" t="s">
        <v>11187</v>
      </c>
      <c r="BA1501" t="s">
        <v>11222</v>
      </c>
      <c r="BE1501" t="s">
        <v>12553</v>
      </c>
      <c r="BF1501" t="s">
        <v>14364</v>
      </c>
      <c r="BM1501" t="s">
        <v>15650</v>
      </c>
    </row>
    <row r="1502" spans="1:65">
      <c r="A1502" s="1">
        <f>HYPERLINK("https://lsnyc.legalserver.org/matter/dynamic-profile/view/1892734","19-1892734")</f>
        <v>0</v>
      </c>
      <c r="B1502" t="s">
        <v>123</v>
      </c>
      <c r="C1502" t="s">
        <v>248</v>
      </c>
      <c r="D1502" t="s">
        <v>729</v>
      </c>
      <c r="F1502" t="s">
        <v>1093</v>
      </c>
      <c r="G1502" t="s">
        <v>3591</v>
      </c>
      <c r="H1502" t="s">
        <v>5312</v>
      </c>
      <c r="I1502" t="s">
        <v>6437</v>
      </c>
      <c r="J1502" t="s">
        <v>7174</v>
      </c>
      <c r="K1502">
        <v>11225</v>
      </c>
      <c r="N1502" t="s">
        <v>7237</v>
      </c>
      <c r="O1502" t="s">
        <v>8240</v>
      </c>
      <c r="P1502">
        <v>3</v>
      </c>
      <c r="Q1502">
        <v>0</v>
      </c>
      <c r="R1502">
        <v>150.02</v>
      </c>
      <c r="U1502">
        <v>32000</v>
      </c>
      <c r="V1502" t="s">
        <v>10405</v>
      </c>
      <c r="W1502">
        <v>3.2</v>
      </c>
      <c r="X1502" t="s">
        <v>337</v>
      </c>
      <c r="Y1502" t="s">
        <v>81</v>
      </c>
      <c r="AA1502" t="s">
        <v>10974</v>
      </c>
      <c r="AB1502" t="s">
        <v>1006</v>
      </c>
      <c r="AD1502" t="s">
        <v>11098</v>
      </c>
      <c r="AF1502" t="s">
        <v>11122</v>
      </c>
      <c r="AH1502" t="s">
        <v>10974</v>
      </c>
      <c r="AI1502" t="s">
        <v>11126</v>
      </c>
      <c r="AK1502" t="s">
        <v>7225</v>
      </c>
      <c r="AL1502" t="s">
        <v>11150</v>
      </c>
      <c r="AM1502">
        <v>0</v>
      </c>
      <c r="AN1502" t="s">
        <v>11151</v>
      </c>
      <c r="AO1502" t="s">
        <v>11153</v>
      </c>
      <c r="AP1502" t="s">
        <v>11155</v>
      </c>
      <c r="AR1502" t="s">
        <v>11172</v>
      </c>
      <c r="AT1502" t="s">
        <v>11184</v>
      </c>
      <c r="AU1502">
        <v>0</v>
      </c>
      <c r="AW1502" t="s">
        <v>11187</v>
      </c>
      <c r="AZ1502" t="s">
        <v>11221</v>
      </c>
      <c r="BE1502" t="s">
        <v>12539</v>
      </c>
      <c r="BF1502" t="s">
        <v>14364</v>
      </c>
      <c r="BM1502" t="s">
        <v>15650</v>
      </c>
    </row>
    <row r="1503" spans="1:65">
      <c r="A1503" s="1">
        <f>HYPERLINK("https://lsnyc.legalserver.org/matter/dynamic-profile/view/1882177","18-1882177")</f>
        <v>0</v>
      </c>
      <c r="B1503" t="s">
        <v>123</v>
      </c>
      <c r="C1503" t="s">
        <v>248</v>
      </c>
      <c r="D1503" t="s">
        <v>569</v>
      </c>
      <c r="F1503" t="s">
        <v>1807</v>
      </c>
      <c r="G1503" t="s">
        <v>2994</v>
      </c>
      <c r="H1503" t="s">
        <v>5316</v>
      </c>
      <c r="I1503">
        <v>2</v>
      </c>
      <c r="J1503" t="s">
        <v>7174</v>
      </c>
      <c r="K1503">
        <v>11206</v>
      </c>
      <c r="N1503" t="s">
        <v>7237</v>
      </c>
      <c r="O1503" t="s">
        <v>8252</v>
      </c>
      <c r="P1503">
        <v>2</v>
      </c>
      <c r="Q1503">
        <v>1</v>
      </c>
      <c r="R1503">
        <v>75.06999999999999</v>
      </c>
      <c r="U1503">
        <v>15600</v>
      </c>
      <c r="W1503">
        <v>105.1</v>
      </c>
      <c r="X1503" t="s">
        <v>266</v>
      </c>
      <c r="Y1503" t="s">
        <v>212</v>
      </c>
      <c r="AA1503" t="s">
        <v>10974</v>
      </c>
      <c r="AB1503" t="s">
        <v>569</v>
      </c>
      <c r="AD1503" t="s">
        <v>11101</v>
      </c>
      <c r="AF1503" t="s">
        <v>11118</v>
      </c>
      <c r="AG1503" t="s">
        <v>11124</v>
      </c>
      <c r="AI1503" t="s">
        <v>11126</v>
      </c>
      <c r="AK1503" t="s">
        <v>7225</v>
      </c>
      <c r="AL1503" t="s">
        <v>11150</v>
      </c>
      <c r="AM1503">
        <v>0</v>
      </c>
      <c r="AN1503" t="s">
        <v>11151</v>
      </c>
      <c r="AO1503" t="s">
        <v>11153</v>
      </c>
      <c r="AP1503" t="s">
        <v>11155</v>
      </c>
      <c r="AR1503" t="s">
        <v>11172</v>
      </c>
      <c r="AT1503" t="s">
        <v>11184</v>
      </c>
      <c r="AU1503">
        <v>0</v>
      </c>
      <c r="AW1503" t="s">
        <v>11189</v>
      </c>
      <c r="AZ1503" t="s">
        <v>11221</v>
      </c>
      <c r="BE1503" t="s">
        <v>12546</v>
      </c>
      <c r="BF1503" t="s">
        <v>14364</v>
      </c>
      <c r="BM1503" t="s">
        <v>15650</v>
      </c>
    </row>
    <row r="1504" spans="1:65">
      <c r="A1504" s="1">
        <f>HYPERLINK("https://lsnyc.legalserver.org/matter/dynamic-profile/view/1892741","19-1892741")</f>
        <v>0</v>
      </c>
      <c r="B1504" t="s">
        <v>123</v>
      </c>
      <c r="C1504" t="s">
        <v>248</v>
      </c>
      <c r="D1504" t="s">
        <v>729</v>
      </c>
      <c r="F1504" t="s">
        <v>1586</v>
      </c>
      <c r="G1504" t="s">
        <v>3600</v>
      </c>
      <c r="H1504" t="s">
        <v>5312</v>
      </c>
      <c r="I1504" t="s">
        <v>6413</v>
      </c>
      <c r="J1504" t="s">
        <v>7174</v>
      </c>
      <c r="K1504">
        <v>11225</v>
      </c>
      <c r="M1504" t="s">
        <v>7227</v>
      </c>
      <c r="N1504" t="s">
        <v>7237</v>
      </c>
      <c r="O1504" t="s">
        <v>8260</v>
      </c>
      <c r="P1504">
        <v>2</v>
      </c>
      <c r="Q1504">
        <v>0</v>
      </c>
      <c r="R1504">
        <v>72.45</v>
      </c>
      <c r="U1504">
        <v>12252</v>
      </c>
      <c r="W1504">
        <v>1.9</v>
      </c>
      <c r="X1504" t="s">
        <v>437</v>
      </c>
      <c r="Y1504" t="s">
        <v>81</v>
      </c>
      <c r="AA1504" t="s">
        <v>10974</v>
      </c>
      <c r="AB1504" t="s">
        <v>651</v>
      </c>
      <c r="AD1504" t="s">
        <v>11085</v>
      </c>
      <c r="AF1504" t="s">
        <v>11118</v>
      </c>
      <c r="AH1504" t="s">
        <v>10974</v>
      </c>
      <c r="AI1504" t="s">
        <v>11126</v>
      </c>
      <c r="AK1504" t="s">
        <v>7225</v>
      </c>
      <c r="AM1504">
        <v>1726.17</v>
      </c>
      <c r="AN1504" t="s">
        <v>11151</v>
      </c>
      <c r="AO1504" t="s">
        <v>11153</v>
      </c>
      <c r="AP1504" t="s">
        <v>11155</v>
      </c>
      <c r="AR1504" t="s">
        <v>11172</v>
      </c>
      <c r="AU1504">
        <v>14</v>
      </c>
      <c r="AW1504" t="s">
        <v>11187</v>
      </c>
      <c r="BA1504" t="s">
        <v>11222</v>
      </c>
      <c r="BD1504" t="s">
        <v>11667</v>
      </c>
      <c r="BG1504" t="s">
        <v>14755</v>
      </c>
      <c r="BM1504" t="s">
        <v>15650</v>
      </c>
    </row>
    <row r="1505" spans="1:65">
      <c r="A1505" s="1">
        <f>HYPERLINK("https://lsnyc.legalserver.org/matter/dynamic-profile/view/1892743","19-1892743")</f>
        <v>0</v>
      </c>
      <c r="B1505" t="s">
        <v>123</v>
      </c>
      <c r="C1505" t="s">
        <v>248</v>
      </c>
      <c r="D1505" t="s">
        <v>729</v>
      </c>
      <c r="F1505" t="s">
        <v>1586</v>
      </c>
      <c r="G1505" t="s">
        <v>3600</v>
      </c>
      <c r="H1505" t="s">
        <v>5312</v>
      </c>
      <c r="I1505" t="s">
        <v>6413</v>
      </c>
      <c r="J1505" t="s">
        <v>7174</v>
      </c>
      <c r="K1505">
        <v>11225</v>
      </c>
      <c r="N1505" t="s">
        <v>7237</v>
      </c>
      <c r="O1505" t="s">
        <v>8260</v>
      </c>
      <c r="P1505">
        <v>2</v>
      </c>
      <c r="Q1505">
        <v>0</v>
      </c>
      <c r="R1505">
        <v>72.45</v>
      </c>
      <c r="U1505">
        <v>12252</v>
      </c>
      <c r="V1505" t="s">
        <v>10405</v>
      </c>
      <c r="W1505">
        <v>0</v>
      </c>
      <c r="Y1505" t="s">
        <v>81</v>
      </c>
      <c r="AA1505" t="s">
        <v>10974</v>
      </c>
      <c r="AB1505" t="s">
        <v>1006</v>
      </c>
      <c r="AD1505" t="s">
        <v>11098</v>
      </c>
      <c r="AF1505" t="s">
        <v>11122</v>
      </c>
      <c r="AH1505" t="s">
        <v>10974</v>
      </c>
      <c r="AI1505" t="s">
        <v>11126</v>
      </c>
      <c r="AK1505" t="s">
        <v>7225</v>
      </c>
      <c r="AM1505">
        <v>1726.17</v>
      </c>
      <c r="AN1505" t="s">
        <v>11151</v>
      </c>
      <c r="AO1505" t="s">
        <v>11153</v>
      </c>
      <c r="AP1505" t="s">
        <v>11155</v>
      </c>
      <c r="AR1505" t="s">
        <v>11172</v>
      </c>
      <c r="AU1505">
        <v>14</v>
      </c>
      <c r="AW1505" t="s">
        <v>11187</v>
      </c>
      <c r="AZ1505" t="s">
        <v>11221</v>
      </c>
      <c r="BD1505" t="s">
        <v>11667</v>
      </c>
      <c r="BF1505" t="s">
        <v>14364</v>
      </c>
      <c r="BM1505" t="s">
        <v>15650</v>
      </c>
    </row>
    <row r="1506" spans="1:65">
      <c r="A1506" s="1">
        <f>HYPERLINK("https://lsnyc.legalserver.org/matter/dynamic-profile/view/1913367","19-1913367")</f>
        <v>0</v>
      </c>
      <c r="B1506" t="s">
        <v>123</v>
      </c>
      <c r="C1506" t="s">
        <v>248</v>
      </c>
      <c r="D1506" t="s">
        <v>528</v>
      </c>
      <c r="F1506" t="s">
        <v>1756</v>
      </c>
      <c r="G1506" t="s">
        <v>3062</v>
      </c>
      <c r="H1506" t="s">
        <v>5322</v>
      </c>
      <c r="I1506" t="s">
        <v>6637</v>
      </c>
      <c r="J1506" t="s">
        <v>7174</v>
      </c>
      <c r="K1506">
        <v>11237</v>
      </c>
      <c r="N1506" t="s">
        <v>7237</v>
      </c>
      <c r="O1506" t="s">
        <v>8261</v>
      </c>
      <c r="P1506">
        <v>2</v>
      </c>
      <c r="Q1506">
        <v>0</v>
      </c>
      <c r="R1506">
        <v>107.16</v>
      </c>
      <c r="U1506">
        <v>18120</v>
      </c>
      <c r="W1506">
        <v>1.2</v>
      </c>
      <c r="X1506" t="s">
        <v>539</v>
      </c>
      <c r="Y1506" t="s">
        <v>81</v>
      </c>
      <c r="Z1506" t="s">
        <v>10972</v>
      </c>
      <c r="AA1506" t="s">
        <v>10976</v>
      </c>
      <c r="AB1506" t="s">
        <v>273</v>
      </c>
      <c r="AD1506" t="s">
        <v>11101</v>
      </c>
      <c r="AF1506" t="s">
        <v>11120</v>
      </c>
      <c r="AH1506" t="s">
        <v>10974</v>
      </c>
      <c r="AJ1506" t="s">
        <v>11144</v>
      </c>
      <c r="AK1506" t="s">
        <v>7225</v>
      </c>
      <c r="AL1506" t="s">
        <v>11150</v>
      </c>
      <c r="AM1506">
        <v>0</v>
      </c>
      <c r="AN1506" t="s">
        <v>11151</v>
      </c>
      <c r="AO1506" t="s">
        <v>11153</v>
      </c>
      <c r="AQ1506" t="s">
        <v>11161</v>
      </c>
      <c r="AS1506" t="s">
        <v>11174</v>
      </c>
      <c r="AU1506">
        <v>39</v>
      </c>
      <c r="AW1506" t="s">
        <v>11187</v>
      </c>
      <c r="AZ1506" t="s">
        <v>11221</v>
      </c>
      <c r="BA1506" t="s">
        <v>11173</v>
      </c>
      <c r="BE1506" t="s">
        <v>12555</v>
      </c>
      <c r="BF1506" t="s">
        <v>14364</v>
      </c>
      <c r="BM1506" t="s">
        <v>15650</v>
      </c>
    </row>
    <row r="1507" spans="1:65">
      <c r="A1507" s="1">
        <f>HYPERLINK("https://lsnyc.legalserver.org/matter/dynamic-profile/view/1915043","19-1915043")</f>
        <v>0</v>
      </c>
      <c r="B1507" t="s">
        <v>123</v>
      </c>
      <c r="C1507" t="s">
        <v>248</v>
      </c>
      <c r="D1507" t="s">
        <v>264</v>
      </c>
      <c r="F1507" t="s">
        <v>1207</v>
      </c>
      <c r="G1507" t="s">
        <v>3593</v>
      </c>
      <c r="H1507" t="s">
        <v>5309</v>
      </c>
      <c r="I1507" t="s">
        <v>6413</v>
      </c>
      <c r="J1507" t="s">
        <v>7174</v>
      </c>
      <c r="K1507">
        <v>11225</v>
      </c>
      <c r="N1507" t="s">
        <v>7237</v>
      </c>
      <c r="O1507" t="s">
        <v>8246</v>
      </c>
      <c r="P1507">
        <v>2</v>
      </c>
      <c r="Q1507">
        <v>0</v>
      </c>
      <c r="R1507">
        <v>2509.76</v>
      </c>
      <c r="U1507">
        <v>424400</v>
      </c>
      <c r="W1507">
        <v>0</v>
      </c>
      <c r="Y1507" t="s">
        <v>81</v>
      </c>
      <c r="AA1507" t="s">
        <v>10974</v>
      </c>
      <c r="AB1507" t="s">
        <v>626</v>
      </c>
      <c r="AC1507" t="s">
        <v>11081</v>
      </c>
      <c r="AF1507" t="s">
        <v>11118</v>
      </c>
      <c r="AH1507" t="s">
        <v>10974</v>
      </c>
      <c r="AI1507" t="s">
        <v>11126</v>
      </c>
      <c r="AK1507" t="s">
        <v>7225</v>
      </c>
      <c r="AL1507" t="s">
        <v>11150</v>
      </c>
      <c r="AM1507">
        <v>0</v>
      </c>
      <c r="AN1507" t="s">
        <v>11151</v>
      </c>
      <c r="AO1507" t="s">
        <v>11153</v>
      </c>
      <c r="AP1507" t="s">
        <v>11155</v>
      </c>
      <c r="AR1507" t="s">
        <v>11172</v>
      </c>
      <c r="AT1507" t="s">
        <v>11184</v>
      </c>
      <c r="AU1507">
        <v>0</v>
      </c>
      <c r="AW1507" t="s">
        <v>11187</v>
      </c>
      <c r="BA1507" t="s">
        <v>11222</v>
      </c>
      <c r="BE1507" t="s">
        <v>11236</v>
      </c>
      <c r="BF1507" t="s">
        <v>14364</v>
      </c>
      <c r="BM1507" t="s">
        <v>15650</v>
      </c>
    </row>
    <row r="1508" spans="1:65">
      <c r="A1508" s="1">
        <f>HYPERLINK("https://lsnyc.legalserver.org/matter/dynamic-profile/view/1901514","19-1901514")</f>
        <v>0</v>
      </c>
      <c r="B1508" t="s">
        <v>123</v>
      </c>
      <c r="C1508" t="s">
        <v>248</v>
      </c>
      <c r="D1508" t="s">
        <v>701</v>
      </c>
      <c r="F1508" t="s">
        <v>1280</v>
      </c>
      <c r="G1508" t="s">
        <v>3601</v>
      </c>
      <c r="H1508" t="s">
        <v>5311</v>
      </c>
      <c r="I1508" t="s">
        <v>6415</v>
      </c>
      <c r="J1508" t="s">
        <v>7174</v>
      </c>
      <c r="K1508">
        <v>11225</v>
      </c>
      <c r="M1508" t="s">
        <v>7227</v>
      </c>
      <c r="N1508" t="s">
        <v>7237</v>
      </c>
      <c r="O1508" t="s">
        <v>8262</v>
      </c>
      <c r="P1508">
        <v>4</v>
      </c>
      <c r="Q1508">
        <v>0</v>
      </c>
      <c r="R1508">
        <v>36.25</v>
      </c>
      <c r="U1508">
        <v>9335.16</v>
      </c>
      <c r="W1508">
        <v>0.6</v>
      </c>
      <c r="X1508" t="s">
        <v>420</v>
      </c>
      <c r="Y1508" t="s">
        <v>81</v>
      </c>
      <c r="AA1508" t="s">
        <v>10974</v>
      </c>
      <c r="AB1508" t="s">
        <v>701</v>
      </c>
      <c r="AC1508" t="s">
        <v>11081</v>
      </c>
      <c r="AF1508" t="s">
        <v>11120</v>
      </c>
      <c r="AH1508" t="s">
        <v>10974</v>
      </c>
      <c r="AI1508" t="s">
        <v>11126</v>
      </c>
      <c r="AK1508" t="s">
        <v>7225</v>
      </c>
      <c r="AL1508" t="s">
        <v>11150</v>
      </c>
      <c r="AM1508">
        <v>0</v>
      </c>
      <c r="AN1508" t="s">
        <v>11151</v>
      </c>
      <c r="AO1508" t="s">
        <v>11153</v>
      </c>
      <c r="AP1508" t="s">
        <v>11155</v>
      </c>
      <c r="AR1508" t="s">
        <v>11172</v>
      </c>
      <c r="AT1508" t="s">
        <v>11184</v>
      </c>
      <c r="AU1508">
        <v>0</v>
      </c>
      <c r="AW1508" t="s">
        <v>11187</v>
      </c>
      <c r="BA1508" t="s">
        <v>11222</v>
      </c>
      <c r="BE1508" t="s">
        <v>12556</v>
      </c>
      <c r="BF1508" t="s">
        <v>14364</v>
      </c>
      <c r="BM1508" t="s">
        <v>15650</v>
      </c>
    </row>
    <row r="1509" spans="1:65">
      <c r="A1509" s="1">
        <f>HYPERLINK("https://lsnyc.legalserver.org/matter/dynamic-profile/view/1892467","19-1892467")</f>
        <v>0</v>
      </c>
      <c r="B1509" t="s">
        <v>123</v>
      </c>
      <c r="C1509" t="s">
        <v>248</v>
      </c>
      <c r="D1509" t="s">
        <v>483</v>
      </c>
      <c r="F1509" t="s">
        <v>1207</v>
      </c>
      <c r="G1509" t="s">
        <v>3593</v>
      </c>
      <c r="H1509" t="s">
        <v>5309</v>
      </c>
      <c r="I1509" t="s">
        <v>6413</v>
      </c>
      <c r="J1509" t="s">
        <v>7174</v>
      </c>
      <c r="K1509">
        <v>11225</v>
      </c>
      <c r="N1509" t="s">
        <v>7237</v>
      </c>
      <c r="O1509" t="s">
        <v>8246</v>
      </c>
      <c r="P1509">
        <v>2</v>
      </c>
      <c r="Q1509">
        <v>0</v>
      </c>
      <c r="R1509">
        <v>479.01</v>
      </c>
      <c r="U1509">
        <v>81000</v>
      </c>
      <c r="V1509" t="s">
        <v>10405</v>
      </c>
      <c r="W1509">
        <v>1</v>
      </c>
      <c r="X1509" t="s">
        <v>370</v>
      </c>
      <c r="Y1509" t="s">
        <v>81</v>
      </c>
      <c r="AA1509" t="s">
        <v>10974</v>
      </c>
      <c r="AB1509" t="s">
        <v>1006</v>
      </c>
      <c r="AD1509" t="s">
        <v>11098</v>
      </c>
      <c r="AF1509" t="s">
        <v>11122</v>
      </c>
      <c r="AH1509" t="s">
        <v>10974</v>
      </c>
      <c r="AI1509" t="s">
        <v>11126</v>
      </c>
      <c r="AK1509" t="s">
        <v>7225</v>
      </c>
      <c r="AL1509" t="s">
        <v>11150</v>
      </c>
      <c r="AM1509">
        <v>0</v>
      </c>
      <c r="AN1509" t="s">
        <v>11151</v>
      </c>
      <c r="AO1509" t="s">
        <v>11153</v>
      </c>
      <c r="AP1509" t="s">
        <v>11155</v>
      </c>
      <c r="AR1509" t="s">
        <v>11172</v>
      </c>
      <c r="AT1509" t="s">
        <v>11184</v>
      </c>
      <c r="AU1509">
        <v>0</v>
      </c>
      <c r="AW1509" t="s">
        <v>11187</v>
      </c>
      <c r="AZ1509" t="s">
        <v>11221</v>
      </c>
      <c r="BE1509" t="s">
        <v>11236</v>
      </c>
      <c r="BF1509" t="s">
        <v>14364</v>
      </c>
      <c r="BM1509" t="s">
        <v>15650</v>
      </c>
    </row>
    <row r="1510" spans="1:65">
      <c r="A1510" s="1">
        <f>HYPERLINK("https://lsnyc.legalserver.org/matter/dynamic-profile/view/1915701","19-1915701")</f>
        <v>0</v>
      </c>
      <c r="B1510" t="s">
        <v>123</v>
      </c>
      <c r="C1510" t="s">
        <v>248</v>
      </c>
      <c r="D1510" t="s">
        <v>528</v>
      </c>
      <c r="F1510" t="s">
        <v>1815</v>
      </c>
      <c r="G1510" t="s">
        <v>2996</v>
      </c>
      <c r="H1510" t="s">
        <v>5323</v>
      </c>
      <c r="I1510" t="s">
        <v>6753</v>
      </c>
      <c r="J1510" t="s">
        <v>7174</v>
      </c>
      <c r="K1510">
        <v>11219</v>
      </c>
      <c r="N1510" t="s">
        <v>7237</v>
      </c>
      <c r="P1510">
        <v>1</v>
      </c>
      <c r="Q1510">
        <v>0</v>
      </c>
      <c r="R1510">
        <v>642.11</v>
      </c>
      <c r="U1510">
        <v>80200</v>
      </c>
      <c r="W1510">
        <v>0</v>
      </c>
      <c r="Y1510" t="s">
        <v>81</v>
      </c>
      <c r="Z1510" t="s">
        <v>10972</v>
      </c>
      <c r="AA1510" t="s">
        <v>10976</v>
      </c>
      <c r="AD1510" t="s">
        <v>11101</v>
      </c>
      <c r="AF1510" t="s">
        <v>11121</v>
      </c>
      <c r="AH1510" t="s">
        <v>10974</v>
      </c>
      <c r="AI1510" t="s">
        <v>11126</v>
      </c>
      <c r="AK1510" t="s">
        <v>7225</v>
      </c>
      <c r="AM1510">
        <v>719.9299999999999</v>
      </c>
      <c r="AN1510" t="s">
        <v>11151</v>
      </c>
      <c r="AO1510" t="s">
        <v>11153</v>
      </c>
      <c r="AQ1510" t="s">
        <v>11157</v>
      </c>
      <c r="AR1510" t="s">
        <v>11172</v>
      </c>
      <c r="AU1510">
        <v>35</v>
      </c>
      <c r="AW1510" t="s">
        <v>11187</v>
      </c>
      <c r="AX1510" t="s">
        <v>11212</v>
      </c>
      <c r="AZ1510" t="s">
        <v>11221</v>
      </c>
      <c r="BD1510" t="s">
        <v>11667</v>
      </c>
      <c r="BF1510" t="s">
        <v>14364</v>
      </c>
      <c r="BM1510" t="s">
        <v>15650</v>
      </c>
    </row>
    <row r="1511" spans="1:65">
      <c r="A1511" s="1">
        <f>HYPERLINK("https://lsnyc.legalserver.org/matter/dynamic-profile/view/1892363","19-1892363")</f>
        <v>0</v>
      </c>
      <c r="B1511" t="s">
        <v>123</v>
      </c>
      <c r="C1511" t="s">
        <v>248</v>
      </c>
      <c r="D1511" t="s">
        <v>483</v>
      </c>
      <c r="F1511" t="s">
        <v>1813</v>
      </c>
      <c r="G1511" t="s">
        <v>3599</v>
      </c>
      <c r="H1511" t="s">
        <v>5309</v>
      </c>
      <c r="I1511" t="s">
        <v>6419</v>
      </c>
      <c r="J1511" t="s">
        <v>7174</v>
      </c>
      <c r="K1511">
        <v>11225</v>
      </c>
      <c r="N1511" t="s">
        <v>7237</v>
      </c>
      <c r="O1511" t="s">
        <v>8258</v>
      </c>
      <c r="P1511">
        <v>2</v>
      </c>
      <c r="Q1511">
        <v>0</v>
      </c>
      <c r="R1511">
        <v>656.42</v>
      </c>
      <c r="U1511">
        <v>111000</v>
      </c>
      <c r="W1511">
        <v>2.5</v>
      </c>
      <c r="X1511" t="s">
        <v>431</v>
      </c>
      <c r="Y1511" t="s">
        <v>81</v>
      </c>
      <c r="AA1511" t="s">
        <v>10974</v>
      </c>
      <c r="AB1511" t="s">
        <v>651</v>
      </c>
      <c r="AC1511" t="s">
        <v>11081</v>
      </c>
      <c r="AF1511" t="s">
        <v>11122</v>
      </c>
      <c r="AH1511" t="s">
        <v>10974</v>
      </c>
      <c r="AI1511" t="s">
        <v>11126</v>
      </c>
      <c r="AK1511" t="s">
        <v>7225</v>
      </c>
      <c r="AL1511" t="s">
        <v>11150</v>
      </c>
      <c r="AM1511">
        <v>0</v>
      </c>
      <c r="AN1511" t="s">
        <v>11151</v>
      </c>
      <c r="AO1511" t="s">
        <v>11153</v>
      </c>
      <c r="AP1511" t="s">
        <v>11155</v>
      </c>
      <c r="AR1511" t="s">
        <v>11172</v>
      </c>
      <c r="AT1511" t="s">
        <v>11184</v>
      </c>
      <c r="AU1511">
        <v>0</v>
      </c>
      <c r="AW1511" t="s">
        <v>11187</v>
      </c>
      <c r="AZ1511" t="s">
        <v>11221</v>
      </c>
      <c r="BE1511" t="s">
        <v>12553</v>
      </c>
      <c r="BF1511" t="s">
        <v>14364</v>
      </c>
      <c r="BM1511" t="s">
        <v>15650</v>
      </c>
    </row>
    <row r="1512" spans="1:65">
      <c r="A1512" s="1">
        <f>HYPERLINK("https://lsnyc.legalserver.org/matter/dynamic-profile/view/1910849","19-1910849")</f>
        <v>0</v>
      </c>
      <c r="B1512" t="s">
        <v>123</v>
      </c>
      <c r="C1512" t="s">
        <v>248</v>
      </c>
      <c r="D1512" t="s">
        <v>728</v>
      </c>
      <c r="F1512" t="s">
        <v>1280</v>
      </c>
      <c r="G1512" t="s">
        <v>3601</v>
      </c>
      <c r="H1512" t="s">
        <v>5311</v>
      </c>
      <c r="I1512" t="s">
        <v>6415</v>
      </c>
      <c r="J1512" t="s">
        <v>7174</v>
      </c>
      <c r="K1512">
        <v>11225</v>
      </c>
      <c r="N1512" t="s">
        <v>7237</v>
      </c>
      <c r="O1512" t="s">
        <v>8262</v>
      </c>
      <c r="P1512">
        <v>4</v>
      </c>
      <c r="Q1512">
        <v>0</v>
      </c>
      <c r="R1512">
        <v>36.25</v>
      </c>
      <c r="U1512">
        <v>9335.16</v>
      </c>
      <c r="W1512">
        <v>0</v>
      </c>
      <c r="Y1512" t="s">
        <v>81</v>
      </c>
      <c r="AA1512" t="s">
        <v>10974</v>
      </c>
      <c r="AB1512" t="s">
        <v>335</v>
      </c>
      <c r="AC1512" t="s">
        <v>11081</v>
      </c>
      <c r="AF1512" t="s">
        <v>11122</v>
      </c>
      <c r="AH1512" t="s">
        <v>10974</v>
      </c>
      <c r="AI1512" t="s">
        <v>11126</v>
      </c>
      <c r="AK1512" t="s">
        <v>7225</v>
      </c>
      <c r="AL1512" t="s">
        <v>11150</v>
      </c>
      <c r="AM1512">
        <v>0</v>
      </c>
      <c r="AO1512">
        <v>11</v>
      </c>
      <c r="AP1512" t="s">
        <v>11155</v>
      </c>
      <c r="AR1512" t="s">
        <v>11172</v>
      </c>
      <c r="AT1512" t="s">
        <v>11184</v>
      </c>
      <c r="AU1512">
        <v>0</v>
      </c>
      <c r="AW1512" t="s">
        <v>11187</v>
      </c>
      <c r="BA1512" t="s">
        <v>11222</v>
      </c>
      <c r="BE1512" t="s">
        <v>12556</v>
      </c>
      <c r="BF1512" t="s">
        <v>14364</v>
      </c>
      <c r="BM1512" t="s">
        <v>15650</v>
      </c>
    </row>
    <row r="1513" spans="1:65">
      <c r="A1513" s="1">
        <f>HYPERLINK("https://lsnyc.legalserver.org/matter/dynamic-profile/view/1906710","19-1906710")</f>
        <v>0</v>
      </c>
      <c r="B1513" t="s">
        <v>123</v>
      </c>
      <c r="C1513" t="s">
        <v>248</v>
      </c>
      <c r="D1513" t="s">
        <v>733</v>
      </c>
      <c r="F1513" t="s">
        <v>1738</v>
      </c>
      <c r="G1513" t="s">
        <v>3602</v>
      </c>
      <c r="H1513" t="s">
        <v>5311</v>
      </c>
      <c r="I1513" t="s">
        <v>6424</v>
      </c>
      <c r="J1513" t="s">
        <v>7174</v>
      </c>
      <c r="K1513">
        <v>11225</v>
      </c>
      <c r="M1513" t="s">
        <v>7227</v>
      </c>
      <c r="N1513" t="s">
        <v>7237</v>
      </c>
      <c r="O1513" t="s">
        <v>8263</v>
      </c>
      <c r="P1513">
        <v>2</v>
      </c>
      <c r="Q1513">
        <v>1</v>
      </c>
      <c r="R1513">
        <v>211.25</v>
      </c>
      <c r="U1513">
        <v>45060</v>
      </c>
      <c r="W1513">
        <v>1.6</v>
      </c>
      <c r="X1513" t="s">
        <v>335</v>
      </c>
      <c r="Y1513" t="s">
        <v>81</v>
      </c>
      <c r="AA1513" t="s">
        <v>10974</v>
      </c>
      <c r="AB1513" t="s">
        <v>349</v>
      </c>
      <c r="AD1513" t="s">
        <v>11098</v>
      </c>
      <c r="AF1513" t="s">
        <v>11119</v>
      </c>
      <c r="AH1513" t="s">
        <v>10975</v>
      </c>
      <c r="AI1513" t="s">
        <v>11126</v>
      </c>
      <c r="AK1513" t="s">
        <v>7225</v>
      </c>
      <c r="AM1513">
        <v>1976.11</v>
      </c>
      <c r="AO1513">
        <v>11</v>
      </c>
      <c r="AP1513" t="s">
        <v>11155</v>
      </c>
      <c r="AR1513" t="s">
        <v>11172</v>
      </c>
      <c r="AU1513">
        <v>6</v>
      </c>
      <c r="AW1513" t="s">
        <v>11187</v>
      </c>
      <c r="BA1513" t="s">
        <v>11222</v>
      </c>
      <c r="BE1513" t="s">
        <v>12557</v>
      </c>
      <c r="BF1513" t="s">
        <v>14364</v>
      </c>
      <c r="BM1513" t="s">
        <v>15650</v>
      </c>
    </row>
    <row r="1514" spans="1:65">
      <c r="A1514" s="1">
        <f>HYPERLINK("https://lsnyc.legalserver.org/matter/dynamic-profile/view/1892318","19-1892318")</f>
        <v>0</v>
      </c>
      <c r="B1514" t="s">
        <v>123</v>
      </c>
      <c r="C1514" t="s">
        <v>248</v>
      </c>
      <c r="D1514" t="s">
        <v>503</v>
      </c>
      <c r="F1514" t="s">
        <v>1813</v>
      </c>
      <c r="G1514" t="s">
        <v>3599</v>
      </c>
      <c r="H1514" t="s">
        <v>5309</v>
      </c>
      <c r="I1514" t="s">
        <v>6419</v>
      </c>
      <c r="J1514" t="s">
        <v>7174</v>
      </c>
      <c r="K1514">
        <v>11225</v>
      </c>
      <c r="N1514" t="s">
        <v>7237</v>
      </c>
      <c r="O1514" t="s">
        <v>8258</v>
      </c>
      <c r="P1514">
        <v>2</v>
      </c>
      <c r="Q1514">
        <v>0</v>
      </c>
      <c r="R1514">
        <v>656.42</v>
      </c>
      <c r="U1514">
        <v>111000</v>
      </c>
      <c r="W1514">
        <v>0.5</v>
      </c>
      <c r="X1514" t="s">
        <v>863</v>
      </c>
      <c r="Y1514" t="s">
        <v>81</v>
      </c>
      <c r="AA1514" t="s">
        <v>10974</v>
      </c>
      <c r="AB1514" t="s">
        <v>503</v>
      </c>
      <c r="AD1514" t="s">
        <v>11085</v>
      </c>
      <c r="AF1514" t="s">
        <v>11118</v>
      </c>
      <c r="AH1514" t="s">
        <v>10974</v>
      </c>
      <c r="AI1514" t="s">
        <v>11126</v>
      </c>
      <c r="AK1514" t="s">
        <v>7225</v>
      </c>
      <c r="AL1514" t="s">
        <v>11150</v>
      </c>
      <c r="AM1514">
        <v>0</v>
      </c>
      <c r="AN1514" t="s">
        <v>11151</v>
      </c>
      <c r="AO1514" t="s">
        <v>11153</v>
      </c>
      <c r="AP1514" t="s">
        <v>11155</v>
      </c>
      <c r="AR1514" t="s">
        <v>11172</v>
      </c>
      <c r="AT1514" t="s">
        <v>11184</v>
      </c>
      <c r="AU1514">
        <v>0</v>
      </c>
      <c r="AW1514" t="s">
        <v>11187</v>
      </c>
      <c r="AZ1514" t="s">
        <v>11221</v>
      </c>
      <c r="BE1514" t="s">
        <v>12553</v>
      </c>
      <c r="BG1514" t="s">
        <v>14755</v>
      </c>
      <c r="BM1514" t="s">
        <v>15650</v>
      </c>
    </row>
    <row r="1515" spans="1:65">
      <c r="A1515" s="1">
        <f>HYPERLINK("https://lsnyc.legalserver.org/matter/dynamic-profile/view/1882266","18-1882266")</f>
        <v>0</v>
      </c>
      <c r="B1515" t="s">
        <v>123</v>
      </c>
      <c r="C1515" t="s">
        <v>248</v>
      </c>
      <c r="D1515" t="s">
        <v>727</v>
      </c>
      <c r="F1515" t="s">
        <v>1816</v>
      </c>
      <c r="G1515" t="s">
        <v>3603</v>
      </c>
      <c r="H1515" t="s">
        <v>5310</v>
      </c>
      <c r="I1515" t="s">
        <v>6433</v>
      </c>
      <c r="J1515" t="s">
        <v>7174</v>
      </c>
      <c r="K1515">
        <v>11220</v>
      </c>
      <c r="N1515" t="s">
        <v>7237</v>
      </c>
      <c r="O1515" t="s">
        <v>7898</v>
      </c>
      <c r="P1515">
        <v>2</v>
      </c>
      <c r="Q1515">
        <v>1</v>
      </c>
      <c r="R1515">
        <v>298.36</v>
      </c>
      <c r="U1515">
        <v>62000</v>
      </c>
      <c r="W1515">
        <v>1.2</v>
      </c>
      <c r="X1515" t="s">
        <v>337</v>
      </c>
      <c r="Y1515" t="s">
        <v>174</v>
      </c>
      <c r="AA1515" t="s">
        <v>10974</v>
      </c>
      <c r="AB1515" t="s">
        <v>727</v>
      </c>
      <c r="AD1515" t="s">
        <v>11098</v>
      </c>
      <c r="AF1515" t="s">
        <v>11122</v>
      </c>
      <c r="AH1515" t="s">
        <v>10974</v>
      </c>
      <c r="AI1515" t="s">
        <v>11126</v>
      </c>
      <c r="AK1515" t="s">
        <v>7225</v>
      </c>
      <c r="AL1515" t="s">
        <v>11150</v>
      </c>
      <c r="AM1515">
        <v>0</v>
      </c>
      <c r="AO1515">
        <v>28</v>
      </c>
      <c r="AQ1515" t="s">
        <v>11157</v>
      </c>
      <c r="AR1515" t="s">
        <v>11172</v>
      </c>
      <c r="AT1515" t="s">
        <v>11184</v>
      </c>
      <c r="AU1515">
        <v>0</v>
      </c>
      <c r="AW1515" t="s">
        <v>11189</v>
      </c>
      <c r="AZ1515" t="s">
        <v>11221</v>
      </c>
      <c r="BE1515" t="s">
        <v>12558</v>
      </c>
      <c r="BF1515" t="s">
        <v>14364</v>
      </c>
      <c r="BM1515" t="s">
        <v>15650</v>
      </c>
    </row>
    <row r="1516" spans="1:65">
      <c r="A1516" s="1">
        <f>HYPERLINK("https://lsnyc.legalserver.org/matter/dynamic-profile/view/1890592","19-1890592")</f>
        <v>0</v>
      </c>
      <c r="B1516" t="s">
        <v>123</v>
      </c>
      <c r="C1516" t="s">
        <v>248</v>
      </c>
      <c r="D1516" t="s">
        <v>442</v>
      </c>
      <c r="F1516" t="s">
        <v>1804</v>
      </c>
      <c r="G1516" t="s">
        <v>3594</v>
      </c>
      <c r="H1516" t="s">
        <v>5311</v>
      </c>
      <c r="I1516" t="s">
        <v>6437</v>
      </c>
      <c r="J1516" t="s">
        <v>7174</v>
      </c>
      <c r="K1516">
        <v>11225</v>
      </c>
      <c r="M1516" t="s">
        <v>7227</v>
      </c>
      <c r="N1516" t="s">
        <v>7237</v>
      </c>
      <c r="O1516" t="s">
        <v>8247</v>
      </c>
      <c r="P1516">
        <v>2</v>
      </c>
      <c r="Q1516">
        <v>0</v>
      </c>
      <c r="R1516">
        <v>225.59</v>
      </c>
      <c r="S1516" t="s">
        <v>10264</v>
      </c>
      <c r="T1516" t="s">
        <v>10276</v>
      </c>
      <c r="U1516">
        <v>38148</v>
      </c>
      <c r="W1516">
        <v>0.1</v>
      </c>
      <c r="X1516" t="s">
        <v>437</v>
      </c>
      <c r="Y1516" t="s">
        <v>81</v>
      </c>
      <c r="AA1516" t="s">
        <v>10974</v>
      </c>
      <c r="AB1516" t="s">
        <v>478</v>
      </c>
      <c r="AD1516" t="s">
        <v>11098</v>
      </c>
      <c r="AF1516" t="s">
        <v>11122</v>
      </c>
      <c r="AH1516" t="s">
        <v>10974</v>
      </c>
      <c r="AI1516" t="s">
        <v>11126</v>
      </c>
      <c r="AK1516" t="s">
        <v>7225</v>
      </c>
      <c r="AM1516">
        <v>838.9400000000001</v>
      </c>
      <c r="AN1516" t="s">
        <v>11151</v>
      </c>
      <c r="AO1516" t="s">
        <v>11153</v>
      </c>
      <c r="AP1516" t="s">
        <v>11155</v>
      </c>
      <c r="AR1516" t="s">
        <v>11172</v>
      </c>
      <c r="AU1516">
        <v>39</v>
      </c>
      <c r="AW1516" t="s">
        <v>11187</v>
      </c>
      <c r="AZ1516" t="s">
        <v>11221</v>
      </c>
      <c r="BD1516" t="s">
        <v>11667</v>
      </c>
      <c r="BF1516" t="s">
        <v>14364</v>
      </c>
      <c r="BM1516" t="s">
        <v>15650</v>
      </c>
    </row>
    <row r="1517" spans="1:65">
      <c r="A1517" s="1">
        <f>HYPERLINK("https://lsnyc.legalserver.org/matter/dynamic-profile/view/1890447","19-1890447")</f>
        <v>0</v>
      </c>
      <c r="B1517" t="s">
        <v>123</v>
      </c>
      <c r="C1517" t="s">
        <v>248</v>
      </c>
      <c r="D1517" t="s">
        <v>442</v>
      </c>
      <c r="F1517" t="s">
        <v>1804</v>
      </c>
      <c r="G1517" t="s">
        <v>3594</v>
      </c>
      <c r="H1517" t="s">
        <v>5311</v>
      </c>
      <c r="I1517" t="s">
        <v>6437</v>
      </c>
      <c r="J1517" t="s">
        <v>7174</v>
      </c>
      <c r="K1517">
        <v>11225</v>
      </c>
      <c r="M1517" t="s">
        <v>7227</v>
      </c>
      <c r="N1517" t="s">
        <v>7237</v>
      </c>
      <c r="O1517" t="s">
        <v>7772</v>
      </c>
      <c r="P1517">
        <v>2</v>
      </c>
      <c r="Q1517">
        <v>0</v>
      </c>
      <c r="R1517">
        <v>225.59</v>
      </c>
      <c r="S1517" t="s">
        <v>10264</v>
      </c>
      <c r="T1517" t="s">
        <v>10276</v>
      </c>
      <c r="U1517">
        <v>38148</v>
      </c>
      <c r="W1517">
        <v>0.1</v>
      </c>
      <c r="X1517" t="s">
        <v>437</v>
      </c>
      <c r="Y1517" t="s">
        <v>81</v>
      </c>
      <c r="AA1517" t="s">
        <v>10974</v>
      </c>
      <c r="AB1517" t="s">
        <v>478</v>
      </c>
      <c r="AD1517" t="s">
        <v>11085</v>
      </c>
      <c r="AF1517" t="s">
        <v>11118</v>
      </c>
      <c r="AH1517" t="s">
        <v>10974</v>
      </c>
      <c r="AI1517" t="s">
        <v>11126</v>
      </c>
      <c r="AK1517" t="s">
        <v>7225</v>
      </c>
      <c r="AM1517">
        <v>838.9400000000001</v>
      </c>
      <c r="AN1517" t="s">
        <v>11151</v>
      </c>
      <c r="AO1517" t="s">
        <v>11153</v>
      </c>
      <c r="AQ1517" t="s">
        <v>11157</v>
      </c>
      <c r="AR1517" t="s">
        <v>11172</v>
      </c>
      <c r="AU1517">
        <v>39</v>
      </c>
      <c r="AW1517" t="s">
        <v>11187</v>
      </c>
      <c r="AZ1517" t="s">
        <v>11221</v>
      </c>
      <c r="BD1517" t="s">
        <v>11667</v>
      </c>
      <c r="BG1517" t="s">
        <v>14759</v>
      </c>
      <c r="BM1517" t="s">
        <v>15650</v>
      </c>
    </row>
    <row r="1518" spans="1:65">
      <c r="A1518" s="1">
        <f>HYPERLINK("https://lsnyc.legalserver.org/matter/dynamic-profile/view/1894553","19-1894553")</f>
        <v>0</v>
      </c>
      <c r="B1518" t="s">
        <v>123</v>
      </c>
      <c r="C1518" t="s">
        <v>248</v>
      </c>
      <c r="D1518" t="s">
        <v>728</v>
      </c>
      <c r="F1518" t="s">
        <v>1407</v>
      </c>
      <c r="G1518" t="s">
        <v>1643</v>
      </c>
      <c r="H1518" t="s">
        <v>5311</v>
      </c>
      <c r="I1518" t="s">
        <v>6433</v>
      </c>
      <c r="J1518" t="s">
        <v>7174</v>
      </c>
      <c r="K1518">
        <v>11225</v>
      </c>
      <c r="N1518" t="s">
        <v>7237</v>
      </c>
      <c r="O1518" t="s">
        <v>8238</v>
      </c>
      <c r="P1518">
        <v>1</v>
      </c>
      <c r="Q1518">
        <v>0</v>
      </c>
      <c r="R1518">
        <v>96.08</v>
      </c>
      <c r="U1518">
        <v>12000</v>
      </c>
      <c r="W1518">
        <v>0.3</v>
      </c>
      <c r="X1518" t="s">
        <v>265</v>
      </c>
      <c r="Y1518" t="s">
        <v>81</v>
      </c>
      <c r="AA1518" t="s">
        <v>10974</v>
      </c>
      <c r="AB1518" t="s">
        <v>335</v>
      </c>
      <c r="AC1518" t="s">
        <v>11081</v>
      </c>
      <c r="AF1518" t="s">
        <v>11122</v>
      </c>
      <c r="AH1518" t="s">
        <v>10974</v>
      </c>
      <c r="AI1518" t="s">
        <v>11126</v>
      </c>
      <c r="AK1518" t="s">
        <v>7225</v>
      </c>
      <c r="AL1518" t="s">
        <v>11150</v>
      </c>
      <c r="AM1518">
        <v>0</v>
      </c>
      <c r="AO1518">
        <v>11</v>
      </c>
      <c r="AP1518" t="s">
        <v>11155</v>
      </c>
      <c r="AR1518" t="s">
        <v>11172</v>
      </c>
      <c r="AT1518" t="s">
        <v>11184</v>
      </c>
      <c r="AU1518">
        <v>0</v>
      </c>
      <c r="AW1518" t="s">
        <v>11187</v>
      </c>
      <c r="BA1518" t="s">
        <v>11222</v>
      </c>
      <c r="BE1518" t="s">
        <v>12537</v>
      </c>
      <c r="BF1518" t="s">
        <v>14364</v>
      </c>
      <c r="BM1518" t="s">
        <v>15650</v>
      </c>
    </row>
    <row r="1519" spans="1:65">
      <c r="A1519" s="1">
        <f>HYPERLINK("https://lsnyc.legalserver.org/matter/dynamic-profile/view/1910421","19-1910421")</f>
        <v>0</v>
      </c>
      <c r="B1519" t="s">
        <v>123</v>
      </c>
      <c r="C1519" t="s">
        <v>248</v>
      </c>
      <c r="D1519" t="s">
        <v>263</v>
      </c>
      <c r="F1519" t="s">
        <v>1813</v>
      </c>
      <c r="G1519" t="s">
        <v>3599</v>
      </c>
      <c r="H1519" t="s">
        <v>5309</v>
      </c>
      <c r="I1519" t="s">
        <v>6419</v>
      </c>
      <c r="J1519" t="s">
        <v>7174</v>
      </c>
      <c r="K1519">
        <v>11225</v>
      </c>
      <c r="N1519" t="s">
        <v>7237</v>
      </c>
      <c r="O1519" t="s">
        <v>8258</v>
      </c>
      <c r="P1519">
        <v>2</v>
      </c>
      <c r="Q1519">
        <v>0</v>
      </c>
      <c r="R1519">
        <v>656.42</v>
      </c>
      <c r="U1519">
        <v>111000</v>
      </c>
      <c r="W1519">
        <v>0</v>
      </c>
      <c r="Y1519" t="s">
        <v>81</v>
      </c>
      <c r="AA1519" t="s">
        <v>10974</v>
      </c>
      <c r="AB1519" t="s">
        <v>335</v>
      </c>
      <c r="AC1519" t="s">
        <v>11081</v>
      </c>
      <c r="AF1519" t="s">
        <v>11122</v>
      </c>
      <c r="AH1519" t="s">
        <v>10974</v>
      </c>
      <c r="AI1519" t="s">
        <v>11126</v>
      </c>
      <c r="AK1519" t="s">
        <v>7225</v>
      </c>
      <c r="AL1519" t="s">
        <v>11150</v>
      </c>
      <c r="AM1519">
        <v>0</v>
      </c>
      <c r="AO1519">
        <v>14</v>
      </c>
      <c r="AP1519" t="s">
        <v>11155</v>
      </c>
      <c r="AR1519" t="s">
        <v>11172</v>
      </c>
      <c r="AT1519" t="s">
        <v>11184</v>
      </c>
      <c r="AU1519">
        <v>0</v>
      </c>
      <c r="AW1519" t="s">
        <v>11187</v>
      </c>
      <c r="BA1519" t="s">
        <v>11222</v>
      </c>
      <c r="BE1519" t="s">
        <v>12553</v>
      </c>
      <c r="BF1519" t="s">
        <v>14364</v>
      </c>
      <c r="BM1519" t="s">
        <v>15650</v>
      </c>
    </row>
    <row r="1520" spans="1:65">
      <c r="A1520" s="1">
        <f>HYPERLINK("https://lsnyc.legalserver.org/matter/dynamic-profile/view/1882518","18-1882518")</f>
        <v>0</v>
      </c>
      <c r="B1520" t="s">
        <v>123</v>
      </c>
      <c r="C1520" t="s">
        <v>248</v>
      </c>
      <c r="D1520" t="s">
        <v>466</v>
      </c>
      <c r="F1520" t="s">
        <v>1817</v>
      </c>
      <c r="G1520" t="s">
        <v>3604</v>
      </c>
      <c r="H1520" t="s">
        <v>5324</v>
      </c>
      <c r="I1520" t="s">
        <v>6419</v>
      </c>
      <c r="J1520" t="s">
        <v>7174</v>
      </c>
      <c r="K1520">
        <v>11213</v>
      </c>
      <c r="N1520" t="s">
        <v>7237</v>
      </c>
      <c r="O1520" t="s">
        <v>8264</v>
      </c>
      <c r="P1520">
        <v>1</v>
      </c>
      <c r="Q1520">
        <v>0</v>
      </c>
      <c r="R1520">
        <v>82.04000000000001</v>
      </c>
      <c r="U1520">
        <v>9960</v>
      </c>
      <c r="W1520">
        <v>7.3</v>
      </c>
      <c r="X1520" t="s">
        <v>505</v>
      </c>
      <c r="Y1520" t="s">
        <v>10912</v>
      </c>
      <c r="AA1520" t="s">
        <v>10974</v>
      </c>
      <c r="AB1520" t="s">
        <v>605</v>
      </c>
      <c r="AC1520" t="s">
        <v>11081</v>
      </c>
      <c r="AF1520" t="s">
        <v>11120</v>
      </c>
      <c r="AG1520" t="s">
        <v>11124</v>
      </c>
      <c r="AI1520" t="s">
        <v>11126</v>
      </c>
      <c r="AK1520" t="s">
        <v>7225</v>
      </c>
      <c r="AL1520" t="s">
        <v>11150</v>
      </c>
      <c r="AM1520">
        <v>0</v>
      </c>
      <c r="AN1520" t="s">
        <v>11151</v>
      </c>
      <c r="AO1520" t="s">
        <v>11153</v>
      </c>
      <c r="AQ1520" t="s">
        <v>11157</v>
      </c>
      <c r="AR1520" t="s">
        <v>11172</v>
      </c>
      <c r="AU1520">
        <v>51</v>
      </c>
      <c r="AW1520" t="s">
        <v>11187</v>
      </c>
      <c r="BA1520" t="s">
        <v>11222</v>
      </c>
      <c r="BE1520" t="s">
        <v>12559</v>
      </c>
      <c r="BF1520" t="s">
        <v>14364</v>
      </c>
      <c r="BM1520" t="s">
        <v>15650</v>
      </c>
    </row>
    <row r="1521" spans="1:67">
      <c r="A1521" s="1">
        <f>HYPERLINK("https://lsnyc.legalserver.org/matter/dynamic-profile/view/1902382","19-1902382")</f>
        <v>0</v>
      </c>
      <c r="B1521" t="s">
        <v>123</v>
      </c>
      <c r="C1521" t="s">
        <v>248</v>
      </c>
      <c r="D1521" t="s">
        <v>447</v>
      </c>
      <c r="F1521" t="s">
        <v>1251</v>
      </c>
      <c r="G1521" t="s">
        <v>2962</v>
      </c>
      <c r="H1521" t="s">
        <v>5325</v>
      </c>
      <c r="I1521" t="s">
        <v>6438</v>
      </c>
      <c r="J1521" t="s">
        <v>7174</v>
      </c>
      <c r="K1521">
        <v>11215</v>
      </c>
      <c r="M1521" t="s">
        <v>7228</v>
      </c>
      <c r="N1521" t="s">
        <v>7237</v>
      </c>
      <c r="O1521" t="s">
        <v>8265</v>
      </c>
      <c r="P1521">
        <v>1</v>
      </c>
      <c r="Q1521">
        <v>3</v>
      </c>
      <c r="R1521">
        <v>108.74</v>
      </c>
      <c r="U1521">
        <v>28000</v>
      </c>
      <c r="W1521">
        <v>28.7</v>
      </c>
      <c r="X1521" t="s">
        <v>265</v>
      </c>
      <c r="Y1521" t="s">
        <v>10912</v>
      </c>
      <c r="AA1521" t="s">
        <v>10974</v>
      </c>
      <c r="AB1521" t="s">
        <v>10987</v>
      </c>
      <c r="AC1521" t="s">
        <v>11081</v>
      </c>
      <c r="AF1521" t="s">
        <v>11119</v>
      </c>
      <c r="AG1521" t="s">
        <v>11124</v>
      </c>
      <c r="AJ1521" t="s">
        <v>11141</v>
      </c>
      <c r="AK1521" t="s">
        <v>7225</v>
      </c>
      <c r="AM1521">
        <v>1200</v>
      </c>
      <c r="AN1521" t="s">
        <v>11151</v>
      </c>
      <c r="AO1521" t="s">
        <v>11153</v>
      </c>
      <c r="AP1521" t="s">
        <v>11155</v>
      </c>
      <c r="AR1521" t="s">
        <v>11172</v>
      </c>
      <c r="AU1521">
        <v>7</v>
      </c>
      <c r="AW1521" t="s">
        <v>11187</v>
      </c>
      <c r="BA1521" t="s">
        <v>11222</v>
      </c>
      <c r="BE1521" t="s">
        <v>12560</v>
      </c>
      <c r="BF1521" t="s">
        <v>14364</v>
      </c>
      <c r="BM1521" t="s">
        <v>15650</v>
      </c>
    </row>
    <row r="1522" spans="1:67">
      <c r="A1522" s="1">
        <f>HYPERLINK("https://lsnyc.legalserver.org/matter/dynamic-profile/view/1893266","19-1893266")</f>
        <v>0</v>
      </c>
      <c r="B1522" t="s">
        <v>123</v>
      </c>
      <c r="C1522" t="s">
        <v>248</v>
      </c>
      <c r="D1522" t="s">
        <v>696</v>
      </c>
      <c r="F1522" t="s">
        <v>1407</v>
      </c>
      <c r="G1522" t="s">
        <v>1643</v>
      </c>
      <c r="H1522" t="s">
        <v>5311</v>
      </c>
      <c r="I1522" t="s">
        <v>6433</v>
      </c>
      <c r="J1522" t="s">
        <v>7174</v>
      </c>
      <c r="K1522">
        <v>11225</v>
      </c>
      <c r="M1522" t="s">
        <v>7227</v>
      </c>
      <c r="N1522" t="s">
        <v>7237</v>
      </c>
      <c r="O1522" t="s">
        <v>8238</v>
      </c>
      <c r="P1522">
        <v>1</v>
      </c>
      <c r="Q1522">
        <v>0</v>
      </c>
      <c r="R1522">
        <v>96.08</v>
      </c>
      <c r="U1522">
        <v>12000</v>
      </c>
      <c r="W1522">
        <v>0.6</v>
      </c>
      <c r="X1522" t="s">
        <v>437</v>
      </c>
      <c r="Y1522" t="s">
        <v>81</v>
      </c>
      <c r="AA1522" t="s">
        <v>10974</v>
      </c>
      <c r="AB1522" t="s">
        <v>696</v>
      </c>
      <c r="AD1522" t="s">
        <v>11095</v>
      </c>
      <c r="AF1522" t="s">
        <v>11120</v>
      </c>
      <c r="AG1522" t="s">
        <v>11124</v>
      </c>
      <c r="AI1522" t="s">
        <v>11126</v>
      </c>
      <c r="AK1522" t="s">
        <v>7225</v>
      </c>
      <c r="AM1522">
        <v>1480.9</v>
      </c>
      <c r="AN1522" t="s">
        <v>11151</v>
      </c>
      <c r="AO1522" t="s">
        <v>11153</v>
      </c>
      <c r="AP1522" t="s">
        <v>11155</v>
      </c>
      <c r="AS1522" t="s">
        <v>11174</v>
      </c>
      <c r="AU1522">
        <v>11</v>
      </c>
      <c r="AW1522" t="s">
        <v>11187</v>
      </c>
      <c r="AZ1522" t="s">
        <v>11221</v>
      </c>
      <c r="BE1522" t="s">
        <v>12537</v>
      </c>
      <c r="BF1522" t="s">
        <v>14364</v>
      </c>
      <c r="BM1522" t="s">
        <v>15650</v>
      </c>
    </row>
    <row r="1523" spans="1:67">
      <c r="A1523" s="1">
        <f>HYPERLINK("https://lsnyc.legalserver.org/matter/dynamic-profile/view/1903330","19-1903330")</f>
        <v>0</v>
      </c>
      <c r="B1523" t="s">
        <v>123</v>
      </c>
      <c r="C1523" t="s">
        <v>248</v>
      </c>
      <c r="D1523" t="s">
        <v>310</v>
      </c>
      <c r="F1523" t="s">
        <v>1140</v>
      </c>
      <c r="G1523" t="s">
        <v>3605</v>
      </c>
      <c r="H1523" t="s">
        <v>5326</v>
      </c>
      <c r="J1523" t="s">
        <v>7174</v>
      </c>
      <c r="K1523">
        <v>11220</v>
      </c>
      <c r="N1523" t="s">
        <v>7237</v>
      </c>
      <c r="O1523" t="s">
        <v>8266</v>
      </c>
      <c r="P1523">
        <v>1</v>
      </c>
      <c r="Q1523">
        <v>1</v>
      </c>
      <c r="R1523">
        <v>74.87</v>
      </c>
      <c r="U1523">
        <v>12660</v>
      </c>
      <c r="W1523">
        <v>1.2</v>
      </c>
      <c r="X1523" t="s">
        <v>525</v>
      </c>
      <c r="Y1523" t="s">
        <v>81</v>
      </c>
      <c r="AA1523" t="s">
        <v>10974</v>
      </c>
      <c r="AB1523" t="s">
        <v>310</v>
      </c>
      <c r="AC1523" t="s">
        <v>11081</v>
      </c>
      <c r="AF1523" t="s">
        <v>11118</v>
      </c>
      <c r="AH1523" t="s">
        <v>10975</v>
      </c>
      <c r="AI1523" t="s">
        <v>11126</v>
      </c>
      <c r="AK1523" t="s">
        <v>7225</v>
      </c>
      <c r="AL1523" t="s">
        <v>11150</v>
      </c>
      <c r="AM1523">
        <v>0</v>
      </c>
      <c r="AN1523" t="s">
        <v>11151</v>
      </c>
      <c r="AO1523" t="s">
        <v>11153</v>
      </c>
      <c r="AP1523" t="s">
        <v>11155</v>
      </c>
      <c r="AR1523" t="s">
        <v>11172</v>
      </c>
      <c r="AT1523" t="s">
        <v>11184</v>
      </c>
      <c r="AU1523">
        <v>0</v>
      </c>
      <c r="AW1523" t="s">
        <v>11187</v>
      </c>
      <c r="BA1523" t="s">
        <v>11222</v>
      </c>
      <c r="BD1523" t="s">
        <v>11667</v>
      </c>
      <c r="BF1523" t="s">
        <v>14364</v>
      </c>
      <c r="BM1523" t="s">
        <v>15650</v>
      </c>
    </row>
    <row r="1524" spans="1:67">
      <c r="A1524" s="1">
        <f>HYPERLINK("https://lsnyc.legalserver.org/matter/dynamic-profile/view/1906759","19-1906759")</f>
        <v>0</v>
      </c>
      <c r="B1524" t="s">
        <v>123</v>
      </c>
      <c r="C1524" t="s">
        <v>248</v>
      </c>
      <c r="D1524" t="s">
        <v>733</v>
      </c>
      <c r="F1524" t="s">
        <v>1818</v>
      </c>
      <c r="G1524" t="s">
        <v>3606</v>
      </c>
      <c r="H1524" t="s">
        <v>5311</v>
      </c>
      <c r="J1524" t="s">
        <v>7174</v>
      </c>
      <c r="K1524">
        <v>11225</v>
      </c>
      <c r="M1524" t="s">
        <v>7227</v>
      </c>
      <c r="N1524" t="s">
        <v>7237</v>
      </c>
      <c r="O1524" t="s">
        <v>8267</v>
      </c>
      <c r="P1524">
        <v>2</v>
      </c>
      <c r="Q1524">
        <v>1</v>
      </c>
      <c r="R1524">
        <v>211.25</v>
      </c>
      <c r="U1524">
        <v>45060</v>
      </c>
      <c r="W1524">
        <v>0.1</v>
      </c>
      <c r="X1524" t="s">
        <v>437</v>
      </c>
      <c r="Y1524" t="s">
        <v>81</v>
      </c>
      <c r="AA1524" t="s">
        <v>10974</v>
      </c>
      <c r="AB1524" t="s">
        <v>349</v>
      </c>
      <c r="AD1524" t="s">
        <v>11088</v>
      </c>
      <c r="AF1524" t="s">
        <v>11120</v>
      </c>
      <c r="AG1524" t="s">
        <v>11124</v>
      </c>
      <c r="AI1524" t="s">
        <v>11126</v>
      </c>
      <c r="AK1524" t="s">
        <v>7225</v>
      </c>
      <c r="AM1524">
        <v>1976.11</v>
      </c>
      <c r="AO1524">
        <v>11</v>
      </c>
      <c r="AP1524" t="s">
        <v>11155</v>
      </c>
      <c r="AR1524" t="s">
        <v>11172</v>
      </c>
      <c r="AU1524">
        <v>6</v>
      </c>
      <c r="AW1524" t="s">
        <v>11187</v>
      </c>
      <c r="BA1524" t="s">
        <v>11222</v>
      </c>
      <c r="BD1524" t="s">
        <v>11667</v>
      </c>
      <c r="BF1524" t="s">
        <v>14364</v>
      </c>
      <c r="BM1524" t="s">
        <v>15650</v>
      </c>
    </row>
    <row r="1525" spans="1:67">
      <c r="A1525" s="1">
        <f>HYPERLINK("https://lsnyc.legalserver.org/matter/dynamic-profile/view/1912736","19-1912736")</f>
        <v>0</v>
      </c>
      <c r="B1525" t="s">
        <v>123</v>
      </c>
      <c r="C1525" t="s">
        <v>248</v>
      </c>
      <c r="D1525" t="s">
        <v>441</v>
      </c>
      <c r="F1525" t="s">
        <v>1819</v>
      </c>
      <c r="G1525" t="s">
        <v>3066</v>
      </c>
      <c r="H1525" t="s">
        <v>5327</v>
      </c>
      <c r="I1525">
        <v>4</v>
      </c>
      <c r="J1525" t="s">
        <v>7174</v>
      </c>
      <c r="K1525">
        <v>11231</v>
      </c>
      <c r="N1525" t="s">
        <v>7237</v>
      </c>
      <c r="O1525" t="s">
        <v>8268</v>
      </c>
      <c r="P1525">
        <v>1</v>
      </c>
      <c r="Q1525">
        <v>0</v>
      </c>
      <c r="R1525">
        <v>74.08</v>
      </c>
      <c r="U1525">
        <v>9252</v>
      </c>
      <c r="W1525">
        <v>18.4</v>
      </c>
      <c r="X1525" t="s">
        <v>528</v>
      </c>
      <c r="Y1525" t="s">
        <v>81</v>
      </c>
      <c r="AA1525" t="s">
        <v>10974</v>
      </c>
      <c r="AB1525" t="s">
        <v>634</v>
      </c>
      <c r="AD1525" t="s">
        <v>11083</v>
      </c>
      <c r="AF1525" t="s">
        <v>11118</v>
      </c>
      <c r="AH1525" t="s">
        <v>10975</v>
      </c>
      <c r="AJ1525" t="s">
        <v>11104</v>
      </c>
      <c r="AK1525" t="s">
        <v>7225</v>
      </c>
      <c r="AM1525">
        <v>670</v>
      </c>
      <c r="AO1525">
        <v>12</v>
      </c>
      <c r="AP1525" t="s">
        <v>11155</v>
      </c>
      <c r="AR1525" t="s">
        <v>11172</v>
      </c>
      <c r="AU1525">
        <v>12</v>
      </c>
      <c r="AW1525" t="s">
        <v>11187</v>
      </c>
      <c r="BA1525" t="s">
        <v>11222</v>
      </c>
      <c r="BE1525" t="s">
        <v>12561</v>
      </c>
      <c r="BF1525" t="s">
        <v>14364</v>
      </c>
      <c r="BM1525" t="s">
        <v>15650</v>
      </c>
    </row>
    <row r="1526" spans="1:67">
      <c r="A1526" s="1">
        <f>HYPERLINK("https://lsnyc.legalserver.org/matter/dynamic-profile/view/1912652","19-1912652")</f>
        <v>0</v>
      </c>
      <c r="B1526" t="s">
        <v>123</v>
      </c>
      <c r="C1526" t="s">
        <v>248</v>
      </c>
      <c r="D1526" t="s">
        <v>634</v>
      </c>
      <c r="F1526" t="s">
        <v>1251</v>
      </c>
      <c r="G1526" t="s">
        <v>2962</v>
      </c>
      <c r="H1526" t="s">
        <v>5325</v>
      </c>
      <c r="I1526" t="s">
        <v>6438</v>
      </c>
      <c r="J1526" t="s">
        <v>7174</v>
      </c>
      <c r="K1526">
        <v>11215</v>
      </c>
      <c r="N1526" t="s">
        <v>7237</v>
      </c>
      <c r="O1526" t="s">
        <v>8265</v>
      </c>
      <c r="P1526">
        <v>1</v>
      </c>
      <c r="Q1526">
        <v>3</v>
      </c>
      <c r="R1526">
        <v>108.74</v>
      </c>
      <c r="U1526">
        <v>28000</v>
      </c>
      <c r="W1526">
        <v>0</v>
      </c>
      <c r="Y1526" t="s">
        <v>81</v>
      </c>
      <c r="AA1526" t="s">
        <v>10974</v>
      </c>
      <c r="AB1526" t="s">
        <v>441</v>
      </c>
      <c r="AC1526" t="s">
        <v>11081</v>
      </c>
      <c r="AF1526" t="s">
        <v>11119</v>
      </c>
      <c r="AH1526" t="s">
        <v>10975</v>
      </c>
      <c r="AJ1526" t="s">
        <v>11141</v>
      </c>
      <c r="AK1526" t="s">
        <v>7225</v>
      </c>
      <c r="AL1526" t="s">
        <v>11150</v>
      </c>
      <c r="AM1526">
        <v>0</v>
      </c>
      <c r="AO1526">
        <v>8</v>
      </c>
      <c r="AP1526" t="s">
        <v>11155</v>
      </c>
      <c r="AR1526" t="s">
        <v>11172</v>
      </c>
      <c r="AU1526">
        <v>7</v>
      </c>
      <c r="AW1526" t="s">
        <v>11187</v>
      </c>
      <c r="BA1526" t="s">
        <v>11222</v>
      </c>
      <c r="BE1526" t="s">
        <v>12560</v>
      </c>
      <c r="BF1526" t="s">
        <v>14364</v>
      </c>
      <c r="BM1526" t="s">
        <v>15650</v>
      </c>
    </row>
    <row r="1527" spans="1:67">
      <c r="A1527" s="1">
        <f>HYPERLINK("https://lsnyc.legalserver.org/matter/dynamic-profile/view/1873873","18-1873873")</f>
        <v>0</v>
      </c>
      <c r="B1527" t="s">
        <v>124</v>
      </c>
      <c r="C1527" t="s">
        <v>249</v>
      </c>
      <c r="D1527" t="s">
        <v>667</v>
      </c>
      <c r="F1527" t="s">
        <v>1820</v>
      </c>
      <c r="G1527" t="s">
        <v>3126</v>
      </c>
      <c r="H1527" t="s">
        <v>5328</v>
      </c>
      <c r="I1527">
        <v>1</v>
      </c>
      <c r="J1527" t="s">
        <v>7179</v>
      </c>
      <c r="K1527">
        <v>10301</v>
      </c>
      <c r="N1527" t="s">
        <v>7237</v>
      </c>
      <c r="O1527" t="s">
        <v>8269</v>
      </c>
      <c r="P1527">
        <v>1</v>
      </c>
      <c r="Q1527">
        <v>2</v>
      </c>
      <c r="R1527">
        <v>0</v>
      </c>
      <c r="U1527">
        <v>0</v>
      </c>
      <c r="W1527">
        <v>1</v>
      </c>
      <c r="X1527" t="s">
        <v>667</v>
      </c>
      <c r="Y1527" t="s">
        <v>10921</v>
      </c>
      <c r="Z1527" t="s">
        <v>10973</v>
      </c>
      <c r="AA1527" t="s">
        <v>10975</v>
      </c>
      <c r="AB1527" t="s">
        <v>667</v>
      </c>
      <c r="AD1527" t="s">
        <v>11086</v>
      </c>
      <c r="AF1527" t="s">
        <v>11119</v>
      </c>
      <c r="AH1527" t="s">
        <v>10975</v>
      </c>
      <c r="AJ1527" t="s">
        <v>11141</v>
      </c>
      <c r="AK1527" t="s">
        <v>7225</v>
      </c>
      <c r="AM1527">
        <v>504</v>
      </c>
      <c r="AO1527">
        <v>3</v>
      </c>
      <c r="AQ1527" t="s">
        <v>11160</v>
      </c>
      <c r="AS1527" t="s">
        <v>11174</v>
      </c>
      <c r="AU1527">
        <v>3</v>
      </c>
      <c r="AW1527" t="s">
        <v>11187</v>
      </c>
      <c r="AY1527" t="s">
        <v>11213</v>
      </c>
      <c r="AZ1527" t="s">
        <v>11221</v>
      </c>
      <c r="BE1527" t="s">
        <v>12562</v>
      </c>
      <c r="BF1527" t="s">
        <v>14364</v>
      </c>
      <c r="BG1527" t="s">
        <v>11173</v>
      </c>
      <c r="BK1527" t="s">
        <v>11104</v>
      </c>
      <c r="BM1527" t="s">
        <v>15650</v>
      </c>
      <c r="BO1527" t="s">
        <v>15684</v>
      </c>
    </row>
    <row r="1528" spans="1:67">
      <c r="A1528" s="1">
        <f>HYPERLINK("https://lsnyc.legalserver.org/matter/dynamic-profile/view/1852131","17-1852131")</f>
        <v>0</v>
      </c>
      <c r="B1528" t="s">
        <v>124</v>
      </c>
      <c r="C1528" t="s">
        <v>249</v>
      </c>
      <c r="D1528" t="s">
        <v>734</v>
      </c>
      <c r="F1528" t="s">
        <v>1184</v>
      </c>
      <c r="G1528" t="s">
        <v>3032</v>
      </c>
      <c r="H1528" t="s">
        <v>5329</v>
      </c>
      <c r="I1528" t="s">
        <v>6464</v>
      </c>
      <c r="J1528" t="s">
        <v>7179</v>
      </c>
      <c r="K1528">
        <v>10301</v>
      </c>
      <c r="N1528" t="s">
        <v>7237</v>
      </c>
      <c r="O1528" t="s">
        <v>8270</v>
      </c>
      <c r="P1528">
        <v>1</v>
      </c>
      <c r="Q1528">
        <v>4</v>
      </c>
      <c r="R1528">
        <v>14.93</v>
      </c>
      <c r="U1528">
        <v>4296</v>
      </c>
      <c r="W1528">
        <v>6.85</v>
      </c>
      <c r="X1528" t="s">
        <v>382</v>
      </c>
      <c r="Y1528" t="s">
        <v>10924</v>
      </c>
      <c r="AA1528" t="s">
        <v>10974</v>
      </c>
      <c r="AB1528" t="s">
        <v>877</v>
      </c>
      <c r="AD1528" t="s">
        <v>11083</v>
      </c>
      <c r="AF1528" t="s">
        <v>11118</v>
      </c>
      <c r="AH1528" t="s">
        <v>10974</v>
      </c>
      <c r="AJ1528" t="s">
        <v>11129</v>
      </c>
      <c r="AK1528" t="s">
        <v>7225</v>
      </c>
      <c r="AM1528">
        <v>850</v>
      </c>
      <c r="AO1528">
        <v>3</v>
      </c>
      <c r="AQ1528" t="s">
        <v>11156</v>
      </c>
      <c r="AS1528" t="s">
        <v>11173</v>
      </c>
      <c r="AU1528">
        <v>7</v>
      </c>
      <c r="AW1528" t="s">
        <v>11189</v>
      </c>
      <c r="AZ1528" t="s">
        <v>11221</v>
      </c>
      <c r="BC1528" t="s">
        <v>11368</v>
      </c>
      <c r="BD1528" t="s">
        <v>11667</v>
      </c>
      <c r="BG1528" t="s">
        <v>14760</v>
      </c>
      <c r="BM1528" t="s">
        <v>15650</v>
      </c>
    </row>
    <row r="1529" spans="1:67">
      <c r="A1529" s="1">
        <f>HYPERLINK("https://lsnyc.legalserver.org/matter/dynamic-profile/view/1881716","18-1881716")</f>
        <v>0</v>
      </c>
      <c r="B1529" t="s">
        <v>125</v>
      </c>
      <c r="C1529" t="s">
        <v>246</v>
      </c>
      <c r="D1529" t="s">
        <v>553</v>
      </c>
      <c r="E1529" t="s">
        <v>293</v>
      </c>
      <c r="F1529" t="s">
        <v>1382</v>
      </c>
      <c r="G1529" t="s">
        <v>3489</v>
      </c>
      <c r="H1529" t="s">
        <v>5330</v>
      </c>
      <c r="I1529" t="s">
        <v>6754</v>
      </c>
      <c r="J1529" t="s">
        <v>7170</v>
      </c>
      <c r="K1529">
        <v>10451</v>
      </c>
      <c r="L1529" t="s">
        <v>7216</v>
      </c>
      <c r="N1529" t="s">
        <v>7237</v>
      </c>
      <c r="O1529" t="s">
        <v>7616</v>
      </c>
      <c r="P1529">
        <v>2</v>
      </c>
      <c r="Q1529">
        <v>1</v>
      </c>
      <c r="R1529">
        <v>118.73</v>
      </c>
      <c r="U1529">
        <v>24672</v>
      </c>
      <c r="V1529" t="s">
        <v>10410</v>
      </c>
      <c r="W1529">
        <v>25.6</v>
      </c>
      <c r="X1529" t="s">
        <v>293</v>
      </c>
      <c r="Y1529" t="s">
        <v>216</v>
      </c>
      <c r="AA1529" t="s">
        <v>10974</v>
      </c>
      <c r="AB1529" t="s">
        <v>925</v>
      </c>
      <c r="AD1529" t="s">
        <v>11090</v>
      </c>
      <c r="AF1529" t="s">
        <v>10384</v>
      </c>
      <c r="AH1529" t="s">
        <v>10975</v>
      </c>
      <c r="AJ1529" t="s">
        <v>11104</v>
      </c>
      <c r="AK1529" t="s">
        <v>7225</v>
      </c>
      <c r="AM1529">
        <v>357</v>
      </c>
      <c r="AN1529" t="s">
        <v>11151</v>
      </c>
      <c r="AO1529" t="s">
        <v>11153</v>
      </c>
      <c r="AQ1529" t="s">
        <v>11166</v>
      </c>
      <c r="AR1529" t="s">
        <v>11172</v>
      </c>
      <c r="AU1529">
        <v>6</v>
      </c>
      <c r="AW1529" t="s">
        <v>11187</v>
      </c>
      <c r="AY1529" t="s">
        <v>11213</v>
      </c>
      <c r="BA1529" t="s">
        <v>11222</v>
      </c>
      <c r="BB1529" t="s">
        <v>11224</v>
      </c>
      <c r="BC1529" t="s">
        <v>11369</v>
      </c>
      <c r="BE1529" t="s">
        <v>12563</v>
      </c>
      <c r="BF1529" t="s">
        <v>14364</v>
      </c>
      <c r="BG1529" t="s">
        <v>11333</v>
      </c>
      <c r="BM1529" t="s">
        <v>15651</v>
      </c>
    </row>
    <row r="1530" spans="1:67">
      <c r="A1530" s="1">
        <f>HYPERLINK("https://lsnyc.legalserver.org/matter/dynamic-profile/view/1913884","19-1913884")</f>
        <v>0</v>
      </c>
      <c r="B1530" t="s">
        <v>126</v>
      </c>
      <c r="C1530" t="s">
        <v>248</v>
      </c>
      <c r="D1530" t="s">
        <v>735</v>
      </c>
      <c r="F1530" t="s">
        <v>1821</v>
      </c>
      <c r="G1530" t="s">
        <v>3607</v>
      </c>
      <c r="H1530" t="s">
        <v>5331</v>
      </c>
      <c r="I1530" t="s">
        <v>6405</v>
      </c>
      <c r="J1530" t="s">
        <v>7174</v>
      </c>
      <c r="K1530">
        <v>11237</v>
      </c>
      <c r="N1530" t="s">
        <v>7237</v>
      </c>
      <c r="O1530" t="s">
        <v>8271</v>
      </c>
      <c r="P1530">
        <v>1</v>
      </c>
      <c r="Q1530">
        <v>0</v>
      </c>
      <c r="R1530">
        <v>160.13</v>
      </c>
      <c r="U1530">
        <v>20000</v>
      </c>
      <c r="W1530">
        <v>0</v>
      </c>
      <c r="Y1530" t="s">
        <v>10913</v>
      </c>
      <c r="AA1530" t="s">
        <v>10974</v>
      </c>
      <c r="AD1530" t="s">
        <v>11083</v>
      </c>
      <c r="AF1530" t="s">
        <v>11119</v>
      </c>
      <c r="AH1530" t="s">
        <v>10975</v>
      </c>
      <c r="AJ1530" t="s">
        <v>11138</v>
      </c>
      <c r="AK1530" t="s">
        <v>7225</v>
      </c>
      <c r="AM1530">
        <v>2400</v>
      </c>
      <c r="AN1530" t="s">
        <v>11151</v>
      </c>
      <c r="AO1530" t="s">
        <v>11153</v>
      </c>
      <c r="AP1530" t="s">
        <v>11155</v>
      </c>
      <c r="AR1530" t="s">
        <v>11172</v>
      </c>
      <c r="AU1530">
        <v>1</v>
      </c>
      <c r="AW1530" t="s">
        <v>11187</v>
      </c>
      <c r="AX1530" t="s">
        <v>11212</v>
      </c>
      <c r="BA1530" t="s">
        <v>11222</v>
      </c>
      <c r="BE1530" t="s">
        <v>12564</v>
      </c>
      <c r="BG1530" t="s">
        <v>14761</v>
      </c>
      <c r="BM1530" t="s">
        <v>15650</v>
      </c>
    </row>
    <row r="1531" spans="1:67">
      <c r="A1531" s="1">
        <f>HYPERLINK("https://lsnyc.legalserver.org/matter/dynamic-profile/view/0813357","16-0813357")</f>
        <v>0</v>
      </c>
      <c r="B1531" t="s">
        <v>126</v>
      </c>
      <c r="C1531" t="s">
        <v>248</v>
      </c>
      <c r="D1531" t="s">
        <v>736</v>
      </c>
      <c r="F1531" t="s">
        <v>1545</v>
      </c>
      <c r="G1531" t="s">
        <v>3608</v>
      </c>
      <c r="H1531" t="s">
        <v>5332</v>
      </c>
      <c r="I1531">
        <v>1410</v>
      </c>
      <c r="J1531" t="s">
        <v>7174</v>
      </c>
      <c r="K1531">
        <v>11224</v>
      </c>
      <c r="M1531" t="s">
        <v>7226</v>
      </c>
      <c r="N1531" t="s">
        <v>7237</v>
      </c>
      <c r="O1531" t="s">
        <v>8272</v>
      </c>
      <c r="P1531">
        <v>1</v>
      </c>
      <c r="Q1531">
        <v>1</v>
      </c>
      <c r="R1531">
        <v>29.96</v>
      </c>
      <c r="U1531">
        <v>4800</v>
      </c>
      <c r="V1531" t="s">
        <v>10411</v>
      </c>
      <c r="W1531">
        <v>78</v>
      </c>
      <c r="X1531" t="s">
        <v>735</v>
      </c>
      <c r="Y1531" t="s">
        <v>10875</v>
      </c>
      <c r="Z1531" t="s">
        <v>10972</v>
      </c>
      <c r="AA1531" t="s">
        <v>10975</v>
      </c>
      <c r="AD1531" t="s">
        <v>11083</v>
      </c>
      <c r="AF1531" t="s">
        <v>11118</v>
      </c>
      <c r="AG1531" t="s">
        <v>11124</v>
      </c>
      <c r="AJ1531" t="s">
        <v>11131</v>
      </c>
      <c r="AK1531" t="s">
        <v>7225</v>
      </c>
      <c r="AM1531">
        <v>1400</v>
      </c>
      <c r="AO1531">
        <v>24</v>
      </c>
      <c r="AQ1531" t="s">
        <v>11164</v>
      </c>
      <c r="AS1531" t="s">
        <v>11174</v>
      </c>
      <c r="AU1531">
        <v>20</v>
      </c>
      <c r="AW1531" t="s">
        <v>11208</v>
      </c>
      <c r="AX1531" t="s">
        <v>11212</v>
      </c>
      <c r="AZ1531" t="s">
        <v>11221</v>
      </c>
      <c r="BB1531" t="s">
        <v>11224</v>
      </c>
      <c r="BC1531" t="s">
        <v>11370</v>
      </c>
      <c r="BE1531" t="s">
        <v>12565</v>
      </c>
      <c r="BG1531" t="s">
        <v>14762</v>
      </c>
      <c r="BM1531" t="s">
        <v>15650</v>
      </c>
    </row>
    <row r="1532" spans="1:67">
      <c r="A1532" s="1">
        <f>HYPERLINK("https://lsnyc.legalserver.org/matter/dynamic-profile/view/1837430","17-1837430")</f>
        <v>0</v>
      </c>
      <c r="B1532" t="s">
        <v>126</v>
      </c>
      <c r="C1532" t="s">
        <v>248</v>
      </c>
      <c r="D1532" t="s">
        <v>361</v>
      </c>
      <c r="F1532" t="s">
        <v>1822</v>
      </c>
      <c r="G1532" t="s">
        <v>3609</v>
      </c>
      <c r="H1532" t="s">
        <v>5333</v>
      </c>
      <c r="I1532" t="s">
        <v>6430</v>
      </c>
      <c r="J1532" t="s">
        <v>7174</v>
      </c>
      <c r="K1532">
        <v>11215</v>
      </c>
      <c r="M1532" t="s">
        <v>7226</v>
      </c>
      <c r="N1532" t="s">
        <v>7237</v>
      </c>
      <c r="O1532" t="s">
        <v>8273</v>
      </c>
      <c r="P1532">
        <v>1</v>
      </c>
      <c r="Q1532">
        <v>0</v>
      </c>
      <c r="R1532">
        <v>119.4</v>
      </c>
      <c r="U1532">
        <v>14400</v>
      </c>
      <c r="W1532">
        <v>57.5</v>
      </c>
      <c r="X1532" t="s">
        <v>341</v>
      </c>
      <c r="Y1532" t="s">
        <v>10925</v>
      </c>
      <c r="AA1532" t="s">
        <v>10974</v>
      </c>
      <c r="AB1532" t="s">
        <v>10982</v>
      </c>
      <c r="AD1532" t="s">
        <v>11085</v>
      </c>
      <c r="AF1532" t="s">
        <v>11118</v>
      </c>
      <c r="AG1532" t="s">
        <v>11124</v>
      </c>
      <c r="AI1532" t="s">
        <v>11126</v>
      </c>
      <c r="AK1532" t="s">
        <v>7225</v>
      </c>
      <c r="AL1532" t="s">
        <v>11150</v>
      </c>
      <c r="AM1532">
        <v>0</v>
      </c>
      <c r="AO1532">
        <v>8</v>
      </c>
      <c r="AP1532" t="s">
        <v>11155</v>
      </c>
      <c r="AR1532" t="s">
        <v>11172</v>
      </c>
      <c r="AT1532" t="s">
        <v>11184</v>
      </c>
      <c r="AU1532">
        <v>0</v>
      </c>
      <c r="AW1532" t="s">
        <v>11187</v>
      </c>
      <c r="AZ1532" t="s">
        <v>11221</v>
      </c>
      <c r="BE1532" t="s">
        <v>12566</v>
      </c>
      <c r="BF1532" t="s">
        <v>14364</v>
      </c>
      <c r="BM1532" t="s">
        <v>15650</v>
      </c>
    </row>
    <row r="1533" spans="1:67">
      <c r="A1533" s="1">
        <f>HYPERLINK("https://lsnyc.legalserver.org/matter/dynamic-profile/view/1894706","19-1894706")</f>
        <v>0</v>
      </c>
      <c r="B1533" t="s">
        <v>126</v>
      </c>
      <c r="C1533" t="s">
        <v>248</v>
      </c>
      <c r="D1533" t="s">
        <v>550</v>
      </c>
      <c r="F1533" t="s">
        <v>1823</v>
      </c>
      <c r="G1533" t="s">
        <v>2919</v>
      </c>
      <c r="H1533" t="s">
        <v>5334</v>
      </c>
      <c r="I1533">
        <v>9</v>
      </c>
      <c r="J1533" t="s">
        <v>7174</v>
      </c>
      <c r="K1533">
        <v>11203</v>
      </c>
      <c r="N1533" t="s">
        <v>7237</v>
      </c>
      <c r="O1533" t="s">
        <v>8274</v>
      </c>
      <c r="P1533">
        <v>2</v>
      </c>
      <c r="Q1533">
        <v>2</v>
      </c>
      <c r="R1533">
        <v>34.43</v>
      </c>
      <c r="U1533">
        <v>8866</v>
      </c>
      <c r="W1533">
        <v>15.7</v>
      </c>
      <c r="X1533" t="s">
        <v>262</v>
      </c>
      <c r="Y1533" t="s">
        <v>212</v>
      </c>
      <c r="Z1533" t="s">
        <v>10973</v>
      </c>
      <c r="AA1533" t="s">
        <v>10975</v>
      </c>
      <c r="AB1533" t="s">
        <v>550</v>
      </c>
      <c r="AC1533" t="s">
        <v>11081</v>
      </c>
      <c r="AF1533" t="s">
        <v>11120</v>
      </c>
      <c r="AG1533" t="s">
        <v>11124</v>
      </c>
      <c r="AI1533" t="s">
        <v>11126</v>
      </c>
      <c r="AK1533" t="s">
        <v>7225</v>
      </c>
      <c r="AL1533" t="s">
        <v>11150</v>
      </c>
      <c r="AM1533">
        <v>0</v>
      </c>
      <c r="AN1533" t="s">
        <v>11151</v>
      </c>
      <c r="AO1533" t="s">
        <v>11153</v>
      </c>
      <c r="AP1533" t="s">
        <v>11155</v>
      </c>
      <c r="AR1533" t="s">
        <v>11172</v>
      </c>
      <c r="AT1533" t="s">
        <v>11184</v>
      </c>
      <c r="AU1533">
        <v>0</v>
      </c>
      <c r="AW1533" t="s">
        <v>11187</v>
      </c>
      <c r="AZ1533" t="s">
        <v>11221</v>
      </c>
      <c r="BE1533" t="s">
        <v>12567</v>
      </c>
      <c r="BF1533" t="s">
        <v>14364</v>
      </c>
      <c r="BM1533" t="s">
        <v>15650</v>
      </c>
    </row>
    <row r="1534" spans="1:67">
      <c r="A1534" s="1">
        <f>HYPERLINK("https://lsnyc.legalserver.org/matter/dynamic-profile/view/1913056","19-1913056")</f>
        <v>0</v>
      </c>
      <c r="B1534" t="s">
        <v>127</v>
      </c>
      <c r="C1534" t="s">
        <v>245</v>
      </c>
      <c r="D1534" t="s">
        <v>336</v>
      </c>
      <c r="E1534" t="s">
        <v>272</v>
      </c>
      <c r="F1534" t="s">
        <v>1824</v>
      </c>
      <c r="G1534" t="s">
        <v>3610</v>
      </c>
      <c r="H1534" t="s">
        <v>5335</v>
      </c>
      <c r="I1534" t="s">
        <v>6436</v>
      </c>
      <c r="J1534" t="s">
        <v>7169</v>
      </c>
      <c r="K1534">
        <v>10002</v>
      </c>
      <c r="L1534" t="s">
        <v>7216</v>
      </c>
      <c r="N1534" t="s">
        <v>7237</v>
      </c>
      <c r="O1534" t="s">
        <v>8275</v>
      </c>
      <c r="P1534">
        <v>1</v>
      </c>
      <c r="Q1534">
        <v>0</v>
      </c>
      <c r="R1534">
        <v>600.48</v>
      </c>
      <c r="S1534" t="s">
        <v>10254</v>
      </c>
      <c r="T1534" t="s">
        <v>10275</v>
      </c>
      <c r="U1534">
        <v>75000</v>
      </c>
      <c r="W1534">
        <v>2</v>
      </c>
      <c r="X1534" t="s">
        <v>272</v>
      </c>
      <c r="Y1534" t="s">
        <v>127</v>
      </c>
      <c r="AA1534" t="s">
        <v>10974</v>
      </c>
      <c r="AB1534" t="s">
        <v>336</v>
      </c>
      <c r="AD1534" t="s">
        <v>11086</v>
      </c>
      <c r="AF1534" t="s">
        <v>11119</v>
      </c>
      <c r="AH1534" t="s">
        <v>10975</v>
      </c>
      <c r="AJ1534" t="s">
        <v>11133</v>
      </c>
      <c r="AK1534" t="s">
        <v>11149</v>
      </c>
      <c r="AM1534">
        <v>1250</v>
      </c>
      <c r="AN1534" t="s">
        <v>11151</v>
      </c>
      <c r="AO1534" t="s">
        <v>11153</v>
      </c>
      <c r="AQ1534" t="s">
        <v>11157</v>
      </c>
      <c r="AS1534" t="s">
        <v>11173</v>
      </c>
      <c r="AU1534">
        <v>5</v>
      </c>
      <c r="AW1534" t="s">
        <v>11187</v>
      </c>
      <c r="BA1534" t="s">
        <v>11222</v>
      </c>
      <c r="BD1534" t="s">
        <v>11667</v>
      </c>
      <c r="BF1534" t="s">
        <v>14364</v>
      </c>
      <c r="BM1534" t="s">
        <v>15651</v>
      </c>
    </row>
    <row r="1535" spans="1:67">
      <c r="A1535" s="1">
        <f>HYPERLINK("https://lsnyc.legalserver.org/matter/dynamic-profile/view/1910521","19-1910521")</f>
        <v>0</v>
      </c>
      <c r="B1535" t="s">
        <v>127</v>
      </c>
      <c r="C1535" t="s">
        <v>245</v>
      </c>
      <c r="D1535" t="s">
        <v>561</v>
      </c>
      <c r="E1535" t="s">
        <v>293</v>
      </c>
      <c r="F1535" t="s">
        <v>1825</v>
      </c>
      <c r="G1535" t="s">
        <v>3611</v>
      </c>
      <c r="H1535" t="s">
        <v>5336</v>
      </c>
      <c r="I1535">
        <v>11</v>
      </c>
      <c r="J1535" t="s">
        <v>7169</v>
      </c>
      <c r="K1535">
        <v>10028</v>
      </c>
      <c r="L1535" t="s">
        <v>7216</v>
      </c>
      <c r="N1535" t="s">
        <v>7237</v>
      </c>
      <c r="O1535" t="s">
        <v>8276</v>
      </c>
      <c r="P1535">
        <v>1</v>
      </c>
      <c r="Q1535">
        <v>1</v>
      </c>
      <c r="R1535">
        <v>0</v>
      </c>
      <c r="S1535" t="s">
        <v>10254</v>
      </c>
      <c r="T1535" t="s">
        <v>10275</v>
      </c>
      <c r="U1535">
        <v>0</v>
      </c>
      <c r="W1535">
        <v>0.5</v>
      </c>
      <c r="X1535" t="s">
        <v>563</v>
      </c>
      <c r="Y1535" t="s">
        <v>127</v>
      </c>
      <c r="AA1535" t="s">
        <v>10974</v>
      </c>
      <c r="AB1535" t="s">
        <v>601</v>
      </c>
      <c r="AC1535" t="s">
        <v>11081</v>
      </c>
      <c r="AF1535" t="s">
        <v>11119</v>
      </c>
      <c r="AH1535" t="s">
        <v>10975</v>
      </c>
      <c r="AJ1535" t="s">
        <v>11133</v>
      </c>
      <c r="AK1535" t="s">
        <v>11149</v>
      </c>
      <c r="AM1535">
        <v>1438.6</v>
      </c>
      <c r="AO1535">
        <v>33</v>
      </c>
      <c r="AQ1535" t="s">
        <v>11157</v>
      </c>
      <c r="AS1535" t="s">
        <v>11173</v>
      </c>
      <c r="AU1535">
        <v>24</v>
      </c>
      <c r="AW1535" t="s">
        <v>11187</v>
      </c>
      <c r="BA1535" t="s">
        <v>11222</v>
      </c>
      <c r="BE1535" t="s">
        <v>12568</v>
      </c>
      <c r="BF1535" t="s">
        <v>14364</v>
      </c>
      <c r="BM1535" t="s">
        <v>15651</v>
      </c>
    </row>
    <row r="1536" spans="1:67">
      <c r="A1536" s="1">
        <f>HYPERLINK("https://lsnyc.legalserver.org/matter/dynamic-profile/view/1914090","19-1914090")</f>
        <v>0</v>
      </c>
      <c r="B1536" t="s">
        <v>127</v>
      </c>
      <c r="C1536" t="s">
        <v>245</v>
      </c>
      <c r="D1536" t="s">
        <v>301</v>
      </c>
      <c r="F1536" t="s">
        <v>1127</v>
      </c>
      <c r="G1536" t="s">
        <v>3612</v>
      </c>
      <c r="H1536" t="s">
        <v>5337</v>
      </c>
      <c r="I1536" t="s">
        <v>6586</v>
      </c>
      <c r="J1536" t="s">
        <v>7169</v>
      </c>
      <c r="K1536">
        <v>10001</v>
      </c>
      <c r="N1536" t="s">
        <v>7237</v>
      </c>
      <c r="O1536" t="s">
        <v>8277</v>
      </c>
      <c r="P1536">
        <v>1</v>
      </c>
      <c r="Q1536">
        <v>0</v>
      </c>
      <c r="R1536">
        <v>57.07</v>
      </c>
      <c r="U1536">
        <v>7128</v>
      </c>
      <c r="W1536">
        <v>0.25</v>
      </c>
      <c r="X1536" t="s">
        <v>301</v>
      </c>
      <c r="Y1536" t="s">
        <v>127</v>
      </c>
      <c r="Z1536" t="s">
        <v>10972</v>
      </c>
      <c r="AA1536" t="s">
        <v>10976</v>
      </c>
      <c r="AC1536" t="s">
        <v>11081</v>
      </c>
      <c r="AF1536" t="s">
        <v>11121</v>
      </c>
      <c r="AH1536" t="s">
        <v>10975</v>
      </c>
      <c r="AJ1536" t="s">
        <v>11133</v>
      </c>
      <c r="AK1536" t="s">
        <v>11149</v>
      </c>
      <c r="AM1536">
        <v>2800</v>
      </c>
      <c r="AN1536" t="s">
        <v>11151</v>
      </c>
      <c r="AO1536" t="s">
        <v>11153</v>
      </c>
      <c r="AP1536" t="s">
        <v>11155</v>
      </c>
      <c r="AR1536" t="s">
        <v>11172</v>
      </c>
      <c r="AU1536">
        <v>4</v>
      </c>
      <c r="AW1536" t="s">
        <v>11187</v>
      </c>
      <c r="AX1536" t="s">
        <v>11212</v>
      </c>
      <c r="AZ1536" t="s">
        <v>11221</v>
      </c>
      <c r="BE1536" t="s">
        <v>12569</v>
      </c>
      <c r="BF1536" t="s">
        <v>14364</v>
      </c>
      <c r="BM1536" t="s">
        <v>15650</v>
      </c>
    </row>
    <row r="1537" spans="1:67">
      <c r="A1537" s="1">
        <f>HYPERLINK("https://lsnyc.legalserver.org/matter/dynamic-profile/view/1913477","19-1913477")</f>
        <v>0</v>
      </c>
      <c r="B1537" t="s">
        <v>127</v>
      </c>
      <c r="C1537" t="s">
        <v>245</v>
      </c>
      <c r="D1537" t="s">
        <v>536</v>
      </c>
      <c r="E1537" t="s">
        <v>436</v>
      </c>
      <c r="F1537" t="s">
        <v>1459</v>
      </c>
      <c r="G1537" t="s">
        <v>3613</v>
      </c>
      <c r="H1537" t="s">
        <v>5338</v>
      </c>
      <c r="I1537">
        <v>11</v>
      </c>
      <c r="J1537" t="s">
        <v>7169</v>
      </c>
      <c r="K1537">
        <v>10029</v>
      </c>
      <c r="L1537" t="s">
        <v>7216</v>
      </c>
      <c r="N1537" t="s">
        <v>7237</v>
      </c>
      <c r="O1537" t="s">
        <v>8278</v>
      </c>
      <c r="P1537">
        <v>1</v>
      </c>
      <c r="Q1537">
        <v>1</v>
      </c>
      <c r="R1537">
        <v>53.22</v>
      </c>
      <c r="S1537" t="s">
        <v>10254</v>
      </c>
      <c r="T1537" t="s">
        <v>10275</v>
      </c>
      <c r="U1537">
        <v>9000</v>
      </c>
      <c r="W1537">
        <v>1.5</v>
      </c>
      <c r="X1537" t="s">
        <v>436</v>
      </c>
      <c r="Y1537" t="s">
        <v>127</v>
      </c>
      <c r="AA1537" t="s">
        <v>10974</v>
      </c>
      <c r="AB1537" t="s">
        <v>262</v>
      </c>
      <c r="AD1537" t="s">
        <v>11090</v>
      </c>
      <c r="AF1537" t="s">
        <v>11119</v>
      </c>
      <c r="AH1537" t="s">
        <v>10975</v>
      </c>
      <c r="AJ1537" t="s">
        <v>11133</v>
      </c>
      <c r="AK1537" t="s">
        <v>11149</v>
      </c>
      <c r="AM1537">
        <v>1008</v>
      </c>
      <c r="AO1537">
        <v>36</v>
      </c>
      <c r="AQ1537" t="s">
        <v>11157</v>
      </c>
      <c r="AS1537" t="s">
        <v>11173</v>
      </c>
      <c r="AU1537">
        <v>1</v>
      </c>
      <c r="AW1537" t="s">
        <v>11189</v>
      </c>
      <c r="BA1537" t="s">
        <v>11222</v>
      </c>
      <c r="BD1537" t="s">
        <v>11667</v>
      </c>
      <c r="BF1537" t="s">
        <v>14364</v>
      </c>
      <c r="BM1537" t="s">
        <v>15651</v>
      </c>
      <c r="BN1537" t="s">
        <v>15652</v>
      </c>
      <c r="BO1537" t="s">
        <v>15685</v>
      </c>
    </row>
    <row r="1538" spans="1:67">
      <c r="A1538" s="1">
        <f>HYPERLINK("https://lsnyc.legalserver.org/matter/dynamic-profile/view/1915511","19-1915511")</f>
        <v>0</v>
      </c>
      <c r="B1538" t="s">
        <v>127</v>
      </c>
      <c r="C1538" t="s">
        <v>245</v>
      </c>
      <c r="D1538" t="s">
        <v>548</v>
      </c>
      <c r="F1538" t="s">
        <v>1789</v>
      </c>
      <c r="G1538" t="s">
        <v>2885</v>
      </c>
      <c r="H1538" t="s">
        <v>5339</v>
      </c>
      <c r="I1538" t="s">
        <v>6755</v>
      </c>
      <c r="J1538" t="s">
        <v>7169</v>
      </c>
      <c r="K1538">
        <v>10034</v>
      </c>
      <c r="N1538" t="s">
        <v>7237</v>
      </c>
      <c r="O1538" t="s">
        <v>8279</v>
      </c>
      <c r="P1538">
        <v>1</v>
      </c>
      <c r="Q1538">
        <v>0</v>
      </c>
      <c r="R1538">
        <v>165.73</v>
      </c>
      <c r="U1538">
        <v>20700</v>
      </c>
      <c r="W1538">
        <v>0.5</v>
      </c>
      <c r="X1538" t="s">
        <v>638</v>
      </c>
      <c r="Y1538" t="s">
        <v>10911</v>
      </c>
      <c r="Z1538" t="s">
        <v>10972</v>
      </c>
      <c r="AA1538" t="s">
        <v>10976</v>
      </c>
      <c r="AD1538" t="s">
        <v>11082</v>
      </c>
      <c r="AF1538" t="s">
        <v>11121</v>
      </c>
      <c r="AH1538" t="s">
        <v>10975</v>
      </c>
      <c r="AJ1538" t="s">
        <v>11130</v>
      </c>
      <c r="AK1538" t="s">
        <v>7225</v>
      </c>
      <c r="AM1538">
        <v>1339</v>
      </c>
      <c r="AO1538">
        <v>100</v>
      </c>
      <c r="AQ1538" t="s">
        <v>11157</v>
      </c>
      <c r="AS1538" t="s">
        <v>11175</v>
      </c>
      <c r="AU1538">
        <v>11</v>
      </c>
      <c r="AW1538" t="s">
        <v>11187</v>
      </c>
      <c r="AX1538" t="s">
        <v>11212</v>
      </c>
      <c r="AZ1538" t="s">
        <v>11221</v>
      </c>
      <c r="BE1538" t="s">
        <v>12570</v>
      </c>
      <c r="BF1538" t="s">
        <v>14364</v>
      </c>
      <c r="BG1538" t="s">
        <v>14763</v>
      </c>
      <c r="BM1538" t="s">
        <v>15650</v>
      </c>
    </row>
    <row r="1539" spans="1:67">
      <c r="A1539" s="1">
        <f>HYPERLINK("https://lsnyc.legalserver.org/matter/dynamic-profile/view/1912596","19-1912596")</f>
        <v>0</v>
      </c>
      <c r="B1539" t="s">
        <v>127</v>
      </c>
      <c r="C1539" t="s">
        <v>245</v>
      </c>
      <c r="D1539" t="s">
        <v>599</v>
      </c>
      <c r="F1539" t="s">
        <v>1826</v>
      </c>
      <c r="G1539" t="s">
        <v>3614</v>
      </c>
      <c r="H1539" t="s">
        <v>5340</v>
      </c>
      <c r="I1539">
        <v>1004</v>
      </c>
      <c r="J1539" t="s">
        <v>7169</v>
      </c>
      <c r="K1539">
        <v>10016</v>
      </c>
      <c r="N1539" t="s">
        <v>7237</v>
      </c>
      <c r="O1539" t="s">
        <v>8280</v>
      </c>
      <c r="P1539">
        <v>1</v>
      </c>
      <c r="Q1539">
        <v>2</v>
      </c>
      <c r="R1539">
        <v>0</v>
      </c>
      <c r="S1539" t="s">
        <v>10254</v>
      </c>
      <c r="T1539" t="s">
        <v>10275</v>
      </c>
      <c r="U1539">
        <v>0</v>
      </c>
      <c r="W1539">
        <v>0</v>
      </c>
      <c r="Y1539" t="s">
        <v>127</v>
      </c>
      <c r="Z1539" t="s">
        <v>10972</v>
      </c>
      <c r="AA1539" t="s">
        <v>10975</v>
      </c>
      <c r="AC1539" t="s">
        <v>11081</v>
      </c>
      <c r="AF1539" t="s">
        <v>11121</v>
      </c>
      <c r="AH1539" t="s">
        <v>10975</v>
      </c>
      <c r="AJ1539" t="s">
        <v>11133</v>
      </c>
      <c r="AK1539" t="s">
        <v>11149</v>
      </c>
      <c r="AL1539" t="s">
        <v>11150</v>
      </c>
      <c r="AM1539">
        <v>0</v>
      </c>
      <c r="AN1539" t="s">
        <v>11151</v>
      </c>
      <c r="AO1539" t="s">
        <v>11153</v>
      </c>
      <c r="AQ1539" t="s">
        <v>11167</v>
      </c>
      <c r="AS1539" t="s">
        <v>11173</v>
      </c>
      <c r="AU1539">
        <v>1</v>
      </c>
      <c r="AW1539" t="s">
        <v>11187</v>
      </c>
      <c r="AX1539" t="s">
        <v>11212</v>
      </c>
      <c r="AZ1539" t="s">
        <v>11221</v>
      </c>
      <c r="BA1539" t="s">
        <v>11173</v>
      </c>
      <c r="BE1539" t="s">
        <v>12571</v>
      </c>
      <c r="BF1539" t="s">
        <v>14364</v>
      </c>
      <c r="BM1539" t="s">
        <v>15650</v>
      </c>
    </row>
    <row r="1540" spans="1:67">
      <c r="A1540" s="1">
        <f>HYPERLINK("https://lsnyc.legalserver.org/matter/dynamic-profile/view/1915571","19-1915571")</f>
        <v>0</v>
      </c>
      <c r="B1540" t="s">
        <v>127</v>
      </c>
      <c r="C1540" t="s">
        <v>245</v>
      </c>
      <c r="D1540" t="s">
        <v>548</v>
      </c>
      <c r="F1540" t="s">
        <v>1827</v>
      </c>
      <c r="G1540" t="s">
        <v>3615</v>
      </c>
      <c r="H1540" t="s">
        <v>5341</v>
      </c>
      <c r="I1540" t="s">
        <v>6482</v>
      </c>
      <c r="J1540" t="s">
        <v>7169</v>
      </c>
      <c r="K1540">
        <v>10040</v>
      </c>
      <c r="N1540" t="s">
        <v>7237</v>
      </c>
      <c r="O1540" t="s">
        <v>8281</v>
      </c>
      <c r="P1540">
        <v>1</v>
      </c>
      <c r="Q1540">
        <v>0</v>
      </c>
      <c r="R1540">
        <v>132.77</v>
      </c>
      <c r="U1540">
        <v>16583</v>
      </c>
      <c r="W1540">
        <v>0.5</v>
      </c>
      <c r="X1540" t="s">
        <v>548</v>
      </c>
      <c r="Y1540" t="s">
        <v>10914</v>
      </c>
      <c r="Z1540" t="s">
        <v>10972</v>
      </c>
      <c r="AA1540" t="s">
        <v>10976</v>
      </c>
      <c r="AC1540" t="s">
        <v>11081</v>
      </c>
      <c r="AF1540" t="s">
        <v>11121</v>
      </c>
      <c r="AH1540" t="s">
        <v>10975</v>
      </c>
      <c r="AJ1540" t="s">
        <v>11135</v>
      </c>
      <c r="AK1540" t="s">
        <v>7225</v>
      </c>
      <c r="AM1540">
        <v>2187</v>
      </c>
      <c r="AO1540">
        <v>92</v>
      </c>
      <c r="AP1540" t="s">
        <v>11155</v>
      </c>
      <c r="AR1540" t="s">
        <v>11172</v>
      </c>
      <c r="AU1540">
        <v>-1</v>
      </c>
      <c r="AW1540" t="s">
        <v>11187</v>
      </c>
      <c r="AX1540" t="s">
        <v>11212</v>
      </c>
      <c r="AZ1540" t="s">
        <v>11221</v>
      </c>
      <c r="BE1540" t="s">
        <v>12572</v>
      </c>
      <c r="BF1540" t="s">
        <v>14364</v>
      </c>
      <c r="BG1540" t="s">
        <v>14764</v>
      </c>
      <c r="BM1540" t="s">
        <v>15650</v>
      </c>
    </row>
    <row r="1541" spans="1:67">
      <c r="A1541" s="1">
        <f>HYPERLINK("https://lsnyc.legalserver.org/matter/dynamic-profile/view/1912300","19-1912300")</f>
        <v>0</v>
      </c>
      <c r="B1541" t="s">
        <v>127</v>
      </c>
      <c r="C1541" t="s">
        <v>245</v>
      </c>
      <c r="D1541" t="s">
        <v>737</v>
      </c>
      <c r="F1541" t="s">
        <v>1828</v>
      </c>
      <c r="G1541" t="s">
        <v>3616</v>
      </c>
      <c r="H1541" t="s">
        <v>5342</v>
      </c>
      <c r="I1541">
        <v>204</v>
      </c>
      <c r="J1541" t="s">
        <v>7169</v>
      </c>
      <c r="K1541">
        <v>10019</v>
      </c>
      <c r="N1541" t="s">
        <v>7237</v>
      </c>
      <c r="O1541" t="s">
        <v>8282</v>
      </c>
      <c r="P1541">
        <v>1</v>
      </c>
      <c r="Q1541">
        <v>1</v>
      </c>
      <c r="R1541">
        <v>141.93</v>
      </c>
      <c r="S1541" t="s">
        <v>10254</v>
      </c>
      <c r="T1541" t="s">
        <v>10275</v>
      </c>
      <c r="U1541">
        <v>24000</v>
      </c>
      <c r="W1541">
        <v>0</v>
      </c>
      <c r="Y1541" t="s">
        <v>127</v>
      </c>
      <c r="Z1541" t="s">
        <v>10972</v>
      </c>
      <c r="AA1541" t="s">
        <v>10976</v>
      </c>
      <c r="AC1541" t="s">
        <v>11081</v>
      </c>
      <c r="AE1541" t="s">
        <v>11117</v>
      </c>
      <c r="AH1541" t="s">
        <v>10975</v>
      </c>
      <c r="AI1541" t="s">
        <v>11126</v>
      </c>
      <c r="AK1541" t="s">
        <v>11149</v>
      </c>
      <c r="AL1541" t="s">
        <v>11150</v>
      </c>
      <c r="AM1541">
        <v>0</v>
      </c>
      <c r="AN1541" t="s">
        <v>11151</v>
      </c>
      <c r="AO1541" t="s">
        <v>11153</v>
      </c>
      <c r="AP1541" t="s">
        <v>11155</v>
      </c>
      <c r="AR1541" t="s">
        <v>11172</v>
      </c>
      <c r="AT1541" t="s">
        <v>11184</v>
      </c>
      <c r="AU1541">
        <v>0</v>
      </c>
      <c r="AW1541" t="s">
        <v>11187</v>
      </c>
      <c r="AX1541" t="s">
        <v>11212</v>
      </c>
      <c r="AZ1541" t="s">
        <v>11221</v>
      </c>
      <c r="BE1541" t="s">
        <v>12573</v>
      </c>
      <c r="BF1541" t="s">
        <v>14364</v>
      </c>
      <c r="BM1541" t="s">
        <v>15650</v>
      </c>
    </row>
    <row r="1542" spans="1:67">
      <c r="A1542" s="1">
        <f>HYPERLINK("https://lsnyc.legalserver.org/matter/dynamic-profile/view/1914073","19-1914073")</f>
        <v>0</v>
      </c>
      <c r="B1542" t="s">
        <v>127</v>
      </c>
      <c r="C1542" t="s">
        <v>245</v>
      </c>
      <c r="D1542" t="s">
        <v>301</v>
      </c>
      <c r="F1542" t="s">
        <v>1171</v>
      </c>
      <c r="G1542" t="s">
        <v>3617</v>
      </c>
      <c r="H1542" t="s">
        <v>5343</v>
      </c>
      <c r="I1542" t="s">
        <v>6563</v>
      </c>
      <c r="J1542" t="s">
        <v>7169</v>
      </c>
      <c r="K1542">
        <v>10128</v>
      </c>
      <c r="N1542" t="s">
        <v>7237</v>
      </c>
      <c r="O1542" t="s">
        <v>8283</v>
      </c>
      <c r="P1542">
        <v>1</v>
      </c>
      <c r="Q1542">
        <v>2</v>
      </c>
      <c r="R1542">
        <v>0</v>
      </c>
      <c r="S1542" t="s">
        <v>10254</v>
      </c>
      <c r="T1542" t="s">
        <v>10275</v>
      </c>
      <c r="U1542">
        <v>0</v>
      </c>
      <c r="W1542">
        <v>0.25</v>
      </c>
      <c r="X1542" t="s">
        <v>301</v>
      </c>
      <c r="Y1542" t="s">
        <v>127</v>
      </c>
      <c r="AA1542" t="s">
        <v>10974</v>
      </c>
      <c r="AB1542" t="s">
        <v>262</v>
      </c>
      <c r="AC1542" t="s">
        <v>11081</v>
      </c>
      <c r="AF1542" t="s">
        <v>11121</v>
      </c>
      <c r="AH1542" t="s">
        <v>10975</v>
      </c>
      <c r="AJ1542" t="s">
        <v>11133</v>
      </c>
      <c r="AK1542" t="s">
        <v>11149</v>
      </c>
      <c r="AM1542">
        <v>581.6</v>
      </c>
      <c r="AN1542" t="s">
        <v>11151</v>
      </c>
      <c r="AO1542" t="s">
        <v>11153</v>
      </c>
      <c r="AQ1542" t="s">
        <v>11166</v>
      </c>
      <c r="AS1542" t="s">
        <v>11173</v>
      </c>
      <c r="AU1542">
        <v>4</v>
      </c>
      <c r="AW1542" t="s">
        <v>11187</v>
      </c>
      <c r="BA1542" t="s">
        <v>11222</v>
      </c>
      <c r="BC1542" t="s">
        <v>11371</v>
      </c>
      <c r="BE1542" t="s">
        <v>12574</v>
      </c>
      <c r="BF1542" t="s">
        <v>14364</v>
      </c>
      <c r="BM1542" t="s">
        <v>15650</v>
      </c>
    </row>
    <row r="1543" spans="1:67">
      <c r="A1543" s="1">
        <f>HYPERLINK("https://lsnyc.legalserver.org/matter/dynamic-profile/view/0806287","16-0806287")</f>
        <v>0</v>
      </c>
      <c r="B1543" t="s">
        <v>128</v>
      </c>
      <c r="C1543" t="s">
        <v>248</v>
      </c>
      <c r="D1543" t="s">
        <v>738</v>
      </c>
      <c r="F1543" t="s">
        <v>1347</v>
      </c>
      <c r="G1543" t="s">
        <v>2921</v>
      </c>
      <c r="H1543" t="s">
        <v>4981</v>
      </c>
      <c r="I1543" t="s">
        <v>6415</v>
      </c>
      <c r="J1543" t="s">
        <v>7174</v>
      </c>
      <c r="K1543">
        <v>11225</v>
      </c>
      <c r="N1543" t="s">
        <v>7237</v>
      </c>
      <c r="O1543" t="s">
        <v>7558</v>
      </c>
      <c r="P1543">
        <v>1</v>
      </c>
      <c r="Q1543">
        <v>0</v>
      </c>
      <c r="R1543">
        <v>82.83</v>
      </c>
      <c r="U1543">
        <v>9840</v>
      </c>
      <c r="W1543">
        <v>24.75</v>
      </c>
      <c r="X1543" t="s">
        <v>536</v>
      </c>
      <c r="Y1543" t="s">
        <v>231</v>
      </c>
      <c r="Z1543" t="s">
        <v>10972</v>
      </c>
      <c r="AA1543" t="s">
        <v>10976</v>
      </c>
      <c r="AB1543" t="s">
        <v>646</v>
      </c>
      <c r="AD1543" t="s">
        <v>11085</v>
      </c>
      <c r="AF1543" t="s">
        <v>11118</v>
      </c>
      <c r="AH1543" t="s">
        <v>10974</v>
      </c>
      <c r="AJ1543" t="s">
        <v>11141</v>
      </c>
      <c r="AK1543" t="s">
        <v>7225</v>
      </c>
      <c r="AM1543">
        <v>784.5599999999999</v>
      </c>
      <c r="AO1543">
        <v>16</v>
      </c>
      <c r="AQ1543" t="s">
        <v>11157</v>
      </c>
      <c r="AR1543" t="s">
        <v>11172</v>
      </c>
      <c r="AU1543">
        <v>15</v>
      </c>
      <c r="AV1543" t="s">
        <v>11186</v>
      </c>
      <c r="AZ1543" t="s">
        <v>11221</v>
      </c>
      <c r="BE1543" t="s">
        <v>11935</v>
      </c>
      <c r="BG1543" t="s">
        <v>14765</v>
      </c>
      <c r="BM1543" t="s">
        <v>15650</v>
      </c>
    </row>
    <row r="1544" spans="1:67">
      <c r="A1544" s="1">
        <f>HYPERLINK("https://lsnyc.legalserver.org/matter/dynamic-profile/view/0804124","16-0804124")</f>
        <v>0</v>
      </c>
      <c r="B1544" t="s">
        <v>128</v>
      </c>
      <c r="C1544" t="s">
        <v>248</v>
      </c>
      <c r="D1544" t="s">
        <v>739</v>
      </c>
      <c r="F1544" t="s">
        <v>1350</v>
      </c>
      <c r="G1544" t="s">
        <v>3129</v>
      </c>
      <c r="H1544" t="s">
        <v>4983</v>
      </c>
      <c r="I1544" t="s">
        <v>6547</v>
      </c>
      <c r="J1544" t="s">
        <v>7174</v>
      </c>
      <c r="K1544">
        <v>11225</v>
      </c>
      <c r="N1544" t="s">
        <v>7237</v>
      </c>
      <c r="O1544" t="s">
        <v>7562</v>
      </c>
      <c r="P1544">
        <v>2</v>
      </c>
      <c r="Q1544">
        <v>1</v>
      </c>
      <c r="R1544">
        <v>154.76</v>
      </c>
      <c r="S1544" t="s">
        <v>10259</v>
      </c>
      <c r="U1544">
        <v>31200</v>
      </c>
      <c r="W1544">
        <v>2.1</v>
      </c>
      <c r="X1544" t="s">
        <v>648</v>
      </c>
      <c r="Y1544" t="s">
        <v>10874</v>
      </c>
      <c r="AA1544" t="s">
        <v>10974</v>
      </c>
      <c r="AB1544" t="s">
        <v>10990</v>
      </c>
      <c r="AD1544" t="s">
        <v>11085</v>
      </c>
      <c r="AF1544" t="s">
        <v>11118</v>
      </c>
      <c r="AH1544" t="s">
        <v>10974</v>
      </c>
      <c r="AJ1544" t="s">
        <v>11141</v>
      </c>
      <c r="AK1544" t="s">
        <v>7225</v>
      </c>
      <c r="AM1544">
        <v>790</v>
      </c>
      <c r="AO1544">
        <v>3</v>
      </c>
      <c r="AQ1544" t="s">
        <v>11157</v>
      </c>
      <c r="AR1544" t="s">
        <v>11172</v>
      </c>
      <c r="AU1544">
        <v>16</v>
      </c>
      <c r="AW1544" t="s">
        <v>11187</v>
      </c>
      <c r="AZ1544" t="s">
        <v>11221</v>
      </c>
      <c r="BE1544" t="s">
        <v>11939</v>
      </c>
      <c r="BG1544" t="s">
        <v>14766</v>
      </c>
      <c r="BM1544" t="s">
        <v>15650</v>
      </c>
    </row>
    <row r="1545" spans="1:67">
      <c r="A1545" s="1">
        <f>HYPERLINK("https://lsnyc.legalserver.org/matter/dynamic-profile/view/0817107","16-0817107")</f>
        <v>0</v>
      </c>
      <c r="B1545" t="s">
        <v>128</v>
      </c>
      <c r="C1545" t="s">
        <v>248</v>
      </c>
      <c r="D1545" t="s">
        <v>740</v>
      </c>
      <c r="F1545" t="s">
        <v>1351</v>
      </c>
      <c r="G1545" t="s">
        <v>2925</v>
      </c>
      <c r="H1545" t="s">
        <v>4981</v>
      </c>
      <c r="I1545" t="s">
        <v>6440</v>
      </c>
      <c r="J1545" t="s">
        <v>7174</v>
      </c>
      <c r="K1545">
        <v>11225</v>
      </c>
      <c r="N1545" t="s">
        <v>7237</v>
      </c>
      <c r="O1545" t="s">
        <v>7566</v>
      </c>
      <c r="P1545">
        <v>1</v>
      </c>
      <c r="Q1545">
        <v>0</v>
      </c>
      <c r="R1545">
        <v>112.63</v>
      </c>
      <c r="S1545" t="s">
        <v>10259</v>
      </c>
      <c r="U1545">
        <v>13380</v>
      </c>
      <c r="W1545">
        <v>0.4</v>
      </c>
      <c r="X1545" t="s">
        <v>1065</v>
      </c>
      <c r="Y1545" t="s">
        <v>231</v>
      </c>
      <c r="AA1545" t="s">
        <v>10974</v>
      </c>
      <c r="AB1545" t="s">
        <v>740</v>
      </c>
      <c r="AD1545" t="s">
        <v>11085</v>
      </c>
      <c r="AF1545" t="s">
        <v>11118</v>
      </c>
      <c r="AH1545" t="s">
        <v>10974</v>
      </c>
      <c r="AJ1545" t="s">
        <v>11141</v>
      </c>
      <c r="AK1545" t="s">
        <v>7225</v>
      </c>
      <c r="AM1545">
        <v>668.6799999999999</v>
      </c>
      <c r="AO1545">
        <v>16</v>
      </c>
      <c r="AQ1545" t="s">
        <v>11157</v>
      </c>
      <c r="AS1545" t="s">
        <v>11173</v>
      </c>
      <c r="AU1545">
        <v>15</v>
      </c>
      <c r="AW1545" t="s">
        <v>11187</v>
      </c>
      <c r="AZ1545" t="s">
        <v>11221</v>
      </c>
      <c r="BE1545" t="s">
        <v>11943</v>
      </c>
      <c r="BG1545" t="s">
        <v>14765</v>
      </c>
      <c r="BM1545" t="s">
        <v>15650</v>
      </c>
    </row>
    <row r="1546" spans="1:67">
      <c r="A1546" s="1">
        <f>HYPERLINK("https://lsnyc.legalserver.org/matter/dynamic-profile/view/0813524","16-0813524")</f>
        <v>0</v>
      </c>
      <c r="B1546" t="s">
        <v>128</v>
      </c>
      <c r="C1546" t="s">
        <v>248</v>
      </c>
      <c r="D1546" t="s">
        <v>741</v>
      </c>
      <c r="F1546" t="s">
        <v>1149</v>
      </c>
      <c r="G1546" t="s">
        <v>2877</v>
      </c>
      <c r="H1546" t="s">
        <v>4983</v>
      </c>
      <c r="I1546">
        <v>3</v>
      </c>
      <c r="J1546" t="s">
        <v>7174</v>
      </c>
      <c r="K1546">
        <v>11225</v>
      </c>
      <c r="N1546" t="s">
        <v>7237</v>
      </c>
      <c r="O1546" t="s">
        <v>7564</v>
      </c>
      <c r="P1546">
        <v>1</v>
      </c>
      <c r="Q1546">
        <v>0</v>
      </c>
      <c r="R1546">
        <v>284.51</v>
      </c>
      <c r="S1546" t="s">
        <v>10259</v>
      </c>
      <c r="U1546">
        <v>33800</v>
      </c>
      <c r="V1546" t="s">
        <v>10412</v>
      </c>
      <c r="W1546">
        <v>1</v>
      </c>
      <c r="X1546" t="s">
        <v>10820</v>
      </c>
      <c r="Y1546" t="s">
        <v>10925</v>
      </c>
      <c r="AA1546" t="s">
        <v>10974</v>
      </c>
      <c r="AB1546" t="s">
        <v>741</v>
      </c>
      <c r="AD1546" t="s">
        <v>11085</v>
      </c>
      <c r="AF1546" t="s">
        <v>11118</v>
      </c>
      <c r="AH1546" t="s">
        <v>10974</v>
      </c>
      <c r="AJ1546" t="s">
        <v>11141</v>
      </c>
      <c r="AK1546" t="s">
        <v>7225</v>
      </c>
      <c r="AM1546">
        <v>1958.98</v>
      </c>
      <c r="AO1546">
        <v>3</v>
      </c>
      <c r="AQ1546" t="s">
        <v>11157</v>
      </c>
      <c r="AS1546" t="s">
        <v>11173</v>
      </c>
      <c r="AU1546">
        <v>18</v>
      </c>
      <c r="AW1546" t="s">
        <v>11187</v>
      </c>
      <c r="AZ1546" t="s">
        <v>11221</v>
      </c>
      <c r="BE1546" t="s">
        <v>11941</v>
      </c>
      <c r="BG1546" t="s">
        <v>14765</v>
      </c>
      <c r="BM1546" t="s">
        <v>15650</v>
      </c>
    </row>
    <row r="1547" spans="1:67">
      <c r="A1547" s="1">
        <f>HYPERLINK("https://lsnyc.legalserver.org/matter/dynamic-profile/view/1838097","17-1838097")</f>
        <v>0</v>
      </c>
      <c r="B1547" t="s">
        <v>128</v>
      </c>
      <c r="C1547" t="s">
        <v>247</v>
      </c>
      <c r="D1547" t="s">
        <v>504</v>
      </c>
      <c r="F1547" t="s">
        <v>1829</v>
      </c>
      <c r="G1547" t="s">
        <v>3618</v>
      </c>
      <c r="H1547" t="s">
        <v>5194</v>
      </c>
      <c r="I1547" t="s">
        <v>6610</v>
      </c>
      <c r="J1547" t="s">
        <v>7177</v>
      </c>
      <c r="K1547">
        <v>11432</v>
      </c>
      <c r="N1547" t="s">
        <v>7237</v>
      </c>
      <c r="O1547" t="s">
        <v>8284</v>
      </c>
      <c r="P1547">
        <v>3</v>
      </c>
      <c r="Q1547">
        <v>3</v>
      </c>
      <c r="R1547">
        <v>0</v>
      </c>
      <c r="S1547" t="s">
        <v>10263</v>
      </c>
      <c r="U1547">
        <v>0</v>
      </c>
      <c r="W1547">
        <v>0.3</v>
      </c>
      <c r="X1547" t="s">
        <v>504</v>
      </c>
      <c r="Y1547" t="s">
        <v>10926</v>
      </c>
      <c r="Z1547" t="s">
        <v>10972</v>
      </c>
      <c r="AA1547" t="s">
        <v>10976</v>
      </c>
      <c r="AB1547" t="s">
        <v>809</v>
      </c>
      <c r="AD1547" t="s">
        <v>11085</v>
      </c>
      <c r="AF1547" t="s">
        <v>11118</v>
      </c>
      <c r="AH1547" t="s">
        <v>10974</v>
      </c>
      <c r="AJ1547" t="s">
        <v>11129</v>
      </c>
      <c r="AK1547" t="s">
        <v>7225</v>
      </c>
      <c r="AM1547">
        <v>1144</v>
      </c>
      <c r="AO1547">
        <v>185</v>
      </c>
      <c r="AQ1547" t="s">
        <v>11157</v>
      </c>
      <c r="AS1547" t="s">
        <v>11173</v>
      </c>
      <c r="AU1547">
        <v>8</v>
      </c>
      <c r="AW1547" t="s">
        <v>11198</v>
      </c>
      <c r="AZ1547" t="s">
        <v>11221</v>
      </c>
      <c r="BE1547" t="s">
        <v>12575</v>
      </c>
      <c r="BF1547" t="s">
        <v>14364</v>
      </c>
      <c r="BG1547" t="s">
        <v>14767</v>
      </c>
      <c r="BM1547" t="s">
        <v>15650</v>
      </c>
    </row>
    <row r="1548" spans="1:67">
      <c r="A1548" s="1">
        <f>HYPERLINK("https://lsnyc.legalserver.org/matter/dynamic-profile/view/0817143","16-0817143")</f>
        <v>0</v>
      </c>
      <c r="B1548" t="s">
        <v>128</v>
      </c>
      <c r="C1548" t="s">
        <v>248</v>
      </c>
      <c r="D1548" t="s">
        <v>742</v>
      </c>
      <c r="F1548" t="s">
        <v>1830</v>
      </c>
      <c r="G1548" t="s">
        <v>3619</v>
      </c>
      <c r="H1548" t="s">
        <v>4981</v>
      </c>
      <c r="I1548" t="s">
        <v>6756</v>
      </c>
      <c r="J1548" t="s">
        <v>7174</v>
      </c>
      <c r="K1548">
        <v>11225</v>
      </c>
      <c r="N1548" t="s">
        <v>7237</v>
      </c>
      <c r="O1548" t="s">
        <v>8285</v>
      </c>
      <c r="P1548">
        <v>1</v>
      </c>
      <c r="Q1548">
        <v>0</v>
      </c>
      <c r="R1548">
        <v>112.63</v>
      </c>
      <c r="S1548" t="s">
        <v>10259</v>
      </c>
      <c r="U1548">
        <v>13380</v>
      </c>
      <c r="W1548">
        <v>121.1</v>
      </c>
      <c r="X1548" t="s">
        <v>449</v>
      </c>
      <c r="Y1548" t="s">
        <v>231</v>
      </c>
      <c r="AA1548" t="s">
        <v>10974</v>
      </c>
      <c r="AB1548" t="s">
        <v>742</v>
      </c>
      <c r="AD1548" t="s">
        <v>11085</v>
      </c>
      <c r="AF1548" t="s">
        <v>11118</v>
      </c>
      <c r="AH1548" t="s">
        <v>10974</v>
      </c>
      <c r="AJ1548" t="s">
        <v>11141</v>
      </c>
      <c r="AK1548" t="s">
        <v>7225</v>
      </c>
      <c r="AM1548">
        <v>668.6799999999999</v>
      </c>
      <c r="AO1548">
        <v>16</v>
      </c>
      <c r="AQ1548" t="s">
        <v>11157</v>
      </c>
      <c r="AS1548" t="s">
        <v>11104</v>
      </c>
      <c r="AU1548">
        <v>17</v>
      </c>
      <c r="AW1548" t="s">
        <v>11187</v>
      </c>
      <c r="AZ1548" t="s">
        <v>11221</v>
      </c>
      <c r="BE1548" t="s">
        <v>12576</v>
      </c>
      <c r="BG1548" t="s">
        <v>14766</v>
      </c>
      <c r="BM1548" t="s">
        <v>15650</v>
      </c>
    </row>
    <row r="1549" spans="1:67">
      <c r="A1549" s="1">
        <f>HYPERLINK("https://lsnyc.legalserver.org/matter/dynamic-profile/view/1888008","19-1888008")</f>
        <v>0</v>
      </c>
      <c r="B1549" t="s">
        <v>128</v>
      </c>
      <c r="C1549" t="s">
        <v>248</v>
      </c>
      <c r="D1549" t="s">
        <v>329</v>
      </c>
      <c r="F1549" t="s">
        <v>1296</v>
      </c>
      <c r="G1549" t="s">
        <v>3526</v>
      </c>
      <c r="H1549" t="s">
        <v>5344</v>
      </c>
      <c r="I1549" t="s">
        <v>6466</v>
      </c>
      <c r="J1549" t="s">
        <v>7174</v>
      </c>
      <c r="K1549">
        <v>11226</v>
      </c>
      <c r="N1549" t="s">
        <v>7237</v>
      </c>
      <c r="O1549" t="s">
        <v>8286</v>
      </c>
      <c r="P1549">
        <v>1</v>
      </c>
      <c r="Q1549">
        <v>0</v>
      </c>
      <c r="R1549">
        <v>91.83</v>
      </c>
      <c r="U1549">
        <v>11148</v>
      </c>
      <c r="W1549">
        <v>16.3</v>
      </c>
      <c r="X1549" t="s">
        <v>822</v>
      </c>
      <c r="Y1549" t="s">
        <v>81</v>
      </c>
      <c r="AA1549" t="s">
        <v>10974</v>
      </c>
      <c r="AB1549" t="s">
        <v>605</v>
      </c>
      <c r="AC1549" t="s">
        <v>11081</v>
      </c>
      <c r="AE1549" t="s">
        <v>11117</v>
      </c>
      <c r="AG1549" t="s">
        <v>11124</v>
      </c>
      <c r="AI1549" t="s">
        <v>11126</v>
      </c>
      <c r="AK1549" t="s">
        <v>7225</v>
      </c>
      <c r="AM1549">
        <v>5</v>
      </c>
      <c r="AN1549" t="s">
        <v>11151</v>
      </c>
      <c r="AO1549" t="s">
        <v>11153</v>
      </c>
      <c r="AP1549" t="s">
        <v>11155</v>
      </c>
      <c r="AR1549" t="s">
        <v>11172</v>
      </c>
      <c r="AT1549" t="s">
        <v>11184</v>
      </c>
      <c r="AU1549">
        <v>0</v>
      </c>
      <c r="AW1549" t="s">
        <v>11187</v>
      </c>
      <c r="AZ1549" t="s">
        <v>11221</v>
      </c>
      <c r="BE1549" t="s">
        <v>12577</v>
      </c>
      <c r="BF1549" t="s">
        <v>14364</v>
      </c>
      <c r="BM1549" t="s">
        <v>15650</v>
      </c>
    </row>
    <row r="1550" spans="1:67">
      <c r="A1550" s="1">
        <f>HYPERLINK("https://lsnyc.legalserver.org/matter/dynamic-profile/view/1838091","17-1838091")</f>
        <v>0</v>
      </c>
      <c r="B1550" t="s">
        <v>128</v>
      </c>
      <c r="C1550" t="s">
        <v>247</v>
      </c>
      <c r="D1550" t="s">
        <v>504</v>
      </c>
      <c r="F1550" t="s">
        <v>1831</v>
      </c>
      <c r="G1550" t="s">
        <v>3620</v>
      </c>
      <c r="H1550" t="s">
        <v>5194</v>
      </c>
      <c r="I1550" t="s">
        <v>6491</v>
      </c>
      <c r="J1550" t="s">
        <v>7177</v>
      </c>
      <c r="K1550">
        <v>11432</v>
      </c>
      <c r="N1550" t="s">
        <v>7237</v>
      </c>
      <c r="O1550" t="s">
        <v>8287</v>
      </c>
      <c r="P1550">
        <v>2</v>
      </c>
      <c r="Q1550">
        <v>0</v>
      </c>
      <c r="R1550">
        <v>110.84</v>
      </c>
      <c r="S1550" t="s">
        <v>10263</v>
      </c>
      <c r="U1550">
        <v>18000</v>
      </c>
      <c r="W1550">
        <v>7.4</v>
      </c>
      <c r="X1550" t="s">
        <v>876</v>
      </c>
      <c r="Y1550" t="s">
        <v>10926</v>
      </c>
      <c r="AA1550" t="s">
        <v>10974</v>
      </c>
      <c r="AB1550" t="s">
        <v>809</v>
      </c>
      <c r="AD1550" t="s">
        <v>11085</v>
      </c>
      <c r="AF1550" t="s">
        <v>11118</v>
      </c>
      <c r="AH1550" t="s">
        <v>10974</v>
      </c>
      <c r="AJ1550" t="s">
        <v>11129</v>
      </c>
      <c r="AK1550" t="s">
        <v>7225</v>
      </c>
      <c r="AM1550">
        <v>1300</v>
      </c>
      <c r="AO1550">
        <v>190</v>
      </c>
      <c r="AQ1550" t="s">
        <v>11157</v>
      </c>
      <c r="AS1550" t="s">
        <v>11173</v>
      </c>
      <c r="AU1550">
        <v>4</v>
      </c>
      <c r="AW1550" t="s">
        <v>11198</v>
      </c>
      <c r="AZ1550" t="s">
        <v>11221</v>
      </c>
      <c r="BB1550" t="s">
        <v>11224</v>
      </c>
      <c r="BC1550" t="s">
        <v>11333</v>
      </c>
      <c r="BE1550" t="s">
        <v>12578</v>
      </c>
      <c r="BF1550" t="s">
        <v>14364</v>
      </c>
      <c r="BG1550" t="s">
        <v>14767</v>
      </c>
      <c r="BM1550" t="s">
        <v>15650</v>
      </c>
    </row>
    <row r="1551" spans="1:67">
      <c r="A1551" s="1">
        <f>HYPERLINK("https://lsnyc.legalserver.org/matter/dynamic-profile/view/0804116","16-0804116")</f>
        <v>0</v>
      </c>
      <c r="B1551" t="s">
        <v>128</v>
      </c>
      <c r="C1551" t="s">
        <v>248</v>
      </c>
      <c r="D1551" t="s">
        <v>739</v>
      </c>
      <c r="F1551" t="s">
        <v>1346</v>
      </c>
      <c r="G1551" t="s">
        <v>3125</v>
      </c>
      <c r="H1551" t="s">
        <v>4980</v>
      </c>
      <c r="I1551" t="s">
        <v>6545</v>
      </c>
      <c r="J1551" t="s">
        <v>7174</v>
      </c>
      <c r="K1551">
        <v>11225</v>
      </c>
      <c r="N1551" t="s">
        <v>7237</v>
      </c>
      <c r="O1551" t="s">
        <v>7557</v>
      </c>
      <c r="P1551">
        <v>2</v>
      </c>
      <c r="Q1551">
        <v>0</v>
      </c>
      <c r="R1551">
        <v>99.33</v>
      </c>
      <c r="U1551">
        <v>15912</v>
      </c>
      <c r="W1551">
        <v>0.9</v>
      </c>
      <c r="X1551" t="s">
        <v>648</v>
      </c>
      <c r="Y1551" t="s">
        <v>10874</v>
      </c>
      <c r="AA1551" t="s">
        <v>10974</v>
      </c>
      <c r="AB1551" t="s">
        <v>348</v>
      </c>
      <c r="AD1551" t="s">
        <v>11085</v>
      </c>
      <c r="AF1551" t="s">
        <v>11118</v>
      </c>
      <c r="AH1551" t="s">
        <v>10974</v>
      </c>
      <c r="AJ1551" t="s">
        <v>11141</v>
      </c>
      <c r="AK1551" t="s">
        <v>7225</v>
      </c>
      <c r="AM1551">
        <v>1129</v>
      </c>
      <c r="AO1551">
        <v>8</v>
      </c>
      <c r="AQ1551" t="s">
        <v>11157</v>
      </c>
      <c r="AR1551" t="s">
        <v>11172</v>
      </c>
      <c r="AU1551">
        <v>34</v>
      </c>
      <c r="AW1551" t="s">
        <v>11187</v>
      </c>
      <c r="AZ1551" t="s">
        <v>11221</v>
      </c>
      <c r="BD1551" t="s">
        <v>11667</v>
      </c>
      <c r="BG1551" t="s">
        <v>14765</v>
      </c>
      <c r="BM1551" t="s">
        <v>15650</v>
      </c>
    </row>
    <row r="1552" spans="1:67">
      <c r="A1552" s="1">
        <f>HYPERLINK("https://lsnyc.legalserver.org/matter/dynamic-profile/view/1851547","17-1851547")</f>
        <v>0</v>
      </c>
      <c r="B1552" t="s">
        <v>128</v>
      </c>
      <c r="C1552" t="s">
        <v>247</v>
      </c>
      <c r="D1552" t="s">
        <v>743</v>
      </c>
      <c r="F1552" t="s">
        <v>1832</v>
      </c>
      <c r="G1552" t="s">
        <v>3051</v>
      </c>
      <c r="H1552" t="s">
        <v>5194</v>
      </c>
      <c r="I1552" t="s">
        <v>6491</v>
      </c>
      <c r="J1552" t="s">
        <v>7177</v>
      </c>
      <c r="K1552">
        <v>11432</v>
      </c>
      <c r="N1552" t="s">
        <v>7237</v>
      </c>
      <c r="O1552" t="s">
        <v>8287</v>
      </c>
      <c r="P1552">
        <v>2</v>
      </c>
      <c r="Q1552">
        <v>0</v>
      </c>
      <c r="R1552">
        <v>129.31</v>
      </c>
      <c r="S1552" t="s">
        <v>10263</v>
      </c>
      <c r="U1552">
        <v>21000</v>
      </c>
      <c r="W1552">
        <v>53.45</v>
      </c>
      <c r="X1552" t="s">
        <v>441</v>
      </c>
      <c r="Y1552" t="s">
        <v>128</v>
      </c>
      <c r="AA1552" t="s">
        <v>10974</v>
      </c>
      <c r="AB1552" t="s">
        <v>743</v>
      </c>
      <c r="AD1552" t="s">
        <v>11096</v>
      </c>
      <c r="AF1552" t="s">
        <v>11122</v>
      </c>
      <c r="AH1552" t="s">
        <v>10975</v>
      </c>
      <c r="AJ1552" t="s">
        <v>11130</v>
      </c>
      <c r="AK1552" t="s">
        <v>7225</v>
      </c>
      <c r="AM1552">
        <v>1175</v>
      </c>
      <c r="AO1552">
        <v>190</v>
      </c>
      <c r="AQ1552" t="s">
        <v>11157</v>
      </c>
      <c r="AS1552" t="s">
        <v>11173</v>
      </c>
      <c r="AU1552">
        <v>5</v>
      </c>
      <c r="AW1552" t="s">
        <v>11198</v>
      </c>
      <c r="AZ1552" t="s">
        <v>11221</v>
      </c>
      <c r="BC1552" t="s">
        <v>11228</v>
      </c>
      <c r="BE1552" t="s">
        <v>12578</v>
      </c>
      <c r="BG1552" t="s">
        <v>14768</v>
      </c>
      <c r="BM1552" t="s">
        <v>15650</v>
      </c>
    </row>
    <row r="1553" spans="1:65">
      <c r="A1553" s="1">
        <f>HYPERLINK("https://lsnyc.legalserver.org/matter/dynamic-profile/view/0805850","16-0805850")</f>
        <v>0</v>
      </c>
      <c r="B1553" t="s">
        <v>128</v>
      </c>
      <c r="C1553" t="s">
        <v>248</v>
      </c>
      <c r="D1553" t="s">
        <v>744</v>
      </c>
      <c r="F1553" t="s">
        <v>1106</v>
      </c>
      <c r="G1553" t="s">
        <v>3124</v>
      </c>
      <c r="H1553" t="s">
        <v>4979</v>
      </c>
      <c r="I1553">
        <v>2</v>
      </c>
      <c r="J1553" t="s">
        <v>7174</v>
      </c>
      <c r="K1553">
        <v>11225</v>
      </c>
      <c r="N1553" t="s">
        <v>7237</v>
      </c>
      <c r="O1553" t="s">
        <v>7556</v>
      </c>
      <c r="P1553">
        <v>1</v>
      </c>
      <c r="Q1553">
        <v>1</v>
      </c>
      <c r="R1553">
        <v>146.07</v>
      </c>
      <c r="S1553" t="s">
        <v>10259</v>
      </c>
      <c r="U1553">
        <v>23400</v>
      </c>
      <c r="V1553" t="s">
        <v>10413</v>
      </c>
      <c r="W1553">
        <v>0.6</v>
      </c>
      <c r="X1553" t="s">
        <v>648</v>
      </c>
      <c r="Y1553" t="s">
        <v>231</v>
      </c>
      <c r="AA1553" t="s">
        <v>10974</v>
      </c>
      <c r="AB1553" t="s">
        <v>494</v>
      </c>
      <c r="AD1553" t="s">
        <v>11085</v>
      </c>
      <c r="AF1553" t="s">
        <v>11118</v>
      </c>
      <c r="AH1553" t="s">
        <v>10974</v>
      </c>
      <c r="AJ1553" t="s">
        <v>11141</v>
      </c>
      <c r="AK1553" t="s">
        <v>7225</v>
      </c>
      <c r="AM1553">
        <v>900.65</v>
      </c>
      <c r="AO1553">
        <v>3</v>
      </c>
      <c r="AQ1553" t="s">
        <v>11157</v>
      </c>
      <c r="AR1553" t="s">
        <v>11172</v>
      </c>
      <c r="AU1553">
        <v>18</v>
      </c>
      <c r="AW1553" t="s">
        <v>11187</v>
      </c>
      <c r="AZ1553" t="s">
        <v>11221</v>
      </c>
      <c r="BE1553" t="s">
        <v>11934</v>
      </c>
      <c r="BG1553" t="s">
        <v>14765</v>
      </c>
      <c r="BM1553" t="s">
        <v>15650</v>
      </c>
    </row>
    <row r="1554" spans="1:65">
      <c r="A1554" s="1">
        <f>HYPERLINK("https://lsnyc.legalserver.org/matter/dynamic-profile/view/0804114","16-0804114")</f>
        <v>0</v>
      </c>
      <c r="B1554" t="s">
        <v>128</v>
      </c>
      <c r="C1554" t="s">
        <v>248</v>
      </c>
      <c r="D1554" t="s">
        <v>739</v>
      </c>
      <c r="F1554" t="s">
        <v>1138</v>
      </c>
      <c r="G1554" t="s">
        <v>3130</v>
      </c>
      <c r="H1554" t="s">
        <v>4980</v>
      </c>
      <c r="I1554" t="s">
        <v>6548</v>
      </c>
      <c r="J1554" t="s">
        <v>7174</v>
      </c>
      <c r="K1554">
        <v>11225</v>
      </c>
      <c r="M1554" t="s">
        <v>7225</v>
      </c>
      <c r="N1554" t="s">
        <v>7237</v>
      </c>
      <c r="O1554" t="s">
        <v>7563</v>
      </c>
      <c r="P1554">
        <v>3</v>
      </c>
      <c r="Q1554">
        <v>0</v>
      </c>
      <c r="R1554">
        <v>238.1</v>
      </c>
      <c r="U1554">
        <v>48000</v>
      </c>
      <c r="W1554">
        <v>4.1</v>
      </c>
      <c r="X1554" t="s">
        <v>1034</v>
      </c>
      <c r="Y1554" t="s">
        <v>10874</v>
      </c>
      <c r="AA1554" t="s">
        <v>10974</v>
      </c>
      <c r="AB1554" t="s">
        <v>11018</v>
      </c>
      <c r="AD1554" t="s">
        <v>11085</v>
      </c>
      <c r="AF1554" t="s">
        <v>11118</v>
      </c>
      <c r="AH1554" t="s">
        <v>10974</v>
      </c>
      <c r="AJ1554" t="s">
        <v>11141</v>
      </c>
      <c r="AK1554" t="s">
        <v>7225</v>
      </c>
      <c r="AM1554">
        <v>2180</v>
      </c>
      <c r="AO1554">
        <v>8</v>
      </c>
      <c r="AQ1554" t="s">
        <v>11157</v>
      </c>
      <c r="AR1554" t="s">
        <v>11172</v>
      </c>
      <c r="AU1554">
        <v>25</v>
      </c>
      <c r="AW1554" t="s">
        <v>11187</v>
      </c>
      <c r="AZ1554" t="s">
        <v>11221</v>
      </c>
      <c r="BE1554" t="s">
        <v>11940</v>
      </c>
      <c r="BG1554" t="s">
        <v>14765</v>
      </c>
      <c r="BM1554" t="s">
        <v>15650</v>
      </c>
    </row>
    <row r="1555" spans="1:65">
      <c r="A1555" s="1">
        <f>HYPERLINK("https://lsnyc.legalserver.org/matter/dynamic-profile/view/0806036","16-0806036")</f>
        <v>0</v>
      </c>
      <c r="B1555" t="s">
        <v>128</v>
      </c>
      <c r="C1555" t="s">
        <v>247</v>
      </c>
      <c r="D1555" t="s">
        <v>745</v>
      </c>
      <c r="F1555" t="s">
        <v>1831</v>
      </c>
      <c r="G1555" t="s">
        <v>3051</v>
      </c>
      <c r="H1555" t="s">
        <v>5194</v>
      </c>
      <c r="I1555" t="s">
        <v>6491</v>
      </c>
      <c r="J1555" t="s">
        <v>7177</v>
      </c>
      <c r="K1555">
        <v>11432</v>
      </c>
      <c r="M1555" t="s">
        <v>7229</v>
      </c>
      <c r="N1555" t="s">
        <v>7237</v>
      </c>
      <c r="O1555" t="s">
        <v>8287</v>
      </c>
      <c r="P1555">
        <v>2</v>
      </c>
      <c r="Q1555">
        <v>0</v>
      </c>
      <c r="R1555">
        <v>112.36</v>
      </c>
      <c r="S1555" t="s">
        <v>10263</v>
      </c>
      <c r="U1555">
        <v>18000</v>
      </c>
      <c r="V1555" t="s">
        <v>10414</v>
      </c>
      <c r="W1555">
        <v>13.25</v>
      </c>
      <c r="X1555" t="s">
        <v>10821</v>
      </c>
      <c r="Y1555" t="s">
        <v>10927</v>
      </c>
      <c r="AA1555" t="s">
        <v>10974</v>
      </c>
      <c r="AB1555" t="s">
        <v>1056</v>
      </c>
      <c r="AD1555" t="s">
        <v>11085</v>
      </c>
      <c r="AF1555" t="s">
        <v>11118</v>
      </c>
      <c r="AH1555" t="s">
        <v>10975</v>
      </c>
      <c r="AJ1555" t="s">
        <v>11129</v>
      </c>
      <c r="AK1555" t="s">
        <v>7225</v>
      </c>
      <c r="AM1555">
        <v>1175</v>
      </c>
      <c r="AO1555">
        <v>170</v>
      </c>
      <c r="AQ1555" t="s">
        <v>11157</v>
      </c>
      <c r="AS1555" t="s">
        <v>11173</v>
      </c>
      <c r="AU1555">
        <v>3</v>
      </c>
      <c r="AW1555" t="s">
        <v>11198</v>
      </c>
      <c r="AZ1555" t="s">
        <v>11221</v>
      </c>
      <c r="BB1555" t="s">
        <v>11224</v>
      </c>
      <c r="BC1555" t="s">
        <v>11333</v>
      </c>
      <c r="BE1555" t="s">
        <v>12578</v>
      </c>
      <c r="BF1555" t="s">
        <v>14364</v>
      </c>
      <c r="BM1555" t="s">
        <v>15650</v>
      </c>
    </row>
    <row r="1556" spans="1:65">
      <c r="A1556" s="1">
        <f>HYPERLINK("https://lsnyc.legalserver.org/matter/dynamic-profile/view/0822954","16-0822954")</f>
        <v>0</v>
      </c>
      <c r="B1556" t="s">
        <v>128</v>
      </c>
      <c r="C1556" t="s">
        <v>248</v>
      </c>
      <c r="D1556" t="s">
        <v>746</v>
      </c>
      <c r="F1556" t="s">
        <v>1833</v>
      </c>
      <c r="G1556" t="s">
        <v>3124</v>
      </c>
      <c r="H1556" t="s">
        <v>5345</v>
      </c>
      <c r="I1556">
        <v>2</v>
      </c>
      <c r="J1556" t="s">
        <v>7174</v>
      </c>
      <c r="K1556">
        <v>11225</v>
      </c>
      <c r="N1556" t="s">
        <v>7237</v>
      </c>
      <c r="O1556" t="s">
        <v>8288</v>
      </c>
      <c r="P1556">
        <v>2</v>
      </c>
      <c r="Q1556">
        <v>1</v>
      </c>
      <c r="R1556">
        <v>43.63</v>
      </c>
      <c r="S1556" t="s">
        <v>10259</v>
      </c>
      <c r="U1556">
        <v>8796</v>
      </c>
      <c r="W1556">
        <v>21.58</v>
      </c>
      <c r="X1556" t="s">
        <v>518</v>
      </c>
      <c r="Y1556" t="s">
        <v>10901</v>
      </c>
      <c r="AA1556" t="s">
        <v>10974</v>
      </c>
      <c r="AB1556" t="s">
        <v>992</v>
      </c>
      <c r="AC1556" t="s">
        <v>11081</v>
      </c>
      <c r="AF1556" t="s">
        <v>11118</v>
      </c>
      <c r="AH1556" t="s">
        <v>10974</v>
      </c>
      <c r="AJ1556" t="s">
        <v>11140</v>
      </c>
      <c r="AK1556" t="s">
        <v>7225</v>
      </c>
      <c r="AM1556">
        <v>468.21</v>
      </c>
      <c r="AO1556">
        <v>2</v>
      </c>
      <c r="AQ1556" t="s">
        <v>11163</v>
      </c>
      <c r="AR1556" t="s">
        <v>11172</v>
      </c>
      <c r="AU1556">
        <v>19</v>
      </c>
      <c r="AW1556" t="s">
        <v>11187</v>
      </c>
      <c r="AZ1556" t="s">
        <v>11221</v>
      </c>
      <c r="BB1556" t="s">
        <v>11224</v>
      </c>
      <c r="BC1556" t="s">
        <v>11372</v>
      </c>
      <c r="BE1556" t="s">
        <v>12579</v>
      </c>
      <c r="BF1556" t="s">
        <v>14364</v>
      </c>
      <c r="BM1556" t="s">
        <v>15650</v>
      </c>
    </row>
    <row r="1557" spans="1:65">
      <c r="A1557" s="1">
        <f>HYPERLINK("https://lsnyc.legalserver.org/matter/dynamic-profile/view/0817108","16-0817108")</f>
        <v>0</v>
      </c>
      <c r="B1557" t="s">
        <v>128</v>
      </c>
      <c r="C1557" t="s">
        <v>248</v>
      </c>
      <c r="D1557" t="s">
        <v>740</v>
      </c>
      <c r="F1557" t="s">
        <v>1166</v>
      </c>
      <c r="G1557" t="s">
        <v>3131</v>
      </c>
      <c r="H1557" t="s">
        <v>4983</v>
      </c>
      <c r="I1557">
        <v>2</v>
      </c>
      <c r="J1557" t="s">
        <v>7174</v>
      </c>
      <c r="K1557">
        <v>11225</v>
      </c>
      <c r="N1557" t="s">
        <v>7237</v>
      </c>
      <c r="O1557" t="s">
        <v>7565</v>
      </c>
      <c r="P1557">
        <v>2</v>
      </c>
      <c r="Q1557">
        <v>0</v>
      </c>
      <c r="R1557">
        <v>31.15</v>
      </c>
      <c r="S1557" t="s">
        <v>10259</v>
      </c>
      <c r="U1557">
        <v>4990.92</v>
      </c>
      <c r="W1557">
        <v>14.9</v>
      </c>
      <c r="X1557" t="s">
        <v>1034</v>
      </c>
      <c r="Y1557" t="s">
        <v>231</v>
      </c>
      <c r="AA1557" t="s">
        <v>10974</v>
      </c>
      <c r="AB1557" t="s">
        <v>740</v>
      </c>
      <c r="AD1557" t="s">
        <v>11085</v>
      </c>
      <c r="AF1557" t="s">
        <v>11118</v>
      </c>
      <c r="AH1557" t="s">
        <v>10974</v>
      </c>
      <c r="AJ1557" t="s">
        <v>11141</v>
      </c>
      <c r="AK1557" t="s">
        <v>7225</v>
      </c>
      <c r="AM1557">
        <v>936.53</v>
      </c>
      <c r="AO1557">
        <v>16</v>
      </c>
      <c r="AQ1557" t="s">
        <v>11157</v>
      </c>
      <c r="AS1557" t="s">
        <v>11173</v>
      </c>
      <c r="AU1557">
        <v>20</v>
      </c>
      <c r="AW1557" t="s">
        <v>11189</v>
      </c>
      <c r="AZ1557" t="s">
        <v>11221</v>
      </c>
      <c r="BE1557" t="s">
        <v>11942</v>
      </c>
      <c r="BG1557" t="s">
        <v>14765</v>
      </c>
      <c r="BM1557" t="s">
        <v>15650</v>
      </c>
    </row>
    <row r="1558" spans="1:65">
      <c r="A1558" s="1">
        <f>HYPERLINK("https://lsnyc.legalserver.org/matter/dynamic-profile/view/0817110","16-0817110")</f>
        <v>0</v>
      </c>
      <c r="B1558" t="s">
        <v>128</v>
      </c>
      <c r="C1558" t="s">
        <v>248</v>
      </c>
      <c r="D1558" t="s">
        <v>740</v>
      </c>
      <c r="F1558" t="s">
        <v>1138</v>
      </c>
      <c r="G1558" t="s">
        <v>3128</v>
      </c>
      <c r="H1558" t="s">
        <v>4981</v>
      </c>
      <c r="I1558" t="s">
        <v>6546</v>
      </c>
      <c r="J1558" t="s">
        <v>7174</v>
      </c>
      <c r="K1558">
        <v>11225</v>
      </c>
      <c r="N1558" t="s">
        <v>7237</v>
      </c>
      <c r="O1558" t="s">
        <v>7561</v>
      </c>
      <c r="P1558">
        <v>3</v>
      </c>
      <c r="Q1558">
        <v>0</v>
      </c>
      <c r="R1558">
        <v>15.95</v>
      </c>
      <c r="S1558" t="s">
        <v>10259</v>
      </c>
      <c r="U1558">
        <v>3216</v>
      </c>
      <c r="W1558">
        <v>8.6</v>
      </c>
      <c r="X1558" t="s">
        <v>318</v>
      </c>
      <c r="Y1558" t="s">
        <v>231</v>
      </c>
      <c r="AA1558" t="s">
        <v>10974</v>
      </c>
      <c r="AB1558" t="s">
        <v>646</v>
      </c>
      <c r="AD1558" t="s">
        <v>11085</v>
      </c>
      <c r="AF1558" t="s">
        <v>11118</v>
      </c>
      <c r="AH1558" t="s">
        <v>10974</v>
      </c>
      <c r="AJ1558" t="s">
        <v>11130</v>
      </c>
      <c r="AK1558" t="s">
        <v>7225</v>
      </c>
      <c r="AM1558">
        <v>914.15</v>
      </c>
      <c r="AO1558">
        <v>16</v>
      </c>
      <c r="AQ1558" t="s">
        <v>11157</v>
      </c>
      <c r="AS1558" t="s">
        <v>11173</v>
      </c>
      <c r="AU1558">
        <v>17</v>
      </c>
      <c r="AW1558" t="s">
        <v>11187</v>
      </c>
      <c r="AZ1558" t="s">
        <v>11221</v>
      </c>
      <c r="BE1558" t="s">
        <v>11938</v>
      </c>
      <c r="BG1558" t="s">
        <v>14766</v>
      </c>
      <c r="BM1558" t="s">
        <v>15650</v>
      </c>
    </row>
    <row r="1559" spans="1:65">
      <c r="A1559" s="1">
        <f>HYPERLINK("https://lsnyc.legalserver.org/matter/dynamic-profile/view/0806096","16-0806096")</f>
        <v>0</v>
      </c>
      <c r="B1559" t="s">
        <v>128</v>
      </c>
      <c r="C1559" t="s">
        <v>248</v>
      </c>
      <c r="D1559" t="s">
        <v>747</v>
      </c>
      <c r="F1559" t="s">
        <v>1348</v>
      </c>
      <c r="G1559" t="s">
        <v>3126</v>
      </c>
      <c r="H1559" t="s">
        <v>4981</v>
      </c>
      <c r="I1559" t="s">
        <v>6417</v>
      </c>
      <c r="J1559" t="s">
        <v>7174</v>
      </c>
      <c r="K1559">
        <v>11225</v>
      </c>
      <c r="N1559" t="s">
        <v>7237</v>
      </c>
      <c r="O1559" t="s">
        <v>7559</v>
      </c>
      <c r="P1559">
        <v>1</v>
      </c>
      <c r="Q1559">
        <v>0</v>
      </c>
      <c r="R1559">
        <v>87.54000000000001</v>
      </c>
      <c r="S1559" t="s">
        <v>10259</v>
      </c>
      <c r="U1559">
        <v>10400</v>
      </c>
      <c r="W1559">
        <v>1</v>
      </c>
      <c r="X1559" t="s">
        <v>1065</v>
      </c>
      <c r="Y1559" t="s">
        <v>231</v>
      </c>
      <c r="AA1559" t="s">
        <v>10974</v>
      </c>
      <c r="AB1559" t="s">
        <v>646</v>
      </c>
      <c r="AD1559" t="s">
        <v>11085</v>
      </c>
      <c r="AF1559" t="s">
        <v>11118</v>
      </c>
      <c r="AH1559" t="s">
        <v>10974</v>
      </c>
      <c r="AJ1559" t="s">
        <v>11140</v>
      </c>
      <c r="AK1559" t="s">
        <v>7225</v>
      </c>
      <c r="AM1559">
        <v>794.29</v>
      </c>
      <c r="AO1559">
        <v>16</v>
      </c>
      <c r="AQ1559" t="s">
        <v>11157</v>
      </c>
      <c r="AR1559" t="s">
        <v>11172</v>
      </c>
      <c r="AU1559">
        <v>17</v>
      </c>
      <c r="AW1559" t="s">
        <v>11187</v>
      </c>
      <c r="AZ1559" t="s">
        <v>11221</v>
      </c>
      <c r="BE1559" t="s">
        <v>11936</v>
      </c>
      <c r="BG1559" t="s">
        <v>14765</v>
      </c>
      <c r="BM1559" t="s">
        <v>15650</v>
      </c>
    </row>
    <row r="1560" spans="1:65">
      <c r="A1560" s="1">
        <f>HYPERLINK("https://lsnyc.legalserver.org/matter/dynamic-profile/view/1835565","17-1835565")</f>
        <v>0</v>
      </c>
      <c r="B1560" t="s">
        <v>128</v>
      </c>
      <c r="C1560" t="s">
        <v>247</v>
      </c>
      <c r="D1560" t="s">
        <v>363</v>
      </c>
      <c r="F1560" t="s">
        <v>1649</v>
      </c>
      <c r="G1560" t="s">
        <v>3411</v>
      </c>
      <c r="H1560" t="s">
        <v>5346</v>
      </c>
      <c r="I1560" t="s">
        <v>6417</v>
      </c>
      <c r="J1560" t="s">
        <v>7177</v>
      </c>
      <c r="K1560">
        <v>11432</v>
      </c>
      <c r="N1560" t="s">
        <v>7237</v>
      </c>
      <c r="O1560" t="s">
        <v>7983</v>
      </c>
      <c r="P1560">
        <v>2</v>
      </c>
      <c r="Q1560">
        <v>2</v>
      </c>
      <c r="R1560">
        <v>170.73</v>
      </c>
      <c r="S1560" t="s">
        <v>10263</v>
      </c>
      <c r="U1560">
        <v>42000</v>
      </c>
      <c r="W1560">
        <v>31.4</v>
      </c>
      <c r="X1560" t="s">
        <v>964</v>
      </c>
      <c r="Y1560" t="s">
        <v>10928</v>
      </c>
      <c r="AA1560" t="s">
        <v>10974</v>
      </c>
      <c r="AB1560" t="s">
        <v>363</v>
      </c>
      <c r="AD1560" t="s">
        <v>11083</v>
      </c>
      <c r="AF1560" t="s">
        <v>11118</v>
      </c>
      <c r="AH1560" t="s">
        <v>10975</v>
      </c>
      <c r="AJ1560" t="s">
        <v>11129</v>
      </c>
      <c r="AK1560" t="s">
        <v>7225</v>
      </c>
      <c r="AM1560">
        <v>1150</v>
      </c>
      <c r="AO1560">
        <v>168</v>
      </c>
      <c r="AQ1560" t="s">
        <v>11157</v>
      </c>
      <c r="AS1560" t="s">
        <v>11173</v>
      </c>
      <c r="AU1560">
        <v>9</v>
      </c>
      <c r="AW1560" t="s">
        <v>11198</v>
      </c>
      <c r="AZ1560" t="s">
        <v>11221</v>
      </c>
      <c r="BC1560" t="s">
        <v>11228</v>
      </c>
      <c r="BE1560" t="s">
        <v>12310</v>
      </c>
      <c r="BF1560" t="s">
        <v>14364</v>
      </c>
      <c r="BG1560" t="s">
        <v>14769</v>
      </c>
      <c r="BM1560" t="s">
        <v>15650</v>
      </c>
    </row>
    <row r="1561" spans="1:65">
      <c r="A1561" s="1">
        <f>HYPERLINK("https://lsnyc.legalserver.org/matter/dynamic-profile/view/1870497","18-1870497")</f>
        <v>0</v>
      </c>
      <c r="B1561" t="s">
        <v>129</v>
      </c>
      <c r="C1561" t="s">
        <v>248</v>
      </c>
      <c r="D1561" t="s">
        <v>641</v>
      </c>
      <c r="F1561" t="s">
        <v>1834</v>
      </c>
      <c r="G1561" t="s">
        <v>3325</v>
      </c>
      <c r="H1561" t="s">
        <v>5347</v>
      </c>
      <c r="I1561" t="s">
        <v>6583</v>
      </c>
      <c r="J1561" t="s">
        <v>7174</v>
      </c>
      <c r="K1561">
        <v>11208</v>
      </c>
      <c r="N1561" t="s">
        <v>7237</v>
      </c>
      <c r="O1561" t="s">
        <v>8289</v>
      </c>
      <c r="P1561">
        <v>1</v>
      </c>
      <c r="Q1561">
        <v>0</v>
      </c>
      <c r="R1561">
        <v>0</v>
      </c>
      <c r="U1561">
        <v>0</v>
      </c>
      <c r="W1561">
        <v>25.8</v>
      </c>
      <c r="X1561" t="s">
        <v>669</v>
      </c>
      <c r="Y1561" t="s">
        <v>10874</v>
      </c>
      <c r="Z1561" t="s">
        <v>10972</v>
      </c>
      <c r="AA1561" t="s">
        <v>10976</v>
      </c>
      <c r="AD1561" t="s">
        <v>11101</v>
      </c>
      <c r="AE1561" t="s">
        <v>11117</v>
      </c>
      <c r="AG1561" t="s">
        <v>11124</v>
      </c>
      <c r="AI1561" t="s">
        <v>11126</v>
      </c>
      <c r="AK1561" t="s">
        <v>7225</v>
      </c>
      <c r="AM1561">
        <v>800</v>
      </c>
      <c r="AO1561">
        <v>8</v>
      </c>
      <c r="AQ1561" t="s">
        <v>11157</v>
      </c>
      <c r="AS1561" t="s">
        <v>11176</v>
      </c>
      <c r="AT1561" t="s">
        <v>11184</v>
      </c>
      <c r="AU1561">
        <v>0</v>
      </c>
      <c r="AW1561" t="s">
        <v>11187</v>
      </c>
      <c r="AX1561" t="s">
        <v>11212</v>
      </c>
      <c r="AZ1561" t="s">
        <v>11221</v>
      </c>
      <c r="BE1561" t="s">
        <v>12580</v>
      </c>
      <c r="BF1561" t="s">
        <v>14364</v>
      </c>
      <c r="BG1561" t="s">
        <v>14770</v>
      </c>
      <c r="BM1561" t="s">
        <v>15650</v>
      </c>
    </row>
    <row r="1562" spans="1:65">
      <c r="A1562" s="1">
        <f>HYPERLINK("https://lsnyc.legalserver.org/matter/dynamic-profile/view/1870507","18-1870507")</f>
        <v>0</v>
      </c>
      <c r="B1562" t="s">
        <v>129</v>
      </c>
      <c r="C1562" t="s">
        <v>248</v>
      </c>
      <c r="D1562" t="s">
        <v>641</v>
      </c>
      <c r="F1562" t="s">
        <v>1177</v>
      </c>
      <c r="G1562" t="s">
        <v>3621</v>
      </c>
      <c r="H1562" t="s">
        <v>5347</v>
      </c>
      <c r="I1562" t="s">
        <v>6757</v>
      </c>
      <c r="J1562" t="s">
        <v>7174</v>
      </c>
      <c r="K1562">
        <v>11208</v>
      </c>
      <c r="N1562" t="s">
        <v>7237</v>
      </c>
      <c r="O1562" t="s">
        <v>8290</v>
      </c>
      <c r="P1562">
        <v>1</v>
      </c>
      <c r="Q1562">
        <v>0</v>
      </c>
      <c r="R1562">
        <v>0</v>
      </c>
      <c r="U1562">
        <v>0</v>
      </c>
      <c r="W1562">
        <v>17.8</v>
      </c>
      <c r="X1562" t="s">
        <v>669</v>
      </c>
      <c r="Y1562" t="s">
        <v>10874</v>
      </c>
      <c r="Z1562" t="s">
        <v>10972</v>
      </c>
      <c r="AA1562" t="s">
        <v>10976</v>
      </c>
      <c r="AD1562" t="s">
        <v>11101</v>
      </c>
      <c r="AE1562" t="s">
        <v>11117</v>
      </c>
      <c r="AG1562" t="s">
        <v>11124</v>
      </c>
      <c r="AI1562" t="s">
        <v>11126</v>
      </c>
      <c r="AK1562" t="s">
        <v>7225</v>
      </c>
      <c r="AM1562">
        <v>700</v>
      </c>
      <c r="AN1562" t="s">
        <v>11151</v>
      </c>
      <c r="AO1562" t="s">
        <v>11153</v>
      </c>
      <c r="AP1562" t="s">
        <v>11155</v>
      </c>
      <c r="AS1562" t="s">
        <v>11104</v>
      </c>
      <c r="AU1562">
        <v>2</v>
      </c>
      <c r="AW1562" t="s">
        <v>11187</v>
      </c>
      <c r="AX1562" t="s">
        <v>11212</v>
      </c>
      <c r="AZ1562" t="s">
        <v>11221</v>
      </c>
      <c r="BE1562" t="s">
        <v>12581</v>
      </c>
      <c r="BF1562" t="s">
        <v>14364</v>
      </c>
      <c r="BG1562" t="s">
        <v>14770</v>
      </c>
      <c r="BM1562" t="s">
        <v>15650</v>
      </c>
    </row>
    <row r="1563" spans="1:65">
      <c r="A1563" s="1">
        <f>HYPERLINK("https://lsnyc.legalserver.org/matter/dynamic-profile/view/1903832","19-1903832")</f>
        <v>0</v>
      </c>
      <c r="B1563" t="s">
        <v>129</v>
      </c>
      <c r="C1563" t="s">
        <v>248</v>
      </c>
      <c r="D1563" t="s">
        <v>260</v>
      </c>
      <c r="F1563" t="s">
        <v>1516</v>
      </c>
      <c r="G1563" t="s">
        <v>3622</v>
      </c>
      <c r="H1563" t="s">
        <v>5348</v>
      </c>
      <c r="I1563" t="s">
        <v>6430</v>
      </c>
      <c r="J1563" t="s">
        <v>7174</v>
      </c>
      <c r="K1563">
        <v>11208</v>
      </c>
      <c r="N1563" t="s">
        <v>7237</v>
      </c>
      <c r="O1563" t="s">
        <v>8291</v>
      </c>
      <c r="P1563">
        <v>1</v>
      </c>
      <c r="Q1563">
        <v>1</v>
      </c>
      <c r="R1563">
        <v>122.27</v>
      </c>
      <c r="U1563">
        <v>20676</v>
      </c>
      <c r="W1563">
        <v>3.6</v>
      </c>
      <c r="X1563" t="s">
        <v>265</v>
      </c>
      <c r="Y1563" t="s">
        <v>10888</v>
      </c>
      <c r="Z1563" t="s">
        <v>10972</v>
      </c>
      <c r="AA1563" t="s">
        <v>10975</v>
      </c>
      <c r="AD1563" t="s">
        <v>11086</v>
      </c>
      <c r="AF1563" t="s">
        <v>11119</v>
      </c>
      <c r="AH1563" t="s">
        <v>10975</v>
      </c>
      <c r="AI1563" t="s">
        <v>11126</v>
      </c>
      <c r="AK1563" t="s">
        <v>7225</v>
      </c>
      <c r="AM1563">
        <v>1820</v>
      </c>
      <c r="AO1563">
        <v>4</v>
      </c>
      <c r="AQ1563" t="s">
        <v>11164</v>
      </c>
      <c r="AS1563" t="s">
        <v>11173</v>
      </c>
      <c r="AU1563">
        <v>1</v>
      </c>
      <c r="AW1563" t="s">
        <v>11187</v>
      </c>
      <c r="AY1563" t="s">
        <v>11213</v>
      </c>
      <c r="AZ1563" t="s">
        <v>11221</v>
      </c>
      <c r="BA1563" t="s">
        <v>11173</v>
      </c>
      <c r="BC1563" t="s">
        <v>11230</v>
      </c>
      <c r="BE1563" t="s">
        <v>12582</v>
      </c>
      <c r="BF1563" t="s">
        <v>14364</v>
      </c>
      <c r="BG1563" t="s">
        <v>11173</v>
      </c>
      <c r="BM1563" t="s">
        <v>15650</v>
      </c>
    </row>
    <row r="1564" spans="1:65">
      <c r="A1564" s="1">
        <f>HYPERLINK("https://lsnyc.legalserver.org/matter/dynamic-profile/view/1870491","18-1870491")</f>
        <v>0</v>
      </c>
      <c r="B1564" t="s">
        <v>129</v>
      </c>
      <c r="C1564" t="s">
        <v>248</v>
      </c>
      <c r="D1564" t="s">
        <v>641</v>
      </c>
      <c r="F1564" t="s">
        <v>1835</v>
      </c>
      <c r="G1564" t="s">
        <v>3623</v>
      </c>
      <c r="H1564" t="s">
        <v>5347</v>
      </c>
      <c r="I1564" t="s">
        <v>6412</v>
      </c>
      <c r="J1564" t="s">
        <v>7174</v>
      </c>
      <c r="K1564">
        <v>11208</v>
      </c>
      <c r="N1564" t="s">
        <v>7237</v>
      </c>
      <c r="O1564" t="s">
        <v>8292</v>
      </c>
      <c r="P1564">
        <v>1</v>
      </c>
      <c r="Q1564">
        <v>1</v>
      </c>
      <c r="R1564">
        <v>76.48</v>
      </c>
      <c r="U1564">
        <v>12588</v>
      </c>
      <c r="W1564">
        <v>35</v>
      </c>
      <c r="X1564" t="s">
        <v>669</v>
      </c>
      <c r="Y1564" t="s">
        <v>10874</v>
      </c>
      <c r="Z1564" t="s">
        <v>10972</v>
      </c>
      <c r="AA1564" t="s">
        <v>10976</v>
      </c>
      <c r="AD1564" t="s">
        <v>11101</v>
      </c>
      <c r="AE1564" t="s">
        <v>11117</v>
      </c>
      <c r="AG1564" t="s">
        <v>11124</v>
      </c>
      <c r="AI1564" t="s">
        <v>11126</v>
      </c>
      <c r="AK1564" t="s">
        <v>7225</v>
      </c>
      <c r="AM1564">
        <v>800</v>
      </c>
      <c r="AO1564">
        <v>11</v>
      </c>
      <c r="AQ1564" t="s">
        <v>11156</v>
      </c>
      <c r="AR1564" t="s">
        <v>11172</v>
      </c>
      <c r="AU1564">
        <v>2</v>
      </c>
      <c r="AW1564" t="s">
        <v>11187</v>
      </c>
      <c r="AX1564" t="s">
        <v>11212</v>
      </c>
      <c r="AZ1564" t="s">
        <v>11221</v>
      </c>
      <c r="BE1564" t="s">
        <v>12583</v>
      </c>
      <c r="BF1564" t="s">
        <v>14364</v>
      </c>
      <c r="BG1564" t="s">
        <v>14770</v>
      </c>
      <c r="BM1564" t="s">
        <v>15650</v>
      </c>
    </row>
    <row r="1565" spans="1:65">
      <c r="A1565" s="1">
        <f>HYPERLINK("https://lsnyc.legalserver.org/matter/dynamic-profile/view/1883829","18-1883829")</f>
        <v>0</v>
      </c>
      <c r="B1565" t="s">
        <v>129</v>
      </c>
      <c r="C1565" t="s">
        <v>248</v>
      </c>
      <c r="D1565" t="s">
        <v>727</v>
      </c>
      <c r="F1565" t="s">
        <v>1835</v>
      </c>
      <c r="G1565" t="s">
        <v>3623</v>
      </c>
      <c r="H1565" t="s">
        <v>5347</v>
      </c>
      <c r="I1565" t="s">
        <v>6412</v>
      </c>
      <c r="J1565" t="s">
        <v>7174</v>
      </c>
      <c r="K1565">
        <v>11208</v>
      </c>
      <c r="N1565" t="s">
        <v>7237</v>
      </c>
      <c r="O1565" t="s">
        <v>8292</v>
      </c>
      <c r="P1565">
        <v>1</v>
      </c>
      <c r="Q1565">
        <v>1</v>
      </c>
      <c r="R1565">
        <v>76.48</v>
      </c>
      <c r="U1565">
        <v>12588</v>
      </c>
      <c r="W1565">
        <v>18</v>
      </c>
      <c r="X1565" t="s">
        <v>312</v>
      </c>
      <c r="Y1565" t="s">
        <v>10912</v>
      </c>
      <c r="AA1565" t="s">
        <v>10974</v>
      </c>
      <c r="AB1565" t="s">
        <v>727</v>
      </c>
      <c r="AD1565" t="s">
        <v>11098</v>
      </c>
      <c r="AF1565" t="s">
        <v>11119</v>
      </c>
      <c r="AG1565" t="s">
        <v>11124</v>
      </c>
      <c r="AJ1565" t="s">
        <v>11129</v>
      </c>
      <c r="AK1565" t="s">
        <v>7225</v>
      </c>
      <c r="AM1565">
        <v>800</v>
      </c>
      <c r="AO1565">
        <v>11</v>
      </c>
      <c r="AQ1565" t="s">
        <v>11156</v>
      </c>
      <c r="AR1565" t="s">
        <v>11172</v>
      </c>
      <c r="AU1565">
        <v>2</v>
      </c>
      <c r="AW1565" t="s">
        <v>11187</v>
      </c>
      <c r="AZ1565" t="s">
        <v>11221</v>
      </c>
      <c r="BE1565" t="s">
        <v>12583</v>
      </c>
      <c r="BF1565" t="s">
        <v>14364</v>
      </c>
      <c r="BM1565" t="s">
        <v>15650</v>
      </c>
    </row>
    <row r="1566" spans="1:65">
      <c r="A1566" s="1">
        <f>HYPERLINK("https://lsnyc.legalserver.org/matter/dynamic-profile/view/1892967","19-1892967")</f>
        <v>0</v>
      </c>
      <c r="B1566" t="s">
        <v>130</v>
      </c>
      <c r="C1566" t="s">
        <v>248</v>
      </c>
      <c r="D1566" t="s">
        <v>693</v>
      </c>
      <c r="F1566" t="s">
        <v>1382</v>
      </c>
      <c r="G1566" t="s">
        <v>3624</v>
      </c>
      <c r="H1566" t="s">
        <v>5349</v>
      </c>
      <c r="I1566" t="s">
        <v>6758</v>
      </c>
      <c r="J1566" t="s">
        <v>7174</v>
      </c>
      <c r="K1566">
        <v>11208</v>
      </c>
      <c r="N1566" t="s">
        <v>7237</v>
      </c>
      <c r="O1566" t="s">
        <v>8293</v>
      </c>
      <c r="P1566">
        <v>1</v>
      </c>
      <c r="Q1566">
        <v>0</v>
      </c>
      <c r="R1566">
        <v>112.09</v>
      </c>
      <c r="U1566">
        <v>14000</v>
      </c>
      <c r="W1566">
        <v>0.9</v>
      </c>
      <c r="X1566" t="s">
        <v>567</v>
      </c>
      <c r="Y1566" t="s">
        <v>10913</v>
      </c>
      <c r="AA1566" t="s">
        <v>10974</v>
      </c>
      <c r="AB1566" t="s">
        <v>483</v>
      </c>
      <c r="AD1566" t="s">
        <v>11082</v>
      </c>
      <c r="AF1566" t="s">
        <v>11119</v>
      </c>
      <c r="AG1566" t="s">
        <v>11124</v>
      </c>
      <c r="AJ1566" t="s">
        <v>11138</v>
      </c>
      <c r="AK1566" t="s">
        <v>7225</v>
      </c>
      <c r="AM1566">
        <v>1400</v>
      </c>
      <c r="AO1566">
        <v>40</v>
      </c>
      <c r="AP1566" t="s">
        <v>11155</v>
      </c>
      <c r="AS1566" t="s">
        <v>11173</v>
      </c>
      <c r="AU1566">
        <v>12</v>
      </c>
      <c r="AW1566" t="s">
        <v>11187</v>
      </c>
      <c r="AZ1566" t="s">
        <v>11221</v>
      </c>
      <c r="BE1566" t="s">
        <v>12584</v>
      </c>
      <c r="BG1566" t="s">
        <v>14771</v>
      </c>
      <c r="BM1566" t="s">
        <v>15650</v>
      </c>
    </row>
    <row r="1567" spans="1:65">
      <c r="A1567" s="1">
        <f>HYPERLINK("https://lsnyc.legalserver.org/matter/dynamic-profile/view/0768580","14-0768580")</f>
        <v>0</v>
      </c>
      <c r="B1567" t="s">
        <v>131</v>
      </c>
      <c r="C1567" t="s">
        <v>248</v>
      </c>
      <c r="D1567" t="s">
        <v>748</v>
      </c>
      <c r="F1567" t="s">
        <v>1239</v>
      </c>
      <c r="G1567" t="s">
        <v>3625</v>
      </c>
      <c r="H1567" t="s">
        <v>5350</v>
      </c>
      <c r="I1567" t="s">
        <v>6432</v>
      </c>
      <c r="J1567" t="s">
        <v>7174</v>
      </c>
      <c r="K1567">
        <v>11206</v>
      </c>
      <c r="M1567" t="s">
        <v>7226</v>
      </c>
      <c r="N1567" t="s">
        <v>7237</v>
      </c>
      <c r="O1567" t="s">
        <v>8294</v>
      </c>
      <c r="P1567">
        <v>4</v>
      </c>
      <c r="Q1567">
        <v>0</v>
      </c>
      <c r="R1567">
        <v>101.38</v>
      </c>
      <c r="U1567">
        <v>24180</v>
      </c>
      <c r="W1567">
        <v>603.4</v>
      </c>
      <c r="X1567" t="s">
        <v>10822</v>
      </c>
      <c r="Y1567" t="s">
        <v>10912</v>
      </c>
      <c r="Z1567" t="s">
        <v>10973</v>
      </c>
      <c r="AA1567" t="s">
        <v>10975</v>
      </c>
      <c r="AB1567" t="s">
        <v>748</v>
      </c>
      <c r="AD1567" t="s">
        <v>11093</v>
      </c>
      <c r="AF1567" t="s">
        <v>11118</v>
      </c>
      <c r="AG1567" t="s">
        <v>11124</v>
      </c>
      <c r="AI1567" t="s">
        <v>11126</v>
      </c>
      <c r="AK1567" t="s">
        <v>7225</v>
      </c>
      <c r="AL1567" t="s">
        <v>11150</v>
      </c>
      <c r="AM1567">
        <v>0</v>
      </c>
      <c r="AN1567" t="s">
        <v>11151</v>
      </c>
      <c r="AO1567" t="s">
        <v>11153</v>
      </c>
      <c r="AP1567" t="s">
        <v>11155</v>
      </c>
      <c r="AR1567" t="s">
        <v>11172</v>
      </c>
      <c r="AT1567" t="s">
        <v>11184</v>
      </c>
      <c r="AU1567">
        <v>0</v>
      </c>
      <c r="AW1567" t="s">
        <v>11189</v>
      </c>
      <c r="AZ1567" t="s">
        <v>11221</v>
      </c>
      <c r="BE1567" t="s">
        <v>12585</v>
      </c>
      <c r="BF1567" t="s">
        <v>14364</v>
      </c>
      <c r="BG1567" t="s">
        <v>14772</v>
      </c>
      <c r="BM1567" t="s">
        <v>15650</v>
      </c>
    </row>
    <row r="1568" spans="1:65">
      <c r="A1568" s="1">
        <f>HYPERLINK("https://lsnyc.legalserver.org/matter/dynamic-profile/view/0802856","16-0802856")</f>
        <v>0</v>
      </c>
      <c r="B1568" t="s">
        <v>131</v>
      </c>
      <c r="C1568" t="s">
        <v>248</v>
      </c>
      <c r="D1568" t="s">
        <v>649</v>
      </c>
      <c r="F1568" t="s">
        <v>1836</v>
      </c>
      <c r="G1568" t="s">
        <v>3626</v>
      </c>
      <c r="H1568" t="s">
        <v>5351</v>
      </c>
      <c r="I1568" t="s">
        <v>6759</v>
      </c>
      <c r="J1568" t="s">
        <v>7174</v>
      </c>
      <c r="K1568">
        <v>11213</v>
      </c>
      <c r="M1568" t="s">
        <v>7226</v>
      </c>
      <c r="N1568" t="s">
        <v>7237</v>
      </c>
      <c r="O1568" t="s">
        <v>8295</v>
      </c>
      <c r="P1568">
        <v>1</v>
      </c>
      <c r="Q1568">
        <v>0</v>
      </c>
      <c r="R1568">
        <v>101.01</v>
      </c>
      <c r="U1568">
        <v>12000</v>
      </c>
      <c r="W1568">
        <v>165.82</v>
      </c>
      <c r="X1568" t="s">
        <v>273</v>
      </c>
      <c r="Y1568" t="s">
        <v>10874</v>
      </c>
      <c r="AA1568" t="s">
        <v>10974</v>
      </c>
      <c r="AB1568" t="s">
        <v>10982</v>
      </c>
      <c r="AD1568" t="s">
        <v>11083</v>
      </c>
      <c r="AF1568" t="s">
        <v>11118</v>
      </c>
      <c r="AH1568" t="s">
        <v>10974</v>
      </c>
      <c r="AJ1568" t="s">
        <v>11140</v>
      </c>
      <c r="AK1568" t="s">
        <v>7225</v>
      </c>
      <c r="AM1568">
        <v>1068</v>
      </c>
      <c r="AO1568">
        <v>20</v>
      </c>
      <c r="AQ1568" t="s">
        <v>11157</v>
      </c>
      <c r="AR1568" t="s">
        <v>11172</v>
      </c>
      <c r="AU1568">
        <v>19</v>
      </c>
      <c r="AW1568" t="s">
        <v>11187</v>
      </c>
      <c r="AZ1568" t="s">
        <v>11221</v>
      </c>
      <c r="BE1568" t="s">
        <v>12586</v>
      </c>
      <c r="BG1568" t="s">
        <v>14773</v>
      </c>
      <c r="BM1568" t="s">
        <v>15650</v>
      </c>
    </row>
    <row r="1569" spans="1:67">
      <c r="A1569" s="1">
        <f>HYPERLINK("https://lsnyc.legalserver.org/matter/dynamic-profile/view/0808046","16-0808046")</f>
        <v>0</v>
      </c>
      <c r="B1569" t="s">
        <v>131</v>
      </c>
      <c r="C1569" t="s">
        <v>248</v>
      </c>
      <c r="D1569" t="s">
        <v>749</v>
      </c>
      <c r="F1569" t="s">
        <v>1671</v>
      </c>
      <c r="G1569" t="s">
        <v>3627</v>
      </c>
      <c r="H1569" t="s">
        <v>5352</v>
      </c>
      <c r="I1569" t="s">
        <v>6760</v>
      </c>
      <c r="J1569" t="s">
        <v>7174</v>
      </c>
      <c r="K1569">
        <v>11207</v>
      </c>
      <c r="N1569" t="s">
        <v>7237</v>
      </c>
      <c r="O1569" t="s">
        <v>8296</v>
      </c>
      <c r="P1569">
        <v>1</v>
      </c>
      <c r="Q1569">
        <v>0</v>
      </c>
      <c r="R1569">
        <v>41.14</v>
      </c>
      <c r="U1569">
        <v>4888</v>
      </c>
      <c r="W1569">
        <v>56.52</v>
      </c>
      <c r="X1569" t="s">
        <v>10823</v>
      </c>
      <c r="Y1569" t="s">
        <v>113</v>
      </c>
      <c r="Z1569" t="s">
        <v>10972</v>
      </c>
      <c r="AA1569" t="s">
        <v>10976</v>
      </c>
      <c r="AB1569" t="s">
        <v>749</v>
      </c>
      <c r="AC1569" t="s">
        <v>11081</v>
      </c>
      <c r="AF1569" t="s">
        <v>11118</v>
      </c>
      <c r="AG1569" t="s">
        <v>11124</v>
      </c>
      <c r="AI1569" t="s">
        <v>11126</v>
      </c>
      <c r="AK1569" t="s">
        <v>7225</v>
      </c>
      <c r="AL1569" t="s">
        <v>11150</v>
      </c>
      <c r="AM1569">
        <v>0</v>
      </c>
      <c r="AN1569" t="s">
        <v>11151</v>
      </c>
      <c r="AO1569" t="s">
        <v>11153</v>
      </c>
      <c r="AP1569" t="s">
        <v>11155</v>
      </c>
      <c r="AR1569" t="s">
        <v>11172</v>
      </c>
      <c r="AT1569" t="s">
        <v>11184</v>
      </c>
      <c r="AU1569">
        <v>0</v>
      </c>
      <c r="AW1569" t="s">
        <v>11187</v>
      </c>
      <c r="AZ1569" t="s">
        <v>11221</v>
      </c>
      <c r="BE1569" t="s">
        <v>12587</v>
      </c>
      <c r="BF1569" t="s">
        <v>14364</v>
      </c>
      <c r="BM1569" t="s">
        <v>15650</v>
      </c>
    </row>
    <row r="1570" spans="1:67">
      <c r="A1570" s="1">
        <f>HYPERLINK("https://lsnyc.legalserver.org/matter/dynamic-profile/view/1892138","19-1892138")</f>
        <v>0</v>
      </c>
      <c r="B1570" t="s">
        <v>131</v>
      </c>
      <c r="C1570" t="s">
        <v>248</v>
      </c>
      <c r="D1570" t="s">
        <v>342</v>
      </c>
      <c r="F1570" t="s">
        <v>1627</v>
      </c>
      <c r="G1570" t="s">
        <v>3628</v>
      </c>
      <c r="H1570" t="s">
        <v>5353</v>
      </c>
      <c r="I1570" t="s">
        <v>6654</v>
      </c>
      <c r="J1570" t="s">
        <v>7174</v>
      </c>
      <c r="K1570">
        <v>11208</v>
      </c>
      <c r="N1570" t="s">
        <v>7237</v>
      </c>
      <c r="O1570" t="s">
        <v>8297</v>
      </c>
      <c r="P1570">
        <v>1</v>
      </c>
      <c r="Q1570">
        <v>4</v>
      </c>
      <c r="R1570">
        <v>26.89</v>
      </c>
      <c r="U1570">
        <v>8112</v>
      </c>
      <c r="W1570">
        <v>5.7</v>
      </c>
      <c r="X1570" t="s">
        <v>567</v>
      </c>
      <c r="Y1570" t="s">
        <v>10874</v>
      </c>
      <c r="AA1570" t="s">
        <v>10974</v>
      </c>
      <c r="AB1570" t="s">
        <v>483</v>
      </c>
      <c r="AD1570" t="s">
        <v>11082</v>
      </c>
      <c r="AF1570" t="s">
        <v>11119</v>
      </c>
      <c r="AG1570" t="s">
        <v>11124</v>
      </c>
      <c r="AI1570" t="s">
        <v>11126</v>
      </c>
      <c r="AK1570" t="s">
        <v>7225</v>
      </c>
      <c r="AM1570">
        <v>2200</v>
      </c>
      <c r="AO1570">
        <v>2</v>
      </c>
      <c r="AQ1570" t="s">
        <v>11156</v>
      </c>
      <c r="AR1570" t="s">
        <v>11172</v>
      </c>
      <c r="AU1570">
        <v>1</v>
      </c>
      <c r="AW1570" t="s">
        <v>11189</v>
      </c>
      <c r="AZ1570" t="s">
        <v>11221</v>
      </c>
      <c r="BC1570" t="s">
        <v>11373</v>
      </c>
      <c r="BE1570" t="s">
        <v>12588</v>
      </c>
      <c r="BG1570" t="s">
        <v>14774</v>
      </c>
      <c r="BM1570" t="s">
        <v>15650</v>
      </c>
    </row>
    <row r="1571" spans="1:67">
      <c r="A1571" s="1">
        <f>HYPERLINK("https://lsnyc.legalserver.org/matter/dynamic-profile/view/1872934","18-1872934")</f>
        <v>0</v>
      </c>
      <c r="B1571" t="s">
        <v>131</v>
      </c>
      <c r="C1571" t="s">
        <v>248</v>
      </c>
      <c r="D1571" t="s">
        <v>750</v>
      </c>
      <c r="F1571" t="s">
        <v>1139</v>
      </c>
      <c r="G1571" t="s">
        <v>3209</v>
      </c>
      <c r="H1571" t="s">
        <v>5354</v>
      </c>
      <c r="I1571" t="s">
        <v>6482</v>
      </c>
      <c r="J1571" t="s">
        <v>7174</v>
      </c>
      <c r="K1571">
        <v>11215</v>
      </c>
      <c r="N1571" t="s">
        <v>7243</v>
      </c>
      <c r="O1571" t="s">
        <v>8298</v>
      </c>
      <c r="P1571">
        <v>3</v>
      </c>
      <c r="Q1571">
        <v>0</v>
      </c>
      <c r="R1571">
        <v>43.32</v>
      </c>
      <c r="U1571">
        <v>9002.4</v>
      </c>
      <c r="W1571">
        <v>3.3</v>
      </c>
      <c r="X1571" t="s">
        <v>1007</v>
      </c>
      <c r="Y1571" t="s">
        <v>10913</v>
      </c>
      <c r="AA1571" t="s">
        <v>10974</v>
      </c>
      <c r="AB1571" t="s">
        <v>800</v>
      </c>
      <c r="AC1571" t="s">
        <v>11081</v>
      </c>
      <c r="AF1571" t="s">
        <v>11120</v>
      </c>
      <c r="AG1571" t="s">
        <v>11124</v>
      </c>
      <c r="AJ1571" t="s">
        <v>11128</v>
      </c>
      <c r="AK1571" t="s">
        <v>7225</v>
      </c>
      <c r="AM1571">
        <v>884</v>
      </c>
      <c r="AO1571">
        <v>6</v>
      </c>
      <c r="AP1571" t="s">
        <v>11155</v>
      </c>
      <c r="AR1571" t="s">
        <v>11172</v>
      </c>
      <c r="AU1571">
        <v>37</v>
      </c>
      <c r="AW1571" t="s">
        <v>11187</v>
      </c>
      <c r="BA1571" t="s">
        <v>11222</v>
      </c>
      <c r="BE1571" t="s">
        <v>12589</v>
      </c>
      <c r="BG1571" t="s">
        <v>14775</v>
      </c>
      <c r="BM1571" t="s">
        <v>15650</v>
      </c>
    </row>
    <row r="1572" spans="1:67">
      <c r="A1572" s="1">
        <f>HYPERLINK("https://lsnyc.legalserver.org/matter/dynamic-profile/view/0777425","15-0777425")</f>
        <v>0</v>
      </c>
      <c r="B1572" t="s">
        <v>131</v>
      </c>
      <c r="C1572" t="s">
        <v>248</v>
      </c>
      <c r="D1572" t="s">
        <v>751</v>
      </c>
      <c r="F1572" t="s">
        <v>1282</v>
      </c>
      <c r="G1572" t="s">
        <v>3629</v>
      </c>
      <c r="H1572" t="s">
        <v>4794</v>
      </c>
      <c r="I1572" t="s">
        <v>6417</v>
      </c>
      <c r="J1572" t="s">
        <v>7174</v>
      </c>
      <c r="K1572">
        <v>11233</v>
      </c>
      <c r="N1572" t="s">
        <v>7237</v>
      </c>
      <c r="O1572" t="s">
        <v>8299</v>
      </c>
      <c r="P1572">
        <v>1</v>
      </c>
      <c r="Q1572">
        <v>0</v>
      </c>
      <c r="R1572">
        <v>135.19</v>
      </c>
      <c r="U1572">
        <v>15912</v>
      </c>
      <c r="W1572">
        <v>70.15000000000001</v>
      </c>
      <c r="X1572" t="s">
        <v>273</v>
      </c>
      <c r="Y1572" t="s">
        <v>10909</v>
      </c>
      <c r="Z1572" t="s">
        <v>10972</v>
      </c>
      <c r="AA1572" t="s">
        <v>10976</v>
      </c>
      <c r="AB1572" t="s">
        <v>751</v>
      </c>
      <c r="AD1572" t="s">
        <v>11083</v>
      </c>
      <c r="AF1572" t="s">
        <v>11118</v>
      </c>
      <c r="AG1572" t="s">
        <v>11124</v>
      </c>
      <c r="AJ1572" t="s">
        <v>11140</v>
      </c>
      <c r="AK1572" t="s">
        <v>7225</v>
      </c>
      <c r="AM1572">
        <v>300</v>
      </c>
      <c r="AN1572" t="s">
        <v>11151</v>
      </c>
      <c r="AO1572" t="s">
        <v>11153</v>
      </c>
      <c r="AQ1572" t="s">
        <v>11157</v>
      </c>
      <c r="AR1572" t="s">
        <v>11172</v>
      </c>
      <c r="AU1572">
        <v>4</v>
      </c>
      <c r="AW1572" t="s">
        <v>11187</v>
      </c>
      <c r="AZ1572" t="s">
        <v>11221</v>
      </c>
      <c r="BE1572" t="s">
        <v>12590</v>
      </c>
      <c r="BG1572" t="s">
        <v>14776</v>
      </c>
      <c r="BM1572" t="s">
        <v>15650</v>
      </c>
    </row>
    <row r="1573" spans="1:67">
      <c r="A1573" s="1">
        <f>HYPERLINK("https://lsnyc.legalserver.org/matter/dynamic-profile/view/0793302","15-0793302")</f>
        <v>0</v>
      </c>
      <c r="B1573" t="s">
        <v>131</v>
      </c>
      <c r="C1573" t="s">
        <v>248</v>
      </c>
      <c r="D1573" t="s">
        <v>752</v>
      </c>
      <c r="F1573" t="s">
        <v>1812</v>
      </c>
      <c r="G1573" t="s">
        <v>1656</v>
      </c>
      <c r="H1573" t="s">
        <v>5351</v>
      </c>
      <c r="I1573" t="s">
        <v>6761</v>
      </c>
      <c r="J1573" t="s">
        <v>7174</v>
      </c>
      <c r="K1573">
        <v>11213</v>
      </c>
      <c r="M1573" t="s">
        <v>7226</v>
      </c>
      <c r="N1573" t="s">
        <v>7237</v>
      </c>
      <c r="O1573" t="s">
        <v>8300</v>
      </c>
      <c r="P1573">
        <v>2</v>
      </c>
      <c r="Q1573">
        <v>0</v>
      </c>
      <c r="R1573">
        <v>96.95</v>
      </c>
      <c r="U1573">
        <v>15444</v>
      </c>
      <c r="W1573">
        <v>186.85</v>
      </c>
      <c r="X1573" t="s">
        <v>10823</v>
      </c>
      <c r="Y1573" t="s">
        <v>10909</v>
      </c>
      <c r="AA1573" t="s">
        <v>10974</v>
      </c>
      <c r="AB1573" t="s">
        <v>11019</v>
      </c>
      <c r="AD1573" t="s">
        <v>11083</v>
      </c>
      <c r="AF1573" t="s">
        <v>11118</v>
      </c>
      <c r="AG1573" t="s">
        <v>11124</v>
      </c>
      <c r="AI1573" t="s">
        <v>11126</v>
      </c>
      <c r="AK1573" t="s">
        <v>7225</v>
      </c>
      <c r="AM1573">
        <v>1008</v>
      </c>
      <c r="AO1573">
        <v>20</v>
      </c>
      <c r="AP1573" t="s">
        <v>11155</v>
      </c>
      <c r="AS1573" t="s">
        <v>11174</v>
      </c>
      <c r="AU1573">
        <v>21</v>
      </c>
      <c r="AW1573" t="s">
        <v>11187</v>
      </c>
      <c r="AZ1573" t="s">
        <v>11221</v>
      </c>
      <c r="BE1573" t="s">
        <v>12591</v>
      </c>
      <c r="BG1573" t="s">
        <v>14777</v>
      </c>
      <c r="BM1573" t="s">
        <v>15650</v>
      </c>
    </row>
    <row r="1574" spans="1:67">
      <c r="A1574" s="1">
        <f>HYPERLINK("https://lsnyc.legalserver.org/matter/dynamic-profile/view/1914026","19-1914026")</f>
        <v>0</v>
      </c>
      <c r="B1574" t="s">
        <v>132</v>
      </c>
      <c r="C1574" t="s">
        <v>249</v>
      </c>
      <c r="D1574" t="s">
        <v>333</v>
      </c>
      <c r="F1574" t="s">
        <v>1662</v>
      </c>
      <c r="G1574" t="s">
        <v>3426</v>
      </c>
      <c r="H1574" t="s">
        <v>5213</v>
      </c>
      <c r="J1574" t="s">
        <v>7179</v>
      </c>
      <c r="K1574">
        <v>10304</v>
      </c>
      <c r="N1574" t="s">
        <v>7237</v>
      </c>
      <c r="O1574" t="s">
        <v>8003</v>
      </c>
      <c r="P1574">
        <v>1</v>
      </c>
      <c r="Q1574">
        <v>2</v>
      </c>
      <c r="R1574">
        <v>14.51</v>
      </c>
      <c r="U1574">
        <v>3096</v>
      </c>
      <c r="W1574">
        <v>1.35</v>
      </c>
      <c r="X1574" t="s">
        <v>539</v>
      </c>
      <c r="Y1574" t="s">
        <v>132</v>
      </c>
      <c r="Z1574" t="s">
        <v>10972</v>
      </c>
      <c r="AA1574" t="s">
        <v>10976</v>
      </c>
      <c r="AD1574" t="s">
        <v>11086</v>
      </c>
      <c r="AE1574" t="s">
        <v>11117</v>
      </c>
      <c r="AH1574" t="s">
        <v>10975</v>
      </c>
      <c r="AJ1574" t="s">
        <v>11133</v>
      </c>
      <c r="AK1574" t="s">
        <v>11149</v>
      </c>
      <c r="AM1574">
        <v>1100</v>
      </c>
      <c r="AO1574">
        <v>4</v>
      </c>
      <c r="AQ1574" t="s">
        <v>11156</v>
      </c>
      <c r="AS1574" t="s">
        <v>11173</v>
      </c>
      <c r="AU1574">
        <v>3</v>
      </c>
      <c r="AW1574" t="s">
        <v>11187</v>
      </c>
      <c r="AX1574" t="s">
        <v>11212</v>
      </c>
      <c r="AZ1574" t="s">
        <v>11221</v>
      </c>
      <c r="BE1574" t="s">
        <v>12592</v>
      </c>
      <c r="BF1574" t="s">
        <v>14364</v>
      </c>
      <c r="BG1574" t="s">
        <v>14410</v>
      </c>
      <c r="BM1574" t="s">
        <v>15650</v>
      </c>
    </row>
    <row r="1575" spans="1:67">
      <c r="A1575" s="1">
        <f>HYPERLINK("https://lsnyc.legalserver.org/matter/dynamic-profile/view/0781658","15-0781658")</f>
        <v>0</v>
      </c>
      <c r="B1575" t="s">
        <v>132</v>
      </c>
      <c r="C1575" t="s">
        <v>249</v>
      </c>
      <c r="D1575" t="s">
        <v>753</v>
      </c>
      <c r="F1575" t="s">
        <v>1184</v>
      </c>
      <c r="G1575" t="s">
        <v>3630</v>
      </c>
      <c r="H1575" t="s">
        <v>5218</v>
      </c>
      <c r="I1575" t="s">
        <v>6762</v>
      </c>
      <c r="J1575" t="s">
        <v>7179</v>
      </c>
      <c r="K1575">
        <v>10304</v>
      </c>
      <c r="N1575" t="s">
        <v>7237</v>
      </c>
      <c r="O1575" t="s">
        <v>8301</v>
      </c>
      <c r="P1575">
        <v>1</v>
      </c>
      <c r="Q1575">
        <v>0</v>
      </c>
      <c r="R1575">
        <v>9.99</v>
      </c>
      <c r="U1575">
        <v>1176</v>
      </c>
      <c r="W1575">
        <v>104.31</v>
      </c>
      <c r="X1575" t="s">
        <v>422</v>
      </c>
      <c r="Y1575" t="s">
        <v>10895</v>
      </c>
      <c r="Z1575" t="s">
        <v>10972</v>
      </c>
      <c r="AA1575" t="s">
        <v>10976</v>
      </c>
      <c r="AB1575" t="s">
        <v>753</v>
      </c>
      <c r="AD1575" t="s">
        <v>11083</v>
      </c>
      <c r="AF1575" t="s">
        <v>11118</v>
      </c>
      <c r="AG1575" t="s">
        <v>11124</v>
      </c>
      <c r="AJ1575" t="s">
        <v>11136</v>
      </c>
      <c r="AK1575" t="s">
        <v>7225</v>
      </c>
      <c r="AM1575">
        <v>1245</v>
      </c>
      <c r="AN1575" t="s">
        <v>11151</v>
      </c>
      <c r="AO1575" t="s">
        <v>11153</v>
      </c>
      <c r="AP1575" t="s">
        <v>11155</v>
      </c>
      <c r="AR1575" t="s">
        <v>11172</v>
      </c>
      <c r="AU1575">
        <v>3</v>
      </c>
      <c r="AW1575" t="s">
        <v>11187</v>
      </c>
      <c r="AZ1575" t="s">
        <v>11221</v>
      </c>
      <c r="BE1575" t="s">
        <v>12593</v>
      </c>
      <c r="BF1575" t="s">
        <v>14364</v>
      </c>
      <c r="BG1575" t="s">
        <v>14778</v>
      </c>
      <c r="BM1575" t="s">
        <v>15650</v>
      </c>
    </row>
    <row r="1576" spans="1:67">
      <c r="A1576" s="1">
        <f>HYPERLINK("https://lsnyc.legalserver.org/matter/dynamic-profile/view/1877045","18-1877045")</f>
        <v>0</v>
      </c>
      <c r="B1576" t="s">
        <v>132</v>
      </c>
      <c r="C1576" t="s">
        <v>249</v>
      </c>
      <c r="D1576" t="s">
        <v>754</v>
      </c>
      <c r="F1576" t="s">
        <v>1837</v>
      </c>
      <c r="G1576" t="s">
        <v>3631</v>
      </c>
      <c r="H1576" t="s">
        <v>5355</v>
      </c>
      <c r="I1576" t="s">
        <v>6414</v>
      </c>
      <c r="J1576" t="s">
        <v>7179</v>
      </c>
      <c r="K1576">
        <v>10304</v>
      </c>
      <c r="N1576" t="s">
        <v>7237</v>
      </c>
      <c r="O1576" t="s">
        <v>8302</v>
      </c>
      <c r="P1576">
        <v>1</v>
      </c>
      <c r="Q1576">
        <v>0</v>
      </c>
      <c r="R1576">
        <v>214.17</v>
      </c>
      <c r="S1576" t="s">
        <v>465</v>
      </c>
      <c r="T1576" t="s">
        <v>10276</v>
      </c>
      <c r="U1576">
        <v>26000</v>
      </c>
      <c r="W1576">
        <v>8.25</v>
      </c>
      <c r="X1576" t="s">
        <v>668</v>
      </c>
      <c r="Y1576" t="s">
        <v>10929</v>
      </c>
      <c r="AA1576" t="s">
        <v>10974</v>
      </c>
      <c r="AB1576" t="s">
        <v>754</v>
      </c>
      <c r="AD1576" t="s">
        <v>11082</v>
      </c>
      <c r="AF1576" t="s">
        <v>11118</v>
      </c>
      <c r="AH1576" t="s">
        <v>10975</v>
      </c>
      <c r="AJ1576" t="s">
        <v>11130</v>
      </c>
      <c r="AK1576" t="s">
        <v>7225</v>
      </c>
      <c r="AM1576">
        <v>1100</v>
      </c>
      <c r="AO1576">
        <v>3</v>
      </c>
      <c r="AQ1576" t="s">
        <v>11156</v>
      </c>
      <c r="AS1576" t="s">
        <v>11173</v>
      </c>
      <c r="AU1576">
        <v>20</v>
      </c>
      <c r="AW1576" t="s">
        <v>11187</v>
      </c>
      <c r="AY1576" t="s">
        <v>11213</v>
      </c>
      <c r="AZ1576" t="s">
        <v>11221</v>
      </c>
      <c r="BC1576" t="s">
        <v>11374</v>
      </c>
      <c r="BE1576" t="s">
        <v>12594</v>
      </c>
      <c r="BG1576" t="s">
        <v>14779</v>
      </c>
      <c r="BI1576" t="s">
        <v>15606</v>
      </c>
      <c r="BK1576" t="s">
        <v>15618</v>
      </c>
      <c r="BM1576" t="s">
        <v>15650</v>
      </c>
      <c r="BN1576" t="s">
        <v>15652</v>
      </c>
      <c r="BO1576" t="s">
        <v>15686</v>
      </c>
    </row>
    <row r="1577" spans="1:67">
      <c r="A1577" s="1">
        <f>HYPERLINK("https://lsnyc.legalserver.org/matter/dynamic-profile/view/1850841","17-1850841")</f>
        <v>0</v>
      </c>
      <c r="B1577" t="s">
        <v>132</v>
      </c>
      <c r="C1577" t="s">
        <v>249</v>
      </c>
      <c r="D1577" t="s">
        <v>755</v>
      </c>
      <c r="F1577" t="s">
        <v>1838</v>
      </c>
      <c r="G1577" t="s">
        <v>3632</v>
      </c>
      <c r="H1577" t="s">
        <v>5356</v>
      </c>
      <c r="I1577" t="s">
        <v>6420</v>
      </c>
      <c r="J1577" t="s">
        <v>7179</v>
      </c>
      <c r="K1577">
        <v>10304</v>
      </c>
      <c r="N1577" t="s">
        <v>7237</v>
      </c>
      <c r="O1577" t="s">
        <v>8303</v>
      </c>
      <c r="P1577">
        <v>3</v>
      </c>
      <c r="Q1577">
        <v>0</v>
      </c>
      <c r="R1577">
        <v>174.34</v>
      </c>
      <c r="U1577">
        <v>35600</v>
      </c>
      <c r="W1577">
        <v>16.25</v>
      </c>
      <c r="X1577" t="s">
        <v>801</v>
      </c>
      <c r="Y1577" t="s">
        <v>10895</v>
      </c>
      <c r="AA1577" t="s">
        <v>10974</v>
      </c>
      <c r="AB1577" t="s">
        <v>755</v>
      </c>
      <c r="AD1577" t="s">
        <v>11082</v>
      </c>
      <c r="AF1577" t="s">
        <v>11118</v>
      </c>
      <c r="AH1577" t="s">
        <v>10975</v>
      </c>
      <c r="AJ1577" t="s">
        <v>11134</v>
      </c>
      <c r="AK1577" t="s">
        <v>7225</v>
      </c>
      <c r="AM1577">
        <v>1100</v>
      </c>
      <c r="AO1577">
        <v>4</v>
      </c>
      <c r="AQ1577" t="s">
        <v>11156</v>
      </c>
      <c r="AS1577" t="s">
        <v>11173</v>
      </c>
      <c r="AU1577">
        <v>8</v>
      </c>
      <c r="AW1577" t="s">
        <v>11187</v>
      </c>
      <c r="AZ1577" t="s">
        <v>11221</v>
      </c>
      <c r="BE1577" t="s">
        <v>12595</v>
      </c>
      <c r="BG1577" t="s">
        <v>14780</v>
      </c>
      <c r="BM1577" t="s">
        <v>15650</v>
      </c>
    </row>
    <row r="1578" spans="1:67">
      <c r="A1578" s="1">
        <f>HYPERLINK("https://lsnyc.legalserver.org/matter/dynamic-profile/view/0798640","16-0798640")</f>
        <v>0</v>
      </c>
      <c r="B1578" t="s">
        <v>132</v>
      </c>
      <c r="C1578" t="s">
        <v>249</v>
      </c>
      <c r="D1578" t="s">
        <v>756</v>
      </c>
      <c r="F1578" t="s">
        <v>1839</v>
      </c>
      <c r="G1578" t="s">
        <v>3633</v>
      </c>
      <c r="H1578" t="s">
        <v>5357</v>
      </c>
      <c r="I1578" t="s">
        <v>6763</v>
      </c>
      <c r="J1578" t="s">
        <v>7179</v>
      </c>
      <c r="K1578">
        <v>10304</v>
      </c>
      <c r="N1578" t="s">
        <v>7241</v>
      </c>
      <c r="O1578" t="s">
        <v>8304</v>
      </c>
      <c r="P1578">
        <v>3</v>
      </c>
      <c r="Q1578">
        <v>0</v>
      </c>
      <c r="R1578">
        <v>48.36</v>
      </c>
      <c r="U1578">
        <v>9750</v>
      </c>
      <c r="W1578">
        <v>47</v>
      </c>
      <c r="X1578" t="s">
        <v>380</v>
      </c>
      <c r="Y1578" t="s">
        <v>10895</v>
      </c>
      <c r="Z1578" t="s">
        <v>10972</v>
      </c>
      <c r="AA1578" t="s">
        <v>10976</v>
      </c>
      <c r="AB1578" t="s">
        <v>756</v>
      </c>
      <c r="AD1578" t="s">
        <v>11083</v>
      </c>
      <c r="AF1578" t="s">
        <v>11118</v>
      </c>
      <c r="AG1578" t="s">
        <v>11124</v>
      </c>
      <c r="AJ1578" t="s">
        <v>11129</v>
      </c>
      <c r="AK1578" t="s">
        <v>7225</v>
      </c>
      <c r="AM1578">
        <v>1640</v>
      </c>
      <c r="AO1578">
        <v>132</v>
      </c>
      <c r="AQ1578" t="s">
        <v>11161</v>
      </c>
      <c r="AS1578" t="s">
        <v>11174</v>
      </c>
      <c r="AU1578">
        <v>30</v>
      </c>
      <c r="AW1578" t="s">
        <v>11187</v>
      </c>
      <c r="AZ1578" t="s">
        <v>11221</v>
      </c>
      <c r="BE1578" t="s">
        <v>12596</v>
      </c>
      <c r="BG1578" t="s">
        <v>14781</v>
      </c>
      <c r="BM1578" t="s">
        <v>15650</v>
      </c>
    </row>
    <row r="1579" spans="1:67">
      <c r="A1579" s="1">
        <f>HYPERLINK("https://lsnyc.legalserver.org/matter/dynamic-profile/view/1899756","19-1899756")</f>
        <v>0</v>
      </c>
      <c r="B1579" t="s">
        <v>132</v>
      </c>
      <c r="C1579" t="s">
        <v>249</v>
      </c>
      <c r="D1579" t="s">
        <v>584</v>
      </c>
      <c r="F1579" t="s">
        <v>1840</v>
      </c>
      <c r="G1579" t="s">
        <v>3634</v>
      </c>
      <c r="H1579" t="s">
        <v>5358</v>
      </c>
      <c r="I1579" t="s">
        <v>6430</v>
      </c>
      <c r="J1579" t="s">
        <v>7179</v>
      </c>
      <c r="K1579">
        <v>10301</v>
      </c>
      <c r="N1579" t="s">
        <v>7237</v>
      </c>
      <c r="O1579" t="s">
        <v>8305</v>
      </c>
      <c r="P1579">
        <v>1</v>
      </c>
      <c r="Q1579">
        <v>0</v>
      </c>
      <c r="R1579">
        <v>57.65</v>
      </c>
      <c r="U1579">
        <v>7200</v>
      </c>
      <c r="W1579">
        <v>0.5</v>
      </c>
      <c r="X1579" t="s">
        <v>584</v>
      </c>
      <c r="Y1579" t="s">
        <v>10884</v>
      </c>
      <c r="Z1579" t="s">
        <v>10972</v>
      </c>
      <c r="AA1579" t="s">
        <v>10976</v>
      </c>
      <c r="AD1579" t="s">
        <v>11082</v>
      </c>
      <c r="AE1579" t="s">
        <v>11117</v>
      </c>
      <c r="AG1579" t="s">
        <v>11124</v>
      </c>
      <c r="AJ1579" t="s">
        <v>11104</v>
      </c>
      <c r="AK1579" t="s">
        <v>7225</v>
      </c>
      <c r="AM1579">
        <v>1200</v>
      </c>
      <c r="AO1579">
        <v>5</v>
      </c>
      <c r="AQ1579" t="s">
        <v>11164</v>
      </c>
      <c r="AS1579" t="s">
        <v>11173</v>
      </c>
      <c r="AU1579">
        <v>3</v>
      </c>
      <c r="AW1579" t="s">
        <v>11187</v>
      </c>
      <c r="AX1579" t="s">
        <v>11212</v>
      </c>
      <c r="AZ1579" t="s">
        <v>11221</v>
      </c>
      <c r="BE1579" t="s">
        <v>12597</v>
      </c>
      <c r="BG1579" t="s">
        <v>14782</v>
      </c>
      <c r="BM1579" t="s">
        <v>15650</v>
      </c>
    </row>
    <row r="1580" spans="1:67">
      <c r="A1580" s="1">
        <f>HYPERLINK("https://lsnyc.legalserver.org/matter/dynamic-profile/view/1856168","18-1856168")</f>
        <v>0</v>
      </c>
      <c r="B1580" t="s">
        <v>132</v>
      </c>
      <c r="C1580" t="s">
        <v>249</v>
      </c>
      <c r="D1580" t="s">
        <v>368</v>
      </c>
      <c r="F1580" t="s">
        <v>1250</v>
      </c>
      <c r="G1580" t="s">
        <v>3635</v>
      </c>
      <c r="H1580" t="s">
        <v>5359</v>
      </c>
      <c r="I1580" t="s">
        <v>6480</v>
      </c>
      <c r="J1580" t="s">
        <v>7179</v>
      </c>
      <c r="K1580">
        <v>10301</v>
      </c>
      <c r="N1580" t="s">
        <v>7237</v>
      </c>
      <c r="O1580" t="s">
        <v>8306</v>
      </c>
      <c r="P1580">
        <v>2</v>
      </c>
      <c r="Q1580">
        <v>0</v>
      </c>
      <c r="R1580">
        <v>189.84</v>
      </c>
      <c r="U1580">
        <v>31248</v>
      </c>
      <c r="W1580">
        <v>16.6</v>
      </c>
      <c r="X1580" t="s">
        <v>844</v>
      </c>
      <c r="Y1580" t="s">
        <v>10930</v>
      </c>
      <c r="AA1580" t="s">
        <v>10974</v>
      </c>
      <c r="AB1580" t="s">
        <v>368</v>
      </c>
      <c r="AD1580" t="s">
        <v>11101</v>
      </c>
      <c r="AF1580" t="s">
        <v>11118</v>
      </c>
      <c r="AH1580" t="s">
        <v>10975</v>
      </c>
      <c r="AJ1580" t="s">
        <v>11134</v>
      </c>
      <c r="AK1580" t="s">
        <v>7225</v>
      </c>
      <c r="AM1580">
        <v>1250</v>
      </c>
      <c r="AO1580">
        <v>100</v>
      </c>
      <c r="AQ1580" t="s">
        <v>11157</v>
      </c>
      <c r="AS1580" t="s">
        <v>11173</v>
      </c>
      <c r="AU1580">
        <v>5</v>
      </c>
      <c r="AW1580" t="s">
        <v>11187</v>
      </c>
      <c r="AZ1580" t="s">
        <v>11221</v>
      </c>
      <c r="BC1580" t="s">
        <v>11173</v>
      </c>
      <c r="BE1580" t="s">
        <v>12598</v>
      </c>
      <c r="BF1580" t="s">
        <v>14364</v>
      </c>
      <c r="BG1580" t="s">
        <v>14783</v>
      </c>
      <c r="BM1580" t="s">
        <v>15650</v>
      </c>
    </row>
    <row r="1581" spans="1:67">
      <c r="A1581" s="1">
        <f>HYPERLINK("https://lsnyc.legalserver.org/matter/dynamic-profile/view/1906890","19-1906890")</f>
        <v>0</v>
      </c>
      <c r="B1581" t="s">
        <v>132</v>
      </c>
      <c r="C1581" t="s">
        <v>249</v>
      </c>
      <c r="D1581" t="s">
        <v>429</v>
      </c>
      <c r="F1581" t="s">
        <v>1199</v>
      </c>
      <c r="G1581" t="s">
        <v>3636</v>
      </c>
      <c r="H1581" t="s">
        <v>5360</v>
      </c>
      <c r="I1581" t="s">
        <v>6764</v>
      </c>
      <c r="J1581" t="s">
        <v>7179</v>
      </c>
      <c r="K1581">
        <v>10304</v>
      </c>
      <c r="N1581" t="s">
        <v>7237</v>
      </c>
      <c r="O1581" t="s">
        <v>8307</v>
      </c>
      <c r="P1581">
        <v>1</v>
      </c>
      <c r="Q1581">
        <v>3</v>
      </c>
      <c r="R1581">
        <v>111.07</v>
      </c>
      <c r="U1581">
        <v>28600</v>
      </c>
      <c r="W1581">
        <v>13.4</v>
      </c>
      <c r="X1581" t="s">
        <v>798</v>
      </c>
      <c r="Y1581" t="s">
        <v>10895</v>
      </c>
      <c r="Z1581" t="s">
        <v>10972</v>
      </c>
      <c r="AA1581" t="s">
        <v>10976</v>
      </c>
      <c r="AC1581" t="s">
        <v>11081</v>
      </c>
      <c r="AE1581" t="s">
        <v>11117</v>
      </c>
      <c r="AG1581" t="s">
        <v>11124</v>
      </c>
      <c r="AI1581" t="s">
        <v>11126</v>
      </c>
      <c r="AK1581" t="s">
        <v>7225</v>
      </c>
      <c r="AL1581" t="s">
        <v>11150</v>
      </c>
      <c r="AM1581">
        <v>0</v>
      </c>
      <c r="AN1581" t="s">
        <v>11151</v>
      </c>
      <c r="AO1581" t="s">
        <v>11153</v>
      </c>
      <c r="AP1581" t="s">
        <v>11155</v>
      </c>
      <c r="AR1581" t="s">
        <v>11172</v>
      </c>
      <c r="AT1581" t="s">
        <v>11184</v>
      </c>
      <c r="AU1581">
        <v>0</v>
      </c>
      <c r="AW1581" t="s">
        <v>11187</v>
      </c>
      <c r="AX1581" t="s">
        <v>11212</v>
      </c>
      <c r="AZ1581" t="s">
        <v>11221</v>
      </c>
      <c r="BE1581" t="s">
        <v>12599</v>
      </c>
      <c r="BF1581" t="s">
        <v>14364</v>
      </c>
      <c r="BM1581" t="s">
        <v>15650</v>
      </c>
    </row>
    <row r="1582" spans="1:67">
      <c r="A1582" s="1">
        <f>HYPERLINK("https://lsnyc.legalserver.org/matter/dynamic-profile/view/1895969","19-1895969")</f>
        <v>0</v>
      </c>
      <c r="B1582" t="s">
        <v>132</v>
      </c>
      <c r="C1582" t="s">
        <v>249</v>
      </c>
      <c r="D1582" t="s">
        <v>295</v>
      </c>
      <c r="F1582" t="s">
        <v>1841</v>
      </c>
      <c r="G1582" t="s">
        <v>3637</v>
      </c>
      <c r="H1582" t="s">
        <v>4951</v>
      </c>
      <c r="I1582" t="s">
        <v>6449</v>
      </c>
      <c r="J1582" t="s">
        <v>7179</v>
      </c>
      <c r="K1582">
        <v>10301</v>
      </c>
      <c r="N1582" t="s">
        <v>7237</v>
      </c>
      <c r="O1582" t="s">
        <v>8308</v>
      </c>
      <c r="P1582">
        <v>1</v>
      </c>
      <c r="Q1582">
        <v>0</v>
      </c>
      <c r="R1582">
        <v>280.22</v>
      </c>
      <c r="U1582">
        <v>35000</v>
      </c>
      <c r="W1582">
        <v>0</v>
      </c>
      <c r="Y1582" t="s">
        <v>81</v>
      </c>
      <c r="AA1582" t="s">
        <v>10974</v>
      </c>
      <c r="AB1582" t="s">
        <v>472</v>
      </c>
      <c r="AC1582" t="s">
        <v>11081</v>
      </c>
      <c r="AF1582" t="s">
        <v>11119</v>
      </c>
      <c r="AG1582" t="s">
        <v>11124</v>
      </c>
      <c r="AI1582" t="s">
        <v>11126</v>
      </c>
      <c r="AK1582" t="s">
        <v>7225</v>
      </c>
      <c r="AL1582" t="s">
        <v>11150</v>
      </c>
      <c r="AM1582">
        <v>0</v>
      </c>
      <c r="AN1582" t="s">
        <v>11151</v>
      </c>
      <c r="AO1582" t="s">
        <v>11153</v>
      </c>
      <c r="AP1582" t="s">
        <v>11155</v>
      </c>
      <c r="AR1582" t="s">
        <v>11172</v>
      </c>
      <c r="AT1582" t="s">
        <v>11184</v>
      </c>
      <c r="AU1582">
        <v>0</v>
      </c>
      <c r="AW1582" t="s">
        <v>11187</v>
      </c>
      <c r="AZ1582" t="s">
        <v>11221</v>
      </c>
      <c r="BE1582" t="s">
        <v>12600</v>
      </c>
      <c r="BF1582" t="s">
        <v>14364</v>
      </c>
      <c r="BM1582" t="s">
        <v>15650</v>
      </c>
    </row>
    <row r="1583" spans="1:67">
      <c r="A1583" s="1">
        <f>HYPERLINK("https://lsnyc.legalserver.org/matter/dynamic-profile/view/1866415","18-1866415")</f>
        <v>0</v>
      </c>
      <c r="B1583" t="s">
        <v>132</v>
      </c>
      <c r="C1583" t="s">
        <v>249</v>
      </c>
      <c r="D1583" t="s">
        <v>757</v>
      </c>
      <c r="F1583" t="s">
        <v>1842</v>
      </c>
      <c r="G1583" t="s">
        <v>3419</v>
      </c>
      <c r="H1583" t="s">
        <v>5361</v>
      </c>
      <c r="I1583" t="s">
        <v>6765</v>
      </c>
      <c r="J1583" t="s">
        <v>7170</v>
      </c>
      <c r="K1583">
        <v>10458</v>
      </c>
      <c r="M1583" t="s">
        <v>7231</v>
      </c>
      <c r="N1583" t="s">
        <v>7237</v>
      </c>
      <c r="O1583" t="s">
        <v>7683</v>
      </c>
      <c r="P1583">
        <v>1</v>
      </c>
      <c r="Q1583">
        <v>0</v>
      </c>
      <c r="R1583">
        <v>76.11</v>
      </c>
      <c r="U1583">
        <v>9240</v>
      </c>
      <c r="W1583">
        <v>76.20999999999999</v>
      </c>
      <c r="X1583" t="s">
        <v>271</v>
      </c>
      <c r="Y1583" t="s">
        <v>10931</v>
      </c>
      <c r="AA1583" t="s">
        <v>10974</v>
      </c>
      <c r="AB1583" t="s">
        <v>829</v>
      </c>
      <c r="AD1583" t="s">
        <v>11109</v>
      </c>
      <c r="AF1583" t="s">
        <v>11123</v>
      </c>
      <c r="AH1583" t="s">
        <v>10974</v>
      </c>
      <c r="AJ1583" t="s">
        <v>11140</v>
      </c>
      <c r="AK1583" t="s">
        <v>7225</v>
      </c>
      <c r="AM1583">
        <v>867</v>
      </c>
      <c r="AO1583">
        <v>467</v>
      </c>
      <c r="AQ1583" t="s">
        <v>11157</v>
      </c>
      <c r="AS1583" t="s">
        <v>11177</v>
      </c>
      <c r="AU1583">
        <v>1</v>
      </c>
      <c r="AW1583" t="s">
        <v>11187</v>
      </c>
      <c r="AZ1583" t="s">
        <v>11221</v>
      </c>
      <c r="BE1583" t="s">
        <v>12601</v>
      </c>
      <c r="BF1583" t="s">
        <v>14364</v>
      </c>
      <c r="BG1583" t="s">
        <v>14784</v>
      </c>
      <c r="BK1583" t="s">
        <v>11104</v>
      </c>
      <c r="BM1583" t="s">
        <v>15650</v>
      </c>
    </row>
    <row r="1584" spans="1:67">
      <c r="A1584" s="1">
        <f>HYPERLINK("https://lsnyc.legalserver.org/matter/dynamic-profile/view/1862125","18-1862125")</f>
        <v>0</v>
      </c>
      <c r="B1584" t="s">
        <v>132</v>
      </c>
      <c r="C1584" t="s">
        <v>249</v>
      </c>
      <c r="D1584" t="s">
        <v>758</v>
      </c>
      <c r="F1584" t="s">
        <v>1177</v>
      </c>
      <c r="G1584" t="s">
        <v>3638</v>
      </c>
      <c r="H1584" t="s">
        <v>5362</v>
      </c>
      <c r="I1584">
        <v>412</v>
      </c>
      <c r="J1584" t="s">
        <v>7179</v>
      </c>
      <c r="K1584">
        <v>10305</v>
      </c>
      <c r="N1584" t="s">
        <v>7237</v>
      </c>
      <c r="O1584" t="s">
        <v>8309</v>
      </c>
      <c r="P1584">
        <v>1</v>
      </c>
      <c r="Q1584">
        <v>0</v>
      </c>
      <c r="R1584">
        <v>84.70999999999999</v>
      </c>
      <c r="U1584">
        <v>10284</v>
      </c>
      <c r="W1584">
        <v>29.6</v>
      </c>
      <c r="X1584" t="s">
        <v>299</v>
      </c>
      <c r="Y1584" t="s">
        <v>10924</v>
      </c>
      <c r="AA1584" t="s">
        <v>10974</v>
      </c>
      <c r="AB1584" t="s">
        <v>758</v>
      </c>
      <c r="AD1584" t="s">
        <v>11082</v>
      </c>
      <c r="AF1584" t="s">
        <v>11118</v>
      </c>
      <c r="AH1584" t="s">
        <v>10974</v>
      </c>
      <c r="AJ1584" t="s">
        <v>11137</v>
      </c>
      <c r="AK1584" t="s">
        <v>7225</v>
      </c>
      <c r="AM1584">
        <v>758</v>
      </c>
      <c r="AO1584">
        <v>84</v>
      </c>
      <c r="AQ1584" t="s">
        <v>11157</v>
      </c>
      <c r="AS1584" t="s">
        <v>11175</v>
      </c>
      <c r="AU1584">
        <v>8</v>
      </c>
      <c r="AW1584" t="s">
        <v>11187</v>
      </c>
      <c r="AZ1584" t="s">
        <v>11221</v>
      </c>
      <c r="BC1584" t="s">
        <v>11375</v>
      </c>
      <c r="BE1584" t="s">
        <v>12602</v>
      </c>
      <c r="BG1584" t="s">
        <v>14785</v>
      </c>
      <c r="BM1584" t="s">
        <v>15650</v>
      </c>
    </row>
    <row r="1585" spans="1:67">
      <c r="A1585" s="1">
        <f>HYPERLINK("https://lsnyc.legalserver.org/matter/dynamic-profile/view/1871037","18-1871037")</f>
        <v>0</v>
      </c>
      <c r="B1585" t="s">
        <v>132</v>
      </c>
      <c r="C1585" t="s">
        <v>249</v>
      </c>
      <c r="D1585" t="s">
        <v>555</v>
      </c>
      <c r="F1585" t="s">
        <v>1843</v>
      </c>
      <c r="G1585" t="s">
        <v>2921</v>
      </c>
      <c r="H1585" t="s">
        <v>5363</v>
      </c>
      <c r="I1585" t="s">
        <v>6413</v>
      </c>
      <c r="J1585" t="s">
        <v>7179</v>
      </c>
      <c r="K1585">
        <v>10304</v>
      </c>
      <c r="N1585" t="s">
        <v>7237</v>
      </c>
      <c r="O1585" t="s">
        <v>8310</v>
      </c>
      <c r="P1585">
        <v>1</v>
      </c>
      <c r="Q1585">
        <v>0</v>
      </c>
      <c r="R1585">
        <v>117.79</v>
      </c>
      <c r="U1585">
        <v>14300</v>
      </c>
      <c r="W1585">
        <v>6.75</v>
      </c>
      <c r="X1585" t="s">
        <v>10824</v>
      </c>
      <c r="Y1585" t="s">
        <v>10896</v>
      </c>
      <c r="AA1585" t="s">
        <v>10974</v>
      </c>
      <c r="AB1585" t="s">
        <v>339</v>
      </c>
      <c r="AD1585" t="s">
        <v>11082</v>
      </c>
      <c r="AF1585" t="s">
        <v>11118</v>
      </c>
      <c r="AH1585" t="s">
        <v>10975</v>
      </c>
      <c r="AJ1585" t="s">
        <v>11135</v>
      </c>
      <c r="AK1585" t="s">
        <v>7225</v>
      </c>
      <c r="AM1585">
        <v>772</v>
      </c>
      <c r="AN1585" t="s">
        <v>11151</v>
      </c>
      <c r="AO1585" t="s">
        <v>11153</v>
      </c>
      <c r="AQ1585" t="s">
        <v>11161</v>
      </c>
      <c r="AS1585" t="s">
        <v>11174</v>
      </c>
      <c r="AT1585" t="s">
        <v>11184</v>
      </c>
      <c r="AU1585">
        <v>0</v>
      </c>
      <c r="AW1585" t="s">
        <v>11187</v>
      </c>
      <c r="AY1585" t="s">
        <v>11213</v>
      </c>
      <c r="AZ1585" t="s">
        <v>11221</v>
      </c>
      <c r="BE1585" t="s">
        <v>12603</v>
      </c>
      <c r="BG1585" t="s">
        <v>14786</v>
      </c>
      <c r="BI1585" t="s">
        <v>15609</v>
      </c>
      <c r="BK1585" t="s">
        <v>15618</v>
      </c>
      <c r="BM1585" t="s">
        <v>15650</v>
      </c>
      <c r="BN1585" t="s">
        <v>15652</v>
      </c>
      <c r="BO1585" t="s">
        <v>15687</v>
      </c>
    </row>
    <row r="1586" spans="1:67">
      <c r="A1586" s="1">
        <f>HYPERLINK("https://lsnyc.legalserver.org/matter/dynamic-profile/view/1884676","18-1884676")</f>
        <v>0</v>
      </c>
      <c r="B1586" t="s">
        <v>132</v>
      </c>
      <c r="C1586" t="s">
        <v>249</v>
      </c>
      <c r="D1586" t="s">
        <v>593</v>
      </c>
      <c r="F1586" t="s">
        <v>1844</v>
      </c>
      <c r="G1586" t="s">
        <v>3639</v>
      </c>
      <c r="H1586" t="s">
        <v>5364</v>
      </c>
      <c r="I1586" t="s">
        <v>6407</v>
      </c>
      <c r="J1586" t="s">
        <v>7179</v>
      </c>
      <c r="K1586">
        <v>10304</v>
      </c>
      <c r="N1586" t="s">
        <v>7241</v>
      </c>
      <c r="O1586" t="s">
        <v>8311</v>
      </c>
      <c r="P1586">
        <v>2</v>
      </c>
      <c r="Q1586">
        <v>0</v>
      </c>
      <c r="R1586">
        <v>46.29</v>
      </c>
      <c r="U1586">
        <v>7620</v>
      </c>
      <c r="W1586">
        <v>4.75</v>
      </c>
      <c r="X1586" t="s">
        <v>320</v>
      </c>
      <c r="Y1586" t="s">
        <v>10932</v>
      </c>
      <c r="AA1586" t="s">
        <v>10974</v>
      </c>
      <c r="AB1586" t="s">
        <v>593</v>
      </c>
      <c r="AD1586" t="s">
        <v>11082</v>
      </c>
      <c r="AF1586" t="s">
        <v>11118</v>
      </c>
      <c r="AH1586" t="s">
        <v>10975</v>
      </c>
      <c r="AJ1586" t="s">
        <v>11135</v>
      </c>
      <c r="AK1586" t="s">
        <v>7225</v>
      </c>
      <c r="AM1586">
        <v>1300</v>
      </c>
      <c r="AO1586">
        <v>115</v>
      </c>
      <c r="AQ1586" t="s">
        <v>11161</v>
      </c>
      <c r="AS1586" t="s">
        <v>11174</v>
      </c>
      <c r="AU1586">
        <v>18</v>
      </c>
      <c r="AW1586" t="s">
        <v>11187</v>
      </c>
      <c r="AY1586" t="s">
        <v>11216</v>
      </c>
      <c r="AZ1586" t="s">
        <v>11221</v>
      </c>
      <c r="BE1586" t="s">
        <v>12604</v>
      </c>
      <c r="BG1586" t="s">
        <v>14787</v>
      </c>
      <c r="BM1586" t="s">
        <v>15650</v>
      </c>
    </row>
    <row r="1587" spans="1:67">
      <c r="A1587" s="1">
        <f>HYPERLINK("https://lsnyc.legalserver.org/matter/dynamic-profile/view/1887817","19-1887817")</f>
        <v>0</v>
      </c>
      <c r="B1587" t="s">
        <v>133</v>
      </c>
      <c r="C1587" t="s">
        <v>248</v>
      </c>
      <c r="D1587" t="s">
        <v>596</v>
      </c>
      <c r="F1587" t="s">
        <v>1540</v>
      </c>
      <c r="G1587" t="s">
        <v>3640</v>
      </c>
      <c r="H1587" t="s">
        <v>5034</v>
      </c>
      <c r="I1587" t="s">
        <v>6766</v>
      </c>
      <c r="J1587" t="s">
        <v>7174</v>
      </c>
      <c r="K1587">
        <v>11225</v>
      </c>
      <c r="N1587" t="s">
        <v>7237</v>
      </c>
      <c r="O1587" t="s">
        <v>8312</v>
      </c>
      <c r="P1587">
        <v>1</v>
      </c>
      <c r="Q1587">
        <v>0</v>
      </c>
      <c r="R1587">
        <v>255.35</v>
      </c>
      <c r="U1587">
        <v>31000</v>
      </c>
      <c r="V1587" t="s">
        <v>10415</v>
      </c>
      <c r="W1587">
        <v>0</v>
      </c>
      <c r="Y1587" t="s">
        <v>101</v>
      </c>
      <c r="AA1587" t="s">
        <v>10974</v>
      </c>
      <c r="AB1587" t="s">
        <v>453</v>
      </c>
      <c r="AD1587" t="s">
        <v>11098</v>
      </c>
      <c r="AF1587" t="s">
        <v>11122</v>
      </c>
      <c r="AH1587" t="s">
        <v>10974</v>
      </c>
      <c r="AI1587" t="s">
        <v>11126</v>
      </c>
      <c r="AK1587" t="s">
        <v>7225</v>
      </c>
      <c r="AM1587">
        <v>1393.19</v>
      </c>
      <c r="AO1587">
        <v>89</v>
      </c>
      <c r="AQ1587" t="s">
        <v>11157</v>
      </c>
      <c r="AS1587" t="s">
        <v>11173</v>
      </c>
      <c r="AU1587">
        <v>7</v>
      </c>
      <c r="AW1587" t="s">
        <v>11187</v>
      </c>
      <c r="AZ1587" t="s">
        <v>11221</v>
      </c>
      <c r="BD1587" t="s">
        <v>11667</v>
      </c>
      <c r="BF1587" t="s">
        <v>14364</v>
      </c>
      <c r="BM1587" t="s">
        <v>15650</v>
      </c>
    </row>
    <row r="1588" spans="1:67">
      <c r="A1588" s="1">
        <f>HYPERLINK("https://lsnyc.legalserver.org/matter/dynamic-profile/view/1865606","18-1865606")</f>
        <v>0</v>
      </c>
      <c r="B1588" t="s">
        <v>133</v>
      </c>
      <c r="C1588" t="s">
        <v>248</v>
      </c>
      <c r="D1588" t="s">
        <v>759</v>
      </c>
      <c r="F1588" t="s">
        <v>1845</v>
      </c>
      <c r="G1588" t="s">
        <v>3641</v>
      </c>
      <c r="H1588" t="s">
        <v>5365</v>
      </c>
      <c r="I1588" t="s">
        <v>6430</v>
      </c>
      <c r="J1588" t="s">
        <v>7174</v>
      </c>
      <c r="K1588">
        <v>11233</v>
      </c>
      <c r="N1588" t="s">
        <v>7237</v>
      </c>
      <c r="O1588" t="s">
        <v>8313</v>
      </c>
      <c r="P1588">
        <v>5</v>
      </c>
      <c r="Q1588">
        <v>1</v>
      </c>
      <c r="R1588">
        <v>141.79</v>
      </c>
      <c r="U1588">
        <v>47840</v>
      </c>
      <c r="W1588">
        <v>30.33</v>
      </c>
      <c r="X1588" t="s">
        <v>10825</v>
      </c>
      <c r="Y1588" t="s">
        <v>225</v>
      </c>
      <c r="AA1588" t="s">
        <v>10974</v>
      </c>
      <c r="AB1588" t="s">
        <v>759</v>
      </c>
      <c r="AC1588" t="s">
        <v>11081</v>
      </c>
      <c r="AF1588" t="s">
        <v>10384</v>
      </c>
      <c r="AH1588" t="s">
        <v>10974</v>
      </c>
      <c r="AJ1588" t="s">
        <v>11131</v>
      </c>
      <c r="AK1588" t="s">
        <v>7225</v>
      </c>
      <c r="AM1588">
        <v>1023.63</v>
      </c>
      <c r="AO1588">
        <v>8</v>
      </c>
      <c r="AP1588" t="s">
        <v>11155</v>
      </c>
      <c r="AR1588" t="s">
        <v>11172</v>
      </c>
      <c r="AU1588">
        <v>28</v>
      </c>
      <c r="AW1588" t="s">
        <v>11187</v>
      </c>
      <c r="AZ1588" t="s">
        <v>11221</v>
      </c>
      <c r="BE1588" t="s">
        <v>12605</v>
      </c>
      <c r="BF1588" t="s">
        <v>14364</v>
      </c>
      <c r="BG1588" t="s">
        <v>11086</v>
      </c>
      <c r="BM1588" t="s">
        <v>15650</v>
      </c>
    </row>
    <row r="1589" spans="1:67">
      <c r="A1589" s="1">
        <f>HYPERLINK("https://lsnyc.legalserver.org/matter/dynamic-profile/view/1871549","18-1871549")</f>
        <v>0</v>
      </c>
      <c r="B1589" t="s">
        <v>133</v>
      </c>
      <c r="C1589" t="s">
        <v>248</v>
      </c>
      <c r="D1589" t="s">
        <v>620</v>
      </c>
      <c r="F1589" t="s">
        <v>1846</v>
      </c>
      <c r="G1589" t="s">
        <v>3642</v>
      </c>
      <c r="H1589" t="s">
        <v>5366</v>
      </c>
      <c r="I1589" t="s">
        <v>6466</v>
      </c>
      <c r="J1589" t="s">
        <v>7174</v>
      </c>
      <c r="K1589">
        <v>11212</v>
      </c>
      <c r="N1589" t="s">
        <v>7237</v>
      </c>
      <c r="O1589" t="s">
        <v>8314</v>
      </c>
      <c r="P1589">
        <v>2</v>
      </c>
      <c r="Q1589">
        <v>0</v>
      </c>
      <c r="R1589">
        <v>174.54</v>
      </c>
      <c r="U1589">
        <v>28728.96</v>
      </c>
      <c r="V1589" t="s">
        <v>10416</v>
      </c>
      <c r="W1589">
        <v>0</v>
      </c>
      <c r="Y1589" t="s">
        <v>10925</v>
      </c>
      <c r="AA1589" t="s">
        <v>10974</v>
      </c>
      <c r="AB1589" t="s">
        <v>11020</v>
      </c>
      <c r="AD1589" t="s">
        <v>11086</v>
      </c>
      <c r="AF1589" t="s">
        <v>10384</v>
      </c>
      <c r="AH1589" t="s">
        <v>10974</v>
      </c>
      <c r="AJ1589" t="s">
        <v>11104</v>
      </c>
      <c r="AK1589" t="s">
        <v>7225</v>
      </c>
      <c r="AM1589">
        <v>1120</v>
      </c>
      <c r="AO1589">
        <v>32</v>
      </c>
      <c r="AQ1589" t="s">
        <v>11157</v>
      </c>
      <c r="AR1589" t="s">
        <v>11172</v>
      </c>
      <c r="AU1589">
        <v>12</v>
      </c>
      <c r="AW1589" t="s">
        <v>11187</v>
      </c>
      <c r="AZ1589" t="s">
        <v>11221</v>
      </c>
      <c r="BE1589" t="s">
        <v>12606</v>
      </c>
      <c r="BF1589" t="s">
        <v>14364</v>
      </c>
      <c r="BM1589" t="s">
        <v>15650</v>
      </c>
    </row>
    <row r="1590" spans="1:67">
      <c r="A1590" s="1">
        <f>HYPERLINK("https://lsnyc.legalserver.org/matter/dynamic-profile/view/1905785","19-1905785")</f>
        <v>0</v>
      </c>
      <c r="B1590" t="s">
        <v>133</v>
      </c>
      <c r="C1590" t="s">
        <v>248</v>
      </c>
      <c r="D1590" t="s">
        <v>511</v>
      </c>
      <c r="F1590" t="s">
        <v>1111</v>
      </c>
      <c r="G1590" t="s">
        <v>3276</v>
      </c>
      <c r="H1590" t="s">
        <v>4800</v>
      </c>
      <c r="I1590" t="s">
        <v>6413</v>
      </c>
      <c r="J1590" t="s">
        <v>7174</v>
      </c>
      <c r="K1590">
        <v>11221</v>
      </c>
      <c r="N1590" t="s">
        <v>7237</v>
      </c>
      <c r="O1590" t="s">
        <v>8315</v>
      </c>
      <c r="P1590">
        <v>1</v>
      </c>
      <c r="Q1590">
        <v>1</v>
      </c>
      <c r="R1590">
        <v>82.79000000000001</v>
      </c>
      <c r="U1590">
        <v>14000</v>
      </c>
      <c r="V1590" t="s">
        <v>10417</v>
      </c>
      <c r="W1590">
        <v>0</v>
      </c>
      <c r="Y1590" t="s">
        <v>101</v>
      </c>
      <c r="AA1590" t="s">
        <v>10974</v>
      </c>
      <c r="AB1590" t="s">
        <v>370</v>
      </c>
      <c r="AD1590" t="s">
        <v>11086</v>
      </c>
      <c r="AF1590" t="s">
        <v>10384</v>
      </c>
      <c r="AH1590" t="s">
        <v>10974</v>
      </c>
      <c r="AJ1590" t="s">
        <v>11141</v>
      </c>
      <c r="AK1590" t="s">
        <v>7225</v>
      </c>
      <c r="AM1590">
        <v>336.58</v>
      </c>
      <c r="AO1590">
        <v>12</v>
      </c>
      <c r="AQ1590" t="s">
        <v>11157</v>
      </c>
      <c r="AS1590" t="s">
        <v>11173</v>
      </c>
      <c r="AU1590">
        <v>8</v>
      </c>
      <c r="AW1590" t="s">
        <v>11187</v>
      </c>
      <c r="AY1590" t="s">
        <v>11213</v>
      </c>
      <c r="BA1590" t="s">
        <v>11222</v>
      </c>
      <c r="BB1590" t="s">
        <v>11224</v>
      </c>
      <c r="BC1590" t="s">
        <v>11376</v>
      </c>
      <c r="BE1590" t="s">
        <v>12607</v>
      </c>
      <c r="BF1590" t="s">
        <v>14364</v>
      </c>
      <c r="BG1590" t="s">
        <v>14411</v>
      </c>
      <c r="BM1590" t="s">
        <v>15650</v>
      </c>
    </row>
    <row r="1591" spans="1:67">
      <c r="A1591" s="1">
        <f>HYPERLINK("https://lsnyc.legalserver.org/matter/dynamic-profile/view/1904262","19-1904262")</f>
        <v>0</v>
      </c>
      <c r="B1591" t="s">
        <v>133</v>
      </c>
      <c r="C1591" t="s">
        <v>248</v>
      </c>
      <c r="D1591" t="s">
        <v>512</v>
      </c>
      <c r="F1591" t="s">
        <v>1111</v>
      </c>
      <c r="G1591" t="s">
        <v>3276</v>
      </c>
      <c r="H1591" t="s">
        <v>4800</v>
      </c>
      <c r="I1591" t="s">
        <v>6413</v>
      </c>
      <c r="J1591" t="s">
        <v>7174</v>
      </c>
      <c r="K1591">
        <v>11221</v>
      </c>
      <c r="N1591" t="s">
        <v>7245</v>
      </c>
      <c r="O1591" t="s">
        <v>8315</v>
      </c>
      <c r="P1591">
        <v>1</v>
      </c>
      <c r="Q1591">
        <v>1</v>
      </c>
      <c r="R1591">
        <v>82.79000000000001</v>
      </c>
      <c r="U1591">
        <v>14000</v>
      </c>
      <c r="V1591" t="s">
        <v>10418</v>
      </c>
      <c r="W1591">
        <v>0</v>
      </c>
      <c r="Y1591" t="s">
        <v>225</v>
      </c>
      <c r="AA1591" t="s">
        <v>10974</v>
      </c>
      <c r="AB1591" t="s">
        <v>483</v>
      </c>
      <c r="AD1591" t="s">
        <v>11100</v>
      </c>
      <c r="AF1591" t="s">
        <v>10384</v>
      </c>
      <c r="AH1591" t="s">
        <v>10974</v>
      </c>
      <c r="AJ1591" t="s">
        <v>11141</v>
      </c>
      <c r="AK1591" t="s">
        <v>7225</v>
      </c>
      <c r="AM1591">
        <v>336.58</v>
      </c>
      <c r="AO1591">
        <v>12</v>
      </c>
      <c r="AQ1591" t="s">
        <v>11157</v>
      </c>
      <c r="AS1591" t="s">
        <v>11173</v>
      </c>
      <c r="AU1591">
        <v>8</v>
      </c>
      <c r="AW1591" t="s">
        <v>11187</v>
      </c>
      <c r="AY1591" t="s">
        <v>11213</v>
      </c>
      <c r="BA1591" t="s">
        <v>11222</v>
      </c>
      <c r="BB1591" t="s">
        <v>11224</v>
      </c>
      <c r="BC1591" t="s">
        <v>11377</v>
      </c>
      <c r="BE1591" t="s">
        <v>12607</v>
      </c>
      <c r="BF1591" t="s">
        <v>14364</v>
      </c>
      <c r="BG1591" t="s">
        <v>14411</v>
      </c>
      <c r="BM1591" t="s">
        <v>15650</v>
      </c>
    </row>
    <row r="1592" spans="1:67">
      <c r="A1592" s="1">
        <f>HYPERLINK("https://lsnyc.legalserver.org/matter/dynamic-profile/view/1878953","18-1878953")</f>
        <v>0</v>
      </c>
      <c r="B1592" t="s">
        <v>133</v>
      </c>
      <c r="C1592" t="s">
        <v>248</v>
      </c>
      <c r="D1592" t="s">
        <v>760</v>
      </c>
      <c r="F1592" t="s">
        <v>1847</v>
      </c>
      <c r="G1592" t="s">
        <v>3643</v>
      </c>
      <c r="H1592" t="s">
        <v>4800</v>
      </c>
      <c r="I1592" t="s">
        <v>6433</v>
      </c>
      <c r="J1592" t="s">
        <v>7174</v>
      </c>
      <c r="K1592">
        <v>11221</v>
      </c>
      <c r="N1592" t="s">
        <v>7237</v>
      </c>
      <c r="O1592" t="s">
        <v>8316</v>
      </c>
      <c r="P1592">
        <v>3</v>
      </c>
      <c r="Q1592">
        <v>0</v>
      </c>
      <c r="R1592">
        <v>409.05</v>
      </c>
      <c r="U1592">
        <v>85000</v>
      </c>
      <c r="V1592" t="s">
        <v>10330</v>
      </c>
      <c r="W1592">
        <v>2</v>
      </c>
      <c r="X1592" t="s">
        <v>341</v>
      </c>
      <c r="Y1592" t="s">
        <v>225</v>
      </c>
      <c r="AA1592" t="s">
        <v>10974</v>
      </c>
      <c r="AB1592" t="s">
        <v>532</v>
      </c>
      <c r="AD1592" t="s">
        <v>11101</v>
      </c>
      <c r="AF1592" t="s">
        <v>11118</v>
      </c>
      <c r="AH1592" t="s">
        <v>10974</v>
      </c>
      <c r="AJ1592" t="s">
        <v>11141</v>
      </c>
      <c r="AK1592" t="s">
        <v>7225</v>
      </c>
      <c r="AM1592">
        <v>632.48</v>
      </c>
      <c r="AO1592">
        <v>12</v>
      </c>
      <c r="AQ1592" t="s">
        <v>11157</v>
      </c>
      <c r="AS1592" t="s">
        <v>11173</v>
      </c>
      <c r="AU1592">
        <v>18</v>
      </c>
      <c r="AW1592" t="s">
        <v>11187</v>
      </c>
      <c r="AZ1592" t="s">
        <v>11221</v>
      </c>
      <c r="BE1592" t="s">
        <v>12608</v>
      </c>
      <c r="BF1592" t="s">
        <v>14364</v>
      </c>
      <c r="BM1592" t="s">
        <v>15650</v>
      </c>
    </row>
    <row r="1593" spans="1:67">
      <c r="A1593" s="1">
        <f>HYPERLINK("https://lsnyc.legalserver.org/matter/dynamic-profile/view/1856001","18-1856001")</f>
        <v>0</v>
      </c>
      <c r="B1593" t="s">
        <v>133</v>
      </c>
      <c r="C1593" t="s">
        <v>248</v>
      </c>
      <c r="D1593" t="s">
        <v>673</v>
      </c>
      <c r="F1593" t="s">
        <v>1848</v>
      </c>
      <c r="G1593" t="s">
        <v>3644</v>
      </c>
      <c r="H1593" t="s">
        <v>5367</v>
      </c>
      <c r="I1593" t="s">
        <v>6420</v>
      </c>
      <c r="J1593" t="s">
        <v>7174</v>
      </c>
      <c r="K1593">
        <v>11206</v>
      </c>
      <c r="N1593" t="s">
        <v>7237</v>
      </c>
      <c r="O1593" t="s">
        <v>8317</v>
      </c>
      <c r="P1593">
        <v>2</v>
      </c>
      <c r="Q1593">
        <v>1</v>
      </c>
      <c r="R1593">
        <v>264.45</v>
      </c>
      <c r="S1593" t="s">
        <v>10255</v>
      </c>
      <c r="U1593">
        <v>54000</v>
      </c>
      <c r="W1593">
        <v>0</v>
      </c>
      <c r="Y1593" t="s">
        <v>225</v>
      </c>
      <c r="AA1593" t="s">
        <v>10974</v>
      </c>
      <c r="AB1593" t="s">
        <v>712</v>
      </c>
      <c r="AD1593" t="s">
        <v>11098</v>
      </c>
      <c r="AF1593" t="s">
        <v>11122</v>
      </c>
      <c r="AH1593" t="s">
        <v>10974</v>
      </c>
      <c r="AJ1593" t="s">
        <v>11134</v>
      </c>
      <c r="AK1593" t="s">
        <v>7225</v>
      </c>
      <c r="AM1593">
        <v>435</v>
      </c>
      <c r="AO1593">
        <v>29</v>
      </c>
      <c r="AQ1593" t="s">
        <v>11157</v>
      </c>
      <c r="AS1593" t="s">
        <v>11173</v>
      </c>
      <c r="AU1593">
        <v>7</v>
      </c>
      <c r="AW1593" t="s">
        <v>11187</v>
      </c>
      <c r="AZ1593" t="s">
        <v>11221</v>
      </c>
      <c r="BE1593" t="s">
        <v>12609</v>
      </c>
      <c r="BG1593" t="s">
        <v>14788</v>
      </c>
      <c r="BM1593" t="s">
        <v>15650</v>
      </c>
    </row>
    <row r="1594" spans="1:67">
      <c r="A1594" s="1">
        <f>HYPERLINK("https://lsnyc.legalserver.org/matter/dynamic-profile/view/1878950","18-1878950")</f>
        <v>0</v>
      </c>
      <c r="B1594" t="s">
        <v>133</v>
      </c>
      <c r="C1594" t="s">
        <v>248</v>
      </c>
      <c r="D1594" t="s">
        <v>760</v>
      </c>
      <c r="F1594" t="s">
        <v>1847</v>
      </c>
      <c r="G1594" t="s">
        <v>3643</v>
      </c>
      <c r="H1594" t="s">
        <v>4800</v>
      </c>
      <c r="I1594" t="s">
        <v>6433</v>
      </c>
      <c r="J1594" t="s">
        <v>7174</v>
      </c>
      <c r="K1594">
        <v>11221</v>
      </c>
      <c r="N1594" t="s">
        <v>7237</v>
      </c>
      <c r="O1594" t="s">
        <v>8316</v>
      </c>
      <c r="P1594">
        <v>3</v>
      </c>
      <c r="Q1594">
        <v>0</v>
      </c>
      <c r="R1594">
        <v>409.05</v>
      </c>
      <c r="U1594">
        <v>85000</v>
      </c>
      <c r="W1594">
        <v>0</v>
      </c>
      <c r="Y1594" t="s">
        <v>225</v>
      </c>
      <c r="AA1594" t="s">
        <v>10974</v>
      </c>
      <c r="AB1594" t="s">
        <v>11021</v>
      </c>
      <c r="AD1594" t="s">
        <v>11098</v>
      </c>
      <c r="AF1594" t="s">
        <v>11122</v>
      </c>
      <c r="AH1594" t="s">
        <v>10974</v>
      </c>
      <c r="AJ1594" t="s">
        <v>11141</v>
      </c>
      <c r="AK1594" t="s">
        <v>7225</v>
      </c>
      <c r="AM1594">
        <v>632.48</v>
      </c>
      <c r="AO1594">
        <v>12</v>
      </c>
      <c r="AQ1594" t="s">
        <v>11157</v>
      </c>
      <c r="AS1594" t="s">
        <v>11173</v>
      </c>
      <c r="AU1594">
        <v>18</v>
      </c>
      <c r="AW1594" t="s">
        <v>11187</v>
      </c>
      <c r="AZ1594" t="s">
        <v>11221</v>
      </c>
      <c r="BE1594" t="s">
        <v>12608</v>
      </c>
      <c r="BF1594" t="s">
        <v>14364</v>
      </c>
      <c r="BM1594" t="s">
        <v>15650</v>
      </c>
    </row>
    <row r="1595" spans="1:67">
      <c r="A1595" s="1">
        <f>HYPERLINK("https://lsnyc.legalserver.org/matter/dynamic-profile/view/1867079","18-1867079")</f>
        <v>0</v>
      </c>
      <c r="B1595" t="s">
        <v>133</v>
      </c>
      <c r="C1595" t="s">
        <v>248</v>
      </c>
      <c r="D1595" t="s">
        <v>761</v>
      </c>
      <c r="F1595" t="s">
        <v>1846</v>
      </c>
      <c r="G1595" t="s">
        <v>3642</v>
      </c>
      <c r="H1595" t="s">
        <v>5366</v>
      </c>
      <c r="I1595" t="s">
        <v>6466</v>
      </c>
      <c r="J1595" t="s">
        <v>7174</v>
      </c>
      <c r="K1595">
        <v>11212</v>
      </c>
      <c r="N1595" t="s">
        <v>7237</v>
      </c>
      <c r="O1595" t="s">
        <v>8314</v>
      </c>
      <c r="P1595">
        <v>2</v>
      </c>
      <c r="Q1595">
        <v>0</v>
      </c>
      <c r="R1595">
        <v>174.54</v>
      </c>
      <c r="U1595">
        <v>28729</v>
      </c>
      <c r="W1595">
        <v>0</v>
      </c>
      <c r="Y1595" t="s">
        <v>225</v>
      </c>
      <c r="AA1595" t="s">
        <v>10974</v>
      </c>
      <c r="AB1595" t="s">
        <v>860</v>
      </c>
      <c r="AD1595" t="s">
        <v>11100</v>
      </c>
      <c r="AF1595" t="s">
        <v>11122</v>
      </c>
      <c r="AH1595" t="s">
        <v>10974</v>
      </c>
      <c r="AJ1595" t="s">
        <v>11104</v>
      </c>
      <c r="AK1595" t="s">
        <v>7225</v>
      </c>
      <c r="AM1595">
        <v>1120</v>
      </c>
      <c r="AO1595">
        <v>32</v>
      </c>
      <c r="AQ1595" t="s">
        <v>11157</v>
      </c>
      <c r="AR1595" t="s">
        <v>11172</v>
      </c>
      <c r="AU1595">
        <v>12</v>
      </c>
      <c r="AW1595" t="s">
        <v>11187</v>
      </c>
      <c r="AZ1595" t="s">
        <v>11221</v>
      </c>
      <c r="BE1595" t="s">
        <v>12606</v>
      </c>
      <c r="BF1595" t="s">
        <v>14364</v>
      </c>
      <c r="BM1595" t="s">
        <v>15650</v>
      </c>
    </row>
    <row r="1596" spans="1:67">
      <c r="A1596" s="1">
        <f>HYPERLINK("https://lsnyc.legalserver.org/matter/dynamic-profile/view/1904276","19-1904276")</f>
        <v>0</v>
      </c>
      <c r="B1596" t="s">
        <v>133</v>
      </c>
      <c r="C1596" t="s">
        <v>248</v>
      </c>
      <c r="D1596" t="s">
        <v>512</v>
      </c>
      <c r="F1596" t="s">
        <v>1695</v>
      </c>
      <c r="G1596" t="s">
        <v>3467</v>
      </c>
      <c r="H1596" t="s">
        <v>4800</v>
      </c>
      <c r="I1596" t="s">
        <v>6440</v>
      </c>
      <c r="J1596" t="s">
        <v>7174</v>
      </c>
      <c r="K1596">
        <v>11221</v>
      </c>
      <c r="N1596" t="s">
        <v>7245</v>
      </c>
      <c r="O1596" t="s">
        <v>8052</v>
      </c>
      <c r="P1596">
        <v>1</v>
      </c>
      <c r="Q1596">
        <v>0</v>
      </c>
      <c r="R1596">
        <v>147.93</v>
      </c>
      <c r="U1596">
        <v>18476.9</v>
      </c>
      <c r="W1596">
        <v>0</v>
      </c>
      <c r="Y1596" t="s">
        <v>225</v>
      </c>
      <c r="AA1596" t="s">
        <v>10974</v>
      </c>
      <c r="AB1596" t="s">
        <v>483</v>
      </c>
      <c r="AD1596" t="s">
        <v>11100</v>
      </c>
      <c r="AF1596" t="s">
        <v>10384</v>
      </c>
      <c r="AH1596" t="s">
        <v>10974</v>
      </c>
      <c r="AJ1596" t="s">
        <v>11141</v>
      </c>
      <c r="AK1596" t="s">
        <v>7225</v>
      </c>
      <c r="AM1596">
        <v>1091.82</v>
      </c>
      <c r="AO1596">
        <v>12</v>
      </c>
      <c r="AQ1596" t="s">
        <v>11157</v>
      </c>
      <c r="AS1596" t="s">
        <v>11174</v>
      </c>
      <c r="AU1596">
        <v>12</v>
      </c>
      <c r="AW1596" t="s">
        <v>11187</v>
      </c>
      <c r="AY1596" t="s">
        <v>11213</v>
      </c>
      <c r="BA1596" t="s">
        <v>11222</v>
      </c>
      <c r="BC1596" t="s">
        <v>11234</v>
      </c>
      <c r="BE1596" t="s">
        <v>12372</v>
      </c>
      <c r="BF1596" t="s">
        <v>14364</v>
      </c>
      <c r="BG1596" t="s">
        <v>11173</v>
      </c>
      <c r="BM1596" t="s">
        <v>15650</v>
      </c>
    </row>
    <row r="1597" spans="1:67">
      <c r="A1597" s="1">
        <f>HYPERLINK("https://lsnyc.legalserver.org/matter/dynamic-profile/view/0830295","17-0830295")</f>
        <v>0</v>
      </c>
      <c r="B1597" t="s">
        <v>133</v>
      </c>
      <c r="C1597" t="s">
        <v>248</v>
      </c>
      <c r="D1597" t="s">
        <v>762</v>
      </c>
      <c r="F1597" t="s">
        <v>1849</v>
      </c>
      <c r="G1597" t="s">
        <v>3645</v>
      </c>
      <c r="H1597" t="s">
        <v>5366</v>
      </c>
      <c r="I1597" t="s">
        <v>6436</v>
      </c>
      <c r="J1597" t="s">
        <v>7174</v>
      </c>
      <c r="K1597">
        <v>11212</v>
      </c>
      <c r="N1597" t="s">
        <v>7237</v>
      </c>
      <c r="O1597" t="s">
        <v>8318</v>
      </c>
      <c r="P1597">
        <v>1</v>
      </c>
      <c r="Q1597">
        <v>1</v>
      </c>
      <c r="R1597">
        <v>258.62</v>
      </c>
      <c r="U1597">
        <v>42000</v>
      </c>
      <c r="W1597">
        <v>0.5</v>
      </c>
      <c r="X1597" t="s">
        <v>764</v>
      </c>
      <c r="Y1597" t="s">
        <v>133</v>
      </c>
      <c r="AA1597" t="s">
        <v>10974</v>
      </c>
      <c r="AB1597" t="s">
        <v>762</v>
      </c>
      <c r="AD1597" t="s">
        <v>11086</v>
      </c>
      <c r="AF1597" t="s">
        <v>10384</v>
      </c>
      <c r="AH1597" t="s">
        <v>10974</v>
      </c>
      <c r="AJ1597" t="s">
        <v>11104</v>
      </c>
      <c r="AK1597" t="s">
        <v>7225</v>
      </c>
      <c r="AM1597">
        <v>983.42</v>
      </c>
      <c r="AO1597">
        <v>32</v>
      </c>
      <c r="AQ1597" t="s">
        <v>11157</v>
      </c>
      <c r="AR1597" t="s">
        <v>11172</v>
      </c>
      <c r="AU1597">
        <v>11</v>
      </c>
      <c r="AW1597" t="s">
        <v>11187</v>
      </c>
      <c r="AZ1597" t="s">
        <v>11221</v>
      </c>
      <c r="BE1597" t="s">
        <v>12610</v>
      </c>
      <c r="BG1597" t="s">
        <v>14789</v>
      </c>
      <c r="BM1597" t="s">
        <v>15650</v>
      </c>
    </row>
    <row r="1598" spans="1:67">
      <c r="A1598" s="1">
        <f>HYPERLINK("https://lsnyc.legalserver.org/matter/dynamic-profile/view/1903999","19-1903999")</f>
        <v>0</v>
      </c>
      <c r="B1598" t="s">
        <v>133</v>
      </c>
      <c r="C1598" t="s">
        <v>248</v>
      </c>
      <c r="D1598" t="s">
        <v>406</v>
      </c>
      <c r="F1598" t="s">
        <v>1850</v>
      </c>
      <c r="G1598" t="s">
        <v>2845</v>
      </c>
      <c r="H1598" t="s">
        <v>5368</v>
      </c>
      <c r="I1598" t="s">
        <v>6437</v>
      </c>
      <c r="J1598" t="s">
        <v>7174</v>
      </c>
      <c r="K1598">
        <v>11213</v>
      </c>
      <c r="N1598" t="s">
        <v>7245</v>
      </c>
      <c r="O1598" t="s">
        <v>8319</v>
      </c>
      <c r="P1598">
        <v>1</v>
      </c>
      <c r="Q1598">
        <v>0</v>
      </c>
      <c r="R1598">
        <v>172.94</v>
      </c>
      <c r="U1598">
        <v>21600</v>
      </c>
      <c r="V1598" t="s">
        <v>10419</v>
      </c>
      <c r="W1598">
        <v>0</v>
      </c>
      <c r="Y1598" t="s">
        <v>101</v>
      </c>
      <c r="AA1598" t="s">
        <v>10974</v>
      </c>
      <c r="AB1598" t="s">
        <v>370</v>
      </c>
      <c r="AD1598" t="s">
        <v>11085</v>
      </c>
      <c r="AF1598" t="s">
        <v>10384</v>
      </c>
      <c r="AH1598" t="s">
        <v>10974</v>
      </c>
      <c r="AJ1598" t="s">
        <v>11104</v>
      </c>
      <c r="AK1598" t="s">
        <v>7225</v>
      </c>
      <c r="AL1598" t="s">
        <v>11150</v>
      </c>
      <c r="AM1598">
        <v>0</v>
      </c>
      <c r="AO1598">
        <v>19</v>
      </c>
      <c r="AQ1598" t="s">
        <v>11157</v>
      </c>
      <c r="AR1598" t="s">
        <v>11172</v>
      </c>
      <c r="AT1598" t="s">
        <v>11184</v>
      </c>
      <c r="AU1598">
        <v>0</v>
      </c>
      <c r="AW1598" t="s">
        <v>11187</v>
      </c>
      <c r="AY1598" t="s">
        <v>11213</v>
      </c>
      <c r="BA1598" t="s">
        <v>11222</v>
      </c>
      <c r="BD1598" t="s">
        <v>11667</v>
      </c>
      <c r="BG1598" t="s">
        <v>14545</v>
      </c>
      <c r="BM1598" t="s">
        <v>15650</v>
      </c>
    </row>
    <row r="1599" spans="1:67">
      <c r="A1599" s="1">
        <f>HYPERLINK("https://lsnyc.legalserver.org/matter/dynamic-profile/view/1835945","17-1835945")</f>
        <v>0</v>
      </c>
      <c r="B1599" t="s">
        <v>133</v>
      </c>
      <c r="C1599" t="s">
        <v>248</v>
      </c>
      <c r="D1599" t="s">
        <v>763</v>
      </c>
      <c r="F1599" t="s">
        <v>1846</v>
      </c>
      <c r="G1599" t="s">
        <v>3646</v>
      </c>
      <c r="H1599" t="s">
        <v>5366</v>
      </c>
      <c r="I1599" t="s">
        <v>6466</v>
      </c>
      <c r="J1599" t="s">
        <v>7174</v>
      </c>
      <c r="K1599">
        <v>11212</v>
      </c>
      <c r="N1599" t="s">
        <v>7237</v>
      </c>
      <c r="O1599" t="s">
        <v>8314</v>
      </c>
      <c r="P1599">
        <v>2</v>
      </c>
      <c r="Q1599">
        <v>0</v>
      </c>
      <c r="R1599">
        <v>176.9</v>
      </c>
      <c r="U1599">
        <v>28729</v>
      </c>
      <c r="W1599">
        <v>0.5</v>
      </c>
      <c r="X1599" t="s">
        <v>804</v>
      </c>
      <c r="Y1599" t="s">
        <v>133</v>
      </c>
      <c r="AA1599" t="s">
        <v>10974</v>
      </c>
      <c r="AB1599" t="s">
        <v>763</v>
      </c>
      <c r="AD1599" t="s">
        <v>11086</v>
      </c>
      <c r="AF1599" t="s">
        <v>10384</v>
      </c>
      <c r="AH1599" t="s">
        <v>10974</v>
      </c>
      <c r="AJ1599" t="s">
        <v>11104</v>
      </c>
      <c r="AK1599" t="s">
        <v>7225</v>
      </c>
      <c r="AM1599">
        <v>1120.98</v>
      </c>
      <c r="AO1599">
        <v>31</v>
      </c>
      <c r="AQ1599" t="s">
        <v>11157</v>
      </c>
      <c r="AS1599" t="s">
        <v>11175</v>
      </c>
      <c r="AU1599">
        <v>12</v>
      </c>
      <c r="AW1599" t="s">
        <v>11187</v>
      </c>
      <c r="AZ1599" t="s">
        <v>11221</v>
      </c>
      <c r="BE1599" t="s">
        <v>12606</v>
      </c>
      <c r="BF1599" t="s">
        <v>14364</v>
      </c>
      <c r="BG1599" t="s">
        <v>14790</v>
      </c>
      <c r="BM1599" t="s">
        <v>15650</v>
      </c>
    </row>
    <row r="1600" spans="1:67">
      <c r="A1600" s="1">
        <f>HYPERLINK("https://lsnyc.legalserver.org/matter/dynamic-profile/view/1904256","19-1904256")</f>
        <v>0</v>
      </c>
      <c r="B1600" t="s">
        <v>133</v>
      </c>
      <c r="C1600" t="s">
        <v>248</v>
      </c>
      <c r="D1600" t="s">
        <v>512</v>
      </c>
      <c r="F1600" t="s">
        <v>1150</v>
      </c>
      <c r="G1600" t="s">
        <v>2939</v>
      </c>
      <c r="H1600" t="s">
        <v>4801</v>
      </c>
      <c r="I1600" t="s">
        <v>6440</v>
      </c>
      <c r="J1600" t="s">
        <v>7174</v>
      </c>
      <c r="K1600">
        <v>11221</v>
      </c>
      <c r="N1600" t="s">
        <v>7245</v>
      </c>
      <c r="O1600" t="s">
        <v>7319</v>
      </c>
      <c r="P1600">
        <v>3</v>
      </c>
      <c r="Q1600">
        <v>2</v>
      </c>
      <c r="R1600">
        <v>265.16</v>
      </c>
      <c r="U1600">
        <v>80000</v>
      </c>
      <c r="W1600">
        <v>0</v>
      </c>
      <c r="Y1600" t="s">
        <v>225</v>
      </c>
      <c r="Z1600" t="s">
        <v>10973</v>
      </c>
      <c r="AA1600" t="s">
        <v>10975</v>
      </c>
      <c r="AB1600" t="s">
        <v>483</v>
      </c>
      <c r="AD1600" t="s">
        <v>11100</v>
      </c>
      <c r="AF1600" t="s">
        <v>10384</v>
      </c>
      <c r="AH1600" t="s">
        <v>10974</v>
      </c>
      <c r="AJ1600" t="s">
        <v>11141</v>
      </c>
      <c r="AK1600" t="s">
        <v>7225</v>
      </c>
      <c r="AM1600">
        <v>732</v>
      </c>
      <c r="AO1600">
        <v>13</v>
      </c>
      <c r="AQ1600" t="s">
        <v>11157</v>
      </c>
      <c r="AS1600" t="s">
        <v>11173</v>
      </c>
      <c r="AU1600">
        <v>25</v>
      </c>
      <c r="AW1600" t="s">
        <v>11187</v>
      </c>
      <c r="AY1600" t="s">
        <v>11213</v>
      </c>
      <c r="AZ1600" t="s">
        <v>11221</v>
      </c>
      <c r="BA1600" t="s">
        <v>11173</v>
      </c>
      <c r="BC1600" t="s">
        <v>11173</v>
      </c>
      <c r="BE1600" t="s">
        <v>11731</v>
      </c>
      <c r="BF1600" t="s">
        <v>14364</v>
      </c>
      <c r="BG1600" t="s">
        <v>14411</v>
      </c>
      <c r="BM1600" t="s">
        <v>15650</v>
      </c>
    </row>
    <row r="1601" spans="1:65">
      <c r="A1601" s="1">
        <f>HYPERLINK("https://lsnyc.legalserver.org/matter/dynamic-profile/view/1872021","18-1872021")</f>
        <v>0</v>
      </c>
      <c r="B1601" t="s">
        <v>133</v>
      </c>
      <c r="C1601" t="s">
        <v>248</v>
      </c>
      <c r="D1601" t="s">
        <v>657</v>
      </c>
      <c r="F1601" t="s">
        <v>1851</v>
      </c>
      <c r="G1601" t="s">
        <v>3647</v>
      </c>
      <c r="H1601" t="s">
        <v>5034</v>
      </c>
      <c r="I1601" t="s">
        <v>6767</v>
      </c>
      <c r="J1601" t="s">
        <v>7174</v>
      </c>
      <c r="K1601">
        <v>11225</v>
      </c>
      <c r="N1601" t="s">
        <v>7237</v>
      </c>
      <c r="O1601" t="s">
        <v>8320</v>
      </c>
      <c r="P1601">
        <v>3</v>
      </c>
      <c r="Q1601">
        <v>0</v>
      </c>
      <c r="R1601">
        <v>258.5</v>
      </c>
      <c r="U1601">
        <v>53716</v>
      </c>
      <c r="W1601">
        <v>0</v>
      </c>
      <c r="Y1601" t="s">
        <v>225</v>
      </c>
      <c r="AA1601" t="s">
        <v>10974</v>
      </c>
      <c r="AB1601" t="s">
        <v>453</v>
      </c>
      <c r="AD1601" t="s">
        <v>11100</v>
      </c>
      <c r="AF1601" t="s">
        <v>10384</v>
      </c>
      <c r="AH1601" t="s">
        <v>10974</v>
      </c>
      <c r="AI1601" t="s">
        <v>11126</v>
      </c>
      <c r="AK1601" t="s">
        <v>7225</v>
      </c>
      <c r="AM1601">
        <v>911.14</v>
      </c>
      <c r="AO1601">
        <v>89</v>
      </c>
      <c r="AQ1601" t="s">
        <v>11157</v>
      </c>
      <c r="AS1601" t="s">
        <v>11173</v>
      </c>
      <c r="AU1601">
        <v>40</v>
      </c>
      <c r="AW1601" t="s">
        <v>11187</v>
      </c>
      <c r="AZ1601" t="s">
        <v>11221</v>
      </c>
      <c r="BE1601" t="s">
        <v>12611</v>
      </c>
      <c r="BF1601" t="s">
        <v>14364</v>
      </c>
      <c r="BM1601" t="s">
        <v>15650</v>
      </c>
    </row>
    <row r="1602" spans="1:65">
      <c r="A1602" s="1">
        <f>HYPERLINK("https://lsnyc.legalserver.org/matter/dynamic-profile/view/1907792","19-1907792")</f>
        <v>0</v>
      </c>
      <c r="B1602" t="s">
        <v>133</v>
      </c>
      <c r="C1602" t="s">
        <v>248</v>
      </c>
      <c r="D1602" t="s">
        <v>570</v>
      </c>
      <c r="F1602" t="s">
        <v>1852</v>
      </c>
      <c r="G1602" t="s">
        <v>2987</v>
      </c>
      <c r="H1602" t="s">
        <v>5057</v>
      </c>
      <c r="I1602" t="s">
        <v>6609</v>
      </c>
      <c r="J1602" t="s">
        <v>7174</v>
      </c>
      <c r="K1602">
        <v>11212</v>
      </c>
      <c r="N1602" t="s">
        <v>7237</v>
      </c>
      <c r="O1602" t="s">
        <v>8321</v>
      </c>
      <c r="P1602">
        <v>1</v>
      </c>
      <c r="Q1602">
        <v>0</v>
      </c>
      <c r="R1602">
        <v>264.21</v>
      </c>
      <c r="U1602">
        <v>33000</v>
      </c>
      <c r="W1602">
        <v>0.75</v>
      </c>
      <c r="X1602" t="s">
        <v>671</v>
      </c>
      <c r="Y1602" t="s">
        <v>101</v>
      </c>
      <c r="AA1602" t="s">
        <v>10974</v>
      </c>
      <c r="AB1602" t="s">
        <v>349</v>
      </c>
      <c r="AD1602" t="s">
        <v>11100</v>
      </c>
      <c r="AF1602" t="s">
        <v>10384</v>
      </c>
      <c r="AH1602" t="s">
        <v>10974</v>
      </c>
      <c r="AJ1602" t="s">
        <v>11141</v>
      </c>
      <c r="AK1602" t="s">
        <v>7225</v>
      </c>
      <c r="AM1602">
        <v>250</v>
      </c>
      <c r="AO1602">
        <v>96</v>
      </c>
      <c r="AQ1602" t="s">
        <v>11157</v>
      </c>
      <c r="AS1602" t="s">
        <v>11104</v>
      </c>
      <c r="AU1602">
        <v>2</v>
      </c>
      <c r="AW1602" t="s">
        <v>11187</v>
      </c>
      <c r="AY1602" t="s">
        <v>11213</v>
      </c>
      <c r="BA1602" t="s">
        <v>11222</v>
      </c>
      <c r="BE1602" t="s">
        <v>12612</v>
      </c>
      <c r="BF1602" t="s">
        <v>14364</v>
      </c>
      <c r="BG1602" t="s">
        <v>11173</v>
      </c>
      <c r="BM1602" t="s">
        <v>15650</v>
      </c>
    </row>
    <row r="1603" spans="1:65">
      <c r="A1603" s="1">
        <f>HYPERLINK("https://lsnyc.legalserver.org/matter/dynamic-profile/view/1887835","19-1887835")</f>
        <v>0</v>
      </c>
      <c r="B1603" t="s">
        <v>133</v>
      </c>
      <c r="C1603" t="s">
        <v>248</v>
      </c>
      <c r="D1603" t="s">
        <v>596</v>
      </c>
      <c r="F1603" t="s">
        <v>1853</v>
      </c>
      <c r="G1603" t="s">
        <v>3648</v>
      </c>
      <c r="H1603" t="s">
        <v>5034</v>
      </c>
      <c r="I1603" t="s">
        <v>6768</v>
      </c>
      <c r="J1603" t="s">
        <v>7174</v>
      </c>
      <c r="K1603">
        <v>11225</v>
      </c>
      <c r="N1603" t="s">
        <v>7237</v>
      </c>
      <c r="O1603" t="s">
        <v>8322</v>
      </c>
      <c r="P1603">
        <v>1</v>
      </c>
      <c r="Q1603">
        <v>0</v>
      </c>
      <c r="R1603">
        <v>247.12</v>
      </c>
      <c r="U1603">
        <v>30000</v>
      </c>
      <c r="W1603">
        <v>0</v>
      </c>
      <c r="Y1603" t="s">
        <v>101</v>
      </c>
      <c r="AA1603" t="s">
        <v>10974</v>
      </c>
      <c r="AB1603" t="s">
        <v>453</v>
      </c>
      <c r="AD1603" t="s">
        <v>11098</v>
      </c>
      <c r="AF1603" t="s">
        <v>11122</v>
      </c>
      <c r="AH1603" t="s">
        <v>10974</v>
      </c>
      <c r="AJ1603" t="s">
        <v>11134</v>
      </c>
      <c r="AK1603" t="s">
        <v>7225</v>
      </c>
      <c r="AM1603">
        <v>1895</v>
      </c>
      <c r="AN1603" t="s">
        <v>11151</v>
      </c>
      <c r="AO1603" t="s">
        <v>11153</v>
      </c>
      <c r="AQ1603" t="s">
        <v>11157</v>
      </c>
      <c r="AS1603" t="s">
        <v>11173</v>
      </c>
      <c r="AU1603">
        <v>1</v>
      </c>
      <c r="AW1603" t="s">
        <v>11187</v>
      </c>
      <c r="AZ1603" t="s">
        <v>11221</v>
      </c>
      <c r="BE1603" t="s">
        <v>12613</v>
      </c>
      <c r="BF1603" t="s">
        <v>14364</v>
      </c>
      <c r="BM1603" t="s">
        <v>15650</v>
      </c>
    </row>
    <row r="1604" spans="1:65">
      <c r="A1604" s="1">
        <f>HYPERLINK("https://lsnyc.legalserver.org/matter/dynamic-profile/view/1867296","18-1867296")</f>
        <v>0</v>
      </c>
      <c r="B1604" t="s">
        <v>133</v>
      </c>
      <c r="C1604" t="s">
        <v>248</v>
      </c>
      <c r="D1604" t="s">
        <v>764</v>
      </c>
      <c r="F1604" t="s">
        <v>1854</v>
      </c>
      <c r="G1604" t="s">
        <v>3645</v>
      </c>
      <c r="H1604" t="s">
        <v>5366</v>
      </c>
      <c r="I1604" t="s">
        <v>6436</v>
      </c>
      <c r="J1604" t="s">
        <v>7174</v>
      </c>
      <c r="K1604">
        <v>11212</v>
      </c>
      <c r="N1604" t="s">
        <v>7237</v>
      </c>
      <c r="O1604" t="s">
        <v>8318</v>
      </c>
      <c r="P1604">
        <v>1</v>
      </c>
      <c r="Q1604">
        <v>1</v>
      </c>
      <c r="R1604">
        <v>255.16</v>
      </c>
      <c r="U1604">
        <v>42000</v>
      </c>
      <c r="W1604">
        <v>0</v>
      </c>
      <c r="Y1604" t="s">
        <v>225</v>
      </c>
      <c r="AA1604" t="s">
        <v>10974</v>
      </c>
      <c r="AB1604" t="s">
        <v>849</v>
      </c>
      <c r="AD1604" t="s">
        <v>11100</v>
      </c>
      <c r="AF1604" t="s">
        <v>11120</v>
      </c>
      <c r="AH1604" t="s">
        <v>10974</v>
      </c>
      <c r="AJ1604" t="s">
        <v>11104</v>
      </c>
      <c r="AK1604" t="s">
        <v>7225</v>
      </c>
      <c r="AM1604">
        <v>983.42</v>
      </c>
      <c r="AO1604">
        <v>32</v>
      </c>
      <c r="AQ1604" t="s">
        <v>11157</v>
      </c>
      <c r="AR1604" t="s">
        <v>11172</v>
      </c>
      <c r="AU1604">
        <v>11</v>
      </c>
      <c r="AW1604" t="s">
        <v>11187</v>
      </c>
      <c r="AZ1604" t="s">
        <v>11221</v>
      </c>
      <c r="BE1604" t="s">
        <v>12610</v>
      </c>
      <c r="BF1604" t="s">
        <v>14364</v>
      </c>
      <c r="BM1604" t="s">
        <v>15650</v>
      </c>
    </row>
    <row r="1605" spans="1:65">
      <c r="A1605" s="1">
        <f>HYPERLINK("https://lsnyc.legalserver.org/matter/dynamic-profile/view/1887825","19-1887825")</f>
        <v>0</v>
      </c>
      <c r="B1605" t="s">
        <v>133</v>
      </c>
      <c r="C1605" t="s">
        <v>248</v>
      </c>
      <c r="D1605" t="s">
        <v>596</v>
      </c>
      <c r="F1605" t="s">
        <v>1851</v>
      </c>
      <c r="G1605" t="s">
        <v>3647</v>
      </c>
      <c r="H1605" t="s">
        <v>5034</v>
      </c>
      <c r="I1605" t="s">
        <v>6767</v>
      </c>
      <c r="J1605" t="s">
        <v>7174</v>
      </c>
      <c r="K1605">
        <v>11225</v>
      </c>
      <c r="N1605" t="s">
        <v>7237</v>
      </c>
      <c r="O1605" t="s">
        <v>8320</v>
      </c>
      <c r="P1605">
        <v>3</v>
      </c>
      <c r="Q1605">
        <v>0</v>
      </c>
      <c r="R1605">
        <v>258.5</v>
      </c>
      <c r="U1605">
        <v>53716</v>
      </c>
      <c r="W1605">
        <v>0</v>
      </c>
      <c r="Y1605" t="s">
        <v>101</v>
      </c>
      <c r="AA1605" t="s">
        <v>10974</v>
      </c>
      <c r="AB1605" t="s">
        <v>453</v>
      </c>
      <c r="AD1605" t="s">
        <v>11098</v>
      </c>
      <c r="AF1605" t="s">
        <v>11122</v>
      </c>
      <c r="AH1605" t="s">
        <v>10974</v>
      </c>
      <c r="AI1605" t="s">
        <v>11126</v>
      </c>
      <c r="AK1605" t="s">
        <v>7225</v>
      </c>
      <c r="AM1605">
        <v>911.14</v>
      </c>
      <c r="AO1605">
        <v>89</v>
      </c>
      <c r="AQ1605" t="s">
        <v>11157</v>
      </c>
      <c r="AS1605" t="s">
        <v>11173</v>
      </c>
      <c r="AU1605">
        <v>40</v>
      </c>
      <c r="AW1605" t="s">
        <v>11187</v>
      </c>
      <c r="AZ1605" t="s">
        <v>11221</v>
      </c>
      <c r="BE1605" t="s">
        <v>12611</v>
      </c>
      <c r="BF1605" t="s">
        <v>14364</v>
      </c>
      <c r="BM1605" t="s">
        <v>15650</v>
      </c>
    </row>
    <row r="1606" spans="1:65">
      <c r="A1606" s="1">
        <f>HYPERLINK("https://lsnyc.legalserver.org/matter/dynamic-profile/view/1905907","19-1905907")</f>
        <v>0</v>
      </c>
      <c r="B1606" t="s">
        <v>133</v>
      </c>
      <c r="C1606" t="s">
        <v>248</v>
      </c>
      <c r="D1606" t="s">
        <v>337</v>
      </c>
      <c r="F1606" t="s">
        <v>1489</v>
      </c>
      <c r="G1606" t="s">
        <v>3649</v>
      </c>
      <c r="H1606" t="s">
        <v>5166</v>
      </c>
      <c r="I1606" t="s">
        <v>6430</v>
      </c>
      <c r="J1606" t="s">
        <v>7174</v>
      </c>
      <c r="K1606">
        <v>11213</v>
      </c>
      <c r="N1606" t="s">
        <v>7237</v>
      </c>
      <c r="O1606" t="s">
        <v>8323</v>
      </c>
      <c r="P1606">
        <v>5</v>
      </c>
      <c r="Q1606">
        <v>1</v>
      </c>
      <c r="R1606">
        <v>112.94</v>
      </c>
      <c r="U1606">
        <v>39066</v>
      </c>
      <c r="V1606" t="s">
        <v>10420</v>
      </c>
      <c r="W1606">
        <v>0</v>
      </c>
      <c r="Y1606" t="s">
        <v>225</v>
      </c>
      <c r="AA1606" t="s">
        <v>10974</v>
      </c>
      <c r="AB1606" t="s">
        <v>370</v>
      </c>
      <c r="AD1606" t="s">
        <v>11100</v>
      </c>
      <c r="AF1606" t="s">
        <v>10384</v>
      </c>
      <c r="AH1606" t="s">
        <v>10974</v>
      </c>
      <c r="AJ1606" t="s">
        <v>11129</v>
      </c>
      <c r="AK1606" t="s">
        <v>7225</v>
      </c>
      <c r="AM1606">
        <v>719</v>
      </c>
      <c r="AO1606">
        <v>6</v>
      </c>
      <c r="AQ1606" t="s">
        <v>11157</v>
      </c>
      <c r="AS1606" t="s">
        <v>11180</v>
      </c>
      <c r="AU1606">
        <v>22</v>
      </c>
      <c r="AW1606" t="s">
        <v>11187</v>
      </c>
      <c r="AY1606" t="s">
        <v>11213</v>
      </c>
      <c r="BA1606" t="s">
        <v>11222</v>
      </c>
      <c r="BC1606" t="s">
        <v>11234</v>
      </c>
      <c r="BE1606" t="s">
        <v>12614</v>
      </c>
      <c r="BF1606" t="s">
        <v>14364</v>
      </c>
      <c r="BG1606" t="s">
        <v>14411</v>
      </c>
      <c r="BM1606" t="s">
        <v>15650</v>
      </c>
    </row>
    <row r="1607" spans="1:65">
      <c r="A1607" s="1">
        <f>HYPERLINK("https://lsnyc.legalserver.org/matter/dynamic-profile/view/1879051","18-1879051")</f>
        <v>0</v>
      </c>
      <c r="B1607" t="s">
        <v>133</v>
      </c>
      <c r="C1607" t="s">
        <v>248</v>
      </c>
      <c r="D1607" t="s">
        <v>765</v>
      </c>
      <c r="F1607" t="s">
        <v>1139</v>
      </c>
      <c r="G1607" t="s">
        <v>2928</v>
      </c>
      <c r="H1607" t="s">
        <v>4801</v>
      </c>
      <c r="I1607" t="s">
        <v>6437</v>
      </c>
      <c r="J1607" t="s">
        <v>7174</v>
      </c>
      <c r="K1607">
        <v>11221</v>
      </c>
      <c r="N1607" t="s">
        <v>7237</v>
      </c>
      <c r="O1607" t="s">
        <v>7308</v>
      </c>
      <c r="P1607">
        <v>1</v>
      </c>
      <c r="Q1607">
        <v>0</v>
      </c>
      <c r="R1607">
        <v>155.02</v>
      </c>
      <c r="U1607">
        <v>18820</v>
      </c>
      <c r="W1607">
        <v>0</v>
      </c>
      <c r="Y1607" t="s">
        <v>225</v>
      </c>
      <c r="AA1607" t="s">
        <v>10974</v>
      </c>
      <c r="AB1607" t="s">
        <v>566</v>
      </c>
      <c r="AD1607" t="s">
        <v>11098</v>
      </c>
      <c r="AF1607" t="s">
        <v>11122</v>
      </c>
      <c r="AH1607" t="s">
        <v>10974</v>
      </c>
      <c r="AJ1607" t="s">
        <v>11141</v>
      </c>
      <c r="AK1607" t="s">
        <v>7225</v>
      </c>
      <c r="AM1607">
        <v>790</v>
      </c>
      <c r="AO1607">
        <v>13</v>
      </c>
      <c r="AQ1607" t="s">
        <v>11157</v>
      </c>
      <c r="AS1607" t="s">
        <v>11173</v>
      </c>
      <c r="AU1607">
        <v>20</v>
      </c>
      <c r="AW1607" t="s">
        <v>11187</v>
      </c>
      <c r="AZ1607" t="s">
        <v>11221</v>
      </c>
      <c r="BE1607" t="s">
        <v>11720</v>
      </c>
      <c r="BF1607" t="s">
        <v>14364</v>
      </c>
      <c r="BM1607" t="s">
        <v>15650</v>
      </c>
    </row>
    <row r="1608" spans="1:65">
      <c r="A1608" s="1">
        <f>HYPERLINK("https://lsnyc.legalserver.org/matter/dynamic-profile/view/1878601","18-1878601")</f>
        <v>0</v>
      </c>
      <c r="B1608" t="s">
        <v>133</v>
      </c>
      <c r="C1608" t="s">
        <v>248</v>
      </c>
      <c r="D1608" t="s">
        <v>543</v>
      </c>
      <c r="F1608" t="s">
        <v>1138</v>
      </c>
      <c r="G1608" t="s">
        <v>1728</v>
      </c>
      <c r="H1608" t="s">
        <v>4800</v>
      </c>
      <c r="I1608" t="s">
        <v>6436</v>
      </c>
      <c r="J1608" t="s">
        <v>7174</v>
      </c>
      <c r="K1608">
        <v>11221</v>
      </c>
      <c r="N1608" t="s">
        <v>7237</v>
      </c>
      <c r="O1608" t="s">
        <v>7307</v>
      </c>
      <c r="P1608">
        <v>1</v>
      </c>
      <c r="Q1608">
        <v>1</v>
      </c>
      <c r="R1608">
        <v>243.01</v>
      </c>
      <c r="U1608">
        <v>40000</v>
      </c>
      <c r="V1608" t="s">
        <v>10421</v>
      </c>
      <c r="W1608">
        <v>6.5</v>
      </c>
      <c r="X1608" t="s">
        <v>553</v>
      </c>
      <c r="Y1608" t="s">
        <v>225</v>
      </c>
      <c r="AA1608" t="s">
        <v>10974</v>
      </c>
      <c r="AB1608" t="s">
        <v>678</v>
      </c>
      <c r="AD1608" t="s">
        <v>11098</v>
      </c>
      <c r="AF1608" t="s">
        <v>11122</v>
      </c>
      <c r="AH1608" t="s">
        <v>10974</v>
      </c>
      <c r="AJ1608" t="s">
        <v>11141</v>
      </c>
      <c r="AK1608" t="s">
        <v>7225</v>
      </c>
      <c r="AM1608">
        <v>880.65</v>
      </c>
      <c r="AO1608">
        <v>12</v>
      </c>
      <c r="AQ1608" t="s">
        <v>11157</v>
      </c>
      <c r="AS1608" t="s">
        <v>11173</v>
      </c>
      <c r="AU1608">
        <v>17</v>
      </c>
      <c r="AW1608" t="s">
        <v>11187</v>
      </c>
      <c r="AZ1608" t="s">
        <v>11221</v>
      </c>
      <c r="BE1608" t="s">
        <v>11719</v>
      </c>
      <c r="BF1608" t="s">
        <v>14364</v>
      </c>
      <c r="BM1608" t="s">
        <v>15650</v>
      </c>
    </row>
    <row r="1609" spans="1:65">
      <c r="A1609" s="1">
        <f>HYPERLINK("https://lsnyc.legalserver.org/matter/dynamic-profile/view/1871573","18-1871573")</f>
        <v>0</v>
      </c>
      <c r="B1609" t="s">
        <v>133</v>
      </c>
      <c r="C1609" t="s">
        <v>248</v>
      </c>
      <c r="D1609" t="s">
        <v>620</v>
      </c>
      <c r="F1609" t="s">
        <v>1140</v>
      </c>
      <c r="G1609" t="s">
        <v>3650</v>
      </c>
      <c r="H1609" t="s">
        <v>5366</v>
      </c>
      <c r="I1609" t="s">
        <v>6410</v>
      </c>
      <c r="J1609" t="s">
        <v>7174</v>
      </c>
      <c r="K1609">
        <v>11212</v>
      </c>
      <c r="N1609" t="s">
        <v>7237</v>
      </c>
      <c r="O1609" t="s">
        <v>8324</v>
      </c>
      <c r="P1609">
        <v>2</v>
      </c>
      <c r="Q1609">
        <v>0</v>
      </c>
      <c r="R1609">
        <v>212.64</v>
      </c>
      <c r="U1609">
        <v>35000</v>
      </c>
      <c r="W1609">
        <v>0</v>
      </c>
      <c r="Y1609" t="s">
        <v>10925</v>
      </c>
      <c r="AA1609" t="s">
        <v>10974</v>
      </c>
      <c r="AB1609" t="s">
        <v>11020</v>
      </c>
      <c r="AD1609" t="s">
        <v>11086</v>
      </c>
      <c r="AF1609" t="s">
        <v>10384</v>
      </c>
      <c r="AH1609" t="s">
        <v>10974</v>
      </c>
      <c r="AJ1609" t="s">
        <v>11104</v>
      </c>
      <c r="AK1609" t="s">
        <v>7225</v>
      </c>
      <c r="AM1609">
        <v>1201</v>
      </c>
      <c r="AO1609">
        <v>32</v>
      </c>
      <c r="AQ1609" t="s">
        <v>11157</v>
      </c>
      <c r="AR1609" t="s">
        <v>11172</v>
      </c>
      <c r="AU1609">
        <v>10</v>
      </c>
      <c r="AW1609" t="s">
        <v>11187</v>
      </c>
      <c r="AZ1609" t="s">
        <v>11221</v>
      </c>
      <c r="BE1609" t="s">
        <v>12615</v>
      </c>
      <c r="BF1609" t="s">
        <v>14364</v>
      </c>
      <c r="BM1609" t="s">
        <v>15650</v>
      </c>
    </row>
    <row r="1610" spans="1:65">
      <c r="A1610" s="1">
        <f>HYPERLINK("https://lsnyc.legalserver.org/matter/dynamic-profile/view/1870548","18-1870548")</f>
        <v>0</v>
      </c>
      <c r="B1610" t="s">
        <v>133</v>
      </c>
      <c r="C1610" t="s">
        <v>248</v>
      </c>
      <c r="D1610" t="s">
        <v>641</v>
      </c>
      <c r="F1610" t="s">
        <v>1140</v>
      </c>
      <c r="G1610" t="s">
        <v>3650</v>
      </c>
      <c r="H1610" t="s">
        <v>5366</v>
      </c>
      <c r="I1610" t="s">
        <v>6410</v>
      </c>
      <c r="J1610" t="s">
        <v>7174</v>
      </c>
      <c r="K1610">
        <v>11212</v>
      </c>
      <c r="N1610" t="s">
        <v>7237</v>
      </c>
      <c r="O1610" t="s">
        <v>8324</v>
      </c>
      <c r="P1610">
        <v>2</v>
      </c>
      <c r="Q1610">
        <v>0</v>
      </c>
      <c r="R1610">
        <v>212.64</v>
      </c>
      <c r="U1610">
        <v>35000</v>
      </c>
      <c r="W1610">
        <v>0</v>
      </c>
      <c r="Y1610" t="s">
        <v>225</v>
      </c>
      <c r="AA1610" t="s">
        <v>10974</v>
      </c>
      <c r="AB1610" t="s">
        <v>11022</v>
      </c>
      <c r="AC1610" t="s">
        <v>11081</v>
      </c>
      <c r="AF1610" t="s">
        <v>11122</v>
      </c>
      <c r="AH1610" t="s">
        <v>10974</v>
      </c>
      <c r="AJ1610" t="s">
        <v>11129</v>
      </c>
      <c r="AK1610" t="s">
        <v>7225</v>
      </c>
      <c r="AM1610">
        <v>1201</v>
      </c>
      <c r="AO1610">
        <v>32</v>
      </c>
      <c r="AQ1610" t="s">
        <v>11157</v>
      </c>
      <c r="AS1610" t="s">
        <v>11173</v>
      </c>
      <c r="AU1610">
        <v>10</v>
      </c>
      <c r="AW1610" t="s">
        <v>11187</v>
      </c>
      <c r="AZ1610" t="s">
        <v>11221</v>
      </c>
      <c r="BE1610" t="s">
        <v>12615</v>
      </c>
      <c r="BF1610" t="s">
        <v>14364</v>
      </c>
      <c r="BM1610" t="s">
        <v>15650</v>
      </c>
    </row>
    <row r="1611" spans="1:65">
      <c r="A1611" s="1">
        <f>HYPERLINK("https://lsnyc.legalserver.org/matter/dynamic-profile/view/0830085","17-0830085")</f>
        <v>0</v>
      </c>
      <c r="B1611" t="s">
        <v>133</v>
      </c>
      <c r="C1611" t="s">
        <v>248</v>
      </c>
      <c r="D1611" t="s">
        <v>762</v>
      </c>
      <c r="F1611" t="s">
        <v>1260</v>
      </c>
      <c r="G1611" t="s">
        <v>3651</v>
      </c>
      <c r="H1611" t="s">
        <v>5366</v>
      </c>
      <c r="I1611" t="s">
        <v>6686</v>
      </c>
      <c r="J1611" t="s">
        <v>7174</v>
      </c>
      <c r="K1611">
        <v>11212</v>
      </c>
      <c r="N1611" t="s">
        <v>7237</v>
      </c>
      <c r="O1611" t="s">
        <v>8325</v>
      </c>
      <c r="P1611">
        <v>3</v>
      </c>
      <c r="Q1611">
        <v>0</v>
      </c>
      <c r="R1611">
        <v>190.99</v>
      </c>
      <c r="U1611">
        <v>39000</v>
      </c>
      <c r="W1611">
        <v>0.25</v>
      </c>
      <c r="X1611" t="s">
        <v>385</v>
      </c>
      <c r="Y1611" t="s">
        <v>133</v>
      </c>
      <c r="AA1611" t="s">
        <v>10974</v>
      </c>
      <c r="AB1611" t="s">
        <v>762</v>
      </c>
      <c r="AD1611" t="s">
        <v>11096</v>
      </c>
      <c r="AF1611" t="s">
        <v>10384</v>
      </c>
      <c r="AH1611" t="s">
        <v>10974</v>
      </c>
      <c r="AJ1611" t="s">
        <v>11104</v>
      </c>
      <c r="AK1611" t="s">
        <v>7225</v>
      </c>
      <c r="AM1611">
        <v>893.61</v>
      </c>
      <c r="AO1611">
        <v>32</v>
      </c>
      <c r="AQ1611" t="s">
        <v>11157</v>
      </c>
      <c r="AR1611" t="s">
        <v>11172</v>
      </c>
      <c r="AU1611">
        <v>8</v>
      </c>
      <c r="AW1611" t="s">
        <v>11187</v>
      </c>
      <c r="AZ1611" t="s">
        <v>11221</v>
      </c>
      <c r="BE1611" t="s">
        <v>12616</v>
      </c>
      <c r="BG1611" t="s">
        <v>14789</v>
      </c>
      <c r="BM1611" t="s">
        <v>15650</v>
      </c>
    </row>
    <row r="1612" spans="1:65">
      <c r="A1612" s="1">
        <f>HYPERLINK("https://lsnyc.legalserver.org/matter/dynamic-profile/view/1885027","18-1885027")</f>
        <v>0</v>
      </c>
      <c r="B1612" t="s">
        <v>133</v>
      </c>
      <c r="C1612" t="s">
        <v>248</v>
      </c>
      <c r="D1612" t="s">
        <v>706</v>
      </c>
      <c r="F1612" t="s">
        <v>1855</v>
      </c>
      <c r="G1612" t="s">
        <v>3652</v>
      </c>
      <c r="H1612" t="s">
        <v>5368</v>
      </c>
      <c r="I1612" t="s">
        <v>6412</v>
      </c>
      <c r="J1612" t="s">
        <v>7174</v>
      </c>
      <c r="K1612">
        <v>11213</v>
      </c>
      <c r="N1612" t="s">
        <v>7237</v>
      </c>
      <c r="O1612" t="s">
        <v>8326</v>
      </c>
      <c r="P1612">
        <v>4</v>
      </c>
      <c r="Q1612">
        <v>0</v>
      </c>
      <c r="R1612">
        <v>190.88</v>
      </c>
      <c r="U1612">
        <v>47909.8</v>
      </c>
      <c r="W1612">
        <v>13.15</v>
      </c>
      <c r="X1612" t="s">
        <v>347</v>
      </c>
      <c r="Y1612" t="s">
        <v>225</v>
      </c>
      <c r="AA1612" t="s">
        <v>10974</v>
      </c>
      <c r="AB1612" t="s">
        <v>11000</v>
      </c>
      <c r="AD1612" t="s">
        <v>11098</v>
      </c>
      <c r="AF1612" t="s">
        <v>11122</v>
      </c>
      <c r="AH1612" t="s">
        <v>10974</v>
      </c>
      <c r="AJ1612" t="s">
        <v>11144</v>
      </c>
      <c r="AK1612" t="s">
        <v>7225</v>
      </c>
      <c r="AM1612">
        <v>1507.16</v>
      </c>
      <c r="AO1612">
        <v>19</v>
      </c>
      <c r="AQ1612" t="s">
        <v>11157</v>
      </c>
      <c r="AS1612" t="s">
        <v>11174</v>
      </c>
      <c r="AU1612">
        <v>22</v>
      </c>
      <c r="AW1612" t="s">
        <v>11187</v>
      </c>
      <c r="AY1612" t="s">
        <v>11213</v>
      </c>
      <c r="AZ1612" t="s">
        <v>11221</v>
      </c>
      <c r="BC1612" t="s">
        <v>11230</v>
      </c>
      <c r="BE1612" t="s">
        <v>12617</v>
      </c>
      <c r="BF1612" t="s">
        <v>14364</v>
      </c>
      <c r="BG1612" t="s">
        <v>11086</v>
      </c>
      <c r="BM1612" t="s">
        <v>15650</v>
      </c>
    </row>
    <row r="1613" spans="1:65">
      <c r="A1613" s="1">
        <f>HYPERLINK("https://lsnyc.legalserver.org/matter/dynamic-profile/view/1869429","18-1869429")</f>
        <v>0</v>
      </c>
      <c r="B1613" t="s">
        <v>133</v>
      </c>
      <c r="C1613" t="s">
        <v>248</v>
      </c>
      <c r="D1613" t="s">
        <v>766</v>
      </c>
      <c r="F1613" t="s">
        <v>1725</v>
      </c>
      <c r="G1613" t="s">
        <v>3077</v>
      </c>
      <c r="H1613" t="s">
        <v>5365</v>
      </c>
      <c r="I1613" t="s">
        <v>6482</v>
      </c>
      <c r="J1613" t="s">
        <v>7174</v>
      </c>
      <c r="K1613">
        <v>11233</v>
      </c>
      <c r="N1613" t="s">
        <v>7237</v>
      </c>
      <c r="O1613" t="s">
        <v>8327</v>
      </c>
      <c r="P1613">
        <v>2</v>
      </c>
      <c r="Q1613">
        <v>1</v>
      </c>
      <c r="R1613">
        <v>95.28</v>
      </c>
      <c r="U1613">
        <v>19800</v>
      </c>
      <c r="W1613">
        <v>0</v>
      </c>
      <c r="Y1613" t="s">
        <v>225</v>
      </c>
      <c r="AA1613" t="s">
        <v>10974</v>
      </c>
      <c r="AB1613" t="s">
        <v>759</v>
      </c>
      <c r="AD1613" t="s">
        <v>11100</v>
      </c>
      <c r="AF1613" t="s">
        <v>10384</v>
      </c>
      <c r="AH1613" t="s">
        <v>10974</v>
      </c>
      <c r="AJ1613" t="s">
        <v>11129</v>
      </c>
      <c r="AK1613" t="s">
        <v>7225</v>
      </c>
      <c r="AM1613">
        <v>950</v>
      </c>
      <c r="AO1613">
        <v>11</v>
      </c>
      <c r="AQ1613" t="s">
        <v>11157</v>
      </c>
      <c r="AS1613" t="s">
        <v>11173</v>
      </c>
      <c r="AU1613">
        <v>27</v>
      </c>
      <c r="AW1613" t="s">
        <v>11187</v>
      </c>
      <c r="AZ1613" t="s">
        <v>11221</v>
      </c>
      <c r="BE1613" t="s">
        <v>12618</v>
      </c>
      <c r="BF1613" t="s">
        <v>14364</v>
      </c>
      <c r="BM1613" t="s">
        <v>15650</v>
      </c>
    </row>
    <row r="1614" spans="1:65">
      <c r="A1614" s="1">
        <f>HYPERLINK("https://lsnyc.legalserver.org/matter/dynamic-profile/view/1867114","18-1867114")</f>
        <v>0</v>
      </c>
      <c r="B1614" t="s">
        <v>133</v>
      </c>
      <c r="C1614" t="s">
        <v>248</v>
      </c>
      <c r="D1614" t="s">
        <v>261</v>
      </c>
      <c r="F1614" t="s">
        <v>1856</v>
      </c>
      <c r="G1614" t="s">
        <v>3653</v>
      </c>
      <c r="H1614" t="s">
        <v>5366</v>
      </c>
      <c r="I1614" t="s">
        <v>6769</v>
      </c>
      <c r="J1614" t="s">
        <v>7174</v>
      </c>
      <c r="K1614">
        <v>11212</v>
      </c>
      <c r="N1614" t="s">
        <v>7237</v>
      </c>
      <c r="O1614" t="s">
        <v>8328</v>
      </c>
      <c r="P1614">
        <v>2</v>
      </c>
      <c r="Q1614">
        <v>0</v>
      </c>
      <c r="R1614">
        <v>94.78</v>
      </c>
      <c r="U1614">
        <v>15600</v>
      </c>
      <c r="W1614">
        <v>0</v>
      </c>
      <c r="Y1614" t="s">
        <v>225</v>
      </c>
      <c r="AA1614" t="s">
        <v>10974</v>
      </c>
      <c r="AB1614" t="s">
        <v>849</v>
      </c>
      <c r="AD1614" t="s">
        <v>11100</v>
      </c>
      <c r="AF1614" t="s">
        <v>11122</v>
      </c>
      <c r="AH1614" t="s">
        <v>10974</v>
      </c>
      <c r="AJ1614" t="s">
        <v>11104</v>
      </c>
      <c r="AK1614" t="s">
        <v>7225</v>
      </c>
      <c r="AM1614">
        <v>1135</v>
      </c>
      <c r="AO1614">
        <v>32</v>
      </c>
      <c r="AQ1614" t="s">
        <v>11157</v>
      </c>
      <c r="AS1614" t="s">
        <v>11173</v>
      </c>
      <c r="AU1614">
        <v>20</v>
      </c>
      <c r="AW1614" t="s">
        <v>11187</v>
      </c>
      <c r="AZ1614" t="s">
        <v>11221</v>
      </c>
      <c r="BE1614" t="s">
        <v>12619</v>
      </c>
      <c r="BF1614" t="s">
        <v>14364</v>
      </c>
      <c r="BM1614" t="s">
        <v>15650</v>
      </c>
    </row>
    <row r="1615" spans="1:65">
      <c r="A1615" s="1">
        <f>HYPERLINK("https://lsnyc.legalserver.org/matter/dynamic-profile/view/1857558","18-1857558")</f>
        <v>0</v>
      </c>
      <c r="B1615" t="s">
        <v>133</v>
      </c>
      <c r="C1615" t="s">
        <v>248</v>
      </c>
      <c r="D1615" t="s">
        <v>691</v>
      </c>
      <c r="F1615" t="s">
        <v>1857</v>
      </c>
      <c r="G1615" t="s">
        <v>3654</v>
      </c>
      <c r="H1615" t="s">
        <v>5367</v>
      </c>
      <c r="I1615" t="s">
        <v>6414</v>
      </c>
      <c r="J1615" t="s">
        <v>7174</v>
      </c>
      <c r="K1615">
        <v>11206</v>
      </c>
      <c r="N1615" t="s">
        <v>7237</v>
      </c>
      <c r="O1615" t="s">
        <v>8329</v>
      </c>
      <c r="P1615">
        <v>1</v>
      </c>
      <c r="Q1615">
        <v>0</v>
      </c>
      <c r="R1615">
        <v>120.12</v>
      </c>
      <c r="U1615">
        <v>14486.4</v>
      </c>
      <c r="W1615">
        <v>0</v>
      </c>
      <c r="Y1615" t="s">
        <v>225</v>
      </c>
      <c r="AA1615" t="s">
        <v>10974</v>
      </c>
      <c r="AB1615" t="s">
        <v>292</v>
      </c>
      <c r="AD1615" t="s">
        <v>11101</v>
      </c>
      <c r="AF1615" t="s">
        <v>11118</v>
      </c>
      <c r="AH1615" t="s">
        <v>10974</v>
      </c>
      <c r="AJ1615" t="s">
        <v>11141</v>
      </c>
      <c r="AK1615" t="s">
        <v>7225</v>
      </c>
      <c r="AM1615">
        <v>458.7</v>
      </c>
      <c r="AO1615">
        <v>25</v>
      </c>
      <c r="AQ1615" t="s">
        <v>11159</v>
      </c>
      <c r="AS1615" t="s">
        <v>11173</v>
      </c>
      <c r="AU1615">
        <v>19</v>
      </c>
      <c r="AW1615" t="s">
        <v>11187</v>
      </c>
      <c r="AZ1615" t="s">
        <v>11221</v>
      </c>
      <c r="BC1615" t="s">
        <v>11173</v>
      </c>
      <c r="BE1615" t="s">
        <v>12620</v>
      </c>
      <c r="BF1615" t="s">
        <v>14364</v>
      </c>
      <c r="BM1615" t="s">
        <v>15650</v>
      </c>
    </row>
    <row r="1616" spans="1:65">
      <c r="A1616" s="1">
        <f>HYPERLINK("https://lsnyc.legalserver.org/matter/dynamic-profile/view/0828951","17-0828951")</f>
        <v>0</v>
      </c>
      <c r="B1616" t="s">
        <v>133</v>
      </c>
      <c r="C1616" t="s">
        <v>248</v>
      </c>
      <c r="D1616" t="s">
        <v>767</v>
      </c>
      <c r="F1616" t="s">
        <v>1140</v>
      </c>
      <c r="G1616" t="s">
        <v>3650</v>
      </c>
      <c r="H1616" t="s">
        <v>5366</v>
      </c>
      <c r="I1616" t="s">
        <v>6410</v>
      </c>
      <c r="J1616" t="s">
        <v>7174</v>
      </c>
      <c r="K1616">
        <v>11212</v>
      </c>
      <c r="N1616" t="s">
        <v>7237</v>
      </c>
      <c r="O1616" t="s">
        <v>8324</v>
      </c>
      <c r="P1616">
        <v>2</v>
      </c>
      <c r="Q1616">
        <v>0</v>
      </c>
      <c r="R1616">
        <v>215.52</v>
      </c>
      <c r="U1616">
        <v>35000</v>
      </c>
      <c r="W1616">
        <v>0.25</v>
      </c>
      <c r="X1616" t="s">
        <v>385</v>
      </c>
      <c r="Y1616" t="s">
        <v>133</v>
      </c>
      <c r="AA1616" t="s">
        <v>10974</v>
      </c>
      <c r="AB1616" t="s">
        <v>772</v>
      </c>
      <c r="AD1616" t="s">
        <v>11086</v>
      </c>
      <c r="AF1616" t="s">
        <v>11122</v>
      </c>
      <c r="AH1616" t="s">
        <v>10974</v>
      </c>
      <c r="AJ1616" t="s">
        <v>11104</v>
      </c>
      <c r="AK1616" t="s">
        <v>7225</v>
      </c>
      <c r="AM1616">
        <v>1201</v>
      </c>
      <c r="AO1616">
        <v>32</v>
      </c>
      <c r="AQ1616" t="s">
        <v>11157</v>
      </c>
      <c r="AR1616" t="s">
        <v>11172</v>
      </c>
      <c r="AU1616">
        <v>10</v>
      </c>
      <c r="AW1616" t="s">
        <v>11187</v>
      </c>
      <c r="AZ1616" t="s">
        <v>11221</v>
      </c>
      <c r="BE1616" t="s">
        <v>12615</v>
      </c>
      <c r="BG1616" t="s">
        <v>14791</v>
      </c>
      <c r="BM1616" t="s">
        <v>15650</v>
      </c>
    </row>
    <row r="1617" spans="1:65">
      <c r="A1617" s="1">
        <f>HYPERLINK("https://lsnyc.legalserver.org/matter/dynamic-profile/view/1866878","18-1866878")</f>
        <v>0</v>
      </c>
      <c r="B1617" t="s">
        <v>133</v>
      </c>
      <c r="C1617" t="s">
        <v>248</v>
      </c>
      <c r="D1617" t="s">
        <v>768</v>
      </c>
      <c r="F1617" t="s">
        <v>1140</v>
      </c>
      <c r="G1617" t="s">
        <v>3650</v>
      </c>
      <c r="H1617" t="s">
        <v>5366</v>
      </c>
      <c r="I1617" t="s">
        <v>6410</v>
      </c>
      <c r="J1617" t="s">
        <v>7174</v>
      </c>
      <c r="K1617">
        <v>11212</v>
      </c>
      <c r="N1617" t="s">
        <v>7237</v>
      </c>
      <c r="O1617" t="s">
        <v>8324</v>
      </c>
      <c r="P1617">
        <v>2</v>
      </c>
      <c r="Q1617">
        <v>0</v>
      </c>
      <c r="R1617">
        <v>215.52</v>
      </c>
      <c r="U1617">
        <v>35000</v>
      </c>
      <c r="W1617">
        <v>0.25</v>
      </c>
      <c r="X1617" t="s">
        <v>768</v>
      </c>
      <c r="Y1617" t="s">
        <v>133</v>
      </c>
      <c r="AA1617" t="s">
        <v>10974</v>
      </c>
      <c r="AB1617" t="s">
        <v>964</v>
      </c>
      <c r="AD1617" t="s">
        <v>11086</v>
      </c>
      <c r="AF1617" t="s">
        <v>11122</v>
      </c>
      <c r="AH1617" t="s">
        <v>10974</v>
      </c>
      <c r="AI1617" t="s">
        <v>11126</v>
      </c>
      <c r="AK1617" t="s">
        <v>7225</v>
      </c>
      <c r="AM1617">
        <v>1201</v>
      </c>
      <c r="AO1617">
        <v>31</v>
      </c>
      <c r="AQ1617" t="s">
        <v>11157</v>
      </c>
      <c r="AR1617" t="s">
        <v>11172</v>
      </c>
      <c r="AU1617">
        <v>11</v>
      </c>
      <c r="AW1617" t="s">
        <v>11187</v>
      </c>
      <c r="AZ1617" t="s">
        <v>11221</v>
      </c>
      <c r="BE1617" t="s">
        <v>12615</v>
      </c>
      <c r="BF1617" t="s">
        <v>14364</v>
      </c>
      <c r="BM1617" t="s">
        <v>15650</v>
      </c>
    </row>
    <row r="1618" spans="1:65">
      <c r="A1618" s="1">
        <f>HYPERLINK("https://lsnyc.legalserver.org/matter/dynamic-profile/view/0828960","17-0828960")</f>
        <v>0</v>
      </c>
      <c r="B1618" t="s">
        <v>133</v>
      </c>
      <c r="C1618" t="s">
        <v>248</v>
      </c>
      <c r="D1618" t="s">
        <v>769</v>
      </c>
      <c r="F1618" t="s">
        <v>1858</v>
      </c>
      <c r="G1618" t="s">
        <v>3655</v>
      </c>
      <c r="H1618" t="s">
        <v>5366</v>
      </c>
      <c r="I1618" t="s">
        <v>6757</v>
      </c>
      <c r="J1618" t="s">
        <v>7174</v>
      </c>
      <c r="K1618">
        <v>11212</v>
      </c>
      <c r="N1618" t="s">
        <v>7237</v>
      </c>
      <c r="O1618" t="s">
        <v>8330</v>
      </c>
      <c r="P1618">
        <v>2</v>
      </c>
      <c r="Q1618">
        <v>0</v>
      </c>
      <c r="R1618">
        <v>369.46</v>
      </c>
      <c r="U1618">
        <v>60000</v>
      </c>
      <c r="W1618">
        <v>0.25</v>
      </c>
      <c r="X1618" t="s">
        <v>385</v>
      </c>
      <c r="Y1618" t="s">
        <v>133</v>
      </c>
      <c r="AA1618" t="s">
        <v>10974</v>
      </c>
      <c r="AB1618" t="s">
        <v>772</v>
      </c>
      <c r="AD1618" t="s">
        <v>11086</v>
      </c>
      <c r="AF1618" t="s">
        <v>11122</v>
      </c>
      <c r="AH1618" t="s">
        <v>10974</v>
      </c>
      <c r="AJ1618" t="s">
        <v>11104</v>
      </c>
      <c r="AK1618" t="s">
        <v>7225</v>
      </c>
      <c r="AM1618">
        <v>1248.12</v>
      </c>
      <c r="AO1618">
        <v>32</v>
      </c>
      <c r="AQ1618" t="s">
        <v>11157</v>
      </c>
      <c r="AR1618" t="s">
        <v>11172</v>
      </c>
      <c r="AU1618">
        <v>10</v>
      </c>
      <c r="AW1618" t="s">
        <v>11187</v>
      </c>
      <c r="AZ1618" t="s">
        <v>11221</v>
      </c>
      <c r="BE1618" t="s">
        <v>12621</v>
      </c>
      <c r="BG1618" t="s">
        <v>14789</v>
      </c>
      <c r="BM1618" t="s">
        <v>15650</v>
      </c>
    </row>
    <row r="1619" spans="1:65">
      <c r="A1619" s="1">
        <f>HYPERLINK("https://lsnyc.legalserver.org/matter/dynamic-profile/view/1907797","19-1907797")</f>
        <v>0</v>
      </c>
      <c r="B1619" t="s">
        <v>133</v>
      </c>
      <c r="C1619" t="s">
        <v>248</v>
      </c>
      <c r="D1619" t="s">
        <v>570</v>
      </c>
      <c r="F1619" t="s">
        <v>1641</v>
      </c>
      <c r="G1619" t="s">
        <v>3656</v>
      </c>
      <c r="H1619" t="s">
        <v>5057</v>
      </c>
      <c r="I1619" t="s">
        <v>6628</v>
      </c>
      <c r="J1619" t="s">
        <v>7174</v>
      </c>
      <c r="K1619">
        <v>11212</v>
      </c>
      <c r="N1619" t="s">
        <v>7237</v>
      </c>
      <c r="O1619" t="s">
        <v>8331</v>
      </c>
      <c r="P1619">
        <v>1</v>
      </c>
      <c r="Q1619">
        <v>0</v>
      </c>
      <c r="R1619">
        <v>168.13</v>
      </c>
      <c r="U1619">
        <v>21000</v>
      </c>
      <c r="W1619">
        <v>38.08</v>
      </c>
      <c r="X1619" t="s">
        <v>436</v>
      </c>
      <c r="Y1619" t="s">
        <v>101</v>
      </c>
      <c r="AA1619" t="s">
        <v>10974</v>
      </c>
      <c r="AB1619" t="s">
        <v>349</v>
      </c>
      <c r="AD1619" t="s">
        <v>11100</v>
      </c>
      <c r="AF1619" t="s">
        <v>10384</v>
      </c>
      <c r="AH1619" t="s">
        <v>10974</v>
      </c>
      <c r="AJ1619" t="s">
        <v>11141</v>
      </c>
      <c r="AK1619" t="s">
        <v>7225</v>
      </c>
      <c r="AM1619">
        <v>1050</v>
      </c>
      <c r="AO1619">
        <v>96</v>
      </c>
      <c r="AQ1619" t="s">
        <v>11157</v>
      </c>
      <c r="AS1619" t="s">
        <v>11175</v>
      </c>
      <c r="AU1619">
        <v>30</v>
      </c>
      <c r="AW1619" t="s">
        <v>11187</v>
      </c>
      <c r="AY1619" t="s">
        <v>11213</v>
      </c>
      <c r="BA1619" t="s">
        <v>11222</v>
      </c>
      <c r="BE1619" t="s">
        <v>12622</v>
      </c>
      <c r="BF1619" t="s">
        <v>14364</v>
      </c>
      <c r="BG1619" t="s">
        <v>11173</v>
      </c>
      <c r="BM1619" t="s">
        <v>15650</v>
      </c>
    </row>
    <row r="1620" spans="1:65">
      <c r="A1620" s="1">
        <f>HYPERLINK("https://lsnyc.legalserver.org/matter/dynamic-profile/view/1857530","18-1857530")</f>
        <v>0</v>
      </c>
      <c r="B1620" t="s">
        <v>133</v>
      </c>
      <c r="C1620" t="s">
        <v>248</v>
      </c>
      <c r="D1620" t="s">
        <v>691</v>
      </c>
      <c r="F1620" t="s">
        <v>1641</v>
      </c>
      <c r="G1620" t="s">
        <v>3657</v>
      </c>
      <c r="H1620" t="s">
        <v>5367</v>
      </c>
      <c r="I1620" t="s">
        <v>6425</v>
      </c>
      <c r="J1620" t="s">
        <v>7174</v>
      </c>
      <c r="K1620">
        <v>11206</v>
      </c>
      <c r="N1620" t="s">
        <v>7237</v>
      </c>
      <c r="O1620" t="s">
        <v>8332</v>
      </c>
      <c r="P1620">
        <v>1</v>
      </c>
      <c r="Q1620">
        <v>1</v>
      </c>
      <c r="R1620">
        <v>93.45999999999999</v>
      </c>
      <c r="U1620">
        <v>15384</v>
      </c>
      <c r="V1620" t="s">
        <v>10422</v>
      </c>
      <c r="W1620">
        <v>0</v>
      </c>
      <c r="Y1620" t="s">
        <v>225</v>
      </c>
      <c r="AA1620" t="s">
        <v>10974</v>
      </c>
      <c r="AB1620" t="s">
        <v>463</v>
      </c>
      <c r="AD1620" t="s">
        <v>11101</v>
      </c>
      <c r="AF1620" t="s">
        <v>11118</v>
      </c>
      <c r="AH1620" t="s">
        <v>10974</v>
      </c>
      <c r="AJ1620" t="s">
        <v>11104</v>
      </c>
      <c r="AK1620" t="s">
        <v>7225</v>
      </c>
      <c r="AM1620">
        <v>678</v>
      </c>
      <c r="AO1620">
        <v>25</v>
      </c>
      <c r="AQ1620" t="s">
        <v>11157</v>
      </c>
      <c r="AR1620" t="s">
        <v>11172</v>
      </c>
      <c r="AU1620">
        <v>23</v>
      </c>
      <c r="AW1620" t="s">
        <v>11187</v>
      </c>
      <c r="AZ1620" t="s">
        <v>11221</v>
      </c>
      <c r="BE1620" t="s">
        <v>12623</v>
      </c>
      <c r="BF1620" t="s">
        <v>14364</v>
      </c>
      <c r="BM1620" t="s">
        <v>15650</v>
      </c>
    </row>
    <row r="1621" spans="1:65">
      <c r="A1621" s="1">
        <f>HYPERLINK("https://lsnyc.legalserver.org/matter/dynamic-profile/view/1871747","18-1871747")</f>
        <v>0</v>
      </c>
      <c r="B1621" t="s">
        <v>133</v>
      </c>
      <c r="C1621" t="s">
        <v>248</v>
      </c>
      <c r="D1621" t="s">
        <v>720</v>
      </c>
      <c r="F1621" t="s">
        <v>1641</v>
      </c>
      <c r="G1621" t="s">
        <v>3657</v>
      </c>
      <c r="H1621" t="s">
        <v>5367</v>
      </c>
      <c r="I1621" t="s">
        <v>6425</v>
      </c>
      <c r="J1621" t="s">
        <v>7174</v>
      </c>
      <c r="K1621">
        <v>11206</v>
      </c>
      <c r="N1621" t="s">
        <v>7237</v>
      </c>
      <c r="O1621" t="s">
        <v>8332</v>
      </c>
      <c r="P1621">
        <v>1</v>
      </c>
      <c r="Q1621">
        <v>1</v>
      </c>
      <c r="R1621">
        <v>93.45999999999999</v>
      </c>
      <c r="U1621">
        <v>15384</v>
      </c>
      <c r="V1621" t="s">
        <v>10423</v>
      </c>
      <c r="W1621">
        <v>1</v>
      </c>
      <c r="X1621" t="s">
        <v>696</v>
      </c>
      <c r="Y1621" t="s">
        <v>10925</v>
      </c>
      <c r="AA1621" t="s">
        <v>10974</v>
      </c>
      <c r="AB1621" t="s">
        <v>11018</v>
      </c>
      <c r="AD1621" t="s">
        <v>11098</v>
      </c>
      <c r="AF1621" t="s">
        <v>11122</v>
      </c>
      <c r="AH1621" t="s">
        <v>10974</v>
      </c>
      <c r="AJ1621" t="s">
        <v>11104</v>
      </c>
      <c r="AK1621" t="s">
        <v>7225</v>
      </c>
      <c r="AM1621">
        <v>678</v>
      </c>
      <c r="AO1621">
        <v>25</v>
      </c>
      <c r="AQ1621" t="s">
        <v>11157</v>
      </c>
      <c r="AS1621" t="s">
        <v>11173</v>
      </c>
      <c r="AU1621">
        <v>23</v>
      </c>
      <c r="AW1621" t="s">
        <v>11187</v>
      </c>
      <c r="AY1621" t="s">
        <v>11213</v>
      </c>
      <c r="AZ1621" t="s">
        <v>11221</v>
      </c>
      <c r="BE1621" t="s">
        <v>12623</v>
      </c>
      <c r="BG1621" t="s">
        <v>14788</v>
      </c>
      <c r="BM1621" t="s">
        <v>15650</v>
      </c>
    </row>
    <row r="1622" spans="1:65">
      <c r="A1622" s="1">
        <f>HYPERLINK("https://lsnyc.legalserver.org/matter/dynamic-profile/view/1887834","19-1887834")</f>
        <v>0</v>
      </c>
      <c r="B1622" t="s">
        <v>133</v>
      </c>
      <c r="C1622" t="s">
        <v>248</v>
      </c>
      <c r="D1622" t="s">
        <v>596</v>
      </c>
      <c r="F1622" t="s">
        <v>1260</v>
      </c>
      <c r="G1622" t="s">
        <v>2923</v>
      </c>
      <c r="H1622" t="s">
        <v>5034</v>
      </c>
      <c r="I1622" t="s">
        <v>6713</v>
      </c>
      <c r="J1622" t="s">
        <v>7174</v>
      </c>
      <c r="K1622">
        <v>11225</v>
      </c>
      <c r="N1622" t="s">
        <v>7237</v>
      </c>
      <c r="O1622" t="s">
        <v>8333</v>
      </c>
      <c r="P1622">
        <v>2</v>
      </c>
      <c r="Q1622">
        <v>1</v>
      </c>
      <c r="R1622">
        <v>336.86</v>
      </c>
      <c r="U1622">
        <v>70000</v>
      </c>
      <c r="W1622">
        <v>0</v>
      </c>
      <c r="Y1622" t="s">
        <v>101</v>
      </c>
      <c r="AA1622" t="s">
        <v>10974</v>
      </c>
      <c r="AB1622" t="s">
        <v>453</v>
      </c>
      <c r="AD1622" t="s">
        <v>11098</v>
      </c>
      <c r="AF1622" t="s">
        <v>11122</v>
      </c>
      <c r="AH1622" t="s">
        <v>10974</v>
      </c>
      <c r="AI1622" t="s">
        <v>11126</v>
      </c>
      <c r="AK1622" t="s">
        <v>7225</v>
      </c>
      <c r="AM1622">
        <v>2725</v>
      </c>
      <c r="AO1622">
        <v>89</v>
      </c>
      <c r="AQ1622" t="s">
        <v>11157</v>
      </c>
      <c r="AS1622" t="s">
        <v>11173</v>
      </c>
      <c r="AU1622">
        <v>1</v>
      </c>
      <c r="AV1622" t="s">
        <v>11186</v>
      </c>
      <c r="AZ1622" t="s">
        <v>11221</v>
      </c>
      <c r="BE1622" t="s">
        <v>12624</v>
      </c>
      <c r="BF1622" t="s">
        <v>14364</v>
      </c>
      <c r="BM1622" t="s">
        <v>15650</v>
      </c>
    </row>
    <row r="1623" spans="1:65">
      <c r="A1623" s="1">
        <f>HYPERLINK("https://lsnyc.legalserver.org/matter/dynamic-profile/view/1905812","19-1905812")</f>
        <v>0</v>
      </c>
      <c r="B1623" t="s">
        <v>133</v>
      </c>
      <c r="C1623" t="s">
        <v>248</v>
      </c>
      <c r="D1623" t="s">
        <v>337</v>
      </c>
      <c r="F1623" t="s">
        <v>1519</v>
      </c>
      <c r="G1623" t="s">
        <v>3290</v>
      </c>
      <c r="H1623" t="s">
        <v>5061</v>
      </c>
      <c r="I1623" t="s">
        <v>6415</v>
      </c>
      <c r="J1623" t="s">
        <v>7174</v>
      </c>
      <c r="K1623">
        <v>11212</v>
      </c>
      <c r="N1623" t="s">
        <v>7242</v>
      </c>
      <c r="O1623" t="s">
        <v>7797</v>
      </c>
      <c r="P1623">
        <v>1</v>
      </c>
      <c r="Q1623">
        <v>0</v>
      </c>
      <c r="R1623">
        <v>93.19</v>
      </c>
      <c r="U1623">
        <v>11640</v>
      </c>
      <c r="V1623" t="s">
        <v>10424</v>
      </c>
      <c r="W1623">
        <v>0</v>
      </c>
      <c r="Y1623" t="s">
        <v>101</v>
      </c>
      <c r="AA1623" t="s">
        <v>10974</v>
      </c>
      <c r="AB1623" t="s">
        <v>274</v>
      </c>
      <c r="AD1623" t="s">
        <v>11097</v>
      </c>
      <c r="AF1623" t="s">
        <v>11123</v>
      </c>
      <c r="AH1623" t="s">
        <v>10974</v>
      </c>
      <c r="AJ1623" t="s">
        <v>11104</v>
      </c>
      <c r="AK1623" t="s">
        <v>7225</v>
      </c>
      <c r="AL1623" t="s">
        <v>11150</v>
      </c>
      <c r="AM1623">
        <v>0</v>
      </c>
      <c r="AO1623">
        <v>11</v>
      </c>
      <c r="AQ1623" t="s">
        <v>11157</v>
      </c>
      <c r="AS1623" t="s">
        <v>11173</v>
      </c>
      <c r="AT1623" t="s">
        <v>11184</v>
      </c>
      <c r="AU1623">
        <v>0</v>
      </c>
      <c r="AW1623" t="s">
        <v>11187</v>
      </c>
      <c r="AY1623" t="s">
        <v>11213</v>
      </c>
      <c r="BA1623" t="s">
        <v>11222</v>
      </c>
      <c r="BC1623" t="s">
        <v>11173</v>
      </c>
      <c r="BE1623" t="s">
        <v>12139</v>
      </c>
      <c r="BG1623" t="s">
        <v>14393</v>
      </c>
      <c r="BM1623" t="s">
        <v>15650</v>
      </c>
    </row>
    <row r="1624" spans="1:65">
      <c r="A1624" s="1">
        <f>HYPERLINK("https://lsnyc.legalserver.org/matter/dynamic-profile/view/0828915","17-0828915")</f>
        <v>0</v>
      </c>
      <c r="B1624" t="s">
        <v>133</v>
      </c>
      <c r="C1624" t="s">
        <v>248</v>
      </c>
      <c r="D1624" t="s">
        <v>769</v>
      </c>
      <c r="F1624" t="s">
        <v>1352</v>
      </c>
      <c r="G1624" t="s">
        <v>1656</v>
      </c>
      <c r="H1624" t="s">
        <v>5366</v>
      </c>
      <c r="I1624" t="s">
        <v>6770</v>
      </c>
      <c r="J1624" t="s">
        <v>7174</v>
      </c>
      <c r="K1624">
        <v>11212</v>
      </c>
      <c r="N1624" t="s">
        <v>7237</v>
      </c>
      <c r="O1624" t="s">
        <v>8334</v>
      </c>
      <c r="P1624">
        <v>1</v>
      </c>
      <c r="Q1624">
        <v>0</v>
      </c>
      <c r="R1624">
        <v>119.4</v>
      </c>
      <c r="U1624">
        <v>14400</v>
      </c>
      <c r="W1624">
        <v>0.25</v>
      </c>
      <c r="X1624" t="s">
        <v>385</v>
      </c>
      <c r="Y1624" t="s">
        <v>133</v>
      </c>
      <c r="AA1624" t="s">
        <v>10974</v>
      </c>
      <c r="AB1624" t="s">
        <v>772</v>
      </c>
      <c r="AD1624" t="s">
        <v>11096</v>
      </c>
      <c r="AF1624" t="s">
        <v>10384</v>
      </c>
      <c r="AH1624" t="s">
        <v>10974</v>
      </c>
      <c r="AJ1624" t="s">
        <v>11104</v>
      </c>
      <c r="AK1624" t="s">
        <v>7225</v>
      </c>
      <c r="AM1624">
        <v>900</v>
      </c>
      <c r="AO1624">
        <v>32</v>
      </c>
      <c r="AQ1624" t="s">
        <v>11157</v>
      </c>
      <c r="AR1624" t="s">
        <v>11172</v>
      </c>
      <c r="AU1624">
        <v>18</v>
      </c>
      <c r="AW1624" t="s">
        <v>11187</v>
      </c>
      <c r="AZ1624" t="s">
        <v>11221</v>
      </c>
      <c r="BE1624" t="s">
        <v>12625</v>
      </c>
      <c r="BG1624" t="s">
        <v>14791</v>
      </c>
      <c r="BM1624" t="s">
        <v>15650</v>
      </c>
    </row>
    <row r="1625" spans="1:65">
      <c r="A1625" s="1">
        <f>HYPERLINK("https://lsnyc.legalserver.org/matter/dynamic-profile/view/1905795","19-1905795")</f>
        <v>0</v>
      </c>
      <c r="B1625" t="s">
        <v>133</v>
      </c>
      <c r="C1625" t="s">
        <v>248</v>
      </c>
      <c r="D1625" t="s">
        <v>511</v>
      </c>
      <c r="F1625" t="s">
        <v>1519</v>
      </c>
      <c r="G1625" t="s">
        <v>3290</v>
      </c>
      <c r="H1625" t="s">
        <v>5061</v>
      </c>
      <c r="I1625" t="s">
        <v>6415</v>
      </c>
      <c r="J1625" t="s">
        <v>7174</v>
      </c>
      <c r="K1625">
        <v>11212</v>
      </c>
      <c r="N1625" t="s">
        <v>7245</v>
      </c>
      <c r="O1625" t="s">
        <v>7797</v>
      </c>
      <c r="P1625">
        <v>1</v>
      </c>
      <c r="Q1625">
        <v>0</v>
      </c>
      <c r="R1625">
        <v>93.19</v>
      </c>
      <c r="U1625">
        <v>11640</v>
      </c>
      <c r="V1625" t="s">
        <v>10424</v>
      </c>
      <c r="W1625">
        <v>0</v>
      </c>
      <c r="Y1625" t="s">
        <v>101</v>
      </c>
      <c r="AA1625" t="s">
        <v>10974</v>
      </c>
      <c r="AB1625" t="s">
        <v>370</v>
      </c>
      <c r="AD1625" t="s">
        <v>11085</v>
      </c>
      <c r="AF1625" t="s">
        <v>10384</v>
      </c>
      <c r="AH1625" t="s">
        <v>10974</v>
      </c>
      <c r="AJ1625" t="s">
        <v>11104</v>
      </c>
      <c r="AK1625" t="s">
        <v>7225</v>
      </c>
      <c r="AL1625" t="s">
        <v>11150</v>
      </c>
      <c r="AM1625">
        <v>0</v>
      </c>
      <c r="AN1625" t="s">
        <v>11151</v>
      </c>
      <c r="AO1625" t="s">
        <v>11153</v>
      </c>
      <c r="AQ1625" t="s">
        <v>11157</v>
      </c>
      <c r="AS1625" t="s">
        <v>11173</v>
      </c>
      <c r="AT1625" t="s">
        <v>11184</v>
      </c>
      <c r="AU1625">
        <v>0</v>
      </c>
      <c r="AW1625" t="s">
        <v>11187</v>
      </c>
      <c r="AY1625" t="s">
        <v>11213</v>
      </c>
      <c r="BA1625" t="s">
        <v>11222</v>
      </c>
      <c r="BC1625" t="s">
        <v>11173</v>
      </c>
      <c r="BE1625" t="s">
        <v>12139</v>
      </c>
      <c r="BG1625" t="s">
        <v>14545</v>
      </c>
      <c r="BM1625" t="s">
        <v>15650</v>
      </c>
    </row>
    <row r="1626" spans="1:65">
      <c r="A1626" s="1">
        <f>HYPERLINK("https://lsnyc.legalserver.org/matter/dynamic-profile/view/1907790","19-1907790")</f>
        <v>0</v>
      </c>
      <c r="B1626" t="s">
        <v>133</v>
      </c>
      <c r="C1626" t="s">
        <v>248</v>
      </c>
      <c r="D1626" t="s">
        <v>570</v>
      </c>
      <c r="F1626" t="s">
        <v>1250</v>
      </c>
      <c r="G1626" t="s">
        <v>1583</v>
      </c>
      <c r="H1626" t="s">
        <v>5057</v>
      </c>
      <c r="I1626" t="s">
        <v>6466</v>
      </c>
      <c r="J1626" t="s">
        <v>7174</v>
      </c>
      <c r="K1626">
        <v>11212</v>
      </c>
      <c r="N1626" t="s">
        <v>7237</v>
      </c>
      <c r="O1626" t="s">
        <v>8335</v>
      </c>
      <c r="P1626">
        <v>1</v>
      </c>
      <c r="Q1626">
        <v>0</v>
      </c>
      <c r="R1626">
        <v>93.09999999999999</v>
      </c>
      <c r="U1626">
        <v>11628</v>
      </c>
      <c r="W1626">
        <v>0.08</v>
      </c>
      <c r="X1626" t="s">
        <v>671</v>
      </c>
      <c r="Y1626" t="s">
        <v>101</v>
      </c>
      <c r="AA1626" t="s">
        <v>10974</v>
      </c>
      <c r="AB1626" t="s">
        <v>349</v>
      </c>
      <c r="AD1626" t="s">
        <v>11100</v>
      </c>
      <c r="AF1626" t="s">
        <v>10384</v>
      </c>
      <c r="AH1626" t="s">
        <v>10974</v>
      </c>
      <c r="AJ1626" t="s">
        <v>11141</v>
      </c>
      <c r="AK1626" t="s">
        <v>7225</v>
      </c>
      <c r="AM1626">
        <v>164.4</v>
      </c>
      <c r="AO1626">
        <v>96</v>
      </c>
      <c r="AQ1626" t="s">
        <v>11157</v>
      </c>
      <c r="AS1626" t="s">
        <v>11104</v>
      </c>
      <c r="AU1626">
        <v>10</v>
      </c>
      <c r="AW1626" t="s">
        <v>11187</v>
      </c>
      <c r="AY1626" t="s">
        <v>11213</v>
      </c>
      <c r="BA1626" t="s">
        <v>11222</v>
      </c>
      <c r="BE1626" t="s">
        <v>12626</v>
      </c>
      <c r="BF1626" t="s">
        <v>14364</v>
      </c>
      <c r="BG1626" t="s">
        <v>11173</v>
      </c>
      <c r="BM1626" t="s">
        <v>15650</v>
      </c>
    </row>
    <row r="1627" spans="1:65">
      <c r="A1627" s="1">
        <f>HYPERLINK("https://lsnyc.legalserver.org/matter/dynamic-profile/view/1864002","18-1864002")</f>
        <v>0</v>
      </c>
      <c r="B1627" t="s">
        <v>133</v>
      </c>
      <c r="C1627" t="s">
        <v>248</v>
      </c>
      <c r="D1627" t="s">
        <v>770</v>
      </c>
      <c r="F1627" t="s">
        <v>1166</v>
      </c>
      <c r="G1627" t="s">
        <v>1412</v>
      </c>
      <c r="H1627" t="s">
        <v>5367</v>
      </c>
      <c r="I1627" t="s">
        <v>6486</v>
      </c>
      <c r="J1627" t="s">
        <v>7174</v>
      </c>
      <c r="K1627">
        <v>11206</v>
      </c>
      <c r="N1627" t="s">
        <v>7237</v>
      </c>
      <c r="O1627" t="s">
        <v>8336</v>
      </c>
      <c r="P1627">
        <v>1</v>
      </c>
      <c r="Q1627">
        <v>0</v>
      </c>
      <c r="R1627">
        <v>219.44</v>
      </c>
      <c r="T1627" t="s">
        <v>10276</v>
      </c>
      <c r="U1627">
        <v>26640</v>
      </c>
      <c r="V1627" t="s">
        <v>10425</v>
      </c>
      <c r="W1627">
        <v>0</v>
      </c>
      <c r="Y1627" t="s">
        <v>225</v>
      </c>
      <c r="AA1627" t="s">
        <v>10974</v>
      </c>
      <c r="AB1627" t="s">
        <v>750</v>
      </c>
      <c r="AD1627" t="s">
        <v>11098</v>
      </c>
      <c r="AF1627" t="s">
        <v>11122</v>
      </c>
      <c r="AH1627" t="s">
        <v>10974</v>
      </c>
      <c r="AJ1627" t="s">
        <v>11134</v>
      </c>
      <c r="AK1627" t="s">
        <v>7225</v>
      </c>
      <c r="AM1627">
        <v>850</v>
      </c>
      <c r="AO1627">
        <v>11</v>
      </c>
      <c r="AQ1627" t="s">
        <v>11157</v>
      </c>
      <c r="AS1627" t="s">
        <v>11174</v>
      </c>
      <c r="AU1627">
        <v>25</v>
      </c>
      <c r="AW1627" t="s">
        <v>11189</v>
      </c>
      <c r="AZ1627" t="s">
        <v>11221</v>
      </c>
      <c r="BE1627" t="s">
        <v>12627</v>
      </c>
      <c r="BG1627" t="s">
        <v>14788</v>
      </c>
      <c r="BM1627" t="s">
        <v>15650</v>
      </c>
    </row>
    <row r="1628" spans="1:65">
      <c r="A1628" s="1">
        <f>HYPERLINK("https://lsnyc.legalserver.org/matter/dynamic-profile/view/1871618","18-1871618")</f>
        <v>0</v>
      </c>
      <c r="B1628" t="s">
        <v>133</v>
      </c>
      <c r="C1628" t="s">
        <v>248</v>
      </c>
      <c r="D1628" t="s">
        <v>771</v>
      </c>
      <c r="F1628" t="s">
        <v>1535</v>
      </c>
      <c r="G1628" t="s">
        <v>3658</v>
      </c>
      <c r="H1628" t="s">
        <v>5366</v>
      </c>
      <c r="I1628" t="s">
        <v>6407</v>
      </c>
      <c r="J1628" t="s">
        <v>7174</v>
      </c>
      <c r="K1628">
        <v>11212</v>
      </c>
      <c r="N1628" t="s">
        <v>7237</v>
      </c>
      <c r="O1628" t="s">
        <v>8337</v>
      </c>
      <c r="P1628">
        <v>2</v>
      </c>
      <c r="Q1628">
        <v>0</v>
      </c>
      <c r="R1628">
        <v>160.39</v>
      </c>
      <c r="U1628">
        <v>26400</v>
      </c>
      <c r="W1628">
        <v>0</v>
      </c>
      <c r="Y1628" t="s">
        <v>10925</v>
      </c>
      <c r="AA1628" t="s">
        <v>10974</v>
      </c>
      <c r="AB1628" t="s">
        <v>11020</v>
      </c>
      <c r="AD1628" t="s">
        <v>11086</v>
      </c>
      <c r="AF1628" t="s">
        <v>10384</v>
      </c>
      <c r="AH1628" t="s">
        <v>10974</v>
      </c>
      <c r="AJ1628" t="s">
        <v>11104</v>
      </c>
      <c r="AK1628" t="s">
        <v>7225</v>
      </c>
      <c r="AM1628">
        <v>922.9400000000001</v>
      </c>
      <c r="AO1628">
        <v>32</v>
      </c>
      <c r="AQ1628" t="s">
        <v>11157</v>
      </c>
      <c r="AS1628" t="s">
        <v>11173</v>
      </c>
      <c r="AU1628">
        <v>21</v>
      </c>
      <c r="AW1628" t="s">
        <v>11187</v>
      </c>
      <c r="AZ1628" t="s">
        <v>11221</v>
      </c>
      <c r="BE1628" t="s">
        <v>12628</v>
      </c>
      <c r="BF1628" t="s">
        <v>14364</v>
      </c>
      <c r="BM1628" t="s">
        <v>15650</v>
      </c>
    </row>
    <row r="1629" spans="1:65">
      <c r="A1629" s="1">
        <f>HYPERLINK("https://lsnyc.legalserver.org/matter/dynamic-profile/view/1904268","19-1904268")</f>
        <v>0</v>
      </c>
      <c r="B1629" t="s">
        <v>133</v>
      </c>
      <c r="C1629" t="s">
        <v>248</v>
      </c>
      <c r="D1629" t="s">
        <v>512</v>
      </c>
      <c r="F1629" t="s">
        <v>1144</v>
      </c>
      <c r="G1629" t="s">
        <v>2932</v>
      </c>
      <c r="H1629" t="s">
        <v>4800</v>
      </c>
      <c r="I1629" t="s">
        <v>6424</v>
      </c>
      <c r="J1629" t="s">
        <v>7174</v>
      </c>
      <c r="K1629">
        <v>11221</v>
      </c>
      <c r="N1629" t="s">
        <v>7245</v>
      </c>
      <c r="O1629" t="s">
        <v>7313</v>
      </c>
      <c r="P1629">
        <v>1</v>
      </c>
      <c r="Q1629">
        <v>0</v>
      </c>
      <c r="R1629">
        <v>384.31</v>
      </c>
      <c r="U1629">
        <v>48000</v>
      </c>
      <c r="W1629">
        <v>0</v>
      </c>
      <c r="Y1629" t="s">
        <v>225</v>
      </c>
      <c r="AA1629" t="s">
        <v>10974</v>
      </c>
      <c r="AB1629" t="s">
        <v>483</v>
      </c>
      <c r="AD1629" t="s">
        <v>11100</v>
      </c>
      <c r="AF1629" t="s">
        <v>10384</v>
      </c>
      <c r="AH1629" t="s">
        <v>10974</v>
      </c>
      <c r="AJ1629" t="s">
        <v>11141</v>
      </c>
      <c r="AK1629" t="s">
        <v>7225</v>
      </c>
      <c r="AM1629">
        <v>780</v>
      </c>
      <c r="AO1629">
        <v>12</v>
      </c>
      <c r="AQ1629" t="s">
        <v>11157</v>
      </c>
      <c r="AS1629" t="s">
        <v>11173</v>
      </c>
      <c r="AU1629">
        <v>15</v>
      </c>
      <c r="AW1629" t="s">
        <v>11187</v>
      </c>
      <c r="AY1629" t="s">
        <v>11213</v>
      </c>
      <c r="AZ1629" t="s">
        <v>11221</v>
      </c>
      <c r="BA1629" t="s">
        <v>11173</v>
      </c>
      <c r="BC1629" t="s">
        <v>11173</v>
      </c>
      <c r="BE1629" t="s">
        <v>11724</v>
      </c>
      <c r="BF1629" t="s">
        <v>14364</v>
      </c>
      <c r="BG1629" t="s">
        <v>11086</v>
      </c>
      <c r="BM1629" t="s">
        <v>15650</v>
      </c>
    </row>
    <row r="1630" spans="1:65">
      <c r="A1630" s="1">
        <f>HYPERLINK("https://lsnyc.legalserver.org/matter/dynamic-profile/view/1879059","18-1879059")</f>
        <v>0</v>
      </c>
      <c r="B1630" t="s">
        <v>133</v>
      </c>
      <c r="C1630" t="s">
        <v>248</v>
      </c>
      <c r="D1630" t="s">
        <v>765</v>
      </c>
      <c r="F1630" t="s">
        <v>1150</v>
      </c>
      <c r="G1630" t="s">
        <v>2939</v>
      </c>
      <c r="H1630" t="s">
        <v>4801</v>
      </c>
      <c r="I1630" t="s">
        <v>6440</v>
      </c>
      <c r="J1630" t="s">
        <v>7174</v>
      </c>
      <c r="K1630">
        <v>11221</v>
      </c>
      <c r="N1630" t="s">
        <v>7237</v>
      </c>
      <c r="O1630" t="s">
        <v>7319</v>
      </c>
      <c r="P1630">
        <v>3</v>
      </c>
      <c r="Q1630">
        <v>2</v>
      </c>
      <c r="R1630">
        <v>271.92</v>
      </c>
      <c r="U1630">
        <v>80000</v>
      </c>
      <c r="V1630" t="s">
        <v>10426</v>
      </c>
      <c r="W1630">
        <v>0</v>
      </c>
      <c r="Y1630" t="s">
        <v>225</v>
      </c>
      <c r="AA1630" t="s">
        <v>10974</v>
      </c>
      <c r="AB1630" t="s">
        <v>11021</v>
      </c>
      <c r="AD1630" t="s">
        <v>11098</v>
      </c>
      <c r="AF1630" t="s">
        <v>11122</v>
      </c>
      <c r="AH1630" t="s">
        <v>10974</v>
      </c>
      <c r="AJ1630" t="s">
        <v>11141</v>
      </c>
      <c r="AK1630" t="s">
        <v>7225</v>
      </c>
      <c r="AM1630">
        <v>732</v>
      </c>
      <c r="AO1630">
        <v>13</v>
      </c>
      <c r="AQ1630" t="s">
        <v>11157</v>
      </c>
      <c r="AS1630" t="s">
        <v>11173</v>
      </c>
      <c r="AU1630">
        <v>25</v>
      </c>
      <c r="AW1630" t="s">
        <v>11187</v>
      </c>
      <c r="AZ1630" t="s">
        <v>11221</v>
      </c>
      <c r="BE1630" t="s">
        <v>11731</v>
      </c>
      <c r="BF1630" t="s">
        <v>14364</v>
      </c>
      <c r="BM1630" t="s">
        <v>15650</v>
      </c>
    </row>
    <row r="1631" spans="1:65">
      <c r="A1631" s="1">
        <f>HYPERLINK("https://lsnyc.legalserver.org/matter/dynamic-profile/view/1879060","18-1879060")</f>
        <v>0</v>
      </c>
      <c r="B1631" t="s">
        <v>133</v>
      </c>
      <c r="C1631" t="s">
        <v>248</v>
      </c>
      <c r="D1631" t="s">
        <v>765</v>
      </c>
      <c r="F1631" t="s">
        <v>1150</v>
      </c>
      <c r="G1631" t="s">
        <v>2939</v>
      </c>
      <c r="H1631" t="s">
        <v>4801</v>
      </c>
      <c r="I1631" t="s">
        <v>6440</v>
      </c>
      <c r="J1631" t="s">
        <v>7174</v>
      </c>
      <c r="K1631">
        <v>11221</v>
      </c>
      <c r="N1631" t="s">
        <v>7237</v>
      </c>
      <c r="O1631" t="s">
        <v>7319</v>
      </c>
      <c r="P1631">
        <v>3</v>
      </c>
      <c r="Q1631">
        <v>2</v>
      </c>
      <c r="R1631">
        <v>271.92</v>
      </c>
      <c r="U1631">
        <v>80000</v>
      </c>
      <c r="V1631" t="s">
        <v>10426</v>
      </c>
      <c r="W1631">
        <v>0</v>
      </c>
      <c r="Y1631" t="s">
        <v>225</v>
      </c>
      <c r="AA1631" t="s">
        <v>10974</v>
      </c>
      <c r="AB1631" t="s">
        <v>11023</v>
      </c>
      <c r="AD1631" t="s">
        <v>11101</v>
      </c>
      <c r="AF1631" t="s">
        <v>11118</v>
      </c>
      <c r="AH1631" t="s">
        <v>10974</v>
      </c>
      <c r="AJ1631" t="s">
        <v>11141</v>
      </c>
      <c r="AK1631" t="s">
        <v>7225</v>
      </c>
      <c r="AM1631">
        <v>732</v>
      </c>
      <c r="AO1631">
        <v>13</v>
      </c>
      <c r="AQ1631" t="s">
        <v>11157</v>
      </c>
      <c r="AS1631" t="s">
        <v>11173</v>
      </c>
      <c r="AU1631">
        <v>25</v>
      </c>
      <c r="AW1631" t="s">
        <v>11187</v>
      </c>
      <c r="AZ1631" t="s">
        <v>11221</v>
      </c>
      <c r="BE1631" t="s">
        <v>11731</v>
      </c>
      <c r="BF1631" t="s">
        <v>14364</v>
      </c>
      <c r="BG1631" t="s">
        <v>14792</v>
      </c>
      <c r="BM1631" t="s">
        <v>15650</v>
      </c>
    </row>
    <row r="1632" spans="1:65">
      <c r="A1632" s="1">
        <f>HYPERLINK("https://lsnyc.legalserver.org/matter/dynamic-profile/view/0831602","17-0831602")</f>
        <v>0</v>
      </c>
      <c r="B1632" t="s">
        <v>133</v>
      </c>
      <c r="C1632" t="s">
        <v>248</v>
      </c>
      <c r="D1632" t="s">
        <v>772</v>
      </c>
      <c r="F1632" t="s">
        <v>1859</v>
      </c>
      <c r="G1632" t="s">
        <v>3659</v>
      </c>
      <c r="H1632" t="s">
        <v>5366</v>
      </c>
      <c r="I1632" t="s">
        <v>6445</v>
      </c>
      <c r="J1632" t="s">
        <v>7174</v>
      </c>
      <c r="K1632">
        <v>11212</v>
      </c>
      <c r="N1632" t="s">
        <v>7237</v>
      </c>
      <c r="O1632" t="s">
        <v>8338</v>
      </c>
      <c r="P1632">
        <v>2</v>
      </c>
      <c r="Q1632">
        <v>0</v>
      </c>
      <c r="R1632">
        <v>197.04</v>
      </c>
      <c r="U1632">
        <v>32000</v>
      </c>
      <c r="W1632">
        <v>0.5</v>
      </c>
      <c r="X1632" t="s">
        <v>10826</v>
      </c>
      <c r="Y1632" t="s">
        <v>133</v>
      </c>
      <c r="AA1632" t="s">
        <v>10974</v>
      </c>
      <c r="AB1632" t="s">
        <v>772</v>
      </c>
      <c r="AD1632" t="s">
        <v>11086</v>
      </c>
      <c r="AF1632" t="s">
        <v>10384</v>
      </c>
      <c r="AH1632" t="s">
        <v>10974</v>
      </c>
      <c r="AJ1632" t="s">
        <v>11104</v>
      </c>
      <c r="AK1632" t="s">
        <v>7225</v>
      </c>
      <c r="AM1632">
        <v>1375</v>
      </c>
      <c r="AO1632">
        <v>32</v>
      </c>
      <c r="AQ1632" t="s">
        <v>11157</v>
      </c>
      <c r="AR1632" t="s">
        <v>11172</v>
      </c>
      <c r="AU1632">
        <v>2</v>
      </c>
      <c r="AW1632" t="s">
        <v>11187</v>
      </c>
      <c r="AZ1632" t="s">
        <v>11221</v>
      </c>
      <c r="BD1632" t="s">
        <v>11667</v>
      </c>
      <c r="BG1632" t="s">
        <v>14789</v>
      </c>
      <c r="BM1632" t="s">
        <v>15650</v>
      </c>
    </row>
    <row r="1633" spans="1:65">
      <c r="A1633" s="1">
        <f>HYPERLINK("https://lsnyc.legalserver.org/matter/dynamic-profile/view/1867294","18-1867294")</f>
        <v>0</v>
      </c>
      <c r="B1633" t="s">
        <v>133</v>
      </c>
      <c r="C1633" t="s">
        <v>248</v>
      </c>
      <c r="D1633" t="s">
        <v>764</v>
      </c>
      <c r="F1633" t="s">
        <v>1108</v>
      </c>
      <c r="G1633" t="s">
        <v>3286</v>
      </c>
      <c r="H1633" t="s">
        <v>5366</v>
      </c>
      <c r="I1633" t="s">
        <v>6433</v>
      </c>
      <c r="J1633" t="s">
        <v>7174</v>
      </c>
      <c r="K1633">
        <v>11212</v>
      </c>
      <c r="N1633" t="s">
        <v>7237</v>
      </c>
      <c r="O1633" t="s">
        <v>8339</v>
      </c>
      <c r="P1633">
        <v>3</v>
      </c>
      <c r="Q1633">
        <v>0</v>
      </c>
      <c r="R1633">
        <v>100.1</v>
      </c>
      <c r="U1633">
        <v>20800</v>
      </c>
      <c r="W1633">
        <v>0</v>
      </c>
      <c r="Y1633" t="s">
        <v>225</v>
      </c>
      <c r="AA1633" t="s">
        <v>10974</v>
      </c>
      <c r="AB1633" t="s">
        <v>849</v>
      </c>
      <c r="AD1633" t="s">
        <v>11100</v>
      </c>
      <c r="AF1633" t="s">
        <v>11120</v>
      </c>
      <c r="AH1633" t="s">
        <v>10974</v>
      </c>
      <c r="AJ1633" t="s">
        <v>11104</v>
      </c>
      <c r="AK1633" t="s">
        <v>7225</v>
      </c>
      <c r="AM1633">
        <v>862.52</v>
      </c>
      <c r="AO1633">
        <v>32</v>
      </c>
      <c r="AQ1633" t="s">
        <v>11157</v>
      </c>
      <c r="AR1633" t="s">
        <v>11172</v>
      </c>
      <c r="AU1633">
        <v>6</v>
      </c>
      <c r="AW1633" t="s">
        <v>11187</v>
      </c>
      <c r="AZ1633" t="s">
        <v>11221</v>
      </c>
      <c r="BE1633" t="s">
        <v>12629</v>
      </c>
      <c r="BF1633" t="s">
        <v>14364</v>
      </c>
      <c r="BM1633" t="s">
        <v>15650</v>
      </c>
    </row>
    <row r="1634" spans="1:65">
      <c r="A1634" s="1">
        <f>HYPERLINK("https://lsnyc.legalserver.org/matter/dynamic-profile/view/1871625","18-1871625")</f>
        <v>0</v>
      </c>
      <c r="B1634" t="s">
        <v>133</v>
      </c>
      <c r="C1634" t="s">
        <v>248</v>
      </c>
      <c r="D1634" t="s">
        <v>771</v>
      </c>
      <c r="F1634" t="s">
        <v>1108</v>
      </c>
      <c r="G1634" t="s">
        <v>3286</v>
      </c>
      <c r="H1634" t="s">
        <v>5366</v>
      </c>
      <c r="I1634" t="s">
        <v>6433</v>
      </c>
      <c r="J1634" t="s">
        <v>7174</v>
      </c>
      <c r="K1634">
        <v>11212</v>
      </c>
      <c r="N1634" t="s">
        <v>7237</v>
      </c>
      <c r="O1634" t="s">
        <v>8339</v>
      </c>
      <c r="P1634">
        <v>3</v>
      </c>
      <c r="Q1634">
        <v>0</v>
      </c>
      <c r="R1634">
        <v>100.1</v>
      </c>
      <c r="U1634">
        <v>20800</v>
      </c>
      <c r="W1634">
        <v>0</v>
      </c>
      <c r="Y1634" t="s">
        <v>10925</v>
      </c>
      <c r="AA1634" t="s">
        <v>10974</v>
      </c>
      <c r="AB1634" t="s">
        <v>11020</v>
      </c>
      <c r="AD1634" t="s">
        <v>11086</v>
      </c>
      <c r="AF1634" t="s">
        <v>10384</v>
      </c>
      <c r="AH1634" t="s">
        <v>10974</v>
      </c>
      <c r="AJ1634" t="s">
        <v>11104</v>
      </c>
      <c r="AK1634" t="s">
        <v>7225</v>
      </c>
      <c r="AM1634">
        <v>862.52</v>
      </c>
      <c r="AO1634">
        <v>32</v>
      </c>
      <c r="AQ1634" t="s">
        <v>11157</v>
      </c>
      <c r="AS1634" t="s">
        <v>11173</v>
      </c>
      <c r="AU1634">
        <v>6</v>
      </c>
      <c r="AW1634" t="s">
        <v>11187</v>
      </c>
      <c r="AZ1634" t="s">
        <v>11221</v>
      </c>
      <c r="BE1634" t="s">
        <v>12629</v>
      </c>
      <c r="BF1634" t="s">
        <v>14364</v>
      </c>
      <c r="BM1634" t="s">
        <v>15650</v>
      </c>
    </row>
    <row r="1635" spans="1:65">
      <c r="A1635" s="1">
        <f>HYPERLINK("https://lsnyc.legalserver.org/matter/dynamic-profile/view/1867103","18-1867103")</f>
        <v>0</v>
      </c>
      <c r="B1635" t="s">
        <v>133</v>
      </c>
      <c r="C1635" t="s">
        <v>248</v>
      </c>
      <c r="D1635" t="s">
        <v>261</v>
      </c>
      <c r="F1635" t="s">
        <v>1860</v>
      </c>
      <c r="G1635" t="s">
        <v>3660</v>
      </c>
      <c r="H1635" t="s">
        <v>5366</v>
      </c>
      <c r="I1635" t="s">
        <v>6447</v>
      </c>
      <c r="J1635" t="s">
        <v>7174</v>
      </c>
      <c r="K1635">
        <v>11212</v>
      </c>
      <c r="N1635" t="s">
        <v>7237</v>
      </c>
      <c r="O1635" t="s">
        <v>7292</v>
      </c>
      <c r="P1635">
        <v>1</v>
      </c>
      <c r="Q1635">
        <v>0</v>
      </c>
      <c r="R1635">
        <v>197.69</v>
      </c>
      <c r="U1635">
        <v>24000</v>
      </c>
      <c r="W1635">
        <v>0</v>
      </c>
      <c r="Y1635" t="s">
        <v>225</v>
      </c>
      <c r="AA1635" t="s">
        <v>10974</v>
      </c>
      <c r="AB1635" t="s">
        <v>849</v>
      </c>
      <c r="AD1635" t="s">
        <v>11100</v>
      </c>
      <c r="AF1635" t="s">
        <v>11122</v>
      </c>
      <c r="AH1635" t="s">
        <v>10974</v>
      </c>
      <c r="AJ1635" t="s">
        <v>11104</v>
      </c>
      <c r="AK1635" t="s">
        <v>7225</v>
      </c>
      <c r="AM1635">
        <v>920.21</v>
      </c>
      <c r="AO1635">
        <v>32</v>
      </c>
      <c r="AQ1635" t="s">
        <v>11157</v>
      </c>
      <c r="AS1635" t="s">
        <v>11173</v>
      </c>
      <c r="AU1635">
        <v>18</v>
      </c>
      <c r="AW1635" t="s">
        <v>11187</v>
      </c>
      <c r="AZ1635" t="s">
        <v>11221</v>
      </c>
      <c r="BE1635" t="s">
        <v>12630</v>
      </c>
      <c r="BF1635" t="s">
        <v>14364</v>
      </c>
      <c r="BM1635" t="s">
        <v>15650</v>
      </c>
    </row>
    <row r="1636" spans="1:65">
      <c r="A1636" s="1">
        <f>HYPERLINK("https://lsnyc.legalserver.org/matter/dynamic-profile/view/1882906","18-1882906")</f>
        <v>0</v>
      </c>
      <c r="B1636" t="s">
        <v>133</v>
      </c>
      <c r="C1636" t="s">
        <v>248</v>
      </c>
      <c r="D1636" t="s">
        <v>542</v>
      </c>
      <c r="F1636" t="s">
        <v>1144</v>
      </c>
      <c r="G1636" t="s">
        <v>3655</v>
      </c>
      <c r="H1636" t="s">
        <v>5368</v>
      </c>
      <c r="I1636" t="s">
        <v>6495</v>
      </c>
      <c r="J1636" t="s">
        <v>7174</v>
      </c>
      <c r="K1636">
        <v>11213</v>
      </c>
      <c r="N1636" t="s">
        <v>7237</v>
      </c>
      <c r="O1636" t="s">
        <v>8340</v>
      </c>
      <c r="P1636">
        <v>2</v>
      </c>
      <c r="Q1636">
        <v>0</v>
      </c>
      <c r="R1636">
        <v>99.62</v>
      </c>
      <c r="U1636">
        <v>16398</v>
      </c>
      <c r="W1636">
        <v>0</v>
      </c>
      <c r="Y1636" t="s">
        <v>243</v>
      </c>
      <c r="AA1636" t="s">
        <v>10974</v>
      </c>
      <c r="AB1636" t="s">
        <v>760</v>
      </c>
      <c r="AD1636" t="s">
        <v>11101</v>
      </c>
      <c r="AF1636" t="s">
        <v>11118</v>
      </c>
      <c r="AH1636" t="s">
        <v>10974</v>
      </c>
      <c r="AJ1636" t="s">
        <v>11144</v>
      </c>
      <c r="AK1636" t="s">
        <v>7225</v>
      </c>
      <c r="AM1636">
        <v>1268</v>
      </c>
      <c r="AO1636">
        <v>19</v>
      </c>
      <c r="AQ1636" t="s">
        <v>11157</v>
      </c>
      <c r="AS1636" t="s">
        <v>11181</v>
      </c>
      <c r="AU1636">
        <v>2</v>
      </c>
      <c r="AW1636" t="s">
        <v>11187</v>
      </c>
      <c r="AZ1636" t="s">
        <v>11221</v>
      </c>
      <c r="BE1636" t="s">
        <v>12631</v>
      </c>
      <c r="BG1636" t="s">
        <v>14793</v>
      </c>
      <c r="BM1636" t="s">
        <v>15650</v>
      </c>
    </row>
    <row r="1637" spans="1:65">
      <c r="A1637" s="1">
        <f>HYPERLINK("https://lsnyc.legalserver.org/matter/dynamic-profile/view/1872376","18-1872376")</f>
        <v>0</v>
      </c>
      <c r="B1637" t="s">
        <v>133</v>
      </c>
      <c r="C1637" t="s">
        <v>248</v>
      </c>
      <c r="D1637" t="s">
        <v>773</v>
      </c>
      <c r="F1637" t="s">
        <v>1142</v>
      </c>
      <c r="G1637" t="s">
        <v>3661</v>
      </c>
      <c r="H1637" t="s">
        <v>5367</v>
      </c>
      <c r="I1637" t="s">
        <v>6466</v>
      </c>
      <c r="J1637" t="s">
        <v>7174</v>
      </c>
      <c r="K1637">
        <v>11206</v>
      </c>
      <c r="N1637" t="s">
        <v>7237</v>
      </c>
      <c r="O1637" t="s">
        <v>8341</v>
      </c>
      <c r="P1637">
        <v>1</v>
      </c>
      <c r="Q1637">
        <v>0</v>
      </c>
      <c r="R1637">
        <v>197.69</v>
      </c>
      <c r="U1637">
        <v>24000</v>
      </c>
      <c r="W1637">
        <v>7.5</v>
      </c>
      <c r="X1637" t="s">
        <v>503</v>
      </c>
      <c r="Y1637" t="s">
        <v>10925</v>
      </c>
      <c r="AA1637" t="s">
        <v>10974</v>
      </c>
      <c r="AB1637" t="s">
        <v>11024</v>
      </c>
      <c r="AD1637" t="s">
        <v>11098</v>
      </c>
      <c r="AF1637" t="s">
        <v>11122</v>
      </c>
      <c r="AH1637" t="s">
        <v>10974</v>
      </c>
      <c r="AJ1637" t="s">
        <v>11141</v>
      </c>
      <c r="AK1637" t="s">
        <v>7225</v>
      </c>
      <c r="AM1637">
        <v>1157.82</v>
      </c>
      <c r="AO1637">
        <v>25</v>
      </c>
      <c r="AQ1637" t="s">
        <v>11159</v>
      </c>
      <c r="AS1637" t="s">
        <v>11173</v>
      </c>
      <c r="AU1637">
        <v>25</v>
      </c>
      <c r="AW1637" t="s">
        <v>11187</v>
      </c>
      <c r="AZ1637" t="s">
        <v>11221</v>
      </c>
      <c r="BE1637" t="s">
        <v>12632</v>
      </c>
      <c r="BG1637" t="s">
        <v>14788</v>
      </c>
      <c r="BM1637" t="s">
        <v>15650</v>
      </c>
    </row>
    <row r="1638" spans="1:65">
      <c r="A1638" s="1">
        <f>HYPERLINK("https://lsnyc.legalserver.org/matter/dynamic-profile/view/0828727","17-0828727")</f>
        <v>0</v>
      </c>
      <c r="B1638" t="s">
        <v>133</v>
      </c>
      <c r="C1638" t="s">
        <v>248</v>
      </c>
      <c r="D1638" t="s">
        <v>774</v>
      </c>
      <c r="F1638" t="s">
        <v>1860</v>
      </c>
      <c r="G1638" t="s">
        <v>3660</v>
      </c>
      <c r="H1638" t="s">
        <v>5366</v>
      </c>
      <c r="I1638" t="s">
        <v>6447</v>
      </c>
      <c r="J1638" t="s">
        <v>7174</v>
      </c>
      <c r="K1638">
        <v>11212</v>
      </c>
      <c r="N1638" t="s">
        <v>7237</v>
      </c>
      <c r="O1638" t="s">
        <v>7292</v>
      </c>
      <c r="P1638">
        <v>1</v>
      </c>
      <c r="Q1638">
        <v>0</v>
      </c>
      <c r="R1638">
        <v>199</v>
      </c>
      <c r="U1638">
        <v>24000</v>
      </c>
      <c r="V1638" t="s">
        <v>10330</v>
      </c>
      <c r="W1638">
        <v>0.25</v>
      </c>
      <c r="X1638" t="s">
        <v>385</v>
      </c>
      <c r="Y1638" t="s">
        <v>133</v>
      </c>
      <c r="AA1638" t="s">
        <v>10974</v>
      </c>
      <c r="AB1638" t="s">
        <v>772</v>
      </c>
      <c r="AD1638" t="s">
        <v>11086</v>
      </c>
      <c r="AF1638" t="s">
        <v>10384</v>
      </c>
      <c r="AH1638" t="s">
        <v>10974</v>
      </c>
      <c r="AJ1638" t="s">
        <v>11104</v>
      </c>
      <c r="AK1638" t="s">
        <v>7225</v>
      </c>
      <c r="AM1638">
        <v>920.21</v>
      </c>
      <c r="AO1638">
        <v>32</v>
      </c>
      <c r="AQ1638" t="s">
        <v>11157</v>
      </c>
      <c r="AS1638" t="s">
        <v>11173</v>
      </c>
      <c r="AU1638">
        <v>18</v>
      </c>
      <c r="AW1638" t="s">
        <v>11187</v>
      </c>
      <c r="AZ1638" t="s">
        <v>11221</v>
      </c>
      <c r="BE1638" t="s">
        <v>12630</v>
      </c>
      <c r="BG1638" t="s">
        <v>14791</v>
      </c>
      <c r="BM1638" t="s">
        <v>15650</v>
      </c>
    </row>
    <row r="1639" spans="1:65">
      <c r="A1639" s="1">
        <f>HYPERLINK("https://lsnyc.legalserver.org/matter/dynamic-profile/view/1856573","18-1856573")</f>
        <v>0</v>
      </c>
      <c r="B1639" t="s">
        <v>133</v>
      </c>
      <c r="C1639" t="s">
        <v>248</v>
      </c>
      <c r="D1639" t="s">
        <v>533</v>
      </c>
      <c r="F1639" t="s">
        <v>1142</v>
      </c>
      <c r="G1639" t="s">
        <v>3661</v>
      </c>
      <c r="H1639" t="s">
        <v>5367</v>
      </c>
      <c r="I1639" t="s">
        <v>6466</v>
      </c>
      <c r="J1639" t="s">
        <v>7174</v>
      </c>
      <c r="K1639">
        <v>11206</v>
      </c>
      <c r="N1639" t="s">
        <v>7237</v>
      </c>
      <c r="O1639" t="s">
        <v>8341</v>
      </c>
      <c r="P1639">
        <v>1</v>
      </c>
      <c r="Q1639">
        <v>0</v>
      </c>
      <c r="R1639">
        <v>199</v>
      </c>
      <c r="U1639">
        <v>24000</v>
      </c>
      <c r="W1639">
        <v>305.95</v>
      </c>
      <c r="X1639" t="s">
        <v>436</v>
      </c>
      <c r="Y1639" t="s">
        <v>225</v>
      </c>
      <c r="AA1639" t="s">
        <v>10974</v>
      </c>
      <c r="AB1639" t="s">
        <v>292</v>
      </c>
      <c r="AD1639" t="s">
        <v>11101</v>
      </c>
      <c r="AF1639" t="s">
        <v>11118</v>
      </c>
      <c r="AH1639" t="s">
        <v>10974</v>
      </c>
      <c r="AJ1639" t="s">
        <v>11141</v>
      </c>
      <c r="AK1639" t="s">
        <v>7225</v>
      </c>
      <c r="AM1639">
        <v>1157.82</v>
      </c>
      <c r="AO1639">
        <v>25</v>
      </c>
      <c r="AQ1639" t="s">
        <v>11159</v>
      </c>
      <c r="AS1639" t="s">
        <v>11173</v>
      </c>
      <c r="AU1639">
        <v>25</v>
      </c>
      <c r="AW1639" t="s">
        <v>11187</v>
      </c>
      <c r="AZ1639" t="s">
        <v>11221</v>
      </c>
      <c r="BE1639" t="s">
        <v>12632</v>
      </c>
      <c r="BG1639" t="s">
        <v>14794</v>
      </c>
      <c r="BM1639" t="s">
        <v>15650</v>
      </c>
    </row>
    <row r="1640" spans="1:65">
      <c r="A1640" s="1">
        <f>HYPERLINK("https://lsnyc.legalserver.org/matter/dynamic-profile/view/1847205","17-1847205")</f>
        <v>0</v>
      </c>
      <c r="B1640" t="s">
        <v>133</v>
      </c>
      <c r="C1640" t="s">
        <v>248</v>
      </c>
      <c r="D1640" t="s">
        <v>418</v>
      </c>
      <c r="F1640" t="s">
        <v>1142</v>
      </c>
      <c r="G1640" t="s">
        <v>3661</v>
      </c>
      <c r="H1640" t="s">
        <v>5367</v>
      </c>
      <c r="I1640" t="s">
        <v>6466</v>
      </c>
      <c r="J1640" t="s">
        <v>7174</v>
      </c>
      <c r="K1640">
        <v>11206</v>
      </c>
      <c r="N1640" t="s">
        <v>7237</v>
      </c>
      <c r="O1640" t="s">
        <v>8341</v>
      </c>
      <c r="P1640">
        <v>1</v>
      </c>
      <c r="Q1640">
        <v>0</v>
      </c>
      <c r="R1640">
        <v>199</v>
      </c>
      <c r="U1640">
        <v>24000</v>
      </c>
      <c r="W1640">
        <v>235.55</v>
      </c>
      <c r="X1640" t="s">
        <v>271</v>
      </c>
      <c r="Y1640" t="s">
        <v>225</v>
      </c>
      <c r="AA1640" t="s">
        <v>10974</v>
      </c>
      <c r="AB1640" t="s">
        <v>898</v>
      </c>
      <c r="AD1640" t="s">
        <v>11100</v>
      </c>
      <c r="AF1640" t="s">
        <v>11122</v>
      </c>
      <c r="AH1640" t="s">
        <v>10974</v>
      </c>
      <c r="AJ1640" t="s">
        <v>11141</v>
      </c>
      <c r="AK1640" t="s">
        <v>7225</v>
      </c>
      <c r="AM1640">
        <v>1157.82</v>
      </c>
      <c r="AO1640">
        <v>25</v>
      </c>
      <c r="AQ1640" t="s">
        <v>11159</v>
      </c>
      <c r="AS1640" t="s">
        <v>11173</v>
      </c>
      <c r="AU1640">
        <v>25</v>
      </c>
      <c r="AW1640" t="s">
        <v>11187</v>
      </c>
      <c r="AZ1640" t="s">
        <v>11221</v>
      </c>
      <c r="BC1640" t="s">
        <v>11228</v>
      </c>
      <c r="BE1640" t="s">
        <v>12632</v>
      </c>
      <c r="BF1640" t="s">
        <v>14364</v>
      </c>
      <c r="BM1640" t="s">
        <v>15650</v>
      </c>
    </row>
    <row r="1641" spans="1:65">
      <c r="A1641" s="1">
        <f>HYPERLINK("https://lsnyc.legalserver.org/matter/dynamic-profile/view/1871759","18-1871759")</f>
        <v>0</v>
      </c>
      <c r="B1641" t="s">
        <v>133</v>
      </c>
      <c r="C1641" t="s">
        <v>248</v>
      </c>
      <c r="D1641" t="s">
        <v>720</v>
      </c>
      <c r="F1641" t="s">
        <v>1857</v>
      </c>
      <c r="G1641" t="s">
        <v>3654</v>
      </c>
      <c r="H1641" t="s">
        <v>5367</v>
      </c>
      <c r="I1641" t="s">
        <v>6414</v>
      </c>
      <c r="J1641" t="s">
        <v>7174</v>
      </c>
      <c r="K1641">
        <v>11206</v>
      </c>
      <c r="N1641" t="s">
        <v>7237</v>
      </c>
      <c r="O1641" t="s">
        <v>8329</v>
      </c>
      <c r="P1641">
        <v>1</v>
      </c>
      <c r="Q1641">
        <v>0</v>
      </c>
      <c r="R1641">
        <v>119.31</v>
      </c>
      <c r="U1641">
        <v>14484</v>
      </c>
      <c r="W1641">
        <v>0</v>
      </c>
      <c r="Y1641" t="s">
        <v>10925</v>
      </c>
      <c r="AA1641" t="s">
        <v>10974</v>
      </c>
      <c r="AB1641" t="s">
        <v>11024</v>
      </c>
      <c r="AD1641" t="s">
        <v>11098</v>
      </c>
      <c r="AF1641" t="s">
        <v>11122</v>
      </c>
      <c r="AH1641" t="s">
        <v>10974</v>
      </c>
      <c r="AJ1641" t="s">
        <v>11141</v>
      </c>
      <c r="AK1641" t="s">
        <v>7225</v>
      </c>
      <c r="AM1641">
        <v>458.7</v>
      </c>
      <c r="AO1641">
        <v>25</v>
      </c>
      <c r="AQ1641" t="s">
        <v>11159</v>
      </c>
      <c r="AR1641" t="s">
        <v>11172</v>
      </c>
      <c r="AU1641">
        <v>19</v>
      </c>
      <c r="AW1641" t="s">
        <v>11187</v>
      </c>
      <c r="AZ1641" t="s">
        <v>11221</v>
      </c>
      <c r="BE1641" t="s">
        <v>12620</v>
      </c>
      <c r="BG1641" t="s">
        <v>14788</v>
      </c>
      <c r="BM1641" t="s">
        <v>15650</v>
      </c>
    </row>
    <row r="1642" spans="1:65">
      <c r="A1642" s="1">
        <f>HYPERLINK("https://lsnyc.legalserver.org/matter/dynamic-profile/view/1913059","19-1913059")</f>
        <v>0</v>
      </c>
      <c r="B1642" t="s">
        <v>133</v>
      </c>
      <c r="C1642" t="s">
        <v>248</v>
      </c>
      <c r="D1642" t="s">
        <v>336</v>
      </c>
      <c r="F1642" t="s">
        <v>1475</v>
      </c>
      <c r="G1642" t="s">
        <v>2956</v>
      </c>
      <c r="H1642" t="s">
        <v>5085</v>
      </c>
      <c r="I1642" t="s">
        <v>6419</v>
      </c>
      <c r="J1642" t="s">
        <v>7174</v>
      </c>
      <c r="K1642">
        <v>11206</v>
      </c>
      <c r="N1642" t="s">
        <v>7237</v>
      </c>
      <c r="O1642" t="s">
        <v>8342</v>
      </c>
      <c r="P1642">
        <v>1</v>
      </c>
      <c r="Q1642">
        <v>0</v>
      </c>
      <c r="R1642">
        <v>199.84</v>
      </c>
      <c r="U1642">
        <v>24960</v>
      </c>
      <c r="W1642">
        <v>0</v>
      </c>
      <c r="Y1642" t="s">
        <v>225</v>
      </c>
      <c r="AA1642" t="s">
        <v>10974</v>
      </c>
      <c r="AB1642" t="s">
        <v>536</v>
      </c>
      <c r="AD1642" t="s">
        <v>11100</v>
      </c>
      <c r="AF1642" t="s">
        <v>10384</v>
      </c>
      <c r="AH1642" t="s">
        <v>10974</v>
      </c>
      <c r="AJ1642" t="s">
        <v>11141</v>
      </c>
      <c r="AK1642" t="s">
        <v>7225</v>
      </c>
      <c r="AM1642">
        <v>1200</v>
      </c>
      <c r="AO1642">
        <v>16</v>
      </c>
      <c r="AQ1642" t="s">
        <v>11157</v>
      </c>
      <c r="AS1642" t="s">
        <v>11173</v>
      </c>
      <c r="AU1642">
        <v>8</v>
      </c>
      <c r="AW1642" t="s">
        <v>11187</v>
      </c>
      <c r="AY1642" t="s">
        <v>11213</v>
      </c>
      <c r="BA1642" t="s">
        <v>11222</v>
      </c>
      <c r="BC1642" t="s">
        <v>11228</v>
      </c>
      <c r="BE1642" t="s">
        <v>12633</v>
      </c>
      <c r="BF1642" t="s">
        <v>14364</v>
      </c>
      <c r="BG1642" t="s">
        <v>11228</v>
      </c>
      <c r="BM1642" t="s">
        <v>15650</v>
      </c>
    </row>
    <row r="1643" spans="1:65">
      <c r="A1643" s="1">
        <f>HYPERLINK("https://lsnyc.legalserver.org/matter/dynamic-profile/view/0830179","17-0830179")</f>
        <v>0</v>
      </c>
      <c r="B1643" t="s">
        <v>133</v>
      </c>
      <c r="C1643" t="s">
        <v>248</v>
      </c>
      <c r="D1643" t="s">
        <v>762</v>
      </c>
      <c r="F1643" t="s">
        <v>1861</v>
      </c>
      <c r="G1643" t="s">
        <v>1827</v>
      </c>
      <c r="H1643" t="s">
        <v>5366</v>
      </c>
      <c r="I1643" t="s">
        <v>6613</v>
      </c>
      <c r="J1643" t="s">
        <v>7174</v>
      </c>
      <c r="K1643">
        <v>11212</v>
      </c>
      <c r="N1643" t="s">
        <v>7237</v>
      </c>
      <c r="O1643" t="s">
        <v>8343</v>
      </c>
      <c r="P1643">
        <v>1</v>
      </c>
      <c r="Q1643">
        <v>1</v>
      </c>
      <c r="R1643">
        <v>381.77</v>
      </c>
      <c r="U1643">
        <v>62000</v>
      </c>
      <c r="W1643">
        <v>0.25</v>
      </c>
      <c r="X1643" t="s">
        <v>385</v>
      </c>
      <c r="Y1643" t="s">
        <v>133</v>
      </c>
      <c r="AA1643" t="s">
        <v>10974</v>
      </c>
      <c r="AB1643" t="s">
        <v>762</v>
      </c>
      <c r="AD1643" t="s">
        <v>11086</v>
      </c>
      <c r="AF1643" t="s">
        <v>11122</v>
      </c>
      <c r="AH1643" t="s">
        <v>10974</v>
      </c>
      <c r="AJ1643" t="s">
        <v>11104</v>
      </c>
      <c r="AK1643" t="s">
        <v>7225</v>
      </c>
      <c r="AM1643">
        <v>1377</v>
      </c>
      <c r="AO1643">
        <v>32</v>
      </c>
      <c r="AQ1643" t="s">
        <v>11157</v>
      </c>
      <c r="AR1643" t="s">
        <v>11172</v>
      </c>
      <c r="AU1643">
        <v>2</v>
      </c>
      <c r="AW1643" t="s">
        <v>11187</v>
      </c>
      <c r="AZ1643" t="s">
        <v>11221</v>
      </c>
      <c r="BE1643" t="s">
        <v>12628</v>
      </c>
      <c r="BG1643" t="s">
        <v>14789</v>
      </c>
      <c r="BM1643" t="s">
        <v>15650</v>
      </c>
    </row>
    <row r="1644" spans="1:65">
      <c r="A1644" s="1">
        <f>HYPERLINK("https://lsnyc.legalserver.org/matter/dynamic-profile/view/1855958","18-1855958")</f>
        <v>0</v>
      </c>
      <c r="B1644" t="s">
        <v>133</v>
      </c>
      <c r="C1644" t="s">
        <v>248</v>
      </c>
      <c r="D1644" t="s">
        <v>775</v>
      </c>
      <c r="F1644" t="s">
        <v>1862</v>
      </c>
      <c r="G1644" t="s">
        <v>3662</v>
      </c>
      <c r="H1644" t="s">
        <v>5369</v>
      </c>
      <c r="I1644" t="s">
        <v>6419</v>
      </c>
      <c r="J1644" t="s">
        <v>7174</v>
      </c>
      <c r="K1644">
        <v>11206</v>
      </c>
      <c r="N1644" t="s">
        <v>7237</v>
      </c>
      <c r="O1644" t="s">
        <v>8344</v>
      </c>
      <c r="P1644">
        <v>1</v>
      </c>
      <c r="Q1644">
        <v>2</v>
      </c>
      <c r="R1644">
        <v>200.78</v>
      </c>
      <c r="S1644" t="s">
        <v>10255</v>
      </c>
      <c r="U1644">
        <v>41000</v>
      </c>
      <c r="W1644">
        <v>5</v>
      </c>
      <c r="X1644" t="s">
        <v>696</v>
      </c>
      <c r="Y1644" t="s">
        <v>225</v>
      </c>
      <c r="AA1644" t="s">
        <v>10974</v>
      </c>
      <c r="AB1644" t="s">
        <v>712</v>
      </c>
      <c r="AD1644" t="s">
        <v>11098</v>
      </c>
      <c r="AF1644" t="s">
        <v>11122</v>
      </c>
      <c r="AH1644" t="s">
        <v>10974</v>
      </c>
      <c r="AI1644" t="s">
        <v>11126</v>
      </c>
      <c r="AK1644" t="s">
        <v>7225</v>
      </c>
      <c r="AM1644">
        <v>811</v>
      </c>
      <c r="AO1644">
        <v>29</v>
      </c>
      <c r="AQ1644" t="s">
        <v>11157</v>
      </c>
      <c r="AS1644" t="s">
        <v>11173</v>
      </c>
      <c r="AU1644">
        <v>6</v>
      </c>
      <c r="AW1644" t="s">
        <v>11187</v>
      </c>
      <c r="AZ1644" t="s">
        <v>11221</v>
      </c>
      <c r="BD1644" t="s">
        <v>11667</v>
      </c>
      <c r="BG1644" t="s">
        <v>14795</v>
      </c>
      <c r="BM1644" t="s">
        <v>15650</v>
      </c>
    </row>
    <row r="1645" spans="1:65">
      <c r="A1645" s="1">
        <f>HYPERLINK("https://lsnyc.legalserver.org/matter/dynamic-profile/view/1871756","18-1871756")</f>
        <v>0</v>
      </c>
      <c r="B1645" t="s">
        <v>133</v>
      </c>
      <c r="C1645" t="s">
        <v>248</v>
      </c>
      <c r="D1645" t="s">
        <v>720</v>
      </c>
      <c r="F1645" t="s">
        <v>1863</v>
      </c>
      <c r="G1645" t="s">
        <v>3466</v>
      </c>
      <c r="H1645" t="s">
        <v>5367</v>
      </c>
      <c r="I1645" t="s">
        <v>6451</v>
      </c>
      <c r="J1645" t="s">
        <v>7174</v>
      </c>
      <c r="K1645">
        <v>11206</v>
      </c>
      <c r="N1645" t="s">
        <v>7237</v>
      </c>
      <c r="O1645" t="s">
        <v>8345</v>
      </c>
      <c r="P1645">
        <v>1</v>
      </c>
      <c r="Q1645">
        <v>0</v>
      </c>
      <c r="R1645">
        <v>304.78</v>
      </c>
      <c r="S1645" t="s">
        <v>10255</v>
      </c>
      <c r="U1645">
        <v>37000</v>
      </c>
      <c r="W1645">
        <v>0</v>
      </c>
      <c r="Y1645" t="s">
        <v>10925</v>
      </c>
      <c r="AA1645" t="s">
        <v>10974</v>
      </c>
      <c r="AB1645" t="s">
        <v>11024</v>
      </c>
      <c r="AD1645" t="s">
        <v>11098</v>
      </c>
      <c r="AF1645" t="s">
        <v>11122</v>
      </c>
      <c r="AH1645" t="s">
        <v>10974</v>
      </c>
      <c r="AI1645" t="s">
        <v>11126</v>
      </c>
      <c r="AK1645" t="s">
        <v>7225</v>
      </c>
      <c r="AM1645">
        <v>955</v>
      </c>
      <c r="AO1645">
        <v>29</v>
      </c>
      <c r="AQ1645" t="s">
        <v>11157</v>
      </c>
      <c r="AR1645" t="s">
        <v>11172</v>
      </c>
      <c r="AU1645">
        <v>17</v>
      </c>
      <c r="AW1645" t="s">
        <v>11187</v>
      </c>
      <c r="AZ1645" t="s">
        <v>11221</v>
      </c>
      <c r="BD1645" t="s">
        <v>11667</v>
      </c>
      <c r="BG1645" t="s">
        <v>14788</v>
      </c>
      <c r="BM1645" t="s">
        <v>15650</v>
      </c>
    </row>
    <row r="1646" spans="1:65">
      <c r="A1646" s="1">
        <f>HYPERLINK("https://lsnyc.legalserver.org/matter/dynamic-profile/view/0830161","17-0830161")</f>
        <v>0</v>
      </c>
      <c r="B1646" t="s">
        <v>133</v>
      </c>
      <c r="C1646" t="s">
        <v>248</v>
      </c>
      <c r="D1646" t="s">
        <v>762</v>
      </c>
      <c r="F1646" t="s">
        <v>1535</v>
      </c>
      <c r="G1646" t="s">
        <v>3658</v>
      </c>
      <c r="H1646" t="s">
        <v>5366</v>
      </c>
      <c r="I1646" t="s">
        <v>6407</v>
      </c>
      <c r="J1646" t="s">
        <v>7174</v>
      </c>
      <c r="K1646">
        <v>11212</v>
      </c>
      <c r="N1646" t="s">
        <v>7237</v>
      </c>
      <c r="O1646" t="s">
        <v>8337</v>
      </c>
      <c r="P1646">
        <v>2</v>
      </c>
      <c r="Q1646">
        <v>0</v>
      </c>
      <c r="R1646">
        <v>162.56</v>
      </c>
      <c r="U1646">
        <v>26400</v>
      </c>
      <c r="W1646">
        <v>0.5</v>
      </c>
      <c r="X1646" t="s">
        <v>385</v>
      </c>
      <c r="Y1646" t="s">
        <v>133</v>
      </c>
      <c r="AA1646" t="s">
        <v>10974</v>
      </c>
      <c r="AB1646" t="s">
        <v>762</v>
      </c>
      <c r="AD1646" t="s">
        <v>11086</v>
      </c>
      <c r="AF1646" t="s">
        <v>11122</v>
      </c>
      <c r="AH1646" t="s">
        <v>10974</v>
      </c>
      <c r="AJ1646" t="s">
        <v>11104</v>
      </c>
      <c r="AK1646" t="s">
        <v>7225</v>
      </c>
      <c r="AM1646">
        <v>922.9400000000001</v>
      </c>
      <c r="AO1646">
        <v>32</v>
      </c>
      <c r="AQ1646" t="s">
        <v>11157</v>
      </c>
      <c r="AR1646" t="s">
        <v>11172</v>
      </c>
      <c r="AU1646">
        <v>21</v>
      </c>
      <c r="AW1646" t="s">
        <v>11187</v>
      </c>
      <c r="AZ1646" t="s">
        <v>11221</v>
      </c>
      <c r="BE1646" t="s">
        <v>12628</v>
      </c>
      <c r="BG1646" t="s">
        <v>14789</v>
      </c>
      <c r="BM1646" t="s">
        <v>15650</v>
      </c>
    </row>
    <row r="1647" spans="1:65">
      <c r="A1647" s="1">
        <f>HYPERLINK("https://lsnyc.legalserver.org/matter/dynamic-profile/view/1871539","18-1871539")</f>
        <v>0</v>
      </c>
      <c r="B1647" t="s">
        <v>133</v>
      </c>
      <c r="C1647" t="s">
        <v>248</v>
      </c>
      <c r="D1647" t="s">
        <v>620</v>
      </c>
      <c r="F1647" t="s">
        <v>1260</v>
      </c>
      <c r="G1647" t="s">
        <v>3651</v>
      </c>
      <c r="H1647" t="s">
        <v>5366</v>
      </c>
      <c r="I1647" t="s">
        <v>6686</v>
      </c>
      <c r="J1647" t="s">
        <v>7174</v>
      </c>
      <c r="K1647">
        <v>11212</v>
      </c>
      <c r="N1647" t="s">
        <v>7237</v>
      </c>
      <c r="O1647" t="s">
        <v>8325</v>
      </c>
      <c r="P1647">
        <v>3</v>
      </c>
      <c r="Q1647">
        <v>0</v>
      </c>
      <c r="R1647">
        <v>275.26</v>
      </c>
      <c r="U1647">
        <v>57200</v>
      </c>
      <c r="V1647" t="s">
        <v>10427</v>
      </c>
      <c r="W1647">
        <v>0</v>
      </c>
      <c r="Y1647" t="s">
        <v>10925</v>
      </c>
      <c r="AA1647" t="s">
        <v>10974</v>
      </c>
      <c r="AB1647" t="s">
        <v>11020</v>
      </c>
      <c r="AD1647" t="s">
        <v>11086</v>
      </c>
      <c r="AF1647" t="s">
        <v>10384</v>
      </c>
      <c r="AH1647" t="s">
        <v>10974</v>
      </c>
      <c r="AJ1647" t="s">
        <v>11104</v>
      </c>
      <c r="AK1647" t="s">
        <v>7225</v>
      </c>
      <c r="AM1647">
        <v>893.61</v>
      </c>
      <c r="AO1647">
        <v>32</v>
      </c>
      <c r="AQ1647" t="s">
        <v>11157</v>
      </c>
      <c r="AR1647" t="s">
        <v>11172</v>
      </c>
      <c r="AU1647">
        <v>8</v>
      </c>
      <c r="AW1647" t="s">
        <v>11187</v>
      </c>
      <c r="AZ1647" t="s">
        <v>11221</v>
      </c>
      <c r="BE1647" t="s">
        <v>12616</v>
      </c>
      <c r="BF1647" t="s">
        <v>14364</v>
      </c>
      <c r="BM1647" t="s">
        <v>15650</v>
      </c>
    </row>
    <row r="1648" spans="1:65">
      <c r="A1648" s="1">
        <f>HYPERLINK("https://lsnyc.legalserver.org/matter/dynamic-profile/view/1905068","19-1905068")</f>
        <v>0</v>
      </c>
      <c r="B1648" t="s">
        <v>133</v>
      </c>
      <c r="C1648" t="s">
        <v>248</v>
      </c>
      <c r="D1648" t="s">
        <v>332</v>
      </c>
      <c r="F1648" t="s">
        <v>1864</v>
      </c>
      <c r="G1648" t="s">
        <v>3242</v>
      </c>
      <c r="H1648" t="s">
        <v>4801</v>
      </c>
      <c r="I1648" t="s">
        <v>6424</v>
      </c>
      <c r="J1648" t="s">
        <v>7174</v>
      </c>
      <c r="K1648">
        <v>11221</v>
      </c>
      <c r="N1648" t="s">
        <v>7245</v>
      </c>
      <c r="O1648" t="s">
        <v>8346</v>
      </c>
      <c r="P1648">
        <v>2</v>
      </c>
      <c r="Q1648">
        <v>0</v>
      </c>
      <c r="R1648">
        <v>204.87</v>
      </c>
      <c r="U1648">
        <v>34644</v>
      </c>
      <c r="W1648">
        <v>0</v>
      </c>
      <c r="Y1648" t="s">
        <v>225</v>
      </c>
      <c r="AA1648" t="s">
        <v>10974</v>
      </c>
      <c r="AB1648" t="s">
        <v>483</v>
      </c>
      <c r="AD1648" t="s">
        <v>11100</v>
      </c>
      <c r="AF1648" t="s">
        <v>10384</v>
      </c>
      <c r="AH1648" t="s">
        <v>10974</v>
      </c>
      <c r="AJ1648" t="s">
        <v>11141</v>
      </c>
      <c r="AK1648" t="s">
        <v>7225</v>
      </c>
      <c r="AM1648">
        <v>891.1900000000001</v>
      </c>
      <c r="AO1648">
        <v>13</v>
      </c>
      <c r="AQ1648" t="s">
        <v>11157</v>
      </c>
      <c r="AS1648" t="s">
        <v>11173</v>
      </c>
      <c r="AU1648">
        <v>27</v>
      </c>
      <c r="AW1648" t="s">
        <v>11187</v>
      </c>
      <c r="AY1648" t="s">
        <v>11213</v>
      </c>
      <c r="BA1648" t="s">
        <v>11222</v>
      </c>
      <c r="BC1648" t="s">
        <v>11173</v>
      </c>
      <c r="BE1648" t="s">
        <v>12634</v>
      </c>
      <c r="BF1648" t="s">
        <v>14364</v>
      </c>
      <c r="BG1648" t="s">
        <v>14796</v>
      </c>
      <c r="BM1648" t="s">
        <v>15650</v>
      </c>
    </row>
    <row r="1649" spans="1:65">
      <c r="A1649" s="1">
        <f>HYPERLINK("https://lsnyc.legalserver.org/matter/dynamic-profile/view/1904006","19-1904006")</f>
        <v>0</v>
      </c>
      <c r="B1649" t="s">
        <v>133</v>
      </c>
      <c r="C1649" t="s">
        <v>248</v>
      </c>
      <c r="D1649" t="s">
        <v>406</v>
      </c>
      <c r="F1649" t="s">
        <v>1144</v>
      </c>
      <c r="G1649" t="s">
        <v>3655</v>
      </c>
      <c r="H1649" t="s">
        <v>5368</v>
      </c>
      <c r="I1649" t="s">
        <v>6495</v>
      </c>
      <c r="J1649" t="s">
        <v>7174</v>
      </c>
      <c r="K1649">
        <v>11213</v>
      </c>
      <c r="N1649" t="s">
        <v>7245</v>
      </c>
      <c r="O1649" t="s">
        <v>8340</v>
      </c>
      <c r="P1649">
        <v>2</v>
      </c>
      <c r="Q1649">
        <v>0</v>
      </c>
      <c r="R1649">
        <v>96.97</v>
      </c>
      <c r="U1649">
        <v>16398</v>
      </c>
      <c r="V1649" t="s">
        <v>10428</v>
      </c>
      <c r="W1649">
        <v>0</v>
      </c>
      <c r="Y1649" t="s">
        <v>101</v>
      </c>
      <c r="AA1649" t="s">
        <v>10974</v>
      </c>
      <c r="AB1649" t="s">
        <v>483</v>
      </c>
      <c r="AD1649" t="s">
        <v>11100</v>
      </c>
      <c r="AF1649" t="s">
        <v>10384</v>
      </c>
      <c r="AH1649" t="s">
        <v>10974</v>
      </c>
      <c r="AJ1649" t="s">
        <v>11144</v>
      </c>
      <c r="AK1649" t="s">
        <v>7225</v>
      </c>
      <c r="AM1649">
        <v>1268</v>
      </c>
      <c r="AO1649">
        <v>19</v>
      </c>
      <c r="AQ1649" t="s">
        <v>11157</v>
      </c>
      <c r="AS1649" t="s">
        <v>11181</v>
      </c>
      <c r="AU1649">
        <v>2</v>
      </c>
      <c r="AW1649" t="s">
        <v>11187</v>
      </c>
      <c r="AY1649" t="s">
        <v>11213</v>
      </c>
      <c r="AZ1649" t="s">
        <v>11221</v>
      </c>
      <c r="BE1649" t="s">
        <v>12631</v>
      </c>
      <c r="BF1649" t="s">
        <v>14364</v>
      </c>
      <c r="BG1649" t="s">
        <v>11173</v>
      </c>
      <c r="BM1649" t="s">
        <v>15650</v>
      </c>
    </row>
    <row r="1650" spans="1:65">
      <c r="A1650" s="1">
        <f>HYPERLINK("https://lsnyc.legalserver.org/matter/dynamic-profile/view/1905724","19-1905724")</f>
        <v>0</v>
      </c>
      <c r="B1650" t="s">
        <v>133</v>
      </c>
      <c r="C1650" t="s">
        <v>248</v>
      </c>
      <c r="D1650" t="s">
        <v>511</v>
      </c>
      <c r="F1650" t="s">
        <v>1144</v>
      </c>
      <c r="G1650" t="s">
        <v>3655</v>
      </c>
      <c r="H1650" t="s">
        <v>5368</v>
      </c>
      <c r="I1650" t="s">
        <v>6495</v>
      </c>
      <c r="J1650" t="s">
        <v>7174</v>
      </c>
      <c r="K1650">
        <v>11213</v>
      </c>
      <c r="N1650" t="s">
        <v>7237</v>
      </c>
      <c r="O1650" t="s">
        <v>8340</v>
      </c>
      <c r="P1650">
        <v>2</v>
      </c>
      <c r="Q1650">
        <v>0</v>
      </c>
      <c r="R1650">
        <v>96.97</v>
      </c>
      <c r="U1650">
        <v>16398</v>
      </c>
      <c r="V1650" t="s">
        <v>10429</v>
      </c>
      <c r="W1650">
        <v>0</v>
      </c>
      <c r="Y1650" t="s">
        <v>101</v>
      </c>
      <c r="AA1650" t="s">
        <v>10974</v>
      </c>
      <c r="AB1650" t="s">
        <v>370</v>
      </c>
      <c r="AD1650" t="s">
        <v>11086</v>
      </c>
      <c r="AF1650" t="s">
        <v>10384</v>
      </c>
      <c r="AH1650" t="s">
        <v>10974</v>
      </c>
      <c r="AJ1650" t="s">
        <v>11144</v>
      </c>
      <c r="AK1650" t="s">
        <v>7225</v>
      </c>
      <c r="AM1650">
        <v>1268</v>
      </c>
      <c r="AO1650">
        <v>19</v>
      </c>
      <c r="AQ1650" t="s">
        <v>11157</v>
      </c>
      <c r="AS1650" t="s">
        <v>11181</v>
      </c>
      <c r="AU1650">
        <v>2</v>
      </c>
      <c r="AW1650" t="s">
        <v>11187</v>
      </c>
      <c r="AY1650" t="s">
        <v>11213</v>
      </c>
      <c r="BA1650" t="s">
        <v>11222</v>
      </c>
      <c r="BE1650" t="s">
        <v>12631</v>
      </c>
      <c r="BF1650" t="s">
        <v>14364</v>
      </c>
      <c r="BG1650" t="s">
        <v>11086</v>
      </c>
      <c r="BM1650" t="s">
        <v>15650</v>
      </c>
    </row>
    <row r="1651" spans="1:65">
      <c r="A1651" s="1">
        <f>HYPERLINK("https://lsnyc.legalserver.org/matter/dynamic-profile/view/1905774","19-1905774")</f>
        <v>0</v>
      </c>
      <c r="B1651" t="s">
        <v>133</v>
      </c>
      <c r="C1651" t="s">
        <v>248</v>
      </c>
      <c r="D1651" t="s">
        <v>511</v>
      </c>
      <c r="F1651" t="s">
        <v>1864</v>
      </c>
      <c r="G1651" t="s">
        <v>3242</v>
      </c>
      <c r="H1651" t="s">
        <v>4801</v>
      </c>
      <c r="I1651" t="s">
        <v>6424</v>
      </c>
      <c r="J1651" t="s">
        <v>7174</v>
      </c>
      <c r="K1651">
        <v>11221</v>
      </c>
      <c r="N1651" t="s">
        <v>7245</v>
      </c>
      <c r="O1651" t="s">
        <v>8346</v>
      </c>
      <c r="P1651">
        <v>2</v>
      </c>
      <c r="Q1651">
        <v>0</v>
      </c>
      <c r="R1651">
        <v>204.87</v>
      </c>
      <c r="U1651">
        <v>34644</v>
      </c>
      <c r="V1651" t="s">
        <v>10430</v>
      </c>
      <c r="W1651">
        <v>0</v>
      </c>
      <c r="Y1651" t="s">
        <v>225</v>
      </c>
      <c r="AA1651" t="s">
        <v>10974</v>
      </c>
      <c r="AB1651" t="s">
        <v>370</v>
      </c>
      <c r="AD1651" t="s">
        <v>11100</v>
      </c>
      <c r="AF1651" t="s">
        <v>10384</v>
      </c>
      <c r="AH1651" t="s">
        <v>10974</v>
      </c>
      <c r="AJ1651" t="s">
        <v>11129</v>
      </c>
      <c r="AK1651" t="s">
        <v>7225</v>
      </c>
      <c r="AM1651">
        <v>891.1900000000001</v>
      </c>
      <c r="AO1651">
        <v>13</v>
      </c>
      <c r="AQ1651" t="s">
        <v>11157</v>
      </c>
      <c r="AS1651" t="s">
        <v>11173</v>
      </c>
      <c r="AU1651">
        <v>27</v>
      </c>
      <c r="AW1651" t="s">
        <v>11187</v>
      </c>
      <c r="AY1651" t="s">
        <v>11213</v>
      </c>
      <c r="BA1651" t="s">
        <v>11222</v>
      </c>
      <c r="BC1651" t="s">
        <v>11173</v>
      </c>
      <c r="BE1651" t="s">
        <v>12634</v>
      </c>
      <c r="BF1651" t="s">
        <v>14364</v>
      </c>
      <c r="BG1651" t="s">
        <v>14410</v>
      </c>
      <c r="BM1651" t="s">
        <v>15650</v>
      </c>
    </row>
    <row r="1652" spans="1:65">
      <c r="A1652" s="1">
        <f>HYPERLINK("https://lsnyc.legalserver.org/matter/dynamic-profile/view/1867098","18-1867098")</f>
        <v>0</v>
      </c>
      <c r="B1652" t="s">
        <v>133</v>
      </c>
      <c r="C1652" t="s">
        <v>248</v>
      </c>
      <c r="D1652" t="s">
        <v>261</v>
      </c>
      <c r="F1652" t="s">
        <v>1859</v>
      </c>
      <c r="G1652" t="s">
        <v>3659</v>
      </c>
      <c r="H1652" t="s">
        <v>5366</v>
      </c>
      <c r="I1652" t="s">
        <v>6445</v>
      </c>
      <c r="J1652" t="s">
        <v>7174</v>
      </c>
      <c r="K1652">
        <v>11212</v>
      </c>
      <c r="N1652" t="s">
        <v>7237</v>
      </c>
      <c r="O1652" t="s">
        <v>8338</v>
      </c>
      <c r="P1652">
        <v>2</v>
      </c>
      <c r="Q1652">
        <v>0</v>
      </c>
      <c r="R1652">
        <v>194.41</v>
      </c>
      <c r="U1652">
        <v>32000</v>
      </c>
      <c r="W1652">
        <v>1</v>
      </c>
      <c r="X1652" t="s">
        <v>590</v>
      </c>
      <c r="Y1652" t="s">
        <v>225</v>
      </c>
      <c r="AA1652" t="s">
        <v>10974</v>
      </c>
      <c r="AB1652" t="s">
        <v>849</v>
      </c>
      <c r="AD1652" t="s">
        <v>11100</v>
      </c>
      <c r="AF1652" t="s">
        <v>11122</v>
      </c>
      <c r="AH1652" t="s">
        <v>10974</v>
      </c>
      <c r="AJ1652" t="s">
        <v>11104</v>
      </c>
      <c r="AK1652" t="s">
        <v>7225</v>
      </c>
      <c r="AM1652">
        <v>1375</v>
      </c>
      <c r="AO1652">
        <v>32</v>
      </c>
      <c r="AQ1652" t="s">
        <v>11157</v>
      </c>
      <c r="AR1652" t="s">
        <v>11172</v>
      </c>
      <c r="AU1652">
        <v>2</v>
      </c>
      <c r="AW1652" t="s">
        <v>11187</v>
      </c>
      <c r="AZ1652" t="s">
        <v>11221</v>
      </c>
      <c r="BD1652" t="s">
        <v>11667</v>
      </c>
      <c r="BF1652" t="s">
        <v>14364</v>
      </c>
      <c r="BM1652" t="s">
        <v>15650</v>
      </c>
    </row>
    <row r="1653" spans="1:65">
      <c r="A1653" s="1">
        <f>HYPERLINK("https://lsnyc.legalserver.org/matter/dynamic-profile/view/1878609","18-1878609")</f>
        <v>0</v>
      </c>
      <c r="B1653" t="s">
        <v>133</v>
      </c>
      <c r="C1653" t="s">
        <v>248</v>
      </c>
      <c r="D1653" t="s">
        <v>543</v>
      </c>
      <c r="F1653" t="s">
        <v>1138</v>
      </c>
      <c r="G1653" t="s">
        <v>1728</v>
      </c>
      <c r="H1653" t="s">
        <v>4800</v>
      </c>
      <c r="I1653" t="s">
        <v>6436</v>
      </c>
      <c r="J1653" t="s">
        <v>7174</v>
      </c>
      <c r="K1653">
        <v>11221</v>
      </c>
      <c r="N1653" t="s">
        <v>7237</v>
      </c>
      <c r="O1653" t="s">
        <v>7307</v>
      </c>
      <c r="P1653">
        <v>1</v>
      </c>
      <c r="Q1653">
        <v>1</v>
      </c>
      <c r="R1653">
        <v>243.01</v>
      </c>
      <c r="U1653">
        <v>40000</v>
      </c>
      <c r="V1653" t="s">
        <v>10421</v>
      </c>
      <c r="W1653">
        <v>12.08</v>
      </c>
      <c r="X1653" t="s">
        <v>567</v>
      </c>
      <c r="Y1653" t="s">
        <v>225</v>
      </c>
      <c r="AA1653" t="s">
        <v>10974</v>
      </c>
      <c r="AB1653" t="s">
        <v>794</v>
      </c>
      <c r="AD1653" t="s">
        <v>11101</v>
      </c>
      <c r="AF1653" t="s">
        <v>11118</v>
      </c>
      <c r="AH1653" t="s">
        <v>10974</v>
      </c>
      <c r="AJ1653" t="s">
        <v>11141</v>
      </c>
      <c r="AK1653" t="s">
        <v>7225</v>
      </c>
      <c r="AM1653">
        <v>880.65</v>
      </c>
      <c r="AO1653">
        <v>12</v>
      </c>
      <c r="AQ1653" t="s">
        <v>11157</v>
      </c>
      <c r="AS1653" t="s">
        <v>11173</v>
      </c>
      <c r="AU1653">
        <v>17</v>
      </c>
      <c r="AW1653" t="s">
        <v>11187</v>
      </c>
      <c r="AZ1653" t="s">
        <v>11221</v>
      </c>
      <c r="BE1653" t="s">
        <v>11719</v>
      </c>
      <c r="BG1653" t="s">
        <v>14797</v>
      </c>
      <c r="BM1653" t="s">
        <v>15650</v>
      </c>
    </row>
    <row r="1654" spans="1:65">
      <c r="A1654" s="1">
        <f>HYPERLINK("https://lsnyc.legalserver.org/matter/dynamic-profile/view/0829023","17-0829023")</f>
        <v>0</v>
      </c>
      <c r="B1654" t="s">
        <v>133</v>
      </c>
      <c r="C1654" t="s">
        <v>248</v>
      </c>
      <c r="D1654" t="s">
        <v>767</v>
      </c>
      <c r="F1654" t="s">
        <v>1865</v>
      </c>
      <c r="G1654" t="s">
        <v>2921</v>
      </c>
      <c r="H1654" t="s">
        <v>5366</v>
      </c>
      <c r="I1654" t="s">
        <v>6425</v>
      </c>
      <c r="J1654" t="s">
        <v>7174</v>
      </c>
      <c r="K1654">
        <v>11212</v>
      </c>
      <c r="N1654" t="s">
        <v>7237</v>
      </c>
      <c r="O1654" t="s">
        <v>7405</v>
      </c>
      <c r="P1654">
        <v>2</v>
      </c>
      <c r="Q1654">
        <v>0</v>
      </c>
      <c r="R1654">
        <v>92.81</v>
      </c>
      <c r="U1654">
        <v>15072</v>
      </c>
      <c r="W1654">
        <v>0.25</v>
      </c>
      <c r="X1654" t="s">
        <v>385</v>
      </c>
      <c r="Y1654" t="s">
        <v>133</v>
      </c>
      <c r="AA1654" t="s">
        <v>10974</v>
      </c>
      <c r="AB1654" t="s">
        <v>772</v>
      </c>
      <c r="AD1654" t="s">
        <v>11086</v>
      </c>
      <c r="AF1654" t="s">
        <v>10384</v>
      </c>
      <c r="AH1654" t="s">
        <v>10974</v>
      </c>
      <c r="AJ1654" t="s">
        <v>11104</v>
      </c>
      <c r="AK1654" t="s">
        <v>7225</v>
      </c>
      <c r="AM1654">
        <v>755</v>
      </c>
      <c r="AO1654">
        <v>32</v>
      </c>
      <c r="AQ1654" t="s">
        <v>11157</v>
      </c>
      <c r="AR1654" t="s">
        <v>11172</v>
      </c>
      <c r="AU1654">
        <v>30</v>
      </c>
      <c r="AW1654" t="s">
        <v>11187</v>
      </c>
      <c r="AZ1654" t="s">
        <v>11221</v>
      </c>
      <c r="BE1654" t="s">
        <v>12635</v>
      </c>
      <c r="BG1654" t="s">
        <v>14791</v>
      </c>
      <c r="BM1654" t="s">
        <v>15650</v>
      </c>
    </row>
    <row r="1655" spans="1:65">
      <c r="A1655" s="1">
        <f>HYPERLINK("https://lsnyc.legalserver.org/matter/dynamic-profile/view/1887829","19-1887829")</f>
        <v>0</v>
      </c>
      <c r="B1655" t="s">
        <v>133</v>
      </c>
      <c r="C1655" t="s">
        <v>248</v>
      </c>
      <c r="D1655" t="s">
        <v>596</v>
      </c>
      <c r="F1655" t="s">
        <v>1140</v>
      </c>
      <c r="G1655" t="s">
        <v>3663</v>
      </c>
      <c r="H1655" t="s">
        <v>5034</v>
      </c>
      <c r="I1655" t="s">
        <v>6771</v>
      </c>
      <c r="J1655" t="s">
        <v>7174</v>
      </c>
      <c r="K1655">
        <v>11225</v>
      </c>
      <c r="N1655" t="s">
        <v>7237</v>
      </c>
      <c r="O1655" t="s">
        <v>8347</v>
      </c>
      <c r="P1655">
        <v>2</v>
      </c>
      <c r="Q1655">
        <v>0</v>
      </c>
      <c r="R1655">
        <v>309.84</v>
      </c>
      <c r="U1655">
        <v>51000.01</v>
      </c>
      <c r="W1655">
        <v>0</v>
      </c>
      <c r="Y1655" t="s">
        <v>101</v>
      </c>
      <c r="AA1655" t="s">
        <v>10974</v>
      </c>
      <c r="AB1655" t="s">
        <v>453</v>
      </c>
      <c r="AD1655" t="s">
        <v>11098</v>
      </c>
      <c r="AF1655" t="s">
        <v>11122</v>
      </c>
      <c r="AH1655" t="s">
        <v>10974</v>
      </c>
      <c r="AJ1655" t="s">
        <v>11134</v>
      </c>
      <c r="AK1655" t="s">
        <v>7225</v>
      </c>
      <c r="AM1655">
        <v>744</v>
      </c>
      <c r="AO1655">
        <v>89</v>
      </c>
      <c r="AQ1655" t="s">
        <v>11157</v>
      </c>
      <c r="AS1655" t="s">
        <v>11173</v>
      </c>
      <c r="AU1655">
        <v>38</v>
      </c>
      <c r="AW1655" t="s">
        <v>11187</v>
      </c>
      <c r="AZ1655" t="s">
        <v>11221</v>
      </c>
      <c r="BE1655" t="s">
        <v>12636</v>
      </c>
      <c r="BF1655" t="s">
        <v>14364</v>
      </c>
      <c r="BM1655" t="s">
        <v>15650</v>
      </c>
    </row>
    <row r="1656" spans="1:65">
      <c r="A1656" s="1">
        <f>HYPERLINK("https://lsnyc.legalserver.org/matter/dynamic-profile/view/1896750","19-1896750")</f>
        <v>0</v>
      </c>
      <c r="B1656" t="s">
        <v>133</v>
      </c>
      <c r="C1656" t="s">
        <v>248</v>
      </c>
      <c r="D1656" t="s">
        <v>776</v>
      </c>
      <c r="F1656" t="s">
        <v>1489</v>
      </c>
      <c r="G1656" t="s">
        <v>3649</v>
      </c>
      <c r="H1656" t="s">
        <v>5166</v>
      </c>
      <c r="I1656" t="s">
        <v>6430</v>
      </c>
      <c r="J1656" t="s">
        <v>7174</v>
      </c>
      <c r="K1656">
        <v>11213</v>
      </c>
      <c r="N1656" t="s">
        <v>7237</v>
      </c>
      <c r="O1656" t="s">
        <v>8323</v>
      </c>
      <c r="P1656">
        <v>5</v>
      </c>
      <c r="Q1656">
        <v>1</v>
      </c>
      <c r="R1656">
        <v>109.86</v>
      </c>
      <c r="U1656">
        <v>38000</v>
      </c>
      <c r="W1656">
        <v>0</v>
      </c>
      <c r="Y1656" t="s">
        <v>101</v>
      </c>
      <c r="AA1656" t="s">
        <v>10974</v>
      </c>
      <c r="AB1656" t="s">
        <v>727</v>
      </c>
      <c r="AD1656" t="s">
        <v>11100</v>
      </c>
      <c r="AF1656" t="s">
        <v>10384</v>
      </c>
      <c r="AH1656" t="s">
        <v>10974</v>
      </c>
      <c r="AJ1656" t="s">
        <v>11141</v>
      </c>
      <c r="AK1656" t="s">
        <v>7225</v>
      </c>
      <c r="AM1656">
        <v>719</v>
      </c>
      <c r="AO1656">
        <v>6</v>
      </c>
      <c r="AQ1656" t="s">
        <v>11157</v>
      </c>
      <c r="AS1656" t="s">
        <v>11173</v>
      </c>
      <c r="AU1656">
        <v>22</v>
      </c>
      <c r="AW1656" t="s">
        <v>11187</v>
      </c>
      <c r="BA1656" t="s">
        <v>11222</v>
      </c>
      <c r="BE1656" t="s">
        <v>12614</v>
      </c>
      <c r="BF1656" t="s">
        <v>14364</v>
      </c>
      <c r="BG1656" t="s">
        <v>11086</v>
      </c>
      <c r="BM1656" t="s">
        <v>15650</v>
      </c>
    </row>
    <row r="1657" spans="1:65">
      <c r="A1657" s="1">
        <f>HYPERLINK("https://lsnyc.legalserver.org/matter/dynamic-profile/view/1896757","19-1896757")</f>
        <v>0</v>
      </c>
      <c r="B1657" t="s">
        <v>133</v>
      </c>
      <c r="C1657" t="s">
        <v>248</v>
      </c>
      <c r="D1657" t="s">
        <v>776</v>
      </c>
      <c r="F1657" t="s">
        <v>1489</v>
      </c>
      <c r="G1657" t="s">
        <v>3649</v>
      </c>
      <c r="H1657" t="s">
        <v>5166</v>
      </c>
      <c r="I1657" t="s">
        <v>6430</v>
      </c>
      <c r="J1657" t="s">
        <v>7174</v>
      </c>
      <c r="K1657">
        <v>11213</v>
      </c>
      <c r="N1657" t="s">
        <v>7237</v>
      </c>
      <c r="O1657" t="s">
        <v>8323</v>
      </c>
      <c r="P1657">
        <v>5</v>
      </c>
      <c r="Q1657">
        <v>1</v>
      </c>
      <c r="R1657">
        <v>109.86</v>
      </c>
      <c r="U1657">
        <v>38000</v>
      </c>
      <c r="V1657" t="s">
        <v>10431</v>
      </c>
      <c r="W1657">
        <v>0</v>
      </c>
      <c r="Y1657" t="s">
        <v>101</v>
      </c>
      <c r="AA1657" t="s">
        <v>10974</v>
      </c>
      <c r="AB1657" t="s">
        <v>428</v>
      </c>
      <c r="AD1657" t="s">
        <v>11100</v>
      </c>
      <c r="AF1657" t="s">
        <v>10384</v>
      </c>
      <c r="AH1657" t="s">
        <v>10974</v>
      </c>
      <c r="AJ1657" t="s">
        <v>11141</v>
      </c>
      <c r="AK1657" t="s">
        <v>7225</v>
      </c>
      <c r="AM1657">
        <v>719</v>
      </c>
      <c r="AO1657">
        <v>6</v>
      </c>
      <c r="AQ1657" t="s">
        <v>11157</v>
      </c>
      <c r="AS1657" t="s">
        <v>11173</v>
      </c>
      <c r="AU1657">
        <v>22</v>
      </c>
      <c r="AW1657" t="s">
        <v>11187</v>
      </c>
      <c r="BA1657" t="s">
        <v>11222</v>
      </c>
      <c r="BE1657" t="s">
        <v>12614</v>
      </c>
      <c r="BF1657" t="s">
        <v>14364</v>
      </c>
      <c r="BG1657" t="s">
        <v>11086</v>
      </c>
      <c r="BM1657" t="s">
        <v>15650</v>
      </c>
    </row>
    <row r="1658" spans="1:65">
      <c r="A1658" s="1">
        <f>HYPERLINK("https://lsnyc.legalserver.org/matter/dynamic-profile/view/1867280","18-1867280")</f>
        <v>0</v>
      </c>
      <c r="B1658" t="s">
        <v>133</v>
      </c>
      <c r="C1658" t="s">
        <v>248</v>
      </c>
      <c r="D1658" t="s">
        <v>764</v>
      </c>
      <c r="F1658" t="s">
        <v>1352</v>
      </c>
      <c r="G1658" t="s">
        <v>1656</v>
      </c>
      <c r="H1658" t="s">
        <v>5366</v>
      </c>
      <c r="I1658" t="s">
        <v>6770</v>
      </c>
      <c r="J1658" t="s">
        <v>7174</v>
      </c>
      <c r="K1658">
        <v>11212</v>
      </c>
      <c r="N1658" t="s">
        <v>7237</v>
      </c>
      <c r="O1658" t="s">
        <v>8334</v>
      </c>
      <c r="P1658">
        <v>1</v>
      </c>
      <c r="Q1658">
        <v>0</v>
      </c>
      <c r="R1658">
        <v>118.62</v>
      </c>
      <c r="U1658">
        <v>14400</v>
      </c>
      <c r="W1658">
        <v>0</v>
      </c>
      <c r="Y1658" t="s">
        <v>225</v>
      </c>
      <c r="AA1658" t="s">
        <v>10974</v>
      </c>
      <c r="AB1658" t="s">
        <v>849</v>
      </c>
      <c r="AD1658" t="s">
        <v>11100</v>
      </c>
      <c r="AF1658" t="s">
        <v>11120</v>
      </c>
      <c r="AH1658" t="s">
        <v>10974</v>
      </c>
      <c r="AJ1658" t="s">
        <v>11104</v>
      </c>
      <c r="AK1658" t="s">
        <v>7225</v>
      </c>
      <c r="AM1658">
        <v>900</v>
      </c>
      <c r="AO1658">
        <v>32</v>
      </c>
      <c r="AQ1658" t="s">
        <v>11157</v>
      </c>
      <c r="AR1658" t="s">
        <v>11172</v>
      </c>
      <c r="AU1658">
        <v>18</v>
      </c>
      <c r="AW1658" t="s">
        <v>11187</v>
      </c>
      <c r="AZ1658" t="s">
        <v>11221</v>
      </c>
      <c r="BE1658" t="s">
        <v>12625</v>
      </c>
      <c r="BF1658" t="s">
        <v>14364</v>
      </c>
      <c r="BM1658" t="s">
        <v>15650</v>
      </c>
    </row>
    <row r="1659" spans="1:65">
      <c r="A1659" s="1">
        <f>HYPERLINK("https://lsnyc.legalserver.org/matter/dynamic-profile/view/1904000","19-1904000")</f>
        <v>0</v>
      </c>
      <c r="B1659" t="s">
        <v>133</v>
      </c>
      <c r="C1659" t="s">
        <v>248</v>
      </c>
      <c r="D1659" t="s">
        <v>406</v>
      </c>
      <c r="F1659" t="s">
        <v>1184</v>
      </c>
      <c r="G1659" t="s">
        <v>3598</v>
      </c>
      <c r="H1659" t="s">
        <v>5368</v>
      </c>
      <c r="I1659" t="s">
        <v>6421</v>
      </c>
      <c r="J1659" t="s">
        <v>7174</v>
      </c>
      <c r="K1659">
        <v>11213</v>
      </c>
      <c r="N1659" t="s">
        <v>7245</v>
      </c>
      <c r="O1659" t="s">
        <v>8348</v>
      </c>
      <c r="P1659">
        <v>1</v>
      </c>
      <c r="Q1659">
        <v>0</v>
      </c>
      <c r="R1659">
        <v>86.47</v>
      </c>
      <c r="U1659">
        <v>10800</v>
      </c>
      <c r="W1659">
        <v>0</v>
      </c>
      <c r="Y1659" t="s">
        <v>225</v>
      </c>
      <c r="AA1659" t="s">
        <v>10974</v>
      </c>
      <c r="AB1659" t="s">
        <v>483</v>
      </c>
      <c r="AD1659" t="s">
        <v>11100</v>
      </c>
      <c r="AF1659" t="s">
        <v>10384</v>
      </c>
      <c r="AH1659" t="s">
        <v>10974</v>
      </c>
      <c r="AJ1659" t="s">
        <v>11134</v>
      </c>
      <c r="AK1659" t="s">
        <v>7225</v>
      </c>
      <c r="AM1659">
        <v>380.62</v>
      </c>
      <c r="AO1659">
        <v>19</v>
      </c>
      <c r="AQ1659" t="s">
        <v>11157</v>
      </c>
      <c r="AS1659" t="s">
        <v>11173</v>
      </c>
      <c r="AU1659">
        <v>8</v>
      </c>
      <c r="AW1659" t="s">
        <v>11187</v>
      </c>
      <c r="AY1659" t="s">
        <v>11213</v>
      </c>
      <c r="BA1659" t="s">
        <v>11222</v>
      </c>
      <c r="BC1659" t="s">
        <v>11173</v>
      </c>
      <c r="BE1659" t="s">
        <v>12637</v>
      </c>
      <c r="BF1659" t="s">
        <v>14364</v>
      </c>
      <c r="BG1659" t="s">
        <v>11173</v>
      </c>
      <c r="BM1659" t="s">
        <v>15650</v>
      </c>
    </row>
    <row r="1660" spans="1:65">
      <c r="A1660" s="1">
        <f>HYPERLINK("https://lsnyc.legalserver.org/matter/dynamic-profile/view/1905794","19-1905794")</f>
        <v>0</v>
      </c>
      <c r="B1660" t="s">
        <v>133</v>
      </c>
      <c r="C1660" t="s">
        <v>248</v>
      </c>
      <c r="D1660" t="s">
        <v>511</v>
      </c>
      <c r="F1660" t="s">
        <v>1359</v>
      </c>
      <c r="G1660" t="s">
        <v>3232</v>
      </c>
      <c r="H1660" t="s">
        <v>4801</v>
      </c>
      <c r="I1660" t="s">
        <v>6407</v>
      </c>
      <c r="J1660" t="s">
        <v>7174</v>
      </c>
      <c r="K1660">
        <v>11221</v>
      </c>
      <c r="N1660" t="s">
        <v>7237</v>
      </c>
      <c r="O1660" t="s">
        <v>7717</v>
      </c>
      <c r="P1660">
        <v>1</v>
      </c>
      <c r="Q1660">
        <v>1</v>
      </c>
      <c r="R1660">
        <v>266.11</v>
      </c>
      <c r="U1660">
        <v>45000</v>
      </c>
      <c r="V1660" t="s">
        <v>10432</v>
      </c>
      <c r="W1660">
        <v>0</v>
      </c>
      <c r="Y1660" t="s">
        <v>101</v>
      </c>
      <c r="AA1660" t="s">
        <v>10974</v>
      </c>
      <c r="AB1660" t="s">
        <v>370</v>
      </c>
      <c r="AD1660" t="s">
        <v>11086</v>
      </c>
      <c r="AF1660" t="s">
        <v>10384</v>
      </c>
      <c r="AH1660" t="s">
        <v>10974</v>
      </c>
      <c r="AJ1660" t="s">
        <v>11104</v>
      </c>
      <c r="AK1660" t="s">
        <v>7225</v>
      </c>
      <c r="AM1660">
        <v>863.91</v>
      </c>
      <c r="AO1660">
        <v>16</v>
      </c>
      <c r="AQ1660" t="s">
        <v>11157</v>
      </c>
      <c r="AS1660" t="s">
        <v>11173</v>
      </c>
      <c r="AU1660">
        <v>25</v>
      </c>
      <c r="AW1660" t="s">
        <v>11187</v>
      </c>
      <c r="AY1660" t="s">
        <v>11213</v>
      </c>
      <c r="BA1660" t="s">
        <v>11222</v>
      </c>
      <c r="BC1660" t="s">
        <v>11173</v>
      </c>
      <c r="BE1660" t="s">
        <v>12076</v>
      </c>
      <c r="BF1660" t="s">
        <v>14364</v>
      </c>
      <c r="BG1660" t="s">
        <v>11086</v>
      </c>
      <c r="BM1660" t="s">
        <v>15650</v>
      </c>
    </row>
    <row r="1661" spans="1:65">
      <c r="A1661" s="1">
        <f>HYPERLINK("https://lsnyc.legalserver.org/matter/dynamic-profile/view/1867107","18-1867107")</f>
        <v>0</v>
      </c>
      <c r="B1661" t="s">
        <v>133</v>
      </c>
      <c r="C1661" t="s">
        <v>248</v>
      </c>
      <c r="D1661" t="s">
        <v>261</v>
      </c>
      <c r="F1661" t="s">
        <v>1866</v>
      </c>
      <c r="G1661" t="s">
        <v>3664</v>
      </c>
      <c r="H1661" t="s">
        <v>5366</v>
      </c>
      <c r="I1661" t="s">
        <v>6772</v>
      </c>
      <c r="J1661" t="s">
        <v>7174</v>
      </c>
      <c r="K1661">
        <v>11212</v>
      </c>
      <c r="N1661" t="s">
        <v>7237</v>
      </c>
      <c r="O1661" t="s">
        <v>8349</v>
      </c>
      <c r="P1661">
        <v>1</v>
      </c>
      <c r="Q1661">
        <v>2</v>
      </c>
      <c r="R1661">
        <v>110.07</v>
      </c>
      <c r="U1661">
        <v>22872</v>
      </c>
      <c r="W1661">
        <v>0</v>
      </c>
      <c r="Y1661" t="s">
        <v>225</v>
      </c>
      <c r="AA1661" t="s">
        <v>10974</v>
      </c>
      <c r="AB1661" t="s">
        <v>849</v>
      </c>
      <c r="AD1661" t="s">
        <v>11100</v>
      </c>
      <c r="AF1661" t="s">
        <v>11122</v>
      </c>
      <c r="AH1661" t="s">
        <v>10974</v>
      </c>
      <c r="AJ1661" t="s">
        <v>11104</v>
      </c>
      <c r="AK1661" t="s">
        <v>7225</v>
      </c>
      <c r="AM1661">
        <v>939.42</v>
      </c>
      <c r="AO1661">
        <v>32</v>
      </c>
      <c r="AQ1661" t="s">
        <v>11157</v>
      </c>
      <c r="AS1661" t="s">
        <v>11175</v>
      </c>
      <c r="AU1661">
        <v>19</v>
      </c>
      <c r="AW1661" t="s">
        <v>11187</v>
      </c>
      <c r="AZ1661" t="s">
        <v>11221</v>
      </c>
      <c r="BE1661" t="s">
        <v>12638</v>
      </c>
      <c r="BF1661" t="s">
        <v>14364</v>
      </c>
      <c r="BM1661" t="s">
        <v>15650</v>
      </c>
    </row>
    <row r="1662" spans="1:65">
      <c r="A1662" s="1">
        <f>HYPERLINK("https://lsnyc.legalserver.org/matter/dynamic-profile/view/1879082","18-1879082")</f>
        <v>0</v>
      </c>
      <c r="B1662" t="s">
        <v>133</v>
      </c>
      <c r="C1662" t="s">
        <v>248</v>
      </c>
      <c r="D1662" t="s">
        <v>765</v>
      </c>
      <c r="F1662" t="s">
        <v>1146</v>
      </c>
      <c r="G1662" t="s">
        <v>2935</v>
      </c>
      <c r="H1662" t="s">
        <v>4800</v>
      </c>
      <c r="I1662" t="s">
        <v>6437</v>
      </c>
      <c r="J1662" t="s">
        <v>7174</v>
      </c>
      <c r="K1662">
        <v>11221</v>
      </c>
      <c r="N1662" t="s">
        <v>7237</v>
      </c>
      <c r="O1662" t="s">
        <v>7315</v>
      </c>
      <c r="P1662">
        <v>5</v>
      </c>
      <c r="Q1662">
        <v>2</v>
      </c>
      <c r="R1662">
        <v>136.63</v>
      </c>
      <c r="U1662">
        <v>52000</v>
      </c>
      <c r="V1662" t="s">
        <v>10433</v>
      </c>
      <c r="W1662">
        <v>0.08</v>
      </c>
      <c r="X1662" t="s">
        <v>316</v>
      </c>
      <c r="Y1662" t="s">
        <v>225</v>
      </c>
      <c r="AA1662" t="s">
        <v>10974</v>
      </c>
      <c r="AB1662" t="s">
        <v>566</v>
      </c>
      <c r="AD1662" t="s">
        <v>11098</v>
      </c>
      <c r="AF1662" t="s">
        <v>11122</v>
      </c>
      <c r="AH1662" t="s">
        <v>10974</v>
      </c>
      <c r="AJ1662" t="s">
        <v>11141</v>
      </c>
      <c r="AK1662" t="s">
        <v>7225</v>
      </c>
      <c r="AM1662">
        <v>834</v>
      </c>
      <c r="AO1662">
        <v>12</v>
      </c>
      <c r="AQ1662" t="s">
        <v>11157</v>
      </c>
      <c r="AS1662" t="s">
        <v>11173</v>
      </c>
      <c r="AU1662">
        <v>26</v>
      </c>
      <c r="AW1662" t="s">
        <v>11187</v>
      </c>
      <c r="AZ1662" t="s">
        <v>11221</v>
      </c>
      <c r="BE1662" t="s">
        <v>11727</v>
      </c>
      <c r="BF1662" t="s">
        <v>14364</v>
      </c>
      <c r="BM1662" t="s">
        <v>15650</v>
      </c>
    </row>
    <row r="1663" spans="1:65">
      <c r="A1663" s="1">
        <f>HYPERLINK("https://lsnyc.legalserver.org/matter/dynamic-profile/view/1871558","18-1871558")</f>
        <v>0</v>
      </c>
      <c r="B1663" t="s">
        <v>133</v>
      </c>
      <c r="C1663" t="s">
        <v>248</v>
      </c>
      <c r="D1663" t="s">
        <v>620</v>
      </c>
      <c r="F1663" t="s">
        <v>1352</v>
      </c>
      <c r="G1663" t="s">
        <v>1656</v>
      </c>
      <c r="H1663" t="s">
        <v>5366</v>
      </c>
      <c r="I1663" t="s">
        <v>6770</v>
      </c>
      <c r="J1663" t="s">
        <v>7174</v>
      </c>
      <c r="K1663">
        <v>11212</v>
      </c>
      <c r="N1663" t="s">
        <v>7237</v>
      </c>
      <c r="O1663" t="s">
        <v>8334</v>
      </c>
      <c r="P1663">
        <v>1</v>
      </c>
      <c r="Q1663">
        <v>0</v>
      </c>
      <c r="R1663">
        <v>118.62</v>
      </c>
      <c r="U1663">
        <v>14400</v>
      </c>
      <c r="W1663">
        <v>0</v>
      </c>
      <c r="Y1663" t="s">
        <v>10925</v>
      </c>
      <c r="AA1663" t="s">
        <v>10974</v>
      </c>
      <c r="AB1663" t="s">
        <v>11020</v>
      </c>
      <c r="AD1663" t="s">
        <v>11086</v>
      </c>
      <c r="AF1663" t="s">
        <v>10384</v>
      </c>
      <c r="AH1663" t="s">
        <v>10974</v>
      </c>
      <c r="AJ1663" t="s">
        <v>11104</v>
      </c>
      <c r="AK1663" t="s">
        <v>7225</v>
      </c>
      <c r="AM1663">
        <v>900</v>
      </c>
      <c r="AO1663">
        <v>32</v>
      </c>
      <c r="AQ1663" t="s">
        <v>11157</v>
      </c>
      <c r="AR1663" t="s">
        <v>11172</v>
      </c>
      <c r="AU1663">
        <v>18</v>
      </c>
      <c r="AW1663" t="s">
        <v>11187</v>
      </c>
      <c r="AZ1663" t="s">
        <v>11221</v>
      </c>
      <c r="BE1663" t="s">
        <v>12625</v>
      </c>
      <c r="BF1663" t="s">
        <v>14364</v>
      </c>
      <c r="BM1663" t="s">
        <v>15650</v>
      </c>
    </row>
    <row r="1664" spans="1:65">
      <c r="A1664" s="1">
        <f>HYPERLINK("https://lsnyc.legalserver.org/matter/dynamic-profile/view/1879085","18-1879085")</f>
        <v>0</v>
      </c>
      <c r="B1664" t="s">
        <v>133</v>
      </c>
      <c r="C1664" t="s">
        <v>248</v>
      </c>
      <c r="D1664" t="s">
        <v>765</v>
      </c>
      <c r="F1664" t="s">
        <v>1146</v>
      </c>
      <c r="G1664" t="s">
        <v>2935</v>
      </c>
      <c r="H1664" t="s">
        <v>4800</v>
      </c>
      <c r="I1664" t="s">
        <v>6437</v>
      </c>
      <c r="J1664" t="s">
        <v>7174</v>
      </c>
      <c r="K1664">
        <v>11221</v>
      </c>
      <c r="N1664" t="s">
        <v>7237</v>
      </c>
      <c r="O1664" t="s">
        <v>7315</v>
      </c>
      <c r="P1664">
        <v>5</v>
      </c>
      <c r="Q1664">
        <v>2</v>
      </c>
      <c r="R1664">
        <v>136.63</v>
      </c>
      <c r="U1664">
        <v>52000</v>
      </c>
      <c r="V1664" t="s">
        <v>10434</v>
      </c>
      <c r="W1664">
        <v>1</v>
      </c>
      <c r="X1664" t="s">
        <v>1060</v>
      </c>
      <c r="Y1664" t="s">
        <v>225</v>
      </c>
      <c r="AA1664" t="s">
        <v>10974</v>
      </c>
      <c r="AB1664" t="s">
        <v>11025</v>
      </c>
      <c r="AD1664" t="s">
        <v>11101</v>
      </c>
      <c r="AF1664" t="s">
        <v>11118</v>
      </c>
      <c r="AH1664" t="s">
        <v>10974</v>
      </c>
      <c r="AJ1664" t="s">
        <v>11141</v>
      </c>
      <c r="AK1664" t="s">
        <v>7225</v>
      </c>
      <c r="AM1664">
        <v>834</v>
      </c>
      <c r="AO1664">
        <v>12</v>
      </c>
      <c r="AQ1664" t="s">
        <v>11157</v>
      </c>
      <c r="AS1664" t="s">
        <v>11173</v>
      </c>
      <c r="AU1664">
        <v>26</v>
      </c>
      <c r="AW1664" t="s">
        <v>11187</v>
      </c>
      <c r="AZ1664" t="s">
        <v>11221</v>
      </c>
      <c r="BE1664" t="s">
        <v>11727</v>
      </c>
      <c r="BF1664" t="s">
        <v>14364</v>
      </c>
      <c r="BG1664" t="s">
        <v>14792</v>
      </c>
      <c r="BM1664" t="s">
        <v>15650</v>
      </c>
    </row>
    <row r="1665" spans="1:65">
      <c r="A1665" s="1">
        <f>HYPERLINK("https://lsnyc.legalserver.org/matter/dynamic-profile/view/1878651","18-1878651")</f>
        <v>0</v>
      </c>
      <c r="B1665" t="s">
        <v>133</v>
      </c>
      <c r="C1665" t="s">
        <v>248</v>
      </c>
      <c r="D1665" t="s">
        <v>543</v>
      </c>
      <c r="F1665" t="s">
        <v>1695</v>
      </c>
      <c r="G1665" t="s">
        <v>3467</v>
      </c>
      <c r="H1665" t="s">
        <v>4800</v>
      </c>
      <c r="I1665" t="s">
        <v>6440</v>
      </c>
      <c r="J1665" t="s">
        <v>7174</v>
      </c>
      <c r="K1665">
        <v>11221</v>
      </c>
      <c r="N1665" t="s">
        <v>7237</v>
      </c>
      <c r="O1665" t="s">
        <v>8052</v>
      </c>
      <c r="P1665">
        <v>1</v>
      </c>
      <c r="Q1665">
        <v>0</v>
      </c>
      <c r="R1665">
        <v>152.2</v>
      </c>
      <c r="U1665">
        <v>18476.9</v>
      </c>
      <c r="V1665" t="s">
        <v>10435</v>
      </c>
      <c r="W1665">
        <v>0</v>
      </c>
      <c r="Y1665" t="s">
        <v>225</v>
      </c>
      <c r="AA1665" t="s">
        <v>10974</v>
      </c>
      <c r="AB1665" t="s">
        <v>400</v>
      </c>
      <c r="AD1665" t="s">
        <v>11101</v>
      </c>
      <c r="AF1665" t="s">
        <v>11118</v>
      </c>
      <c r="AH1665" t="s">
        <v>10974</v>
      </c>
      <c r="AJ1665" t="s">
        <v>11141</v>
      </c>
      <c r="AK1665" t="s">
        <v>7225</v>
      </c>
      <c r="AM1665">
        <v>1091.82</v>
      </c>
      <c r="AO1665">
        <v>12</v>
      </c>
      <c r="AQ1665" t="s">
        <v>11157</v>
      </c>
      <c r="AS1665" t="s">
        <v>11174</v>
      </c>
      <c r="AU1665">
        <v>12</v>
      </c>
      <c r="AW1665" t="s">
        <v>11187</v>
      </c>
      <c r="AZ1665" t="s">
        <v>11221</v>
      </c>
      <c r="BC1665" t="s">
        <v>11230</v>
      </c>
      <c r="BE1665" t="s">
        <v>12372</v>
      </c>
      <c r="BF1665" t="s">
        <v>14364</v>
      </c>
      <c r="BG1665" t="s">
        <v>14792</v>
      </c>
      <c r="BM1665" t="s">
        <v>15650</v>
      </c>
    </row>
    <row r="1666" spans="1:65">
      <c r="A1666" s="1">
        <f>HYPERLINK("https://lsnyc.legalserver.org/matter/dynamic-profile/view/1904240","19-1904240")</f>
        <v>0</v>
      </c>
      <c r="B1666" t="s">
        <v>133</v>
      </c>
      <c r="C1666" t="s">
        <v>248</v>
      </c>
      <c r="D1666" t="s">
        <v>423</v>
      </c>
      <c r="F1666" t="s">
        <v>1138</v>
      </c>
      <c r="G1666" t="s">
        <v>1728</v>
      </c>
      <c r="H1666" t="s">
        <v>4800</v>
      </c>
      <c r="I1666" t="s">
        <v>6436</v>
      </c>
      <c r="J1666" t="s">
        <v>7174</v>
      </c>
      <c r="K1666">
        <v>11221</v>
      </c>
      <c r="N1666" t="s">
        <v>7245</v>
      </c>
      <c r="O1666" t="s">
        <v>7307</v>
      </c>
      <c r="P1666">
        <v>1</v>
      </c>
      <c r="Q1666">
        <v>1</v>
      </c>
      <c r="R1666">
        <v>236.55</v>
      </c>
      <c r="U1666">
        <v>40000</v>
      </c>
      <c r="V1666" t="s">
        <v>10436</v>
      </c>
      <c r="W1666">
        <v>0</v>
      </c>
      <c r="Y1666" t="s">
        <v>225</v>
      </c>
      <c r="AA1666" t="s">
        <v>10974</v>
      </c>
      <c r="AB1666" t="s">
        <v>483</v>
      </c>
      <c r="AD1666" t="s">
        <v>11100</v>
      </c>
      <c r="AF1666" t="s">
        <v>10384</v>
      </c>
      <c r="AH1666" t="s">
        <v>10974</v>
      </c>
      <c r="AJ1666" t="s">
        <v>11141</v>
      </c>
      <c r="AK1666" t="s">
        <v>7225</v>
      </c>
      <c r="AM1666">
        <v>880.65</v>
      </c>
      <c r="AO1666">
        <v>12</v>
      </c>
      <c r="AQ1666" t="s">
        <v>11157</v>
      </c>
      <c r="AS1666" t="s">
        <v>11173</v>
      </c>
      <c r="AU1666">
        <v>17</v>
      </c>
      <c r="AW1666" t="s">
        <v>11187</v>
      </c>
      <c r="AY1666" t="s">
        <v>11213</v>
      </c>
      <c r="BA1666" t="s">
        <v>11222</v>
      </c>
      <c r="BC1666" t="s">
        <v>11173</v>
      </c>
      <c r="BE1666" t="s">
        <v>11719</v>
      </c>
      <c r="BF1666" t="s">
        <v>14364</v>
      </c>
      <c r="BG1666" t="s">
        <v>11173</v>
      </c>
      <c r="BM1666" t="s">
        <v>15650</v>
      </c>
    </row>
    <row r="1667" spans="1:65">
      <c r="A1667" s="1">
        <f>HYPERLINK("https://lsnyc.legalserver.org/matter/dynamic-profile/view/1907796","19-1907796")</f>
        <v>0</v>
      </c>
      <c r="B1667" t="s">
        <v>133</v>
      </c>
      <c r="C1667" t="s">
        <v>248</v>
      </c>
      <c r="D1667" t="s">
        <v>570</v>
      </c>
      <c r="F1667" t="s">
        <v>1519</v>
      </c>
      <c r="G1667" t="s">
        <v>1541</v>
      </c>
      <c r="H1667" t="s">
        <v>5057</v>
      </c>
      <c r="I1667" t="s">
        <v>6595</v>
      </c>
      <c r="J1667" t="s">
        <v>7174</v>
      </c>
      <c r="K1667">
        <v>11212</v>
      </c>
      <c r="N1667" t="s">
        <v>7237</v>
      </c>
      <c r="O1667" t="s">
        <v>8350</v>
      </c>
      <c r="P1667">
        <v>1</v>
      </c>
      <c r="Q1667">
        <v>0</v>
      </c>
      <c r="R1667">
        <v>137.97</v>
      </c>
      <c r="U1667">
        <v>17232</v>
      </c>
      <c r="W1667">
        <v>0.08</v>
      </c>
      <c r="X1667" t="s">
        <v>671</v>
      </c>
      <c r="Y1667" t="s">
        <v>101</v>
      </c>
      <c r="AA1667" t="s">
        <v>10974</v>
      </c>
      <c r="AB1667" t="s">
        <v>575</v>
      </c>
      <c r="AD1667" t="s">
        <v>11100</v>
      </c>
      <c r="AF1667" t="s">
        <v>10384</v>
      </c>
      <c r="AH1667" t="s">
        <v>10974</v>
      </c>
      <c r="AJ1667" t="s">
        <v>11141</v>
      </c>
      <c r="AK1667" t="s">
        <v>7225</v>
      </c>
      <c r="AM1667">
        <v>430.8</v>
      </c>
      <c r="AO1667">
        <v>96</v>
      </c>
      <c r="AQ1667" t="s">
        <v>11157</v>
      </c>
      <c r="AS1667" t="s">
        <v>11104</v>
      </c>
      <c r="AU1667">
        <v>4</v>
      </c>
      <c r="AW1667" t="s">
        <v>11187</v>
      </c>
      <c r="AY1667" t="s">
        <v>11213</v>
      </c>
      <c r="BA1667" t="s">
        <v>11222</v>
      </c>
      <c r="BC1667" t="s">
        <v>11378</v>
      </c>
      <c r="BE1667" t="s">
        <v>12639</v>
      </c>
      <c r="BF1667" t="s">
        <v>14364</v>
      </c>
      <c r="BG1667" t="s">
        <v>11173</v>
      </c>
      <c r="BM1667" t="s">
        <v>15650</v>
      </c>
    </row>
    <row r="1668" spans="1:65">
      <c r="A1668" s="1">
        <f>HYPERLINK("https://lsnyc.legalserver.org/matter/dynamic-profile/view/1878923","18-1878923")</f>
        <v>0</v>
      </c>
      <c r="B1668" t="s">
        <v>133</v>
      </c>
      <c r="C1668" t="s">
        <v>248</v>
      </c>
      <c r="D1668" t="s">
        <v>760</v>
      </c>
      <c r="F1668" t="s">
        <v>1111</v>
      </c>
      <c r="G1668" t="s">
        <v>3276</v>
      </c>
      <c r="H1668" t="s">
        <v>4800</v>
      </c>
      <c r="I1668" t="s">
        <v>6413</v>
      </c>
      <c r="J1668" t="s">
        <v>7174</v>
      </c>
      <c r="K1668">
        <v>11221</v>
      </c>
      <c r="N1668" t="s">
        <v>7237</v>
      </c>
      <c r="O1668" t="s">
        <v>8315</v>
      </c>
      <c r="P1668">
        <v>1</v>
      </c>
      <c r="Q1668">
        <v>1</v>
      </c>
      <c r="R1668">
        <v>85.05</v>
      </c>
      <c r="U1668">
        <v>14000</v>
      </c>
      <c r="W1668">
        <v>0</v>
      </c>
      <c r="Y1668" t="s">
        <v>225</v>
      </c>
      <c r="AA1668" t="s">
        <v>10974</v>
      </c>
      <c r="AB1668" t="s">
        <v>11000</v>
      </c>
      <c r="AD1668" t="s">
        <v>11101</v>
      </c>
      <c r="AF1668" t="s">
        <v>11118</v>
      </c>
      <c r="AH1668" t="s">
        <v>10974</v>
      </c>
      <c r="AJ1668" t="s">
        <v>11141</v>
      </c>
      <c r="AK1668" t="s">
        <v>7225</v>
      </c>
      <c r="AM1668">
        <v>336.58</v>
      </c>
      <c r="AO1668">
        <v>12</v>
      </c>
      <c r="AQ1668" t="s">
        <v>11157</v>
      </c>
      <c r="AS1668" t="s">
        <v>11173</v>
      </c>
      <c r="AU1668">
        <v>8</v>
      </c>
      <c r="AW1668" t="s">
        <v>11187</v>
      </c>
      <c r="AY1668" t="s">
        <v>11213</v>
      </c>
      <c r="BA1668" t="s">
        <v>11222</v>
      </c>
      <c r="BB1668" t="s">
        <v>11224</v>
      </c>
      <c r="BC1668" t="s">
        <v>11377</v>
      </c>
      <c r="BE1668" t="s">
        <v>12607</v>
      </c>
      <c r="BG1668" t="s">
        <v>14797</v>
      </c>
      <c r="BM1668" t="s">
        <v>15650</v>
      </c>
    </row>
    <row r="1669" spans="1:65">
      <c r="A1669" s="1">
        <f>HYPERLINK("https://lsnyc.legalserver.org/matter/dynamic-profile/view/1878919","18-1878919")</f>
        <v>0</v>
      </c>
      <c r="B1669" t="s">
        <v>133</v>
      </c>
      <c r="C1669" t="s">
        <v>248</v>
      </c>
      <c r="D1669" t="s">
        <v>760</v>
      </c>
      <c r="F1669" t="s">
        <v>1111</v>
      </c>
      <c r="G1669" t="s">
        <v>3276</v>
      </c>
      <c r="H1669" t="s">
        <v>4800</v>
      </c>
      <c r="I1669" t="s">
        <v>6413</v>
      </c>
      <c r="J1669" t="s">
        <v>7174</v>
      </c>
      <c r="K1669">
        <v>11221</v>
      </c>
      <c r="N1669" t="s">
        <v>7237</v>
      </c>
      <c r="O1669" t="s">
        <v>8315</v>
      </c>
      <c r="P1669">
        <v>1</v>
      </c>
      <c r="Q1669">
        <v>1</v>
      </c>
      <c r="R1669">
        <v>85.05</v>
      </c>
      <c r="U1669">
        <v>14000</v>
      </c>
      <c r="W1669">
        <v>0</v>
      </c>
      <c r="Y1669" t="s">
        <v>225</v>
      </c>
      <c r="AA1669" t="s">
        <v>10974</v>
      </c>
      <c r="AB1669" t="s">
        <v>11000</v>
      </c>
      <c r="AD1669" t="s">
        <v>11098</v>
      </c>
      <c r="AF1669" t="s">
        <v>11122</v>
      </c>
      <c r="AH1669" t="s">
        <v>10974</v>
      </c>
      <c r="AJ1669" t="s">
        <v>11141</v>
      </c>
      <c r="AK1669" t="s">
        <v>7225</v>
      </c>
      <c r="AM1669">
        <v>336.58</v>
      </c>
      <c r="AO1669">
        <v>12</v>
      </c>
      <c r="AQ1669" t="s">
        <v>11157</v>
      </c>
      <c r="AR1669" t="s">
        <v>11172</v>
      </c>
      <c r="AU1669">
        <v>8</v>
      </c>
      <c r="AW1669" t="s">
        <v>11187</v>
      </c>
      <c r="AZ1669" t="s">
        <v>11221</v>
      </c>
      <c r="BB1669" t="s">
        <v>11224</v>
      </c>
      <c r="BC1669" t="s">
        <v>11377</v>
      </c>
      <c r="BE1669" t="s">
        <v>12607</v>
      </c>
      <c r="BF1669" t="s">
        <v>14364</v>
      </c>
      <c r="BM1669" t="s">
        <v>15650</v>
      </c>
    </row>
    <row r="1670" spans="1:65">
      <c r="A1670" s="1">
        <f>HYPERLINK("https://lsnyc.legalserver.org/matter/dynamic-profile/view/1878647","18-1878647")</f>
        <v>0</v>
      </c>
      <c r="B1670" t="s">
        <v>133</v>
      </c>
      <c r="C1670" t="s">
        <v>248</v>
      </c>
      <c r="D1670" t="s">
        <v>543</v>
      </c>
      <c r="F1670" t="s">
        <v>1695</v>
      </c>
      <c r="G1670" t="s">
        <v>3467</v>
      </c>
      <c r="H1670" t="s">
        <v>4800</v>
      </c>
      <c r="I1670" t="s">
        <v>6440</v>
      </c>
      <c r="J1670" t="s">
        <v>7174</v>
      </c>
      <c r="K1670">
        <v>11221</v>
      </c>
      <c r="N1670" t="s">
        <v>7237</v>
      </c>
      <c r="O1670" t="s">
        <v>8052</v>
      </c>
      <c r="P1670">
        <v>1</v>
      </c>
      <c r="Q1670">
        <v>0</v>
      </c>
      <c r="R1670">
        <v>152.2</v>
      </c>
      <c r="U1670">
        <v>18476.9</v>
      </c>
      <c r="V1670" t="s">
        <v>10435</v>
      </c>
      <c r="W1670">
        <v>0</v>
      </c>
      <c r="Y1670" t="s">
        <v>225</v>
      </c>
      <c r="AA1670" t="s">
        <v>10974</v>
      </c>
      <c r="AB1670" t="s">
        <v>610</v>
      </c>
      <c r="AD1670" t="s">
        <v>11098</v>
      </c>
      <c r="AF1670" t="s">
        <v>11122</v>
      </c>
      <c r="AH1670" t="s">
        <v>10974</v>
      </c>
      <c r="AJ1670" t="s">
        <v>11141</v>
      </c>
      <c r="AK1670" t="s">
        <v>7225</v>
      </c>
      <c r="AM1670">
        <v>1091.82</v>
      </c>
      <c r="AO1670">
        <v>12</v>
      </c>
      <c r="AQ1670" t="s">
        <v>11157</v>
      </c>
      <c r="AS1670" t="s">
        <v>11174</v>
      </c>
      <c r="AU1670">
        <v>12</v>
      </c>
      <c r="AW1670" t="s">
        <v>11187</v>
      </c>
      <c r="AZ1670" t="s">
        <v>11221</v>
      </c>
      <c r="BC1670" t="s">
        <v>11230</v>
      </c>
      <c r="BE1670" t="s">
        <v>12372</v>
      </c>
      <c r="BF1670" t="s">
        <v>14364</v>
      </c>
      <c r="BM1670" t="s">
        <v>15650</v>
      </c>
    </row>
    <row r="1671" spans="1:65">
      <c r="A1671" s="1">
        <f>HYPERLINK("https://lsnyc.legalserver.org/matter/dynamic-profile/view/0831173","17-0831173")</f>
        <v>0</v>
      </c>
      <c r="B1671" t="s">
        <v>133</v>
      </c>
      <c r="C1671" t="s">
        <v>248</v>
      </c>
      <c r="D1671" t="s">
        <v>777</v>
      </c>
      <c r="F1671" t="s">
        <v>1866</v>
      </c>
      <c r="G1671" t="s">
        <v>3664</v>
      </c>
      <c r="H1671" t="s">
        <v>5366</v>
      </c>
      <c r="I1671" t="s">
        <v>6772</v>
      </c>
      <c r="J1671" t="s">
        <v>7174</v>
      </c>
      <c r="K1671">
        <v>11212</v>
      </c>
      <c r="N1671" t="s">
        <v>7237</v>
      </c>
      <c r="O1671" t="s">
        <v>8349</v>
      </c>
      <c r="P1671">
        <v>1</v>
      </c>
      <c r="Q1671">
        <v>2</v>
      </c>
      <c r="R1671">
        <v>112.01</v>
      </c>
      <c r="U1671">
        <v>22872</v>
      </c>
      <c r="W1671">
        <v>0.25</v>
      </c>
      <c r="X1671" t="s">
        <v>777</v>
      </c>
      <c r="Y1671" t="s">
        <v>133</v>
      </c>
      <c r="AA1671" t="s">
        <v>10974</v>
      </c>
      <c r="AB1671" t="s">
        <v>11026</v>
      </c>
      <c r="AD1671" t="s">
        <v>11086</v>
      </c>
      <c r="AF1671" t="s">
        <v>11122</v>
      </c>
      <c r="AH1671" t="s">
        <v>10974</v>
      </c>
      <c r="AJ1671" t="s">
        <v>11104</v>
      </c>
      <c r="AK1671" t="s">
        <v>7225</v>
      </c>
      <c r="AM1671">
        <v>939.42</v>
      </c>
      <c r="AO1671">
        <v>32</v>
      </c>
      <c r="AQ1671" t="s">
        <v>11157</v>
      </c>
      <c r="AS1671" t="s">
        <v>11175</v>
      </c>
      <c r="AU1671">
        <v>19</v>
      </c>
      <c r="AW1671" t="s">
        <v>11187</v>
      </c>
      <c r="AZ1671" t="s">
        <v>11221</v>
      </c>
      <c r="BE1671" t="s">
        <v>12638</v>
      </c>
      <c r="BG1671" t="s">
        <v>14789</v>
      </c>
      <c r="BM1671" t="s">
        <v>15650</v>
      </c>
    </row>
    <row r="1672" spans="1:65">
      <c r="A1672" s="1">
        <f>HYPERLINK("https://lsnyc.legalserver.org/matter/dynamic-profile/view/1885019","18-1885019")</f>
        <v>0</v>
      </c>
      <c r="B1672" t="s">
        <v>133</v>
      </c>
      <c r="C1672" t="s">
        <v>248</v>
      </c>
      <c r="D1672" t="s">
        <v>706</v>
      </c>
      <c r="F1672" t="s">
        <v>1577</v>
      </c>
      <c r="G1672" t="s">
        <v>3665</v>
      </c>
      <c r="H1672" t="s">
        <v>5368</v>
      </c>
      <c r="I1672" t="s">
        <v>6466</v>
      </c>
      <c r="J1672" t="s">
        <v>7174</v>
      </c>
      <c r="K1672">
        <v>11213</v>
      </c>
      <c r="N1672" t="s">
        <v>7237</v>
      </c>
      <c r="O1672" t="s">
        <v>8351</v>
      </c>
      <c r="P1672">
        <v>2</v>
      </c>
      <c r="Q1672">
        <v>1</v>
      </c>
      <c r="R1672">
        <v>240.62</v>
      </c>
      <c r="S1672" t="s">
        <v>866</v>
      </c>
      <c r="T1672" t="s">
        <v>10276</v>
      </c>
      <c r="U1672">
        <v>50000</v>
      </c>
      <c r="W1672">
        <v>0</v>
      </c>
      <c r="Y1672" t="s">
        <v>101</v>
      </c>
      <c r="AA1672" t="s">
        <v>10974</v>
      </c>
      <c r="AB1672" t="s">
        <v>547</v>
      </c>
      <c r="AD1672" t="s">
        <v>11098</v>
      </c>
      <c r="AF1672" t="s">
        <v>11122</v>
      </c>
      <c r="AH1672" t="s">
        <v>10974</v>
      </c>
      <c r="AJ1672" t="s">
        <v>11144</v>
      </c>
      <c r="AK1672" t="s">
        <v>7225</v>
      </c>
      <c r="AM1672">
        <v>693</v>
      </c>
      <c r="AO1672">
        <v>19</v>
      </c>
      <c r="AQ1672" t="s">
        <v>11157</v>
      </c>
      <c r="AS1672" t="s">
        <v>11173</v>
      </c>
      <c r="AU1672">
        <v>20</v>
      </c>
      <c r="AW1672" t="s">
        <v>11187</v>
      </c>
      <c r="AZ1672" t="s">
        <v>11221</v>
      </c>
      <c r="BE1672" t="s">
        <v>12640</v>
      </c>
      <c r="BF1672" t="s">
        <v>14364</v>
      </c>
      <c r="BM1672" t="s">
        <v>15650</v>
      </c>
    </row>
    <row r="1673" spans="1:65">
      <c r="A1673" s="1">
        <f>HYPERLINK("https://lsnyc.legalserver.org/matter/dynamic-profile/view/1876080","18-1876080")</f>
        <v>0</v>
      </c>
      <c r="B1673" t="s">
        <v>133</v>
      </c>
      <c r="C1673" t="s">
        <v>248</v>
      </c>
      <c r="D1673" t="s">
        <v>778</v>
      </c>
      <c r="F1673" t="s">
        <v>1577</v>
      </c>
      <c r="G1673" t="s">
        <v>3665</v>
      </c>
      <c r="H1673" t="s">
        <v>5368</v>
      </c>
      <c r="I1673" t="s">
        <v>6466</v>
      </c>
      <c r="J1673" t="s">
        <v>7174</v>
      </c>
      <c r="K1673">
        <v>11213</v>
      </c>
      <c r="N1673" t="s">
        <v>7237</v>
      </c>
      <c r="O1673" t="s">
        <v>8351</v>
      </c>
      <c r="P1673">
        <v>2</v>
      </c>
      <c r="Q1673">
        <v>1</v>
      </c>
      <c r="R1673">
        <v>240.62</v>
      </c>
      <c r="S1673" t="s">
        <v>512</v>
      </c>
      <c r="T1673" t="s">
        <v>10276</v>
      </c>
      <c r="U1673">
        <v>50000</v>
      </c>
      <c r="W1673">
        <v>0</v>
      </c>
      <c r="Y1673" t="s">
        <v>243</v>
      </c>
      <c r="AA1673" t="s">
        <v>10974</v>
      </c>
      <c r="AB1673" t="s">
        <v>532</v>
      </c>
      <c r="AD1673" t="s">
        <v>11101</v>
      </c>
      <c r="AF1673" t="s">
        <v>11118</v>
      </c>
      <c r="AH1673" t="s">
        <v>10974</v>
      </c>
      <c r="AJ1673" t="s">
        <v>11144</v>
      </c>
      <c r="AK1673" t="s">
        <v>7225</v>
      </c>
      <c r="AM1673">
        <v>693</v>
      </c>
      <c r="AO1673">
        <v>19</v>
      </c>
      <c r="AQ1673" t="s">
        <v>11157</v>
      </c>
      <c r="AS1673" t="s">
        <v>11173</v>
      </c>
      <c r="AU1673">
        <v>20</v>
      </c>
      <c r="AW1673" t="s">
        <v>11187</v>
      </c>
      <c r="AZ1673" t="s">
        <v>11221</v>
      </c>
      <c r="BE1673" t="s">
        <v>12640</v>
      </c>
      <c r="BG1673" t="s">
        <v>14793</v>
      </c>
      <c r="BM1673" t="s">
        <v>15650</v>
      </c>
    </row>
    <row r="1674" spans="1:65">
      <c r="A1674" s="1">
        <f>HYPERLINK("https://lsnyc.legalserver.org/matter/dynamic-profile/view/1904257","19-1904257")</f>
        <v>0</v>
      </c>
      <c r="B1674" t="s">
        <v>133</v>
      </c>
      <c r="C1674" t="s">
        <v>248</v>
      </c>
      <c r="D1674" t="s">
        <v>512</v>
      </c>
      <c r="F1674" t="s">
        <v>1139</v>
      </c>
      <c r="G1674" t="s">
        <v>2928</v>
      </c>
      <c r="H1674" t="s">
        <v>4801</v>
      </c>
      <c r="I1674" t="s">
        <v>6437</v>
      </c>
      <c r="J1674" t="s">
        <v>7174</v>
      </c>
      <c r="K1674">
        <v>11221</v>
      </c>
      <c r="N1674" t="s">
        <v>7245</v>
      </c>
      <c r="O1674" t="s">
        <v>7308</v>
      </c>
      <c r="P1674">
        <v>1</v>
      </c>
      <c r="Q1674">
        <v>0</v>
      </c>
      <c r="R1674">
        <v>150.68</v>
      </c>
      <c r="U1674">
        <v>18820</v>
      </c>
      <c r="W1674">
        <v>0</v>
      </c>
      <c r="Y1674" t="s">
        <v>225</v>
      </c>
      <c r="Z1674" t="s">
        <v>10973</v>
      </c>
      <c r="AA1674" t="s">
        <v>10975</v>
      </c>
      <c r="AB1674" t="s">
        <v>483</v>
      </c>
      <c r="AD1674" t="s">
        <v>11100</v>
      </c>
      <c r="AF1674" t="s">
        <v>10384</v>
      </c>
      <c r="AH1674" t="s">
        <v>10974</v>
      </c>
      <c r="AJ1674" t="s">
        <v>11141</v>
      </c>
      <c r="AK1674" t="s">
        <v>7225</v>
      </c>
      <c r="AM1674">
        <v>790</v>
      </c>
      <c r="AO1674">
        <v>13</v>
      </c>
      <c r="AQ1674" t="s">
        <v>11157</v>
      </c>
      <c r="AS1674" t="s">
        <v>11173</v>
      </c>
      <c r="AU1674">
        <v>20</v>
      </c>
      <c r="AW1674" t="s">
        <v>11187</v>
      </c>
      <c r="AY1674" t="s">
        <v>11213</v>
      </c>
      <c r="AZ1674" t="s">
        <v>11221</v>
      </c>
      <c r="BA1674" t="s">
        <v>11173</v>
      </c>
      <c r="BC1674" t="s">
        <v>11173</v>
      </c>
      <c r="BE1674" t="s">
        <v>11720</v>
      </c>
      <c r="BF1674" t="s">
        <v>14364</v>
      </c>
      <c r="BG1674" t="s">
        <v>11173</v>
      </c>
      <c r="BM1674" t="s">
        <v>15650</v>
      </c>
    </row>
    <row r="1675" spans="1:65">
      <c r="A1675" s="1">
        <f>HYPERLINK("https://lsnyc.legalserver.org/matter/dynamic-profile/view/1896769","19-1896769")</f>
        <v>0</v>
      </c>
      <c r="B1675" t="s">
        <v>133</v>
      </c>
      <c r="C1675" t="s">
        <v>248</v>
      </c>
      <c r="D1675" t="s">
        <v>776</v>
      </c>
      <c r="F1675" t="s">
        <v>1489</v>
      </c>
      <c r="G1675" t="s">
        <v>3649</v>
      </c>
      <c r="H1675" t="s">
        <v>5166</v>
      </c>
      <c r="I1675" t="s">
        <v>6430</v>
      </c>
      <c r="J1675" t="s">
        <v>7174</v>
      </c>
      <c r="K1675">
        <v>11213</v>
      </c>
      <c r="N1675" t="s">
        <v>7237</v>
      </c>
      <c r="O1675" t="s">
        <v>8323</v>
      </c>
      <c r="P1675">
        <v>5</v>
      </c>
      <c r="Q1675">
        <v>1</v>
      </c>
      <c r="R1675">
        <v>109.86</v>
      </c>
      <c r="U1675">
        <v>38000</v>
      </c>
      <c r="V1675" t="s">
        <v>10431</v>
      </c>
      <c r="W1675">
        <v>0</v>
      </c>
      <c r="Y1675" t="s">
        <v>101</v>
      </c>
      <c r="AA1675" t="s">
        <v>10974</v>
      </c>
      <c r="AB1675" t="s">
        <v>10979</v>
      </c>
      <c r="AD1675" t="s">
        <v>11098</v>
      </c>
      <c r="AF1675" t="s">
        <v>11122</v>
      </c>
      <c r="AH1675" t="s">
        <v>10974</v>
      </c>
      <c r="AJ1675" t="s">
        <v>11141</v>
      </c>
      <c r="AK1675" t="s">
        <v>7225</v>
      </c>
      <c r="AM1675">
        <v>719</v>
      </c>
      <c r="AO1675">
        <v>6</v>
      </c>
      <c r="AQ1675" t="s">
        <v>11157</v>
      </c>
      <c r="AS1675" t="s">
        <v>11173</v>
      </c>
      <c r="AU1675">
        <v>22</v>
      </c>
      <c r="AW1675" t="s">
        <v>11187</v>
      </c>
      <c r="BA1675" t="s">
        <v>11222</v>
      </c>
      <c r="BE1675" t="s">
        <v>12614</v>
      </c>
      <c r="BF1675" t="s">
        <v>14364</v>
      </c>
      <c r="BG1675" t="s">
        <v>11173</v>
      </c>
      <c r="BM1675" t="s">
        <v>15650</v>
      </c>
    </row>
    <row r="1676" spans="1:65">
      <c r="A1676" s="1">
        <f>HYPERLINK("https://lsnyc.legalserver.org/matter/dynamic-profile/view/1871791","18-1871791")</f>
        <v>0</v>
      </c>
      <c r="B1676" t="s">
        <v>133</v>
      </c>
      <c r="C1676" t="s">
        <v>248</v>
      </c>
      <c r="D1676" t="s">
        <v>779</v>
      </c>
      <c r="F1676" t="s">
        <v>1489</v>
      </c>
      <c r="G1676" t="s">
        <v>2889</v>
      </c>
      <c r="H1676" t="s">
        <v>5367</v>
      </c>
      <c r="I1676" t="s">
        <v>6507</v>
      </c>
      <c r="J1676" t="s">
        <v>7174</v>
      </c>
      <c r="K1676">
        <v>11206</v>
      </c>
      <c r="N1676" t="s">
        <v>7237</v>
      </c>
      <c r="O1676" t="s">
        <v>8352</v>
      </c>
      <c r="P1676">
        <v>1</v>
      </c>
      <c r="Q1676">
        <v>2</v>
      </c>
      <c r="R1676">
        <v>87.58</v>
      </c>
      <c r="U1676">
        <v>18200</v>
      </c>
      <c r="V1676" t="s">
        <v>10437</v>
      </c>
      <c r="W1676">
        <v>0</v>
      </c>
      <c r="Y1676" t="s">
        <v>10925</v>
      </c>
      <c r="AA1676" t="s">
        <v>10974</v>
      </c>
      <c r="AB1676" t="s">
        <v>779</v>
      </c>
      <c r="AD1676" t="s">
        <v>11098</v>
      </c>
      <c r="AF1676" t="s">
        <v>11122</v>
      </c>
      <c r="AH1676" t="s">
        <v>10974</v>
      </c>
      <c r="AJ1676" t="s">
        <v>11104</v>
      </c>
      <c r="AK1676" t="s">
        <v>7225</v>
      </c>
      <c r="AM1676">
        <v>611.9299999999999</v>
      </c>
      <c r="AO1676">
        <v>25</v>
      </c>
      <c r="AQ1676" t="s">
        <v>11157</v>
      </c>
      <c r="AR1676" t="s">
        <v>11172</v>
      </c>
      <c r="AU1676">
        <v>7</v>
      </c>
      <c r="AW1676" t="s">
        <v>11187</v>
      </c>
      <c r="AZ1676" t="s">
        <v>11221</v>
      </c>
      <c r="BB1676" t="s">
        <v>11224</v>
      </c>
      <c r="BC1676" t="s">
        <v>11379</v>
      </c>
      <c r="BE1676" t="s">
        <v>12641</v>
      </c>
      <c r="BG1676" t="s">
        <v>14788</v>
      </c>
      <c r="BM1676" t="s">
        <v>15650</v>
      </c>
    </row>
    <row r="1677" spans="1:65">
      <c r="A1677" s="1">
        <f>HYPERLINK("https://lsnyc.legalserver.org/matter/dynamic-profile/view/1905718","19-1905718")</f>
        <v>0</v>
      </c>
      <c r="B1677" t="s">
        <v>133</v>
      </c>
      <c r="C1677" t="s">
        <v>248</v>
      </c>
      <c r="D1677" t="s">
        <v>511</v>
      </c>
      <c r="F1677" t="s">
        <v>1677</v>
      </c>
      <c r="G1677" t="s">
        <v>3442</v>
      </c>
      <c r="H1677" t="s">
        <v>5224</v>
      </c>
      <c r="I1677" t="s">
        <v>6413</v>
      </c>
      <c r="J1677" t="s">
        <v>7174</v>
      </c>
      <c r="K1677">
        <v>11212</v>
      </c>
      <c r="N1677" t="s">
        <v>7245</v>
      </c>
      <c r="O1677" t="s">
        <v>8022</v>
      </c>
      <c r="P1677">
        <v>1</v>
      </c>
      <c r="Q1677">
        <v>0</v>
      </c>
      <c r="R1677">
        <v>88.29000000000001</v>
      </c>
      <c r="U1677">
        <v>11028</v>
      </c>
      <c r="V1677" t="s">
        <v>10438</v>
      </c>
      <c r="W1677">
        <v>2.5</v>
      </c>
      <c r="X1677" t="s">
        <v>497</v>
      </c>
      <c r="Y1677" t="s">
        <v>101</v>
      </c>
      <c r="AA1677" t="s">
        <v>10974</v>
      </c>
      <c r="AB1677" t="s">
        <v>370</v>
      </c>
      <c r="AD1677" t="s">
        <v>11085</v>
      </c>
      <c r="AF1677" t="s">
        <v>10384</v>
      </c>
      <c r="AH1677" t="s">
        <v>10974</v>
      </c>
      <c r="AJ1677" t="s">
        <v>11134</v>
      </c>
      <c r="AK1677" t="s">
        <v>7225</v>
      </c>
      <c r="AL1677" t="s">
        <v>11150</v>
      </c>
      <c r="AM1677">
        <v>0</v>
      </c>
      <c r="AO1677">
        <v>23</v>
      </c>
      <c r="AQ1677" t="s">
        <v>11157</v>
      </c>
      <c r="AS1677" t="s">
        <v>11173</v>
      </c>
      <c r="AT1677" t="s">
        <v>11184</v>
      </c>
      <c r="AU1677">
        <v>0</v>
      </c>
      <c r="AW1677" t="s">
        <v>11187</v>
      </c>
      <c r="AY1677" t="s">
        <v>11213</v>
      </c>
      <c r="BA1677" t="s">
        <v>11222</v>
      </c>
      <c r="BC1677" t="s">
        <v>11173</v>
      </c>
      <c r="BE1677" t="s">
        <v>12344</v>
      </c>
      <c r="BG1677" t="s">
        <v>14545</v>
      </c>
      <c r="BM1677" t="s">
        <v>15650</v>
      </c>
    </row>
    <row r="1678" spans="1:65">
      <c r="A1678" s="1">
        <f>HYPERLINK("https://lsnyc.legalserver.org/matter/dynamic-profile/view/1875998","18-1875998")</f>
        <v>0</v>
      </c>
      <c r="B1678" t="s">
        <v>133</v>
      </c>
      <c r="C1678" t="s">
        <v>248</v>
      </c>
      <c r="D1678" t="s">
        <v>532</v>
      </c>
      <c r="F1678" t="s">
        <v>1152</v>
      </c>
      <c r="G1678" t="s">
        <v>2941</v>
      </c>
      <c r="H1678" t="s">
        <v>4800</v>
      </c>
      <c r="I1678" t="s">
        <v>6405</v>
      </c>
      <c r="J1678" t="s">
        <v>7174</v>
      </c>
      <c r="K1678">
        <v>11221</v>
      </c>
      <c r="N1678" t="s">
        <v>7237</v>
      </c>
      <c r="O1678" t="s">
        <v>7320</v>
      </c>
      <c r="P1678">
        <v>1</v>
      </c>
      <c r="Q1678">
        <v>0</v>
      </c>
      <c r="R1678">
        <v>171.33</v>
      </c>
      <c r="U1678">
        <v>20800</v>
      </c>
      <c r="W1678">
        <v>71</v>
      </c>
      <c r="X1678" t="s">
        <v>375</v>
      </c>
      <c r="Y1678" t="s">
        <v>225</v>
      </c>
      <c r="AA1678" t="s">
        <v>10974</v>
      </c>
      <c r="AB1678" t="s">
        <v>702</v>
      </c>
      <c r="AD1678" t="s">
        <v>11101</v>
      </c>
      <c r="AF1678" t="s">
        <v>11118</v>
      </c>
      <c r="AH1678" t="s">
        <v>10974</v>
      </c>
      <c r="AJ1678" t="s">
        <v>11144</v>
      </c>
      <c r="AK1678" t="s">
        <v>7225</v>
      </c>
      <c r="AM1678">
        <v>763</v>
      </c>
      <c r="AO1678">
        <v>12</v>
      </c>
      <c r="AQ1678" t="s">
        <v>11157</v>
      </c>
      <c r="AS1678" t="s">
        <v>11173</v>
      </c>
      <c r="AU1678">
        <v>10</v>
      </c>
      <c r="AW1678" t="s">
        <v>11187</v>
      </c>
      <c r="AY1678" t="s">
        <v>11213</v>
      </c>
      <c r="AZ1678" t="s">
        <v>11221</v>
      </c>
      <c r="BE1678" t="s">
        <v>11733</v>
      </c>
      <c r="BG1678" t="s">
        <v>14797</v>
      </c>
      <c r="BM1678" t="s">
        <v>15650</v>
      </c>
    </row>
    <row r="1679" spans="1:65">
      <c r="A1679" s="1">
        <f>HYPERLINK("https://lsnyc.legalserver.org/matter/dynamic-profile/view/1870547","18-1870547")</f>
        <v>0</v>
      </c>
      <c r="B1679" t="s">
        <v>133</v>
      </c>
      <c r="C1679" t="s">
        <v>248</v>
      </c>
      <c r="D1679" t="s">
        <v>641</v>
      </c>
      <c r="F1679" t="s">
        <v>1858</v>
      </c>
      <c r="G1679" t="s">
        <v>3655</v>
      </c>
      <c r="H1679" t="s">
        <v>5366</v>
      </c>
      <c r="I1679" t="s">
        <v>6757</v>
      </c>
      <c r="J1679" t="s">
        <v>7174</v>
      </c>
      <c r="K1679">
        <v>11212</v>
      </c>
      <c r="N1679" t="s">
        <v>7237</v>
      </c>
      <c r="O1679" t="s">
        <v>8330</v>
      </c>
      <c r="P1679">
        <v>2</v>
      </c>
      <c r="Q1679">
        <v>0</v>
      </c>
      <c r="R1679">
        <v>364.52</v>
      </c>
      <c r="U1679">
        <v>60000</v>
      </c>
      <c r="V1679" t="s">
        <v>10439</v>
      </c>
      <c r="W1679">
        <v>0</v>
      </c>
      <c r="Y1679" t="s">
        <v>225</v>
      </c>
      <c r="AA1679" t="s">
        <v>10974</v>
      </c>
      <c r="AB1679" t="s">
        <v>772</v>
      </c>
      <c r="AC1679" t="s">
        <v>11081</v>
      </c>
      <c r="AF1679" t="s">
        <v>11122</v>
      </c>
      <c r="AH1679" t="s">
        <v>10974</v>
      </c>
      <c r="AJ1679" t="s">
        <v>11129</v>
      </c>
      <c r="AK1679" t="s">
        <v>7225</v>
      </c>
      <c r="AM1679">
        <v>1248.12</v>
      </c>
      <c r="AO1679">
        <v>32</v>
      </c>
      <c r="AQ1679" t="s">
        <v>11157</v>
      </c>
      <c r="AS1679" t="s">
        <v>11173</v>
      </c>
      <c r="AU1679">
        <v>10</v>
      </c>
      <c r="AW1679" t="s">
        <v>11187</v>
      </c>
      <c r="AZ1679" t="s">
        <v>11221</v>
      </c>
      <c r="BE1679" t="s">
        <v>12621</v>
      </c>
      <c r="BF1679" t="s">
        <v>14364</v>
      </c>
      <c r="BM1679" t="s">
        <v>15650</v>
      </c>
    </row>
    <row r="1680" spans="1:65">
      <c r="A1680" s="1">
        <f>HYPERLINK("https://lsnyc.legalserver.org/matter/dynamic-profile/view/1871808","18-1871808")</f>
        <v>0</v>
      </c>
      <c r="B1680" t="s">
        <v>133</v>
      </c>
      <c r="C1680" t="s">
        <v>248</v>
      </c>
      <c r="D1680" t="s">
        <v>779</v>
      </c>
      <c r="F1680" t="s">
        <v>1252</v>
      </c>
      <c r="G1680" t="s">
        <v>1192</v>
      </c>
      <c r="H1680" t="s">
        <v>5369</v>
      </c>
      <c r="I1680" t="s">
        <v>6415</v>
      </c>
      <c r="J1680" t="s">
        <v>7174</v>
      </c>
      <c r="K1680">
        <v>11206</v>
      </c>
      <c r="N1680" t="s">
        <v>7237</v>
      </c>
      <c r="O1680" t="s">
        <v>8353</v>
      </c>
      <c r="P1680">
        <v>2</v>
      </c>
      <c r="Q1680">
        <v>0</v>
      </c>
      <c r="R1680">
        <v>157.96</v>
      </c>
      <c r="U1680">
        <v>26000</v>
      </c>
      <c r="V1680" t="s">
        <v>10330</v>
      </c>
      <c r="W1680">
        <v>0</v>
      </c>
      <c r="Y1680" t="s">
        <v>10925</v>
      </c>
      <c r="AA1680" t="s">
        <v>10974</v>
      </c>
      <c r="AB1680" t="s">
        <v>779</v>
      </c>
      <c r="AD1680" t="s">
        <v>11098</v>
      </c>
      <c r="AF1680" t="s">
        <v>11122</v>
      </c>
      <c r="AH1680" t="s">
        <v>10974</v>
      </c>
      <c r="AJ1680" t="s">
        <v>11104</v>
      </c>
      <c r="AK1680" t="s">
        <v>7225</v>
      </c>
      <c r="AM1680">
        <v>953</v>
      </c>
      <c r="AO1680">
        <v>29</v>
      </c>
      <c r="AQ1680" t="s">
        <v>11157</v>
      </c>
      <c r="AS1680" t="s">
        <v>11175</v>
      </c>
      <c r="AU1680">
        <v>24</v>
      </c>
      <c r="AW1680" t="s">
        <v>11189</v>
      </c>
      <c r="AZ1680" t="s">
        <v>11221</v>
      </c>
      <c r="BD1680" t="s">
        <v>11667</v>
      </c>
      <c r="BG1680" t="s">
        <v>14795</v>
      </c>
      <c r="BM1680" t="s">
        <v>15650</v>
      </c>
    </row>
    <row r="1681" spans="1:65">
      <c r="A1681" s="1">
        <f>HYPERLINK("https://lsnyc.legalserver.org/matter/dynamic-profile/view/1915079","19-1915079")</f>
        <v>0</v>
      </c>
      <c r="B1681" t="s">
        <v>133</v>
      </c>
      <c r="C1681" t="s">
        <v>248</v>
      </c>
      <c r="D1681" t="s">
        <v>264</v>
      </c>
      <c r="F1681" t="s">
        <v>1331</v>
      </c>
      <c r="G1681" t="s">
        <v>3666</v>
      </c>
      <c r="H1681" t="s">
        <v>5368</v>
      </c>
      <c r="I1681" t="s">
        <v>6405</v>
      </c>
      <c r="J1681" t="s">
        <v>7174</v>
      </c>
      <c r="K1681">
        <v>11213</v>
      </c>
      <c r="N1681" t="s">
        <v>7237</v>
      </c>
      <c r="O1681" t="s">
        <v>8354</v>
      </c>
      <c r="P1681">
        <v>3</v>
      </c>
      <c r="Q1681">
        <v>2</v>
      </c>
      <c r="R1681">
        <v>267.82</v>
      </c>
      <c r="U1681">
        <v>80800</v>
      </c>
      <c r="W1681">
        <v>1</v>
      </c>
      <c r="X1681" t="s">
        <v>614</v>
      </c>
      <c r="Y1681" t="s">
        <v>225</v>
      </c>
      <c r="AA1681" t="s">
        <v>10974</v>
      </c>
      <c r="AB1681" t="s">
        <v>614</v>
      </c>
      <c r="AD1681" t="s">
        <v>11086</v>
      </c>
      <c r="AF1681" t="s">
        <v>11119</v>
      </c>
      <c r="AH1681" t="s">
        <v>10975</v>
      </c>
      <c r="AJ1681" t="s">
        <v>11134</v>
      </c>
      <c r="AK1681" t="s">
        <v>7225</v>
      </c>
      <c r="AL1681" t="s">
        <v>11150</v>
      </c>
      <c r="AM1681">
        <v>0</v>
      </c>
      <c r="AO1681">
        <v>19</v>
      </c>
      <c r="AQ1681" t="s">
        <v>11157</v>
      </c>
      <c r="AS1681" t="s">
        <v>11173</v>
      </c>
      <c r="AT1681" t="s">
        <v>11184</v>
      </c>
      <c r="AU1681">
        <v>0</v>
      </c>
      <c r="AW1681" t="s">
        <v>11187</v>
      </c>
      <c r="AY1681" t="s">
        <v>11213</v>
      </c>
      <c r="BA1681" t="s">
        <v>11222</v>
      </c>
      <c r="BC1681" t="s">
        <v>11228</v>
      </c>
      <c r="BE1681" t="s">
        <v>12642</v>
      </c>
      <c r="BF1681" t="s">
        <v>14364</v>
      </c>
      <c r="BG1681" t="s">
        <v>14410</v>
      </c>
      <c r="BM1681" t="s">
        <v>15650</v>
      </c>
    </row>
    <row r="1682" spans="1:65">
      <c r="A1682" s="1">
        <f>HYPERLINK("https://lsnyc.legalserver.org/matter/dynamic-profile/view/1867061","18-1867061")</f>
        <v>0</v>
      </c>
      <c r="B1682" t="s">
        <v>133</v>
      </c>
      <c r="C1682" t="s">
        <v>248</v>
      </c>
      <c r="D1682" t="s">
        <v>761</v>
      </c>
      <c r="F1682" t="s">
        <v>1858</v>
      </c>
      <c r="G1682" t="s">
        <v>3655</v>
      </c>
      <c r="H1682" t="s">
        <v>5366</v>
      </c>
      <c r="I1682" t="s">
        <v>6757</v>
      </c>
      <c r="J1682" t="s">
        <v>7174</v>
      </c>
      <c r="K1682">
        <v>11212</v>
      </c>
      <c r="N1682" t="s">
        <v>7237</v>
      </c>
      <c r="O1682" t="s">
        <v>8330</v>
      </c>
      <c r="P1682">
        <v>2</v>
      </c>
      <c r="Q1682">
        <v>0</v>
      </c>
      <c r="R1682">
        <v>288.18</v>
      </c>
      <c r="S1682" t="s">
        <v>10255</v>
      </c>
      <c r="U1682">
        <v>46800</v>
      </c>
      <c r="W1682">
        <v>0.25</v>
      </c>
      <c r="X1682" t="s">
        <v>761</v>
      </c>
      <c r="Y1682" t="s">
        <v>133</v>
      </c>
      <c r="AA1682" t="s">
        <v>10974</v>
      </c>
      <c r="AB1682" t="s">
        <v>11027</v>
      </c>
      <c r="AD1682" t="s">
        <v>11086</v>
      </c>
      <c r="AF1682" t="s">
        <v>11122</v>
      </c>
      <c r="AH1682" t="s">
        <v>10974</v>
      </c>
      <c r="AI1682" t="s">
        <v>11126</v>
      </c>
      <c r="AK1682" t="s">
        <v>7225</v>
      </c>
      <c r="AM1682">
        <v>1248.12</v>
      </c>
      <c r="AN1682" t="s">
        <v>11151</v>
      </c>
      <c r="AO1682" t="s">
        <v>11153</v>
      </c>
      <c r="AQ1682" t="s">
        <v>11157</v>
      </c>
      <c r="AR1682" t="s">
        <v>11172</v>
      </c>
      <c r="AU1682">
        <v>8</v>
      </c>
      <c r="AW1682" t="s">
        <v>11187</v>
      </c>
      <c r="AZ1682" t="s">
        <v>11221</v>
      </c>
      <c r="BE1682" t="s">
        <v>12621</v>
      </c>
      <c r="BF1682" t="s">
        <v>14364</v>
      </c>
      <c r="BM1682" t="s">
        <v>15650</v>
      </c>
    </row>
    <row r="1683" spans="1:65">
      <c r="A1683" s="1">
        <f>HYPERLINK("https://lsnyc.legalserver.org/matter/dynamic-profile/view/1867069","18-1867069")</f>
        <v>0</v>
      </c>
      <c r="B1683" t="s">
        <v>133</v>
      </c>
      <c r="C1683" t="s">
        <v>248</v>
      </c>
      <c r="D1683" t="s">
        <v>761</v>
      </c>
      <c r="F1683" t="s">
        <v>1865</v>
      </c>
      <c r="G1683" t="s">
        <v>2921</v>
      </c>
      <c r="H1683" t="s">
        <v>5366</v>
      </c>
      <c r="I1683" t="s">
        <v>6425</v>
      </c>
      <c r="J1683" t="s">
        <v>7174</v>
      </c>
      <c r="K1683">
        <v>11212</v>
      </c>
      <c r="N1683" t="s">
        <v>7237</v>
      </c>
      <c r="O1683" t="s">
        <v>7405</v>
      </c>
      <c r="P1683">
        <v>2</v>
      </c>
      <c r="Q1683">
        <v>0</v>
      </c>
      <c r="R1683">
        <v>91.56999999999999</v>
      </c>
      <c r="U1683">
        <v>15072</v>
      </c>
      <c r="W1683">
        <v>0</v>
      </c>
      <c r="Y1683" t="s">
        <v>225</v>
      </c>
      <c r="AA1683" t="s">
        <v>10974</v>
      </c>
      <c r="AB1683" t="s">
        <v>849</v>
      </c>
      <c r="AC1683" t="s">
        <v>11081</v>
      </c>
      <c r="AF1683" t="s">
        <v>10384</v>
      </c>
      <c r="AH1683" t="s">
        <v>10974</v>
      </c>
      <c r="AJ1683" t="s">
        <v>11104</v>
      </c>
      <c r="AK1683" t="s">
        <v>7225</v>
      </c>
      <c r="AM1683">
        <v>755</v>
      </c>
      <c r="AN1683" t="s">
        <v>11151</v>
      </c>
      <c r="AO1683" t="s">
        <v>11153</v>
      </c>
      <c r="AQ1683" t="s">
        <v>11157</v>
      </c>
      <c r="AR1683" t="s">
        <v>11172</v>
      </c>
      <c r="AU1683">
        <v>30</v>
      </c>
      <c r="AW1683" t="s">
        <v>11187</v>
      </c>
      <c r="AZ1683" t="s">
        <v>11221</v>
      </c>
      <c r="BE1683" t="s">
        <v>12635</v>
      </c>
      <c r="BF1683" t="s">
        <v>14364</v>
      </c>
      <c r="BM1683" t="s">
        <v>15650</v>
      </c>
    </row>
    <row r="1684" spans="1:65">
      <c r="A1684" s="1">
        <f>HYPERLINK("https://lsnyc.legalserver.org/matter/dynamic-profile/view/1879052","18-1879052")</f>
        <v>0</v>
      </c>
      <c r="B1684" t="s">
        <v>133</v>
      </c>
      <c r="C1684" t="s">
        <v>248</v>
      </c>
      <c r="D1684" t="s">
        <v>765</v>
      </c>
      <c r="F1684" t="s">
        <v>1139</v>
      </c>
      <c r="G1684" t="s">
        <v>2928</v>
      </c>
      <c r="H1684" t="s">
        <v>4801</v>
      </c>
      <c r="I1684" t="s">
        <v>6437</v>
      </c>
      <c r="J1684" t="s">
        <v>7174</v>
      </c>
      <c r="K1684">
        <v>11221</v>
      </c>
      <c r="N1684" t="s">
        <v>7237</v>
      </c>
      <c r="O1684" t="s">
        <v>7308</v>
      </c>
      <c r="P1684">
        <v>1</v>
      </c>
      <c r="Q1684">
        <v>0</v>
      </c>
      <c r="R1684">
        <v>155.02</v>
      </c>
      <c r="U1684">
        <v>18820</v>
      </c>
      <c r="V1684" t="s">
        <v>10440</v>
      </c>
      <c r="W1684">
        <v>0</v>
      </c>
      <c r="Y1684" t="s">
        <v>225</v>
      </c>
      <c r="AA1684" t="s">
        <v>10974</v>
      </c>
      <c r="AB1684" t="s">
        <v>11025</v>
      </c>
      <c r="AD1684" t="s">
        <v>11101</v>
      </c>
      <c r="AF1684" t="s">
        <v>11118</v>
      </c>
      <c r="AH1684" t="s">
        <v>10974</v>
      </c>
      <c r="AJ1684" t="s">
        <v>11141</v>
      </c>
      <c r="AK1684" t="s">
        <v>7225</v>
      </c>
      <c r="AM1684">
        <v>790</v>
      </c>
      <c r="AO1684">
        <v>13</v>
      </c>
      <c r="AQ1684" t="s">
        <v>11157</v>
      </c>
      <c r="AS1684" t="s">
        <v>11173</v>
      </c>
      <c r="AU1684">
        <v>20</v>
      </c>
      <c r="AW1684" t="s">
        <v>11187</v>
      </c>
      <c r="AZ1684" t="s">
        <v>11221</v>
      </c>
      <c r="BE1684" t="s">
        <v>11720</v>
      </c>
      <c r="BG1684" t="s">
        <v>14797</v>
      </c>
      <c r="BM1684" t="s">
        <v>15650</v>
      </c>
    </row>
    <row r="1685" spans="1:65">
      <c r="A1685" s="1">
        <f>HYPERLINK("https://lsnyc.legalserver.org/matter/dynamic-profile/view/1871226","18-1871226")</f>
        <v>0</v>
      </c>
      <c r="B1685" t="s">
        <v>133</v>
      </c>
      <c r="C1685" t="s">
        <v>248</v>
      </c>
      <c r="D1685" t="s">
        <v>780</v>
      </c>
      <c r="F1685" t="s">
        <v>1152</v>
      </c>
      <c r="G1685" t="s">
        <v>2941</v>
      </c>
      <c r="H1685" t="s">
        <v>4800</v>
      </c>
      <c r="I1685" t="s">
        <v>6405</v>
      </c>
      <c r="J1685" t="s">
        <v>7174</v>
      </c>
      <c r="K1685">
        <v>11221</v>
      </c>
      <c r="N1685" t="s">
        <v>7237</v>
      </c>
      <c r="O1685" t="s">
        <v>7320</v>
      </c>
      <c r="P1685">
        <v>1</v>
      </c>
      <c r="Q1685">
        <v>0</v>
      </c>
      <c r="R1685">
        <v>171.33</v>
      </c>
      <c r="U1685">
        <v>20800</v>
      </c>
      <c r="W1685">
        <v>38.5</v>
      </c>
      <c r="X1685" t="s">
        <v>685</v>
      </c>
      <c r="Y1685" t="s">
        <v>225</v>
      </c>
      <c r="AA1685" t="s">
        <v>10974</v>
      </c>
      <c r="AB1685" t="s">
        <v>702</v>
      </c>
      <c r="AD1685" t="s">
        <v>11098</v>
      </c>
      <c r="AF1685" t="s">
        <v>11122</v>
      </c>
      <c r="AH1685" t="s">
        <v>10974</v>
      </c>
      <c r="AJ1685" t="s">
        <v>11134</v>
      </c>
      <c r="AK1685" t="s">
        <v>7225</v>
      </c>
      <c r="AM1685">
        <v>763</v>
      </c>
      <c r="AO1685">
        <v>12</v>
      </c>
      <c r="AQ1685" t="s">
        <v>11157</v>
      </c>
      <c r="AS1685" t="s">
        <v>11173</v>
      </c>
      <c r="AU1685">
        <v>10</v>
      </c>
      <c r="AW1685" t="s">
        <v>11187</v>
      </c>
      <c r="AZ1685" t="s">
        <v>11221</v>
      </c>
      <c r="BE1685" t="s">
        <v>11733</v>
      </c>
      <c r="BF1685" t="s">
        <v>14364</v>
      </c>
      <c r="BM1685" t="s">
        <v>15650</v>
      </c>
    </row>
    <row r="1686" spans="1:65">
      <c r="A1686" s="1">
        <f>HYPERLINK("https://lsnyc.legalserver.org/matter/dynamic-profile/view/1871695","18-1871695")</f>
        <v>0</v>
      </c>
      <c r="B1686" t="s">
        <v>133</v>
      </c>
      <c r="C1686" t="s">
        <v>248</v>
      </c>
      <c r="D1686" t="s">
        <v>720</v>
      </c>
      <c r="F1686" t="s">
        <v>1867</v>
      </c>
      <c r="G1686" t="s">
        <v>1187</v>
      </c>
      <c r="H1686" t="s">
        <v>5370</v>
      </c>
      <c r="I1686" t="s">
        <v>6405</v>
      </c>
      <c r="J1686" t="s">
        <v>7174</v>
      </c>
      <c r="K1686">
        <v>11206</v>
      </c>
      <c r="N1686" t="s">
        <v>7237</v>
      </c>
      <c r="O1686" t="s">
        <v>8355</v>
      </c>
      <c r="P1686">
        <v>1</v>
      </c>
      <c r="Q1686">
        <v>6</v>
      </c>
      <c r="R1686">
        <v>182.87</v>
      </c>
      <c r="U1686">
        <v>69600</v>
      </c>
      <c r="W1686">
        <v>0</v>
      </c>
      <c r="Y1686" t="s">
        <v>10925</v>
      </c>
      <c r="AA1686" t="s">
        <v>10974</v>
      </c>
      <c r="AB1686" t="s">
        <v>11024</v>
      </c>
      <c r="AC1686" t="s">
        <v>11081</v>
      </c>
      <c r="AF1686" t="s">
        <v>10384</v>
      </c>
      <c r="AH1686" t="s">
        <v>10974</v>
      </c>
      <c r="AJ1686" t="s">
        <v>11104</v>
      </c>
      <c r="AK1686" t="s">
        <v>7225</v>
      </c>
      <c r="AM1686">
        <v>1155.44</v>
      </c>
      <c r="AO1686">
        <v>25</v>
      </c>
      <c r="AQ1686" t="s">
        <v>11157</v>
      </c>
      <c r="AR1686" t="s">
        <v>11172</v>
      </c>
      <c r="AU1686">
        <v>8</v>
      </c>
      <c r="AW1686" t="s">
        <v>11187</v>
      </c>
      <c r="AZ1686" t="s">
        <v>11221</v>
      </c>
      <c r="BE1686" t="s">
        <v>12643</v>
      </c>
      <c r="BF1686" t="s">
        <v>14364</v>
      </c>
      <c r="BM1686" t="s">
        <v>15650</v>
      </c>
    </row>
    <row r="1687" spans="1:65">
      <c r="A1687" s="1">
        <f>HYPERLINK("https://lsnyc.legalserver.org/matter/dynamic-profile/view/1857200","18-1857200")</f>
        <v>0</v>
      </c>
      <c r="B1687" t="s">
        <v>133</v>
      </c>
      <c r="C1687" t="s">
        <v>248</v>
      </c>
      <c r="D1687" t="s">
        <v>386</v>
      </c>
      <c r="F1687" t="s">
        <v>1867</v>
      </c>
      <c r="G1687" t="s">
        <v>1187</v>
      </c>
      <c r="H1687" t="s">
        <v>5370</v>
      </c>
      <c r="I1687" t="s">
        <v>6405</v>
      </c>
      <c r="J1687" t="s">
        <v>7174</v>
      </c>
      <c r="K1687">
        <v>11206</v>
      </c>
      <c r="N1687" t="s">
        <v>7237</v>
      </c>
      <c r="O1687" t="s">
        <v>8355</v>
      </c>
      <c r="P1687">
        <v>1</v>
      </c>
      <c r="Q1687">
        <v>6</v>
      </c>
      <c r="R1687">
        <v>182.87</v>
      </c>
      <c r="U1687">
        <v>69600</v>
      </c>
      <c r="W1687">
        <v>4</v>
      </c>
      <c r="X1687" t="s">
        <v>10827</v>
      </c>
      <c r="Y1687" t="s">
        <v>225</v>
      </c>
      <c r="AA1687" t="s">
        <v>10974</v>
      </c>
      <c r="AB1687" t="s">
        <v>292</v>
      </c>
      <c r="AD1687" t="s">
        <v>11101</v>
      </c>
      <c r="AF1687" t="s">
        <v>11118</v>
      </c>
      <c r="AH1687" t="s">
        <v>10974</v>
      </c>
      <c r="AI1687" t="s">
        <v>11126</v>
      </c>
      <c r="AK1687" t="s">
        <v>7225</v>
      </c>
      <c r="AM1687">
        <v>1155.44</v>
      </c>
      <c r="AO1687">
        <v>25</v>
      </c>
      <c r="AQ1687" t="s">
        <v>11157</v>
      </c>
      <c r="AR1687" t="s">
        <v>11172</v>
      </c>
      <c r="AU1687">
        <v>8</v>
      </c>
      <c r="AW1687" t="s">
        <v>11187</v>
      </c>
      <c r="AZ1687" t="s">
        <v>11221</v>
      </c>
      <c r="BE1687" t="s">
        <v>12643</v>
      </c>
      <c r="BF1687" t="s">
        <v>14364</v>
      </c>
      <c r="BM1687" t="s">
        <v>15650</v>
      </c>
    </row>
    <row r="1688" spans="1:65">
      <c r="A1688" s="1">
        <f>HYPERLINK("https://lsnyc.legalserver.org/matter/dynamic-profile/view/1905830","19-1905830")</f>
        <v>0</v>
      </c>
      <c r="B1688" t="s">
        <v>133</v>
      </c>
      <c r="C1688" t="s">
        <v>248</v>
      </c>
      <c r="D1688" t="s">
        <v>337</v>
      </c>
      <c r="F1688" t="s">
        <v>1143</v>
      </c>
      <c r="G1688" t="s">
        <v>2933</v>
      </c>
      <c r="H1688" t="s">
        <v>4805</v>
      </c>
      <c r="I1688" t="s">
        <v>6417</v>
      </c>
      <c r="J1688" t="s">
        <v>7174</v>
      </c>
      <c r="K1688">
        <v>11221</v>
      </c>
      <c r="N1688" t="s">
        <v>7245</v>
      </c>
      <c r="O1688" t="s">
        <v>7312</v>
      </c>
      <c r="P1688">
        <v>2</v>
      </c>
      <c r="Q1688">
        <v>0</v>
      </c>
      <c r="R1688">
        <v>184.51</v>
      </c>
      <c r="U1688">
        <v>31200</v>
      </c>
      <c r="V1688" t="s">
        <v>10441</v>
      </c>
      <c r="W1688">
        <v>3</v>
      </c>
      <c r="X1688" t="s">
        <v>311</v>
      </c>
      <c r="Y1688" t="s">
        <v>101</v>
      </c>
      <c r="AA1688" t="s">
        <v>10974</v>
      </c>
      <c r="AB1688" t="s">
        <v>370</v>
      </c>
      <c r="AD1688" t="s">
        <v>11085</v>
      </c>
      <c r="AF1688" t="s">
        <v>10384</v>
      </c>
      <c r="AH1688" t="s">
        <v>10974</v>
      </c>
      <c r="AI1688" t="s">
        <v>11126</v>
      </c>
      <c r="AK1688" t="s">
        <v>7225</v>
      </c>
      <c r="AM1688">
        <v>1292.5</v>
      </c>
      <c r="AO1688">
        <v>32</v>
      </c>
      <c r="AQ1688" t="s">
        <v>11157</v>
      </c>
      <c r="AS1688" t="s">
        <v>11173</v>
      </c>
      <c r="AU1688">
        <v>10</v>
      </c>
      <c r="AW1688" t="s">
        <v>11187</v>
      </c>
      <c r="AY1688" t="s">
        <v>11213</v>
      </c>
      <c r="BA1688" t="s">
        <v>11222</v>
      </c>
      <c r="BC1688" t="s">
        <v>11173</v>
      </c>
      <c r="BE1688" t="s">
        <v>11725</v>
      </c>
      <c r="BG1688" t="s">
        <v>14545</v>
      </c>
      <c r="BM1688" t="s">
        <v>15650</v>
      </c>
    </row>
    <row r="1689" spans="1:65">
      <c r="A1689" s="1">
        <f>HYPERLINK("https://lsnyc.legalserver.org/matter/dynamic-profile/view/1871628","18-1871628")</f>
        <v>0</v>
      </c>
      <c r="B1689" t="s">
        <v>133</v>
      </c>
      <c r="C1689" t="s">
        <v>248</v>
      </c>
      <c r="D1689" t="s">
        <v>771</v>
      </c>
      <c r="F1689" t="s">
        <v>1865</v>
      </c>
      <c r="G1689" t="s">
        <v>2921</v>
      </c>
      <c r="H1689" t="s">
        <v>5366</v>
      </c>
      <c r="I1689" t="s">
        <v>6425</v>
      </c>
      <c r="J1689" t="s">
        <v>7174</v>
      </c>
      <c r="K1689">
        <v>11212</v>
      </c>
      <c r="N1689" t="s">
        <v>7237</v>
      </c>
      <c r="O1689" t="s">
        <v>7405</v>
      </c>
      <c r="P1689">
        <v>2</v>
      </c>
      <c r="Q1689">
        <v>0</v>
      </c>
      <c r="R1689">
        <v>131.66</v>
      </c>
      <c r="U1689">
        <v>21672</v>
      </c>
      <c r="W1689">
        <v>0</v>
      </c>
      <c r="Y1689" t="s">
        <v>10925</v>
      </c>
      <c r="AA1689" t="s">
        <v>10974</v>
      </c>
      <c r="AB1689" t="s">
        <v>11020</v>
      </c>
      <c r="AD1689" t="s">
        <v>11086</v>
      </c>
      <c r="AF1689" t="s">
        <v>10384</v>
      </c>
      <c r="AH1689" t="s">
        <v>10974</v>
      </c>
      <c r="AJ1689" t="s">
        <v>11104</v>
      </c>
      <c r="AK1689" t="s">
        <v>7225</v>
      </c>
      <c r="AM1689">
        <v>755</v>
      </c>
      <c r="AO1689">
        <v>32</v>
      </c>
      <c r="AQ1689" t="s">
        <v>11157</v>
      </c>
      <c r="AS1689" t="s">
        <v>11173</v>
      </c>
      <c r="AU1689">
        <v>30</v>
      </c>
      <c r="AW1689" t="s">
        <v>11187</v>
      </c>
      <c r="AZ1689" t="s">
        <v>11221</v>
      </c>
      <c r="BE1689" t="s">
        <v>12635</v>
      </c>
      <c r="BF1689" t="s">
        <v>14364</v>
      </c>
      <c r="BM1689" t="s">
        <v>15650</v>
      </c>
    </row>
    <row r="1690" spans="1:65">
      <c r="A1690" s="1">
        <f>HYPERLINK("https://lsnyc.legalserver.org/matter/dynamic-profile/view/1872113","18-1872113")</f>
        <v>0</v>
      </c>
      <c r="B1690" t="s">
        <v>133</v>
      </c>
      <c r="C1690" t="s">
        <v>248</v>
      </c>
      <c r="D1690" t="s">
        <v>618</v>
      </c>
      <c r="F1690" t="s">
        <v>1868</v>
      </c>
      <c r="G1690" t="s">
        <v>2972</v>
      </c>
      <c r="H1690" t="s">
        <v>5034</v>
      </c>
      <c r="I1690" t="s">
        <v>6773</v>
      </c>
      <c r="J1690" t="s">
        <v>7174</v>
      </c>
      <c r="K1690">
        <v>11225</v>
      </c>
      <c r="N1690" t="s">
        <v>7237</v>
      </c>
      <c r="O1690" t="s">
        <v>8356</v>
      </c>
      <c r="P1690">
        <v>2</v>
      </c>
      <c r="Q1690">
        <v>0</v>
      </c>
      <c r="R1690">
        <v>89.95999999999999</v>
      </c>
      <c r="U1690">
        <v>14808</v>
      </c>
      <c r="W1690">
        <v>0</v>
      </c>
      <c r="Y1690" t="s">
        <v>225</v>
      </c>
      <c r="AA1690" t="s">
        <v>10974</v>
      </c>
      <c r="AB1690" t="s">
        <v>453</v>
      </c>
      <c r="AD1690" t="s">
        <v>11100</v>
      </c>
      <c r="AF1690" t="s">
        <v>10384</v>
      </c>
      <c r="AH1690" t="s">
        <v>10974</v>
      </c>
      <c r="AJ1690" t="s">
        <v>11134</v>
      </c>
      <c r="AK1690" t="s">
        <v>7225</v>
      </c>
      <c r="AM1690">
        <v>900</v>
      </c>
      <c r="AO1690">
        <v>89</v>
      </c>
      <c r="AQ1690" t="s">
        <v>11157</v>
      </c>
      <c r="AS1690" t="s">
        <v>11175</v>
      </c>
      <c r="AU1690">
        <v>29</v>
      </c>
      <c r="AW1690" t="s">
        <v>11187</v>
      </c>
      <c r="AZ1690" t="s">
        <v>11221</v>
      </c>
      <c r="BE1690" t="s">
        <v>12644</v>
      </c>
      <c r="BF1690" t="s">
        <v>14364</v>
      </c>
      <c r="BM1690" t="s">
        <v>15650</v>
      </c>
    </row>
    <row r="1691" spans="1:65">
      <c r="A1691" s="1">
        <f>HYPERLINK("https://lsnyc.legalserver.org/matter/dynamic-profile/view/1887836","19-1887836")</f>
        <v>0</v>
      </c>
      <c r="B1691" t="s">
        <v>133</v>
      </c>
      <c r="C1691" t="s">
        <v>248</v>
      </c>
      <c r="D1691" t="s">
        <v>596</v>
      </c>
      <c r="F1691" t="s">
        <v>1868</v>
      </c>
      <c r="G1691" t="s">
        <v>2972</v>
      </c>
      <c r="H1691" t="s">
        <v>5034</v>
      </c>
      <c r="I1691" t="s">
        <v>6773</v>
      </c>
      <c r="J1691" t="s">
        <v>7174</v>
      </c>
      <c r="K1691">
        <v>11225</v>
      </c>
      <c r="N1691" t="s">
        <v>7237</v>
      </c>
      <c r="O1691" t="s">
        <v>8356</v>
      </c>
      <c r="P1691">
        <v>2</v>
      </c>
      <c r="Q1691">
        <v>0</v>
      </c>
      <c r="R1691">
        <v>89.95999999999999</v>
      </c>
      <c r="U1691">
        <v>14808</v>
      </c>
      <c r="W1691">
        <v>0</v>
      </c>
      <c r="Y1691" t="s">
        <v>101</v>
      </c>
      <c r="AA1691" t="s">
        <v>10974</v>
      </c>
      <c r="AB1691" t="s">
        <v>453</v>
      </c>
      <c r="AD1691" t="s">
        <v>11098</v>
      </c>
      <c r="AF1691" t="s">
        <v>11122</v>
      </c>
      <c r="AH1691" t="s">
        <v>10974</v>
      </c>
      <c r="AJ1691" t="s">
        <v>11134</v>
      </c>
      <c r="AK1691" t="s">
        <v>7225</v>
      </c>
      <c r="AL1691" t="s">
        <v>11150</v>
      </c>
      <c r="AM1691">
        <v>0</v>
      </c>
      <c r="AO1691">
        <v>89</v>
      </c>
      <c r="AQ1691" t="s">
        <v>11157</v>
      </c>
      <c r="AS1691" t="s">
        <v>11175</v>
      </c>
      <c r="AU1691">
        <v>29</v>
      </c>
      <c r="AW1691" t="s">
        <v>11187</v>
      </c>
      <c r="AZ1691" t="s">
        <v>11221</v>
      </c>
      <c r="BE1691" t="s">
        <v>12644</v>
      </c>
      <c r="BF1691" t="s">
        <v>14364</v>
      </c>
      <c r="BM1691" t="s">
        <v>15650</v>
      </c>
    </row>
    <row r="1692" spans="1:65">
      <c r="A1692" s="1">
        <f>HYPERLINK("https://lsnyc.legalserver.org/matter/dynamic-profile/view/1903994","19-1903994")</f>
        <v>0</v>
      </c>
      <c r="B1692" t="s">
        <v>133</v>
      </c>
      <c r="C1692" t="s">
        <v>248</v>
      </c>
      <c r="D1692" t="s">
        <v>406</v>
      </c>
      <c r="F1692" t="s">
        <v>1869</v>
      </c>
      <c r="G1692" t="s">
        <v>3125</v>
      </c>
      <c r="H1692" t="s">
        <v>5368</v>
      </c>
      <c r="I1692" t="s">
        <v>6410</v>
      </c>
      <c r="J1692" t="s">
        <v>7174</v>
      </c>
      <c r="K1692">
        <v>11213</v>
      </c>
      <c r="N1692" t="s">
        <v>7245</v>
      </c>
      <c r="O1692" t="s">
        <v>8357</v>
      </c>
      <c r="P1692">
        <v>2</v>
      </c>
      <c r="Q1692">
        <v>1</v>
      </c>
      <c r="R1692">
        <v>118.97</v>
      </c>
      <c r="U1692">
        <v>25376</v>
      </c>
      <c r="V1692" t="s">
        <v>10442</v>
      </c>
      <c r="W1692">
        <v>0</v>
      </c>
      <c r="Y1692" t="s">
        <v>225</v>
      </c>
      <c r="AA1692" t="s">
        <v>10974</v>
      </c>
      <c r="AB1692" t="s">
        <v>483</v>
      </c>
      <c r="AD1692" t="s">
        <v>11100</v>
      </c>
      <c r="AF1692" t="s">
        <v>10384</v>
      </c>
      <c r="AH1692" t="s">
        <v>10974</v>
      </c>
      <c r="AJ1692" t="s">
        <v>11134</v>
      </c>
      <c r="AK1692" t="s">
        <v>7225</v>
      </c>
      <c r="AM1692">
        <v>560</v>
      </c>
      <c r="AO1692">
        <v>19</v>
      </c>
      <c r="AQ1692" t="s">
        <v>11157</v>
      </c>
      <c r="AS1692" t="s">
        <v>11173</v>
      </c>
      <c r="AU1692">
        <v>18</v>
      </c>
      <c r="AW1692" t="s">
        <v>11187</v>
      </c>
      <c r="AY1692" t="s">
        <v>11213</v>
      </c>
      <c r="BA1692" t="s">
        <v>11222</v>
      </c>
      <c r="BC1692" t="s">
        <v>11173</v>
      </c>
      <c r="BE1692" t="s">
        <v>12645</v>
      </c>
      <c r="BF1692" t="s">
        <v>14364</v>
      </c>
      <c r="BG1692" t="s">
        <v>14798</v>
      </c>
      <c r="BM1692" t="s">
        <v>15650</v>
      </c>
    </row>
    <row r="1693" spans="1:65">
      <c r="A1693" s="1">
        <f>HYPERLINK("https://lsnyc.legalserver.org/matter/dynamic-profile/view/1855010","18-1855010")</f>
        <v>0</v>
      </c>
      <c r="B1693" t="s">
        <v>133</v>
      </c>
      <c r="C1693" t="s">
        <v>248</v>
      </c>
      <c r="D1693" t="s">
        <v>360</v>
      </c>
      <c r="F1693" t="s">
        <v>1456</v>
      </c>
      <c r="G1693" t="s">
        <v>3667</v>
      </c>
      <c r="H1693" t="s">
        <v>5369</v>
      </c>
      <c r="I1693" t="s">
        <v>6774</v>
      </c>
      <c r="J1693" t="s">
        <v>7174</v>
      </c>
      <c r="K1693">
        <v>11206</v>
      </c>
      <c r="N1693" t="s">
        <v>7237</v>
      </c>
      <c r="O1693" t="s">
        <v>8358</v>
      </c>
      <c r="P1693">
        <v>1</v>
      </c>
      <c r="Q1693">
        <v>0</v>
      </c>
      <c r="R1693">
        <v>228.86</v>
      </c>
      <c r="U1693">
        <v>27600</v>
      </c>
      <c r="W1693">
        <v>0.5</v>
      </c>
      <c r="X1693" t="s">
        <v>818</v>
      </c>
      <c r="Y1693" t="s">
        <v>225</v>
      </c>
      <c r="AA1693" t="s">
        <v>10974</v>
      </c>
      <c r="AB1693" t="s">
        <v>849</v>
      </c>
      <c r="AD1693" t="s">
        <v>11101</v>
      </c>
      <c r="AF1693" t="s">
        <v>11118</v>
      </c>
      <c r="AG1693" t="s">
        <v>11124</v>
      </c>
      <c r="AJ1693" t="s">
        <v>11141</v>
      </c>
      <c r="AK1693" t="s">
        <v>7225</v>
      </c>
      <c r="AM1693">
        <v>572.7</v>
      </c>
      <c r="AO1693">
        <v>11</v>
      </c>
      <c r="AQ1693" t="s">
        <v>11157</v>
      </c>
      <c r="AS1693" t="s">
        <v>11173</v>
      </c>
      <c r="AU1693">
        <v>26</v>
      </c>
      <c r="AW1693" t="s">
        <v>11187</v>
      </c>
      <c r="AZ1693" t="s">
        <v>11221</v>
      </c>
      <c r="BE1693" t="s">
        <v>12646</v>
      </c>
      <c r="BF1693" t="s">
        <v>14364</v>
      </c>
      <c r="BM1693" t="s">
        <v>15650</v>
      </c>
    </row>
    <row r="1694" spans="1:65">
      <c r="A1694" s="1">
        <f>HYPERLINK("https://lsnyc.legalserver.org/matter/dynamic-profile/view/1871554","18-1871554")</f>
        <v>0</v>
      </c>
      <c r="B1694" t="s">
        <v>133</v>
      </c>
      <c r="C1694" t="s">
        <v>248</v>
      </c>
      <c r="D1694" t="s">
        <v>620</v>
      </c>
      <c r="F1694" t="s">
        <v>1870</v>
      </c>
      <c r="G1694" t="s">
        <v>3668</v>
      </c>
      <c r="H1694" t="s">
        <v>5366</v>
      </c>
      <c r="I1694" t="s">
        <v>6573</v>
      </c>
      <c r="J1694" t="s">
        <v>7174</v>
      </c>
      <c r="K1694">
        <v>11212</v>
      </c>
      <c r="N1694" t="s">
        <v>7237</v>
      </c>
      <c r="O1694" t="s">
        <v>8359</v>
      </c>
      <c r="P1694">
        <v>2</v>
      </c>
      <c r="Q1694">
        <v>0</v>
      </c>
      <c r="R1694">
        <v>89.23</v>
      </c>
      <c r="U1694">
        <v>14688</v>
      </c>
      <c r="W1694">
        <v>0</v>
      </c>
      <c r="Y1694" t="s">
        <v>10925</v>
      </c>
      <c r="AA1694" t="s">
        <v>10974</v>
      </c>
      <c r="AB1694" t="s">
        <v>11020</v>
      </c>
      <c r="AD1694" t="s">
        <v>11086</v>
      </c>
      <c r="AF1694" t="s">
        <v>10384</v>
      </c>
      <c r="AH1694" t="s">
        <v>10974</v>
      </c>
      <c r="AJ1694" t="s">
        <v>11104</v>
      </c>
      <c r="AK1694" t="s">
        <v>7225</v>
      </c>
      <c r="AM1694">
        <v>840</v>
      </c>
      <c r="AO1694">
        <v>32</v>
      </c>
      <c r="AQ1694" t="s">
        <v>11157</v>
      </c>
      <c r="AR1694" t="s">
        <v>11172</v>
      </c>
      <c r="AU1694">
        <v>19</v>
      </c>
      <c r="AW1694" t="s">
        <v>11187</v>
      </c>
      <c r="AZ1694" t="s">
        <v>11221</v>
      </c>
      <c r="BE1694" t="s">
        <v>12647</v>
      </c>
      <c r="BF1694" t="s">
        <v>14364</v>
      </c>
      <c r="BM1694" t="s">
        <v>15650</v>
      </c>
    </row>
    <row r="1695" spans="1:65">
      <c r="A1695" s="1">
        <f>HYPERLINK("https://lsnyc.legalserver.org/matter/dynamic-profile/view/1905764","19-1905764")</f>
        <v>0</v>
      </c>
      <c r="B1695" t="s">
        <v>133</v>
      </c>
      <c r="C1695" t="s">
        <v>248</v>
      </c>
      <c r="D1695" t="s">
        <v>511</v>
      </c>
      <c r="F1695" t="s">
        <v>1423</v>
      </c>
      <c r="G1695" t="s">
        <v>3236</v>
      </c>
      <c r="H1695" t="s">
        <v>5012</v>
      </c>
      <c r="I1695" t="s">
        <v>6417</v>
      </c>
      <c r="J1695" t="s">
        <v>7174</v>
      </c>
      <c r="K1695">
        <v>11221</v>
      </c>
      <c r="N1695" t="s">
        <v>7237</v>
      </c>
      <c r="O1695" t="s">
        <v>7722</v>
      </c>
      <c r="P1695">
        <v>3</v>
      </c>
      <c r="Q1695">
        <v>2</v>
      </c>
      <c r="R1695">
        <v>229.11</v>
      </c>
      <c r="U1695">
        <v>69122</v>
      </c>
      <c r="V1695" t="s">
        <v>10443</v>
      </c>
      <c r="W1695">
        <v>0</v>
      </c>
      <c r="Y1695" t="s">
        <v>101</v>
      </c>
      <c r="AA1695" t="s">
        <v>10974</v>
      </c>
      <c r="AB1695" t="s">
        <v>370</v>
      </c>
      <c r="AD1695" t="s">
        <v>11086</v>
      </c>
      <c r="AF1695" t="s">
        <v>10384</v>
      </c>
      <c r="AH1695" t="s">
        <v>10974</v>
      </c>
      <c r="AJ1695" t="s">
        <v>11104</v>
      </c>
      <c r="AK1695" t="s">
        <v>7225</v>
      </c>
      <c r="AM1695">
        <v>757</v>
      </c>
      <c r="AO1695">
        <v>16</v>
      </c>
      <c r="AQ1695" t="s">
        <v>11157</v>
      </c>
      <c r="AS1695" t="s">
        <v>11173</v>
      </c>
      <c r="AU1695">
        <v>27</v>
      </c>
      <c r="AW1695" t="s">
        <v>11187</v>
      </c>
      <c r="AY1695" t="s">
        <v>11213</v>
      </c>
      <c r="BA1695" t="s">
        <v>11222</v>
      </c>
      <c r="BC1695" t="s">
        <v>11173</v>
      </c>
      <c r="BE1695" t="s">
        <v>12079</v>
      </c>
      <c r="BF1695" t="s">
        <v>14364</v>
      </c>
      <c r="BG1695" t="s">
        <v>11086</v>
      </c>
      <c r="BM1695" t="s">
        <v>15650</v>
      </c>
    </row>
    <row r="1696" spans="1:65">
      <c r="A1696" s="1">
        <f>HYPERLINK("https://lsnyc.legalserver.org/matter/dynamic-profile/view/1905733","19-1905733")</f>
        <v>0</v>
      </c>
      <c r="B1696" t="s">
        <v>133</v>
      </c>
      <c r="C1696" t="s">
        <v>248</v>
      </c>
      <c r="D1696" t="s">
        <v>511</v>
      </c>
      <c r="F1696" t="s">
        <v>1847</v>
      </c>
      <c r="G1696" t="s">
        <v>3643</v>
      </c>
      <c r="H1696" t="s">
        <v>4800</v>
      </c>
      <c r="I1696" t="s">
        <v>6433</v>
      </c>
      <c r="J1696" t="s">
        <v>7174</v>
      </c>
      <c r="K1696">
        <v>11221</v>
      </c>
      <c r="N1696" t="s">
        <v>7237</v>
      </c>
      <c r="O1696" t="s">
        <v>8316</v>
      </c>
      <c r="P1696">
        <v>3</v>
      </c>
      <c r="Q1696">
        <v>0</v>
      </c>
      <c r="R1696">
        <v>398.5</v>
      </c>
      <c r="U1696">
        <v>85000</v>
      </c>
      <c r="V1696" t="s">
        <v>10444</v>
      </c>
      <c r="W1696">
        <v>0</v>
      </c>
      <c r="Y1696" t="s">
        <v>101</v>
      </c>
      <c r="AA1696" t="s">
        <v>10974</v>
      </c>
      <c r="AB1696" t="s">
        <v>370</v>
      </c>
      <c r="AD1696" t="s">
        <v>11086</v>
      </c>
      <c r="AF1696" t="s">
        <v>10384</v>
      </c>
      <c r="AH1696" t="s">
        <v>10974</v>
      </c>
      <c r="AJ1696" t="s">
        <v>11141</v>
      </c>
      <c r="AK1696" t="s">
        <v>7225</v>
      </c>
      <c r="AM1696">
        <v>632.48</v>
      </c>
      <c r="AO1696">
        <v>12</v>
      </c>
      <c r="AQ1696" t="s">
        <v>11157</v>
      </c>
      <c r="AS1696" t="s">
        <v>11173</v>
      </c>
      <c r="AU1696">
        <v>18</v>
      </c>
      <c r="AW1696" t="s">
        <v>11187</v>
      </c>
      <c r="AY1696" t="s">
        <v>11213</v>
      </c>
      <c r="BA1696" t="s">
        <v>11222</v>
      </c>
      <c r="BC1696" t="s">
        <v>11173</v>
      </c>
      <c r="BE1696" t="s">
        <v>12608</v>
      </c>
      <c r="BF1696" t="s">
        <v>14364</v>
      </c>
      <c r="BG1696" t="s">
        <v>11086</v>
      </c>
      <c r="BM1696" t="s">
        <v>15650</v>
      </c>
    </row>
    <row r="1697" spans="1:65">
      <c r="A1697" s="1">
        <f>HYPERLINK("https://lsnyc.legalserver.org/matter/dynamic-profile/view/1857188","18-1857188")</f>
        <v>0</v>
      </c>
      <c r="B1697" t="s">
        <v>133</v>
      </c>
      <c r="C1697" t="s">
        <v>248</v>
      </c>
      <c r="D1697" t="s">
        <v>386</v>
      </c>
      <c r="F1697" t="s">
        <v>1489</v>
      </c>
      <c r="G1697" t="s">
        <v>2889</v>
      </c>
      <c r="H1697" t="s">
        <v>5367</v>
      </c>
      <c r="I1697" t="s">
        <v>6507</v>
      </c>
      <c r="J1697" t="s">
        <v>7174</v>
      </c>
      <c r="K1697">
        <v>11206</v>
      </c>
      <c r="N1697" t="s">
        <v>7237</v>
      </c>
      <c r="O1697" t="s">
        <v>8352</v>
      </c>
      <c r="P1697">
        <v>1</v>
      </c>
      <c r="Q1697">
        <v>2</v>
      </c>
      <c r="R1697">
        <v>89.13</v>
      </c>
      <c r="U1697">
        <v>18200</v>
      </c>
      <c r="V1697" t="s">
        <v>10445</v>
      </c>
      <c r="W1697">
        <v>0</v>
      </c>
      <c r="Y1697" t="s">
        <v>225</v>
      </c>
      <c r="AA1697" t="s">
        <v>10974</v>
      </c>
      <c r="AB1697" t="s">
        <v>292</v>
      </c>
      <c r="AD1697" t="s">
        <v>11101</v>
      </c>
      <c r="AF1697" t="s">
        <v>11118</v>
      </c>
      <c r="AH1697" t="s">
        <v>10974</v>
      </c>
      <c r="AJ1697" t="s">
        <v>11104</v>
      </c>
      <c r="AK1697" t="s">
        <v>7225</v>
      </c>
      <c r="AM1697">
        <v>611.9299999999999</v>
      </c>
      <c r="AO1697">
        <v>25</v>
      </c>
      <c r="AQ1697" t="s">
        <v>11157</v>
      </c>
      <c r="AR1697" t="s">
        <v>11172</v>
      </c>
      <c r="AU1697">
        <v>7</v>
      </c>
      <c r="AW1697" t="s">
        <v>11187</v>
      </c>
      <c r="AZ1697" t="s">
        <v>11221</v>
      </c>
      <c r="BB1697" t="s">
        <v>11224</v>
      </c>
      <c r="BC1697" t="s">
        <v>11379</v>
      </c>
      <c r="BE1697" t="s">
        <v>12641</v>
      </c>
      <c r="BF1697" t="s">
        <v>14364</v>
      </c>
      <c r="BM1697" t="s">
        <v>15650</v>
      </c>
    </row>
    <row r="1698" spans="1:65">
      <c r="A1698" s="1">
        <f>HYPERLINK("https://lsnyc.legalserver.org/matter/dynamic-profile/view/1869424","18-1869424")</f>
        <v>0</v>
      </c>
      <c r="B1698" t="s">
        <v>133</v>
      </c>
      <c r="C1698" t="s">
        <v>248</v>
      </c>
      <c r="D1698" t="s">
        <v>766</v>
      </c>
      <c r="F1698" t="s">
        <v>1629</v>
      </c>
      <c r="G1698" t="s">
        <v>3669</v>
      </c>
      <c r="H1698" t="s">
        <v>5365</v>
      </c>
      <c r="I1698" t="s">
        <v>6432</v>
      </c>
      <c r="J1698" t="s">
        <v>7174</v>
      </c>
      <c r="K1698">
        <v>11233</v>
      </c>
      <c r="N1698" t="s">
        <v>7237</v>
      </c>
      <c r="O1698" t="s">
        <v>8360</v>
      </c>
      <c r="P1698">
        <v>3</v>
      </c>
      <c r="Q1698">
        <v>2</v>
      </c>
      <c r="R1698">
        <v>88.38</v>
      </c>
      <c r="U1698">
        <v>26000</v>
      </c>
      <c r="W1698">
        <v>0</v>
      </c>
      <c r="Y1698" t="s">
        <v>225</v>
      </c>
      <c r="AA1698" t="s">
        <v>10974</v>
      </c>
      <c r="AB1698" t="s">
        <v>759</v>
      </c>
      <c r="AD1698" t="s">
        <v>11100</v>
      </c>
      <c r="AF1698" t="s">
        <v>10384</v>
      </c>
      <c r="AH1698" t="s">
        <v>10974</v>
      </c>
      <c r="AJ1698" t="s">
        <v>11129</v>
      </c>
      <c r="AK1698" t="s">
        <v>7225</v>
      </c>
      <c r="AM1698">
        <v>950</v>
      </c>
      <c r="AO1698">
        <v>11</v>
      </c>
      <c r="AQ1698" t="s">
        <v>11157</v>
      </c>
      <c r="AS1698" t="s">
        <v>11173</v>
      </c>
      <c r="AU1698">
        <v>23</v>
      </c>
      <c r="AW1698" t="s">
        <v>11187</v>
      </c>
      <c r="AZ1698" t="s">
        <v>11221</v>
      </c>
      <c r="BE1698" t="s">
        <v>12648</v>
      </c>
      <c r="BF1698" t="s">
        <v>14364</v>
      </c>
      <c r="BM1698" t="s">
        <v>15650</v>
      </c>
    </row>
    <row r="1699" spans="1:65">
      <c r="A1699" s="1">
        <f>HYPERLINK("https://lsnyc.legalserver.org/matter/dynamic-profile/view/1878674","18-1878674")</f>
        <v>0</v>
      </c>
      <c r="B1699" t="s">
        <v>133</v>
      </c>
      <c r="C1699" t="s">
        <v>248</v>
      </c>
      <c r="D1699" t="s">
        <v>543</v>
      </c>
      <c r="F1699" t="s">
        <v>1144</v>
      </c>
      <c r="G1699" t="s">
        <v>2932</v>
      </c>
      <c r="H1699" t="s">
        <v>4800</v>
      </c>
      <c r="I1699" t="s">
        <v>6424</v>
      </c>
      <c r="J1699" t="s">
        <v>7174</v>
      </c>
      <c r="K1699">
        <v>11221</v>
      </c>
      <c r="N1699" t="s">
        <v>7237</v>
      </c>
      <c r="O1699" t="s">
        <v>7313</v>
      </c>
      <c r="P1699">
        <v>1</v>
      </c>
      <c r="Q1699">
        <v>0</v>
      </c>
      <c r="R1699">
        <v>395.39</v>
      </c>
      <c r="U1699">
        <v>48000</v>
      </c>
      <c r="V1699" t="s">
        <v>10446</v>
      </c>
      <c r="W1699">
        <v>0.2</v>
      </c>
      <c r="X1699" t="s">
        <v>315</v>
      </c>
      <c r="Y1699" t="s">
        <v>225</v>
      </c>
      <c r="AA1699" t="s">
        <v>10974</v>
      </c>
      <c r="AB1699" t="s">
        <v>794</v>
      </c>
      <c r="AD1699" t="s">
        <v>11098</v>
      </c>
      <c r="AF1699" t="s">
        <v>11122</v>
      </c>
      <c r="AH1699" t="s">
        <v>10974</v>
      </c>
      <c r="AJ1699" t="s">
        <v>11141</v>
      </c>
      <c r="AK1699" t="s">
        <v>7225</v>
      </c>
      <c r="AM1699">
        <v>780</v>
      </c>
      <c r="AO1699">
        <v>12</v>
      </c>
      <c r="AQ1699" t="s">
        <v>11157</v>
      </c>
      <c r="AS1699" t="s">
        <v>11173</v>
      </c>
      <c r="AU1699">
        <v>15</v>
      </c>
      <c r="AW1699" t="s">
        <v>11187</v>
      </c>
      <c r="AZ1699" t="s">
        <v>11221</v>
      </c>
      <c r="BE1699" t="s">
        <v>11724</v>
      </c>
      <c r="BF1699" t="s">
        <v>14364</v>
      </c>
      <c r="BM1699" t="s">
        <v>15650</v>
      </c>
    </row>
    <row r="1700" spans="1:65">
      <c r="A1700" s="1">
        <f>HYPERLINK("https://lsnyc.legalserver.org/matter/dynamic-profile/view/1867073","18-1867073")</f>
        <v>0</v>
      </c>
      <c r="B1700" t="s">
        <v>133</v>
      </c>
      <c r="C1700" t="s">
        <v>248</v>
      </c>
      <c r="D1700" t="s">
        <v>761</v>
      </c>
      <c r="F1700" t="s">
        <v>1535</v>
      </c>
      <c r="G1700" t="s">
        <v>3658</v>
      </c>
      <c r="H1700" t="s">
        <v>5366</v>
      </c>
      <c r="I1700" t="s">
        <v>6407</v>
      </c>
      <c r="J1700" t="s">
        <v>7174</v>
      </c>
      <c r="K1700">
        <v>11212</v>
      </c>
      <c r="N1700" t="s">
        <v>7237</v>
      </c>
      <c r="O1700" t="s">
        <v>8337</v>
      </c>
      <c r="P1700">
        <v>2</v>
      </c>
      <c r="Q1700">
        <v>0</v>
      </c>
      <c r="R1700">
        <v>160.39</v>
      </c>
      <c r="U1700">
        <v>26400</v>
      </c>
      <c r="W1700">
        <v>0</v>
      </c>
      <c r="Y1700" t="s">
        <v>225</v>
      </c>
      <c r="AA1700" t="s">
        <v>10974</v>
      </c>
      <c r="AB1700" t="s">
        <v>849</v>
      </c>
      <c r="AD1700" t="s">
        <v>11100</v>
      </c>
      <c r="AF1700" t="s">
        <v>11122</v>
      </c>
      <c r="AH1700" t="s">
        <v>10974</v>
      </c>
      <c r="AJ1700" t="s">
        <v>11104</v>
      </c>
      <c r="AK1700" t="s">
        <v>7225</v>
      </c>
      <c r="AM1700">
        <v>922.9400000000001</v>
      </c>
      <c r="AO1700">
        <v>32</v>
      </c>
      <c r="AQ1700" t="s">
        <v>11157</v>
      </c>
      <c r="AR1700" t="s">
        <v>11172</v>
      </c>
      <c r="AU1700">
        <v>21</v>
      </c>
      <c r="AW1700" t="s">
        <v>11187</v>
      </c>
      <c r="AZ1700" t="s">
        <v>11221</v>
      </c>
      <c r="BE1700" t="s">
        <v>12628</v>
      </c>
      <c r="BF1700" t="s">
        <v>14364</v>
      </c>
      <c r="BM1700" t="s">
        <v>15650</v>
      </c>
    </row>
    <row r="1701" spans="1:65">
      <c r="A1701" s="1">
        <f>HYPERLINK("https://lsnyc.legalserver.org/matter/dynamic-profile/view/1867283","18-1867283")</f>
        <v>0</v>
      </c>
      <c r="B1701" t="s">
        <v>133</v>
      </c>
      <c r="C1701" t="s">
        <v>248</v>
      </c>
      <c r="D1701" t="s">
        <v>764</v>
      </c>
      <c r="F1701" t="s">
        <v>1260</v>
      </c>
      <c r="G1701" t="s">
        <v>3651</v>
      </c>
      <c r="H1701" t="s">
        <v>5366</v>
      </c>
      <c r="I1701" t="s">
        <v>6686</v>
      </c>
      <c r="J1701" t="s">
        <v>7174</v>
      </c>
      <c r="K1701">
        <v>11212</v>
      </c>
      <c r="N1701" t="s">
        <v>7237</v>
      </c>
      <c r="O1701" t="s">
        <v>8325</v>
      </c>
      <c r="P1701">
        <v>3</v>
      </c>
      <c r="Q1701">
        <v>0</v>
      </c>
      <c r="R1701">
        <v>110.68</v>
      </c>
      <c r="U1701">
        <v>23000</v>
      </c>
      <c r="V1701" t="s">
        <v>10427</v>
      </c>
      <c r="W1701">
        <v>0</v>
      </c>
      <c r="Y1701" t="s">
        <v>225</v>
      </c>
      <c r="AA1701" t="s">
        <v>10974</v>
      </c>
      <c r="AB1701" t="s">
        <v>849</v>
      </c>
      <c r="AD1701" t="s">
        <v>11100</v>
      </c>
      <c r="AF1701" t="s">
        <v>11120</v>
      </c>
      <c r="AH1701" t="s">
        <v>10974</v>
      </c>
      <c r="AJ1701" t="s">
        <v>11104</v>
      </c>
      <c r="AK1701" t="s">
        <v>7225</v>
      </c>
      <c r="AM1701">
        <v>893.61</v>
      </c>
      <c r="AO1701">
        <v>32</v>
      </c>
      <c r="AQ1701" t="s">
        <v>11157</v>
      </c>
      <c r="AR1701" t="s">
        <v>11172</v>
      </c>
      <c r="AU1701">
        <v>8</v>
      </c>
      <c r="AW1701" t="s">
        <v>11187</v>
      </c>
      <c r="AZ1701" t="s">
        <v>11221</v>
      </c>
      <c r="BE1701" t="s">
        <v>12616</v>
      </c>
      <c r="BF1701" t="s">
        <v>14364</v>
      </c>
      <c r="BM1701" t="s">
        <v>15650</v>
      </c>
    </row>
    <row r="1702" spans="1:65">
      <c r="A1702" s="1">
        <f>HYPERLINK("https://lsnyc.legalserver.org/matter/dynamic-profile/view/1871738","18-1871738")</f>
        <v>0</v>
      </c>
      <c r="B1702" t="s">
        <v>133</v>
      </c>
      <c r="C1702" t="s">
        <v>248</v>
      </c>
      <c r="D1702" t="s">
        <v>720</v>
      </c>
      <c r="F1702" t="s">
        <v>1871</v>
      </c>
      <c r="G1702" t="s">
        <v>3670</v>
      </c>
      <c r="H1702" t="s">
        <v>5369</v>
      </c>
      <c r="I1702" t="s">
        <v>6417</v>
      </c>
      <c r="J1702" t="s">
        <v>7174</v>
      </c>
      <c r="K1702">
        <v>11206</v>
      </c>
      <c r="N1702" t="s">
        <v>7237</v>
      </c>
      <c r="O1702" t="s">
        <v>8361</v>
      </c>
      <c r="P1702">
        <v>3</v>
      </c>
      <c r="Q1702">
        <v>0</v>
      </c>
      <c r="R1702">
        <v>38.2</v>
      </c>
      <c r="U1702">
        <v>7938</v>
      </c>
      <c r="V1702" t="s">
        <v>10447</v>
      </c>
      <c r="W1702">
        <v>11.45</v>
      </c>
      <c r="X1702" t="s">
        <v>505</v>
      </c>
      <c r="Y1702" t="s">
        <v>10925</v>
      </c>
      <c r="AA1702" t="s">
        <v>10974</v>
      </c>
      <c r="AB1702" t="s">
        <v>720</v>
      </c>
      <c r="AD1702" t="s">
        <v>11098</v>
      </c>
      <c r="AF1702" t="s">
        <v>11122</v>
      </c>
      <c r="AH1702" t="s">
        <v>10974</v>
      </c>
      <c r="AI1702" t="s">
        <v>11126</v>
      </c>
      <c r="AK1702" t="s">
        <v>7225</v>
      </c>
      <c r="AM1702">
        <v>1291.45</v>
      </c>
      <c r="AO1702">
        <v>29</v>
      </c>
      <c r="AQ1702" t="s">
        <v>11157</v>
      </c>
      <c r="AS1702" t="s">
        <v>11174</v>
      </c>
      <c r="AU1702">
        <v>23</v>
      </c>
      <c r="AW1702" t="s">
        <v>11187</v>
      </c>
      <c r="AZ1702" t="s">
        <v>11221</v>
      </c>
      <c r="BE1702" t="s">
        <v>12649</v>
      </c>
      <c r="BG1702" t="s">
        <v>14795</v>
      </c>
      <c r="BM1702" t="s">
        <v>15650</v>
      </c>
    </row>
    <row r="1703" spans="1:65">
      <c r="A1703" s="1">
        <f>HYPERLINK("https://lsnyc.legalserver.org/matter/dynamic-profile/view/1867085","18-1867085")</f>
        <v>0</v>
      </c>
      <c r="B1703" t="s">
        <v>133</v>
      </c>
      <c r="C1703" t="s">
        <v>248</v>
      </c>
      <c r="D1703" t="s">
        <v>761</v>
      </c>
      <c r="F1703" t="s">
        <v>1872</v>
      </c>
      <c r="G1703" t="s">
        <v>3671</v>
      </c>
      <c r="H1703" t="s">
        <v>5366</v>
      </c>
      <c r="I1703" t="s">
        <v>6609</v>
      </c>
      <c r="J1703" t="s">
        <v>7174</v>
      </c>
      <c r="K1703">
        <v>11212</v>
      </c>
      <c r="N1703" t="s">
        <v>7237</v>
      </c>
      <c r="O1703" t="s">
        <v>8362</v>
      </c>
      <c r="P1703">
        <v>1</v>
      </c>
      <c r="Q1703">
        <v>0</v>
      </c>
      <c r="R1703">
        <v>0</v>
      </c>
      <c r="U1703">
        <v>0</v>
      </c>
      <c r="W1703">
        <v>0</v>
      </c>
      <c r="Y1703" t="s">
        <v>225</v>
      </c>
      <c r="AA1703" t="s">
        <v>10974</v>
      </c>
      <c r="AB1703" t="s">
        <v>849</v>
      </c>
      <c r="AD1703" t="s">
        <v>11100</v>
      </c>
      <c r="AF1703" t="s">
        <v>11122</v>
      </c>
      <c r="AH1703" t="s">
        <v>10974</v>
      </c>
      <c r="AJ1703" t="s">
        <v>11104</v>
      </c>
      <c r="AK1703" t="s">
        <v>7225</v>
      </c>
      <c r="AM1703">
        <v>1180.14</v>
      </c>
      <c r="AN1703" t="s">
        <v>11151</v>
      </c>
      <c r="AO1703" t="s">
        <v>11153</v>
      </c>
      <c r="AQ1703" t="s">
        <v>11157</v>
      </c>
      <c r="AR1703" t="s">
        <v>11172</v>
      </c>
      <c r="AU1703">
        <v>16</v>
      </c>
      <c r="AW1703" t="s">
        <v>11187</v>
      </c>
      <c r="AZ1703" t="s">
        <v>11221</v>
      </c>
      <c r="BE1703" t="s">
        <v>12650</v>
      </c>
      <c r="BF1703" t="s">
        <v>14364</v>
      </c>
      <c r="BM1703" t="s">
        <v>15650</v>
      </c>
    </row>
    <row r="1704" spans="1:65">
      <c r="A1704" s="1">
        <f>HYPERLINK("https://lsnyc.legalserver.org/matter/dynamic-profile/view/1905891","19-1905891")</f>
        <v>0</v>
      </c>
      <c r="B1704" t="s">
        <v>133</v>
      </c>
      <c r="C1704" t="s">
        <v>248</v>
      </c>
      <c r="D1704" t="s">
        <v>337</v>
      </c>
      <c r="F1704" t="s">
        <v>1612</v>
      </c>
      <c r="G1704" t="s">
        <v>3377</v>
      </c>
      <c r="H1704" t="s">
        <v>5166</v>
      </c>
      <c r="I1704" t="s">
        <v>6482</v>
      </c>
      <c r="J1704" t="s">
        <v>7174</v>
      </c>
      <c r="K1704">
        <v>11213</v>
      </c>
      <c r="N1704" t="s">
        <v>7237</v>
      </c>
      <c r="O1704" t="s">
        <v>7931</v>
      </c>
      <c r="P1704">
        <v>2</v>
      </c>
      <c r="Q1704">
        <v>0</v>
      </c>
      <c r="R1704">
        <v>49.67</v>
      </c>
      <c r="U1704">
        <v>8400</v>
      </c>
      <c r="V1704" t="s">
        <v>10448</v>
      </c>
      <c r="W1704">
        <v>0</v>
      </c>
      <c r="Y1704" t="s">
        <v>225</v>
      </c>
      <c r="AA1704" t="s">
        <v>10974</v>
      </c>
      <c r="AB1704" t="s">
        <v>370</v>
      </c>
      <c r="AD1704" t="s">
        <v>11100</v>
      </c>
      <c r="AF1704" t="s">
        <v>10384</v>
      </c>
      <c r="AH1704" t="s">
        <v>10974</v>
      </c>
      <c r="AJ1704" t="s">
        <v>11129</v>
      </c>
      <c r="AK1704" t="s">
        <v>7225</v>
      </c>
      <c r="AM1704">
        <v>551</v>
      </c>
      <c r="AO1704">
        <v>6</v>
      </c>
      <c r="AQ1704" t="s">
        <v>11157</v>
      </c>
      <c r="AS1704" t="s">
        <v>11173</v>
      </c>
      <c r="AU1704">
        <v>15</v>
      </c>
      <c r="AW1704" t="s">
        <v>11187</v>
      </c>
      <c r="AY1704" t="s">
        <v>11213</v>
      </c>
      <c r="BA1704" t="s">
        <v>11222</v>
      </c>
      <c r="BC1704" t="s">
        <v>11173</v>
      </c>
      <c r="BE1704" t="s">
        <v>12263</v>
      </c>
      <c r="BF1704" t="s">
        <v>14364</v>
      </c>
      <c r="BG1704" t="s">
        <v>14799</v>
      </c>
      <c r="BM1704" t="s">
        <v>15650</v>
      </c>
    </row>
    <row r="1705" spans="1:65">
      <c r="A1705" s="1">
        <f>HYPERLINK("https://lsnyc.legalserver.org/matter/dynamic-profile/view/1866845","18-1866845")</f>
        <v>0</v>
      </c>
      <c r="B1705" t="s">
        <v>133</v>
      </c>
      <c r="C1705" t="s">
        <v>248</v>
      </c>
      <c r="D1705" t="s">
        <v>768</v>
      </c>
      <c r="F1705" t="s">
        <v>1846</v>
      </c>
      <c r="G1705" t="s">
        <v>3642</v>
      </c>
      <c r="H1705" t="s">
        <v>5366</v>
      </c>
      <c r="I1705" t="s">
        <v>6466</v>
      </c>
      <c r="J1705" t="s">
        <v>7174</v>
      </c>
      <c r="K1705">
        <v>11212</v>
      </c>
      <c r="N1705" t="s">
        <v>7237</v>
      </c>
      <c r="O1705" t="s">
        <v>8314</v>
      </c>
      <c r="P1705">
        <v>2</v>
      </c>
      <c r="Q1705">
        <v>0</v>
      </c>
      <c r="R1705">
        <v>482.65</v>
      </c>
      <c r="U1705">
        <v>78382</v>
      </c>
      <c r="W1705">
        <v>0.25</v>
      </c>
      <c r="X1705" t="s">
        <v>768</v>
      </c>
      <c r="Y1705" t="s">
        <v>133</v>
      </c>
      <c r="AA1705" t="s">
        <v>10974</v>
      </c>
      <c r="AB1705" t="s">
        <v>964</v>
      </c>
      <c r="AD1705" t="s">
        <v>11086</v>
      </c>
      <c r="AF1705" t="s">
        <v>11122</v>
      </c>
      <c r="AH1705" t="s">
        <v>10974</v>
      </c>
      <c r="AI1705" t="s">
        <v>11126</v>
      </c>
      <c r="AK1705" t="s">
        <v>7225</v>
      </c>
      <c r="AM1705">
        <v>1120</v>
      </c>
      <c r="AO1705">
        <v>31</v>
      </c>
      <c r="AQ1705" t="s">
        <v>11157</v>
      </c>
      <c r="AR1705" t="s">
        <v>11172</v>
      </c>
      <c r="AU1705">
        <v>13</v>
      </c>
      <c r="AW1705" t="s">
        <v>11187</v>
      </c>
      <c r="AZ1705" t="s">
        <v>11221</v>
      </c>
      <c r="BE1705" t="s">
        <v>12606</v>
      </c>
      <c r="BF1705" t="s">
        <v>14364</v>
      </c>
      <c r="BM1705" t="s">
        <v>15650</v>
      </c>
    </row>
    <row r="1706" spans="1:65">
      <c r="A1706" s="1">
        <f>HYPERLINK("https://lsnyc.legalserver.org/matter/dynamic-profile/view/1866945","18-1866945")</f>
        <v>0</v>
      </c>
      <c r="B1706" t="s">
        <v>133</v>
      </c>
      <c r="C1706" t="s">
        <v>248</v>
      </c>
      <c r="D1706" t="s">
        <v>768</v>
      </c>
      <c r="F1706" t="s">
        <v>1873</v>
      </c>
      <c r="G1706" t="s">
        <v>3672</v>
      </c>
      <c r="H1706" t="s">
        <v>5366</v>
      </c>
      <c r="J1706" t="s">
        <v>7174</v>
      </c>
      <c r="K1706">
        <v>11212</v>
      </c>
      <c r="N1706" t="s">
        <v>7237</v>
      </c>
      <c r="O1706" t="s">
        <v>8363</v>
      </c>
      <c r="P1706">
        <v>1</v>
      </c>
      <c r="Q1706">
        <v>0</v>
      </c>
      <c r="R1706">
        <v>76.11</v>
      </c>
      <c r="U1706">
        <v>9240</v>
      </c>
      <c r="W1706">
        <v>9</v>
      </c>
      <c r="X1706" t="s">
        <v>590</v>
      </c>
      <c r="Y1706" t="s">
        <v>225</v>
      </c>
      <c r="AA1706" t="s">
        <v>10974</v>
      </c>
      <c r="AB1706" t="s">
        <v>939</v>
      </c>
      <c r="AC1706" t="s">
        <v>11081</v>
      </c>
      <c r="AF1706" t="s">
        <v>11122</v>
      </c>
      <c r="AH1706" t="s">
        <v>10974</v>
      </c>
      <c r="AJ1706" t="s">
        <v>11129</v>
      </c>
      <c r="AK1706" t="s">
        <v>7225</v>
      </c>
      <c r="AM1706">
        <v>932</v>
      </c>
      <c r="AO1706">
        <v>31</v>
      </c>
      <c r="AQ1706" t="s">
        <v>11157</v>
      </c>
      <c r="AS1706" t="s">
        <v>11173</v>
      </c>
      <c r="AU1706">
        <v>13</v>
      </c>
      <c r="AW1706" t="s">
        <v>11187</v>
      </c>
      <c r="AZ1706" t="s">
        <v>11221</v>
      </c>
      <c r="BE1706" t="s">
        <v>12651</v>
      </c>
      <c r="BF1706" t="s">
        <v>14364</v>
      </c>
      <c r="BM1706" t="s">
        <v>15650</v>
      </c>
    </row>
    <row r="1707" spans="1:65">
      <c r="A1707" s="1">
        <f>HYPERLINK("https://lsnyc.legalserver.org/matter/dynamic-profile/view/1896742","19-1896742")</f>
        <v>0</v>
      </c>
      <c r="B1707" t="s">
        <v>133</v>
      </c>
      <c r="C1707" t="s">
        <v>248</v>
      </c>
      <c r="D1707" t="s">
        <v>776</v>
      </c>
      <c r="F1707" t="s">
        <v>1612</v>
      </c>
      <c r="G1707" t="s">
        <v>3377</v>
      </c>
      <c r="H1707" t="s">
        <v>5166</v>
      </c>
      <c r="I1707" t="s">
        <v>6482</v>
      </c>
      <c r="J1707" t="s">
        <v>7174</v>
      </c>
      <c r="K1707">
        <v>11213</v>
      </c>
      <c r="N1707" t="s">
        <v>7237</v>
      </c>
      <c r="O1707" t="s">
        <v>7931</v>
      </c>
      <c r="P1707">
        <v>2</v>
      </c>
      <c r="Q1707">
        <v>0</v>
      </c>
      <c r="R1707">
        <v>49.67</v>
      </c>
      <c r="U1707">
        <v>8400</v>
      </c>
      <c r="V1707" t="s">
        <v>10449</v>
      </c>
      <c r="W1707">
        <v>1.5</v>
      </c>
      <c r="X1707" t="s">
        <v>10823</v>
      </c>
      <c r="Y1707" t="s">
        <v>101</v>
      </c>
      <c r="AA1707" t="s">
        <v>10974</v>
      </c>
      <c r="AB1707" t="s">
        <v>428</v>
      </c>
      <c r="AD1707" t="s">
        <v>11100</v>
      </c>
      <c r="AF1707" t="s">
        <v>10384</v>
      </c>
      <c r="AH1707" t="s">
        <v>10974</v>
      </c>
      <c r="AJ1707" t="s">
        <v>11141</v>
      </c>
      <c r="AK1707" t="s">
        <v>7225</v>
      </c>
      <c r="AM1707">
        <v>551</v>
      </c>
      <c r="AO1707">
        <v>6</v>
      </c>
      <c r="AQ1707" t="s">
        <v>11157</v>
      </c>
      <c r="AS1707" t="s">
        <v>11173</v>
      </c>
      <c r="AU1707">
        <v>15</v>
      </c>
      <c r="AW1707" t="s">
        <v>11187</v>
      </c>
      <c r="BA1707" t="s">
        <v>11222</v>
      </c>
      <c r="BE1707" t="s">
        <v>12263</v>
      </c>
      <c r="BF1707" t="s">
        <v>14364</v>
      </c>
      <c r="BG1707" t="s">
        <v>14411</v>
      </c>
      <c r="BM1707" t="s">
        <v>15650</v>
      </c>
    </row>
    <row r="1708" spans="1:65">
      <c r="A1708" s="1">
        <f>HYPERLINK("https://lsnyc.legalserver.org/matter/dynamic-profile/view/1896739","19-1896739")</f>
        <v>0</v>
      </c>
      <c r="B1708" t="s">
        <v>133</v>
      </c>
      <c r="C1708" t="s">
        <v>248</v>
      </c>
      <c r="D1708" t="s">
        <v>776</v>
      </c>
      <c r="F1708" t="s">
        <v>1612</v>
      </c>
      <c r="G1708" t="s">
        <v>3377</v>
      </c>
      <c r="H1708" t="s">
        <v>5166</v>
      </c>
      <c r="I1708" t="s">
        <v>6482</v>
      </c>
      <c r="J1708" t="s">
        <v>7174</v>
      </c>
      <c r="K1708">
        <v>11213</v>
      </c>
      <c r="N1708" t="s">
        <v>7237</v>
      </c>
      <c r="O1708" t="s">
        <v>7931</v>
      </c>
      <c r="P1708">
        <v>2</v>
      </c>
      <c r="Q1708">
        <v>0</v>
      </c>
      <c r="R1708">
        <v>49.67</v>
      </c>
      <c r="U1708">
        <v>8400</v>
      </c>
      <c r="W1708">
        <v>0</v>
      </c>
      <c r="Y1708" t="s">
        <v>101</v>
      </c>
      <c r="AA1708" t="s">
        <v>10974</v>
      </c>
      <c r="AB1708" t="s">
        <v>727</v>
      </c>
      <c r="AD1708" t="s">
        <v>11100</v>
      </c>
      <c r="AF1708" t="s">
        <v>10384</v>
      </c>
      <c r="AH1708" t="s">
        <v>10974</v>
      </c>
      <c r="AJ1708" t="s">
        <v>11141</v>
      </c>
      <c r="AK1708" t="s">
        <v>7225</v>
      </c>
      <c r="AM1708">
        <v>551</v>
      </c>
      <c r="AO1708">
        <v>6</v>
      </c>
      <c r="AQ1708" t="s">
        <v>11157</v>
      </c>
      <c r="AS1708" t="s">
        <v>11173</v>
      </c>
      <c r="AU1708">
        <v>15</v>
      </c>
      <c r="AW1708" t="s">
        <v>11187</v>
      </c>
      <c r="BA1708" t="s">
        <v>11222</v>
      </c>
      <c r="BE1708" t="s">
        <v>12263</v>
      </c>
      <c r="BF1708" t="s">
        <v>14364</v>
      </c>
      <c r="BG1708" t="s">
        <v>11086</v>
      </c>
      <c r="BM1708" t="s">
        <v>15650</v>
      </c>
    </row>
    <row r="1709" spans="1:65">
      <c r="A1709" s="1">
        <f>HYPERLINK("https://lsnyc.legalserver.org/matter/dynamic-profile/view/1872081","18-1872081")</f>
        <v>0</v>
      </c>
      <c r="B1709" t="s">
        <v>133</v>
      </c>
      <c r="C1709" t="s">
        <v>248</v>
      </c>
      <c r="D1709" t="s">
        <v>618</v>
      </c>
      <c r="F1709" t="s">
        <v>1874</v>
      </c>
      <c r="G1709" t="s">
        <v>3673</v>
      </c>
      <c r="H1709" t="s">
        <v>5034</v>
      </c>
      <c r="I1709" t="s">
        <v>6757</v>
      </c>
      <c r="J1709" t="s">
        <v>7174</v>
      </c>
      <c r="K1709">
        <v>11225</v>
      </c>
      <c r="N1709" t="s">
        <v>7237</v>
      </c>
      <c r="O1709" t="s">
        <v>8038</v>
      </c>
      <c r="P1709">
        <v>2</v>
      </c>
      <c r="Q1709">
        <v>2</v>
      </c>
      <c r="R1709">
        <v>0</v>
      </c>
      <c r="U1709">
        <v>0</v>
      </c>
      <c r="W1709">
        <v>0</v>
      </c>
      <c r="Y1709" t="s">
        <v>225</v>
      </c>
      <c r="AA1709" t="s">
        <v>10974</v>
      </c>
      <c r="AB1709" t="s">
        <v>453</v>
      </c>
      <c r="AD1709" t="s">
        <v>11100</v>
      </c>
      <c r="AF1709" t="s">
        <v>10384</v>
      </c>
      <c r="AH1709" t="s">
        <v>10974</v>
      </c>
      <c r="AJ1709" t="s">
        <v>11134</v>
      </c>
      <c r="AK1709" t="s">
        <v>7225</v>
      </c>
      <c r="AM1709">
        <v>757.21</v>
      </c>
      <c r="AO1709">
        <v>89</v>
      </c>
      <c r="AQ1709" t="s">
        <v>11157</v>
      </c>
      <c r="AS1709" t="s">
        <v>11173</v>
      </c>
      <c r="AU1709">
        <v>29</v>
      </c>
      <c r="AW1709" t="s">
        <v>11187</v>
      </c>
      <c r="AZ1709" t="s">
        <v>11221</v>
      </c>
      <c r="BE1709" t="s">
        <v>12652</v>
      </c>
      <c r="BF1709" t="s">
        <v>14364</v>
      </c>
      <c r="BM1709" t="s">
        <v>15650</v>
      </c>
    </row>
    <row r="1710" spans="1:65">
      <c r="A1710" s="1">
        <f>HYPERLINK("https://lsnyc.legalserver.org/matter/dynamic-profile/view/1871569","18-1871569")</f>
        <v>0</v>
      </c>
      <c r="B1710" t="s">
        <v>133</v>
      </c>
      <c r="C1710" t="s">
        <v>248</v>
      </c>
      <c r="D1710" t="s">
        <v>620</v>
      </c>
      <c r="F1710" t="s">
        <v>1872</v>
      </c>
      <c r="G1710" t="s">
        <v>3671</v>
      </c>
      <c r="H1710" t="s">
        <v>5366</v>
      </c>
      <c r="I1710" t="s">
        <v>6609</v>
      </c>
      <c r="J1710" t="s">
        <v>7174</v>
      </c>
      <c r="K1710">
        <v>11212</v>
      </c>
      <c r="N1710" t="s">
        <v>7237</v>
      </c>
      <c r="O1710" t="s">
        <v>8362</v>
      </c>
      <c r="P1710">
        <v>1</v>
      </c>
      <c r="Q1710">
        <v>0</v>
      </c>
      <c r="R1710">
        <v>0</v>
      </c>
      <c r="U1710">
        <v>0</v>
      </c>
      <c r="W1710">
        <v>0</v>
      </c>
      <c r="Y1710" t="s">
        <v>10925</v>
      </c>
      <c r="AA1710" t="s">
        <v>10974</v>
      </c>
      <c r="AB1710" t="s">
        <v>11020</v>
      </c>
      <c r="AD1710" t="s">
        <v>11086</v>
      </c>
      <c r="AF1710" t="s">
        <v>10384</v>
      </c>
      <c r="AH1710" t="s">
        <v>10974</v>
      </c>
      <c r="AJ1710" t="s">
        <v>11104</v>
      </c>
      <c r="AK1710" t="s">
        <v>7225</v>
      </c>
      <c r="AM1710">
        <v>1180.14</v>
      </c>
      <c r="AO1710">
        <v>32</v>
      </c>
      <c r="AQ1710" t="s">
        <v>11157</v>
      </c>
      <c r="AR1710" t="s">
        <v>11172</v>
      </c>
      <c r="AU1710">
        <v>16</v>
      </c>
      <c r="AW1710" t="s">
        <v>11187</v>
      </c>
      <c r="AZ1710" t="s">
        <v>11221</v>
      </c>
      <c r="BE1710" t="s">
        <v>12650</v>
      </c>
      <c r="BF1710" t="s">
        <v>14364</v>
      </c>
      <c r="BM1710" t="s">
        <v>15650</v>
      </c>
    </row>
    <row r="1711" spans="1:65">
      <c r="A1711" s="1">
        <f>HYPERLINK("https://lsnyc.legalserver.org/matter/dynamic-profile/view/1907767","19-1907767")</f>
        <v>0</v>
      </c>
      <c r="B1711" t="s">
        <v>133</v>
      </c>
      <c r="C1711" t="s">
        <v>248</v>
      </c>
      <c r="D1711" t="s">
        <v>570</v>
      </c>
      <c r="F1711" t="s">
        <v>1875</v>
      </c>
      <c r="G1711" t="s">
        <v>1838</v>
      </c>
      <c r="H1711" t="s">
        <v>5057</v>
      </c>
      <c r="I1711" t="s">
        <v>6502</v>
      </c>
      <c r="J1711" t="s">
        <v>7174</v>
      </c>
      <c r="K1711">
        <v>11212</v>
      </c>
      <c r="N1711" t="s">
        <v>7237</v>
      </c>
      <c r="O1711" t="s">
        <v>8364</v>
      </c>
      <c r="P1711">
        <v>1</v>
      </c>
      <c r="Q1711">
        <v>0</v>
      </c>
      <c r="R1711">
        <v>76.29000000000001</v>
      </c>
      <c r="U1711">
        <v>9528</v>
      </c>
      <c r="W1711">
        <v>0</v>
      </c>
      <c r="Y1711" t="s">
        <v>101</v>
      </c>
      <c r="AA1711" t="s">
        <v>10974</v>
      </c>
      <c r="AB1711" t="s">
        <v>429</v>
      </c>
      <c r="AD1711" t="s">
        <v>11100</v>
      </c>
      <c r="AF1711" t="s">
        <v>10384</v>
      </c>
      <c r="AH1711" t="s">
        <v>10974</v>
      </c>
      <c r="AJ1711" t="s">
        <v>11141</v>
      </c>
      <c r="AK1711" t="s">
        <v>7225</v>
      </c>
      <c r="AM1711">
        <v>165</v>
      </c>
      <c r="AO1711">
        <v>96</v>
      </c>
      <c r="AQ1711" t="s">
        <v>11157</v>
      </c>
      <c r="AS1711" t="s">
        <v>11104</v>
      </c>
      <c r="AU1711">
        <v>6</v>
      </c>
      <c r="AW1711" t="s">
        <v>11187</v>
      </c>
      <c r="BA1711" t="s">
        <v>11222</v>
      </c>
      <c r="BE1711" t="s">
        <v>12653</v>
      </c>
      <c r="BF1711" t="s">
        <v>14364</v>
      </c>
      <c r="BG1711" t="s">
        <v>11173</v>
      </c>
      <c r="BM1711" t="s">
        <v>15650</v>
      </c>
    </row>
    <row r="1712" spans="1:65">
      <c r="A1712" s="1">
        <f>HYPERLINK("https://lsnyc.legalserver.org/matter/dynamic-profile/view/1887826","19-1887826")</f>
        <v>0</v>
      </c>
      <c r="B1712" t="s">
        <v>133</v>
      </c>
      <c r="C1712" t="s">
        <v>248</v>
      </c>
      <c r="D1712" t="s">
        <v>596</v>
      </c>
      <c r="F1712" t="s">
        <v>1485</v>
      </c>
      <c r="G1712" t="s">
        <v>3256</v>
      </c>
      <c r="H1712" t="s">
        <v>5034</v>
      </c>
      <c r="I1712" t="s">
        <v>6623</v>
      </c>
      <c r="J1712" t="s">
        <v>7174</v>
      </c>
      <c r="K1712">
        <v>11225</v>
      </c>
      <c r="N1712" t="s">
        <v>7237</v>
      </c>
      <c r="O1712" t="s">
        <v>8365</v>
      </c>
      <c r="P1712">
        <v>1</v>
      </c>
      <c r="Q1712">
        <v>0</v>
      </c>
      <c r="R1712">
        <v>535.42</v>
      </c>
      <c r="U1712">
        <v>65000</v>
      </c>
      <c r="W1712">
        <v>0</v>
      </c>
      <c r="Y1712" t="s">
        <v>101</v>
      </c>
      <c r="AA1712" t="s">
        <v>10974</v>
      </c>
      <c r="AD1712" t="s">
        <v>11098</v>
      </c>
      <c r="AF1712" t="s">
        <v>11122</v>
      </c>
      <c r="AH1712" t="s">
        <v>10974</v>
      </c>
      <c r="AJ1712" t="s">
        <v>11134</v>
      </c>
      <c r="AK1712" t="s">
        <v>7225</v>
      </c>
      <c r="AM1712">
        <v>1740.79</v>
      </c>
      <c r="AO1712">
        <v>89</v>
      </c>
      <c r="AQ1712" t="s">
        <v>11157</v>
      </c>
      <c r="AS1712" t="s">
        <v>11173</v>
      </c>
      <c r="AU1712">
        <v>7</v>
      </c>
      <c r="AW1712" t="s">
        <v>11187</v>
      </c>
      <c r="AX1712" t="s">
        <v>11212</v>
      </c>
      <c r="AZ1712" t="s">
        <v>11221</v>
      </c>
      <c r="BE1712" t="s">
        <v>12102</v>
      </c>
      <c r="BG1712" t="s">
        <v>14800</v>
      </c>
      <c r="BM1712" t="s">
        <v>15650</v>
      </c>
    </row>
    <row r="1713" spans="1:65">
      <c r="A1713" s="1">
        <f>HYPERLINK("https://lsnyc.legalserver.org/matter/dynamic-profile/view/1887831","19-1887831")</f>
        <v>0</v>
      </c>
      <c r="B1713" t="s">
        <v>133</v>
      </c>
      <c r="C1713" t="s">
        <v>248</v>
      </c>
      <c r="D1713" t="s">
        <v>596</v>
      </c>
      <c r="F1713" t="s">
        <v>1113</v>
      </c>
      <c r="G1713" t="s">
        <v>3674</v>
      </c>
      <c r="H1713" t="s">
        <v>5034</v>
      </c>
      <c r="I1713" t="s">
        <v>6775</v>
      </c>
      <c r="J1713" t="s">
        <v>7174</v>
      </c>
      <c r="K1713">
        <v>11225</v>
      </c>
      <c r="N1713" t="s">
        <v>7237</v>
      </c>
      <c r="O1713" t="s">
        <v>8366</v>
      </c>
      <c r="P1713">
        <v>2</v>
      </c>
      <c r="Q1713">
        <v>0</v>
      </c>
      <c r="R1713">
        <v>60.66</v>
      </c>
      <c r="U1713">
        <v>9984</v>
      </c>
      <c r="W1713">
        <v>12.7</v>
      </c>
      <c r="X1713" t="s">
        <v>305</v>
      </c>
      <c r="Y1713" t="s">
        <v>101</v>
      </c>
      <c r="AA1713" t="s">
        <v>10974</v>
      </c>
      <c r="AB1713" t="s">
        <v>11028</v>
      </c>
      <c r="AD1713" t="s">
        <v>11098</v>
      </c>
      <c r="AF1713" t="s">
        <v>11122</v>
      </c>
      <c r="AH1713" t="s">
        <v>10974</v>
      </c>
      <c r="AJ1713" t="s">
        <v>11141</v>
      </c>
      <c r="AK1713" t="s">
        <v>7225</v>
      </c>
      <c r="AM1713">
        <v>795.52</v>
      </c>
      <c r="AO1713">
        <v>89</v>
      </c>
      <c r="AQ1713" t="s">
        <v>11157</v>
      </c>
      <c r="AS1713" t="s">
        <v>11174</v>
      </c>
      <c r="AU1713">
        <v>35</v>
      </c>
      <c r="AW1713" t="s">
        <v>11187</v>
      </c>
      <c r="AZ1713" t="s">
        <v>11221</v>
      </c>
      <c r="BE1713" t="s">
        <v>12654</v>
      </c>
      <c r="BG1713" t="s">
        <v>14800</v>
      </c>
      <c r="BM1713" t="s">
        <v>15650</v>
      </c>
    </row>
    <row r="1714" spans="1:65">
      <c r="A1714" s="1">
        <f>HYPERLINK("https://lsnyc.legalserver.org/matter/dynamic-profile/view/1896749","19-1896749")</f>
        <v>0</v>
      </c>
      <c r="B1714" t="s">
        <v>133</v>
      </c>
      <c r="C1714" t="s">
        <v>248</v>
      </c>
      <c r="D1714" t="s">
        <v>776</v>
      </c>
      <c r="F1714" t="s">
        <v>1612</v>
      </c>
      <c r="G1714" t="s">
        <v>3377</v>
      </c>
      <c r="H1714" t="s">
        <v>5166</v>
      </c>
      <c r="I1714" t="s">
        <v>6482</v>
      </c>
      <c r="J1714" t="s">
        <v>7174</v>
      </c>
      <c r="K1714">
        <v>11213</v>
      </c>
      <c r="N1714" t="s">
        <v>7237</v>
      </c>
      <c r="O1714" t="s">
        <v>7931</v>
      </c>
      <c r="P1714">
        <v>2</v>
      </c>
      <c r="Q1714">
        <v>0</v>
      </c>
      <c r="R1714">
        <v>49.67</v>
      </c>
      <c r="U1714">
        <v>8400</v>
      </c>
      <c r="V1714" t="s">
        <v>10450</v>
      </c>
      <c r="W1714">
        <v>2</v>
      </c>
      <c r="X1714" t="s">
        <v>660</v>
      </c>
      <c r="Y1714" t="s">
        <v>101</v>
      </c>
      <c r="AA1714" t="s">
        <v>10974</v>
      </c>
      <c r="AB1714" t="s">
        <v>10979</v>
      </c>
      <c r="AD1714" t="s">
        <v>11098</v>
      </c>
      <c r="AF1714" t="s">
        <v>11122</v>
      </c>
      <c r="AH1714" t="s">
        <v>10974</v>
      </c>
      <c r="AJ1714" t="s">
        <v>11141</v>
      </c>
      <c r="AK1714" t="s">
        <v>7225</v>
      </c>
      <c r="AM1714">
        <v>551</v>
      </c>
      <c r="AO1714">
        <v>6</v>
      </c>
      <c r="AQ1714" t="s">
        <v>11157</v>
      </c>
      <c r="AS1714" t="s">
        <v>11173</v>
      </c>
      <c r="AU1714">
        <v>15</v>
      </c>
      <c r="AW1714" t="s">
        <v>11187</v>
      </c>
      <c r="BA1714" t="s">
        <v>11222</v>
      </c>
      <c r="BE1714" t="s">
        <v>12263</v>
      </c>
      <c r="BF1714" t="s">
        <v>14364</v>
      </c>
      <c r="BG1714" t="s">
        <v>11173</v>
      </c>
      <c r="BM1714" t="s">
        <v>15650</v>
      </c>
    </row>
    <row r="1715" spans="1:65">
      <c r="A1715" s="1">
        <f>HYPERLINK("https://lsnyc.legalserver.org/matter/dynamic-profile/view/1896798","19-1896798")</f>
        <v>0</v>
      </c>
      <c r="B1715" t="s">
        <v>133</v>
      </c>
      <c r="C1715" t="s">
        <v>248</v>
      </c>
      <c r="D1715" t="s">
        <v>776</v>
      </c>
      <c r="F1715" t="s">
        <v>1876</v>
      </c>
      <c r="G1715" t="s">
        <v>3249</v>
      </c>
      <c r="H1715" t="s">
        <v>5166</v>
      </c>
      <c r="I1715" t="s">
        <v>6637</v>
      </c>
      <c r="J1715" t="s">
        <v>7174</v>
      </c>
      <c r="K1715">
        <v>11213</v>
      </c>
      <c r="N1715" t="s">
        <v>7237</v>
      </c>
      <c r="O1715" t="s">
        <v>8367</v>
      </c>
      <c r="P1715">
        <v>1</v>
      </c>
      <c r="Q1715">
        <v>1</v>
      </c>
      <c r="R1715">
        <v>52.58</v>
      </c>
      <c r="U1715">
        <v>8892</v>
      </c>
      <c r="V1715" t="s">
        <v>10451</v>
      </c>
      <c r="W1715">
        <v>0.08</v>
      </c>
      <c r="X1715" t="s">
        <v>671</v>
      </c>
      <c r="Y1715" t="s">
        <v>101</v>
      </c>
      <c r="AA1715" t="s">
        <v>10974</v>
      </c>
      <c r="AB1715" t="s">
        <v>260</v>
      </c>
      <c r="AD1715" t="s">
        <v>11098</v>
      </c>
      <c r="AF1715" t="s">
        <v>11119</v>
      </c>
      <c r="AH1715" t="s">
        <v>10974</v>
      </c>
      <c r="AJ1715" t="s">
        <v>11141</v>
      </c>
      <c r="AK1715" t="s">
        <v>7225</v>
      </c>
      <c r="AM1715">
        <v>855.86</v>
      </c>
      <c r="AO1715">
        <v>6</v>
      </c>
      <c r="AQ1715" t="s">
        <v>11157</v>
      </c>
      <c r="AS1715" t="s">
        <v>11173</v>
      </c>
      <c r="AU1715">
        <v>26</v>
      </c>
      <c r="AW1715" t="s">
        <v>11187</v>
      </c>
      <c r="BA1715" t="s">
        <v>11222</v>
      </c>
      <c r="BC1715" t="s">
        <v>11173</v>
      </c>
      <c r="BD1715" t="s">
        <v>11667</v>
      </c>
      <c r="BF1715" t="s">
        <v>14364</v>
      </c>
      <c r="BM1715" t="s">
        <v>15650</v>
      </c>
    </row>
    <row r="1716" spans="1:65">
      <c r="A1716" s="1">
        <f>HYPERLINK("https://lsnyc.legalserver.org/matter/dynamic-profile/view/1887838","19-1887838")</f>
        <v>0</v>
      </c>
      <c r="B1716" t="s">
        <v>133</v>
      </c>
      <c r="C1716" t="s">
        <v>248</v>
      </c>
      <c r="D1716" t="s">
        <v>596</v>
      </c>
      <c r="F1716" t="s">
        <v>1777</v>
      </c>
      <c r="G1716" t="s">
        <v>3286</v>
      </c>
      <c r="H1716" t="s">
        <v>5034</v>
      </c>
      <c r="I1716" t="s">
        <v>6629</v>
      </c>
      <c r="J1716" t="s">
        <v>7174</v>
      </c>
      <c r="K1716">
        <v>11225</v>
      </c>
      <c r="N1716" t="s">
        <v>7237</v>
      </c>
      <c r="O1716" t="s">
        <v>8368</v>
      </c>
      <c r="P1716">
        <v>1</v>
      </c>
      <c r="Q1716">
        <v>0</v>
      </c>
      <c r="R1716">
        <v>0</v>
      </c>
      <c r="U1716">
        <v>0</v>
      </c>
      <c r="W1716">
        <v>2</v>
      </c>
      <c r="X1716" t="s">
        <v>584</v>
      </c>
      <c r="Y1716" t="s">
        <v>101</v>
      </c>
      <c r="AA1716" t="s">
        <v>10974</v>
      </c>
      <c r="AB1716" t="s">
        <v>11028</v>
      </c>
      <c r="AD1716" t="s">
        <v>11098</v>
      </c>
      <c r="AF1716" t="s">
        <v>11122</v>
      </c>
      <c r="AH1716" t="s">
        <v>10974</v>
      </c>
      <c r="AI1716" t="s">
        <v>11126</v>
      </c>
      <c r="AK1716" t="s">
        <v>7225</v>
      </c>
      <c r="AM1716">
        <v>978.0700000000001</v>
      </c>
      <c r="AO1716">
        <v>89</v>
      </c>
      <c r="AQ1716" t="s">
        <v>11157</v>
      </c>
      <c r="AS1716" t="s">
        <v>11173</v>
      </c>
      <c r="AU1716">
        <v>28</v>
      </c>
      <c r="AW1716" t="s">
        <v>11187</v>
      </c>
      <c r="AZ1716" t="s">
        <v>11221</v>
      </c>
      <c r="BE1716" t="s">
        <v>12655</v>
      </c>
      <c r="BG1716" t="s">
        <v>14800</v>
      </c>
      <c r="BM1716" t="s">
        <v>15650</v>
      </c>
    </row>
    <row r="1717" spans="1:65">
      <c r="A1717" s="1">
        <f>HYPERLINK("https://lsnyc.legalserver.org/matter/dynamic-profile/view/1867088","18-1867088")</f>
        <v>0</v>
      </c>
      <c r="B1717" t="s">
        <v>133</v>
      </c>
      <c r="C1717" t="s">
        <v>248</v>
      </c>
      <c r="D1717" t="s">
        <v>761</v>
      </c>
      <c r="F1717" t="s">
        <v>1870</v>
      </c>
      <c r="G1717" t="s">
        <v>3668</v>
      </c>
      <c r="H1717" t="s">
        <v>5366</v>
      </c>
      <c r="I1717" t="s">
        <v>6573</v>
      </c>
      <c r="J1717" t="s">
        <v>7174</v>
      </c>
      <c r="K1717">
        <v>11212</v>
      </c>
      <c r="N1717" t="s">
        <v>7237</v>
      </c>
      <c r="O1717" t="s">
        <v>8359</v>
      </c>
      <c r="P1717">
        <v>2</v>
      </c>
      <c r="Q1717">
        <v>0</v>
      </c>
      <c r="R1717">
        <v>60.73</v>
      </c>
      <c r="U1717">
        <v>9996</v>
      </c>
      <c r="W1717">
        <v>0</v>
      </c>
      <c r="Y1717" t="s">
        <v>225</v>
      </c>
      <c r="AA1717" t="s">
        <v>10974</v>
      </c>
      <c r="AB1717" t="s">
        <v>849</v>
      </c>
      <c r="AD1717" t="s">
        <v>11098</v>
      </c>
      <c r="AF1717" t="s">
        <v>11122</v>
      </c>
      <c r="AH1717" t="s">
        <v>10974</v>
      </c>
      <c r="AJ1717" t="s">
        <v>11104</v>
      </c>
      <c r="AK1717" t="s">
        <v>7225</v>
      </c>
      <c r="AM1717">
        <v>840</v>
      </c>
      <c r="AO1717">
        <v>32</v>
      </c>
      <c r="AQ1717" t="s">
        <v>11157</v>
      </c>
      <c r="AR1717" t="s">
        <v>11172</v>
      </c>
      <c r="AU1717">
        <v>19</v>
      </c>
      <c r="AW1717" t="s">
        <v>11187</v>
      </c>
      <c r="AZ1717" t="s">
        <v>11221</v>
      </c>
      <c r="BE1717" t="s">
        <v>12647</v>
      </c>
      <c r="BF1717" t="s">
        <v>14364</v>
      </c>
      <c r="BM1717" t="s">
        <v>15650</v>
      </c>
    </row>
    <row r="1718" spans="1:65">
      <c r="A1718" s="1">
        <f>HYPERLINK("https://lsnyc.legalserver.org/matter/dynamic-profile/view/1887827","19-1887827")</f>
        <v>0</v>
      </c>
      <c r="B1718" t="s">
        <v>133</v>
      </c>
      <c r="C1718" t="s">
        <v>248</v>
      </c>
      <c r="D1718" t="s">
        <v>596</v>
      </c>
      <c r="F1718" t="s">
        <v>1526</v>
      </c>
      <c r="G1718" t="s">
        <v>3226</v>
      </c>
      <c r="H1718" t="s">
        <v>5034</v>
      </c>
      <c r="I1718" t="s">
        <v>6776</v>
      </c>
      <c r="J1718" t="s">
        <v>7174</v>
      </c>
      <c r="K1718">
        <v>11225</v>
      </c>
      <c r="N1718" t="s">
        <v>7237</v>
      </c>
      <c r="O1718" t="s">
        <v>8369</v>
      </c>
      <c r="P1718">
        <v>3</v>
      </c>
      <c r="Q1718">
        <v>0</v>
      </c>
      <c r="R1718">
        <v>529.36</v>
      </c>
      <c r="U1718">
        <v>110000</v>
      </c>
      <c r="W1718">
        <v>0</v>
      </c>
      <c r="Y1718" t="s">
        <v>101</v>
      </c>
      <c r="AA1718" t="s">
        <v>10974</v>
      </c>
      <c r="AB1718" t="s">
        <v>453</v>
      </c>
      <c r="AD1718" t="s">
        <v>11098</v>
      </c>
      <c r="AF1718" t="s">
        <v>11122</v>
      </c>
      <c r="AH1718" t="s">
        <v>10974</v>
      </c>
      <c r="AI1718" t="s">
        <v>11126</v>
      </c>
      <c r="AK1718" t="s">
        <v>7225</v>
      </c>
      <c r="AM1718">
        <v>1166.85</v>
      </c>
      <c r="AO1718">
        <v>89</v>
      </c>
      <c r="AQ1718" t="s">
        <v>11157</v>
      </c>
      <c r="AS1718" t="s">
        <v>11173</v>
      </c>
      <c r="AU1718">
        <v>30</v>
      </c>
      <c r="AW1718" t="s">
        <v>11187</v>
      </c>
      <c r="AZ1718" t="s">
        <v>11221</v>
      </c>
      <c r="BE1718" t="s">
        <v>12656</v>
      </c>
      <c r="BF1718" t="s">
        <v>14364</v>
      </c>
      <c r="BM1718" t="s">
        <v>15650</v>
      </c>
    </row>
    <row r="1719" spans="1:65">
      <c r="A1719" s="1">
        <f>HYPERLINK("https://lsnyc.legalserver.org/matter/dynamic-profile/view/1876016","18-1876016")</f>
        <v>0</v>
      </c>
      <c r="B1719" t="s">
        <v>133</v>
      </c>
      <c r="C1719" t="s">
        <v>248</v>
      </c>
      <c r="D1719" t="s">
        <v>532</v>
      </c>
      <c r="F1719" t="s">
        <v>1777</v>
      </c>
      <c r="G1719" t="s">
        <v>3286</v>
      </c>
      <c r="H1719" t="s">
        <v>5034</v>
      </c>
      <c r="I1719" t="s">
        <v>6629</v>
      </c>
      <c r="J1719" t="s">
        <v>7174</v>
      </c>
      <c r="K1719">
        <v>11225</v>
      </c>
      <c r="N1719" t="s">
        <v>7237</v>
      </c>
      <c r="O1719" t="s">
        <v>8368</v>
      </c>
      <c r="P1719">
        <v>1</v>
      </c>
      <c r="Q1719">
        <v>0</v>
      </c>
      <c r="R1719">
        <v>0</v>
      </c>
      <c r="U1719">
        <v>0</v>
      </c>
      <c r="V1719" t="s">
        <v>10330</v>
      </c>
      <c r="W1719">
        <v>0</v>
      </c>
      <c r="Y1719" t="s">
        <v>225</v>
      </c>
      <c r="AA1719" t="s">
        <v>10974</v>
      </c>
      <c r="AD1719" t="s">
        <v>11086</v>
      </c>
      <c r="AF1719" t="s">
        <v>10384</v>
      </c>
      <c r="AH1719" t="s">
        <v>10975</v>
      </c>
      <c r="AI1719" t="s">
        <v>11126</v>
      </c>
      <c r="AK1719" t="s">
        <v>7225</v>
      </c>
      <c r="AM1719">
        <v>978.0700000000001</v>
      </c>
      <c r="AO1719">
        <v>89</v>
      </c>
      <c r="AQ1719" t="s">
        <v>11157</v>
      </c>
      <c r="AS1719" t="s">
        <v>11173</v>
      </c>
      <c r="AU1719">
        <v>28</v>
      </c>
      <c r="AW1719" t="s">
        <v>11187</v>
      </c>
      <c r="AX1719" t="s">
        <v>11212</v>
      </c>
      <c r="AZ1719" t="s">
        <v>11221</v>
      </c>
      <c r="BE1719" t="s">
        <v>12655</v>
      </c>
      <c r="BF1719" t="s">
        <v>14364</v>
      </c>
      <c r="BG1719" t="s">
        <v>11086</v>
      </c>
      <c r="BM1719" t="s">
        <v>15650</v>
      </c>
    </row>
    <row r="1720" spans="1:65">
      <c r="A1720" s="1">
        <f>HYPERLINK("https://lsnyc.legalserver.org/matter/dynamic-profile/view/1887833","19-1887833")</f>
        <v>0</v>
      </c>
      <c r="B1720" t="s">
        <v>133</v>
      </c>
      <c r="C1720" t="s">
        <v>248</v>
      </c>
      <c r="D1720" t="s">
        <v>596</v>
      </c>
      <c r="F1720" t="s">
        <v>1121</v>
      </c>
      <c r="G1720" t="s">
        <v>3079</v>
      </c>
      <c r="H1720" t="s">
        <v>5034</v>
      </c>
      <c r="I1720" t="s">
        <v>6777</v>
      </c>
      <c r="J1720" t="s">
        <v>7174</v>
      </c>
      <c r="K1720">
        <v>11225</v>
      </c>
      <c r="N1720" t="s">
        <v>7237</v>
      </c>
      <c r="O1720" t="s">
        <v>8370</v>
      </c>
      <c r="P1720">
        <v>1</v>
      </c>
      <c r="Q1720">
        <v>0</v>
      </c>
      <c r="R1720">
        <v>0</v>
      </c>
      <c r="U1720">
        <v>0</v>
      </c>
      <c r="W1720">
        <v>0</v>
      </c>
      <c r="Y1720" t="s">
        <v>101</v>
      </c>
      <c r="AA1720" t="s">
        <v>10974</v>
      </c>
      <c r="AB1720" t="s">
        <v>453</v>
      </c>
      <c r="AD1720" t="s">
        <v>11098</v>
      </c>
      <c r="AF1720" t="s">
        <v>11122</v>
      </c>
      <c r="AH1720" t="s">
        <v>10974</v>
      </c>
      <c r="AJ1720" t="s">
        <v>11134</v>
      </c>
      <c r="AK1720" t="s">
        <v>7225</v>
      </c>
      <c r="AM1720">
        <v>1021</v>
      </c>
      <c r="AO1720">
        <v>89</v>
      </c>
      <c r="AQ1720" t="s">
        <v>11157</v>
      </c>
      <c r="AS1720" t="s">
        <v>11173</v>
      </c>
      <c r="AU1720">
        <v>17</v>
      </c>
      <c r="AW1720" t="s">
        <v>11187</v>
      </c>
      <c r="AZ1720" t="s">
        <v>11221</v>
      </c>
      <c r="BE1720" t="s">
        <v>12657</v>
      </c>
      <c r="BF1720" t="s">
        <v>14364</v>
      </c>
      <c r="BM1720" t="s">
        <v>15650</v>
      </c>
    </row>
    <row r="1721" spans="1:65">
      <c r="A1721" s="1">
        <f>HYPERLINK("https://lsnyc.legalserver.org/matter/dynamic-profile/view/0828947","17-0828947")</f>
        <v>0</v>
      </c>
      <c r="B1721" t="s">
        <v>133</v>
      </c>
      <c r="C1721" t="s">
        <v>248</v>
      </c>
      <c r="D1721" t="s">
        <v>781</v>
      </c>
      <c r="F1721" t="s">
        <v>1872</v>
      </c>
      <c r="G1721" t="s">
        <v>3671</v>
      </c>
      <c r="H1721" t="s">
        <v>5366</v>
      </c>
      <c r="I1721" t="s">
        <v>6609</v>
      </c>
      <c r="J1721" t="s">
        <v>7174</v>
      </c>
      <c r="K1721">
        <v>11212</v>
      </c>
      <c r="N1721" t="s">
        <v>7237</v>
      </c>
      <c r="O1721" t="s">
        <v>8362</v>
      </c>
      <c r="P1721">
        <v>1</v>
      </c>
      <c r="Q1721">
        <v>0</v>
      </c>
      <c r="R1721">
        <v>0</v>
      </c>
      <c r="U1721">
        <v>0</v>
      </c>
      <c r="W1721">
        <v>1</v>
      </c>
      <c r="X1721" t="s">
        <v>10261</v>
      </c>
      <c r="Y1721" t="s">
        <v>133</v>
      </c>
      <c r="AA1721" t="s">
        <v>10974</v>
      </c>
      <c r="AB1721" t="s">
        <v>762</v>
      </c>
      <c r="AD1721" t="s">
        <v>11086</v>
      </c>
      <c r="AF1721" t="s">
        <v>11122</v>
      </c>
      <c r="AH1721" t="s">
        <v>10974</v>
      </c>
      <c r="AJ1721" t="s">
        <v>11104</v>
      </c>
      <c r="AK1721" t="s">
        <v>7225</v>
      </c>
      <c r="AM1721">
        <v>1180.14</v>
      </c>
      <c r="AO1721">
        <v>32</v>
      </c>
      <c r="AQ1721" t="s">
        <v>11157</v>
      </c>
      <c r="AR1721" t="s">
        <v>11172</v>
      </c>
      <c r="AU1721">
        <v>16</v>
      </c>
      <c r="AW1721" t="s">
        <v>11187</v>
      </c>
      <c r="AZ1721" t="s">
        <v>11221</v>
      </c>
      <c r="BE1721" t="s">
        <v>12650</v>
      </c>
      <c r="BG1721" t="s">
        <v>14789</v>
      </c>
      <c r="BM1721" t="s">
        <v>15650</v>
      </c>
    </row>
    <row r="1722" spans="1:65">
      <c r="A1722" s="1">
        <f>HYPERLINK("https://lsnyc.legalserver.org/matter/dynamic-profile/view/1885174","18-1885174")</f>
        <v>0</v>
      </c>
      <c r="B1722" t="s">
        <v>133</v>
      </c>
      <c r="C1722" t="s">
        <v>248</v>
      </c>
      <c r="D1722" t="s">
        <v>542</v>
      </c>
      <c r="F1722" t="s">
        <v>1877</v>
      </c>
      <c r="G1722" t="s">
        <v>3467</v>
      </c>
      <c r="H1722" t="s">
        <v>5368</v>
      </c>
      <c r="I1722" t="s">
        <v>6425</v>
      </c>
      <c r="J1722" t="s">
        <v>7174</v>
      </c>
      <c r="K1722">
        <v>11213</v>
      </c>
      <c r="N1722" t="s">
        <v>7237</v>
      </c>
      <c r="O1722" t="s">
        <v>8371</v>
      </c>
      <c r="P1722">
        <v>3</v>
      </c>
      <c r="Q1722">
        <v>3</v>
      </c>
      <c r="R1722">
        <v>53.94</v>
      </c>
      <c r="U1722">
        <v>18200</v>
      </c>
      <c r="V1722" t="s">
        <v>10452</v>
      </c>
      <c r="W1722">
        <v>0</v>
      </c>
      <c r="Y1722" t="s">
        <v>225</v>
      </c>
      <c r="AA1722" t="s">
        <v>10974</v>
      </c>
      <c r="AB1722" t="s">
        <v>487</v>
      </c>
      <c r="AD1722" t="s">
        <v>11101</v>
      </c>
      <c r="AF1722" t="s">
        <v>11118</v>
      </c>
      <c r="AH1722" t="s">
        <v>10974</v>
      </c>
      <c r="AJ1722" t="s">
        <v>11144</v>
      </c>
      <c r="AK1722" t="s">
        <v>7225</v>
      </c>
      <c r="AM1722">
        <v>951</v>
      </c>
      <c r="AO1722">
        <v>19</v>
      </c>
      <c r="AQ1722" t="s">
        <v>11157</v>
      </c>
      <c r="AS1722" t="s">
        <v>11175</v>
      </c>
      <c r="AU1722">
        <v>16</v>
      </c>
      <c r="AW1722" t="s">
        <v>11187</v>
      </c>
      <c r="AY1722" t="s">
        <v>11213</v>
      </c>
      <c r="AZ1722" t="s">
        <v>11221</v>
      </c>
      <c r="BC1722" t="s">
        <v>11173</v>
      </c>
      <c r="BE1722" t="s">
        <v>12658</v>
      </c>
      <c r="BG1722" t="s">
        <v>14793</v>
      </c>
      <c r="BM1722" t="s">
        <v>15650</v>
      </c>
    </row>
    <row r="1723" spans="1:65">
      <c r="A1723" s="1">
        <f>HYPERLINK("https://lsnyc.legalserver.org/matter/dynamic-profile/view/1887903","19-1887903")</f>
        <v>0</v>
      </c>
      <c r="B1723" t="s">
        <v>133</v>
      </c>
      <c r="C1723" t="s">
        <v>248</v>
      </c>
      <c r="D1723" t="s">
        <v>329</v>
      </c>
      <c r="F1723" t="s">
        <v>1878</v>
      </c>
      <c r="G1723" t="s">
        <v>3675</v>
      </c>
      <c r="H1723" t="s">
        <v>5368</v>
      </c>
      <c r="I1723" t="s">
        <v>6413</v>
      </c>
      <c r="J1723" t="s">
        <v>7174</v>
      </c>
      <c r="K1723">
        <v>11213</v>
      </c>
      <c r="N1723" t="s">
        <v>7237</v>
      </c>
      <c r="O1723" t="s">
        <v>8278</v>
      </c>
      <c r="P1723">
        <v>2</v>
      </c>
      <c r="Q1723">
        <v>2</v>
      </c>
      <c r="R1723">
        <v>40.64</v>
      </c>
      <c r="U1723">
        <v>10200</v>
      </c>
      <c r="W1723">
        <v>0</v>
      </c>
      <c r="Y1723" t="s">
        <v>101</v>
      </c>
      <c r="AA1723" t="s">
        <v>10974</v>
      </c>
      <c r="AB1723" t="s">
        <v>573</v>
      </c>
      <c r="AD1723" t="s">
        <v>11101</v>
      </c>
      <c r="AF1723" t="s">
        <v>11118</v>
      </c>
      <c r="AH1723" t="s">
        <v>10974</v>
      </c>
      <c r="AJ1723" t="s">
        <v>11104</v>
      </c>
      <c r="AK1723" t="s">
        <v>7225</v>
      </c>
      <c r="AM1723">
        <v>643.51</v>
      </c>
      <c r="AO1723">
        <v>19</v>
      </c>
      <c r="AQ1723" t="s">
        <v>11157</v>
      </c>
      <c r="AS1723" t="s">
        <v>11173</v>
      </c>
      <c r="AU1723">
        <v>7</v>
      </c>
      <c r="AW1723" t="s">
        <v>11187</v>
      </c>
      <c r="AZ1723" t="s">
        <v>11221</v>
      </c>
      <c r="BE1723" t="s">
        <v>12659</v>
      </c>
      <c r="BG1723" t="s">
        <v>14793</v>
      </c>
      <c r="BM1723" t="s">
        <v>15650</v>
      </c>
    </row>
    <row r="1724" spans="1:65">
      <c r="A1724" s="1">
        <f>HYPERLINK("https://lsnyc.legalserver.org/matter/dynamic-profile/view/1857562","18-1857562")</f>
        <v>0</v>
      </c>
      <c r="B1724" t="s">
        <v>133</v>
      </c>
      <c r="C1724" t="s">
        <v>248</v>
      </c>
      <c r="D1724" t="s">
        <v>691</v>
      </c>
      <c r="F1724" t="s">
        <v>1142</v>
      </c>
      <c r="G1724" t="s">
        <v>3676</v>
      </c>
      <c r="H1724" t="s">
        <v>5367</v>
      </c>
      <c r="I1724" t="s">
        <v>6778</v>
      </c>
      <c r="J1724" t="s">
        <v>7174</v>
      </c>
      <c r="K1724">
        <v>11206</v>
      </c>
      <c r="N1724" t="s">
        <v>7237</v>
      </c>
      <c r="O1724" t="s">
        <v>7701</v>
      </c>
      <c r="P1724">
        <v>2</v>
      </c>
      <c r="Q1724">
        <v>0</v>
      </c>
      <c r="R1724">
        <v>65.54000000000001</v>
      </c>
      <c r="U1724">
        <v>10644</v>
      </c>
      <c r="W1724">
        <v>3.75</v>
      </c>
      <c r="X1724" t="s">
        <v>414</v>
      </c>
      <c r="Y1724" t="s">
        <v>225</v>
      </c>
      <c r="AA1724" t="s">
        <v>10974</v>
      </c>
      <c r="AB1724" t="s">
        <v>383</v>
      </c>
      <c r="AD1724" t="s">
        <v>11101</v>
      </c>
      <c r="AF1724" t="s">
        <v>11118</v>
      </c>
      <c r="AH1724" t="s">
        <v>10974</v>
      </c>
      <c r="AJ1724" t="s">
        <v>11104</v>
      </c>
      <c r="AK1724" t="s">
        <v>7225</v>
      </c>
      <c r="AM1724">
        <v>1057.68</v>
      </c>
      <c r="AO1724">
        <v>25</v>
      </c>
      <c r="AQ1724" t="s">
        <v>11157</v>
      </c>
      <c r="AS1724" t="s">
        <v>11174</v>
      </c>
      <c r="AU1724">
        <v>9</v>
      </c>
      <c r="AW1724" t="s">
        <v>11187</v>
      </c>
      <c r="AZ1724" t="s">
        <v>11221</v>
      </c>
      <c r="BE1724" t="s">
        <v>12660</v>
      </c>
      <c r="BF1724" t="s">
        <v>14364</v>
      </c>
      <c r="BM1724" t="s">
        <v>15650</v>
      </c>
    </row>
    <row r="1725" spans="1:65">
      <c r="A1725" s="1">
        <f>HYPERLINK("https://lsnyc.legalserver.org/matter/dynamic-profile/view/1887824","19-1887824")</f>
        <v>0</v>
      </c>
      <c r="B1725" t="s">
        <v>133</v>
      </c>
      <c r="C1725" t="s">
        <v>248</v>
      </c>
      <c r="D1725" t="s">
        <v>596</v>
      </c>
      <c r="F1725" t="s">
        <v>1879</v>
      </c>
      <c r="G1725" t="s">
        <v>3677</v>
      </c>
      <c r="H1725" t="s">
        <v>5034</v>
      </c>
      <c r="I1725" t="s">
        <v>6779</v>
      </c>
      <c r="J1725" t="s">
        <v>7174</v>
      </c>
      <c r="K1725">
        <v>11225</v>
      </c>
      <c r="N1725" t="s">
        <v>7237</v>
      </c>
      <c r="O1725" t="s">
        <v>8372</v>
      </c>
      <c r="P1725">
        <v>2</v>
      </c>
      <c r="Q1725">
        <v>0</v>
      </c>
      <c r="R1725">
        <v>65.83</v>
      </c>
      <c r="U1725">
        <v>10836</v>
      </c>
      <c r="W1725">
        <v>0</v>
      </c>
      <c r="Y1725" t="s">
        <v>101</v>
      </c>
      <c r="AA1725" t="s">
        <v>10974</v>
      </c>
      <c r="AB1725" t="s">
        <v>453</v>
      </c>
      <c r="AD1725" t="s">
        <v>11098</v>
      </c>
      <c r="AF1725" t="s">
        <v>11122</v>
      </c>
      <c r="AH1725" t="s">
        <v>10974</v>
      </c>
      <c r="AJ1725" t="s">
        <v>11134</v>
      </c>
      <c r="AK1725" t="s">
        <v>7225</v>
      </c>
      <c r="AM1725">
        <v>432.05</v>
      </c>
      <c r="AO1725">
        <v>89</v>
      </c>
      <c r="AQ1725" t="s">
        <v>11157</v>
      </c>
      <c r="AS1725" t="s">
        <v>11175</v>
      </c>
      <c r="AU1725">
        <v>34</v>
      </c>
      <c r="AW1725" t="s">
        <v>11187</v>
      </c>
      <c r="AZ1725" t="s">
        <v>11221</v>
      </c>
      <c r="BE1725" t="s">
        <v>12661</v>
      </c>
      <c r="BF1725" t="s">
        <v>14364</v>
      </c>
      <c r="BM1725" t="s">
        <v>15650</v>
      </c>
    </row>
    <row r="1726" spans="1:65">
      <c r="A1726" s="1">
        <f>HYPERLINK("https://lsnyc.legalserver.org/matter/dynamic-profile/view/1872527","18-1872527")</f>
        <v>0</v>
      </c>
      <c r="B1726" t="s">
        <v>133</v>
      </c>
      <c r="C1726" t="s">
        <v>248</v>
      </c>
      <c r="D1726" t="s">
        <v>782</v>
      </c>
      <c r="F1726" t="s">
        <v>1879</v>
      </c>
      <c r="G1726" t="s">
        <v>3677</v>
      </c>
      <c r="H1726" t="s">
        <v>5034</v>
      </c>
      <c r="I1726" t="s">
        <v>6779</v>
      </c>
      <c r="J1726" t="s">
        <v>7174</v>
      </c>
      <c r="K1726">
        <v>11225</v>
      </c>
      <c r="N1726" t="s">
        <v>7237</v>
      </c>
      <c r="O1726" t="s">
        <v>8372</v>
      </c>
      <c r="P1726">
        <v>2</v>
      </c>
      <c r="Q1726">
        <v>0</v>
      </c>
      <c r="R1726">
        <v>65.83</v>
      </c>
      <c r="U1726">
        <v>10836</v>
      </c>
      <c r="W1726">
        <v>0</v>
      </c>
      <c r="Y1726" t="s">
        <v>225</v>
      </c>
      <c r="AA1726" t="s">
        <v>10974</v>
      </c>
      <c r="AB1726" t="s">
        <v>453</v>
      </c>
      <c r="AD1726" t="s">
        <v>11100</v>
      </c>
      <c r="AF1726" t="s">
        <v>10384</v>
      </c>
      <c r="AH1726" t="s">
        <v>10974</v>
      </c>
      <c r="AJ1726" t="s">
        <v>11134</v>
      </c>
      <c r="AK1726" t="s">
        <v>7225</v>
      </c>
      <c r="AM1726">
        <v>432.05</v>
      </c>
      <c r="AO1726">
        <v>89</v>
      </c>
      <c r="AQ1726" t="s">
        <v>11157</v>
      </c>
      <c r="AS1726" t="s">
        <v>11175</v>
      </c>
      <c r="AU1726">
        <v>34</v>
      </c>
      <c r="AW1726" t="s">
        <v>11187</v>
      </c>
      <c r="AZ1726" t="s">
        <v>11221</v>
      </c>
      <c r="BC1726" t="s">
        <v>11233</v>
      </c>
      <c r="BE1726" t="s">
        <v>12661</v>
      </c>
      <c r="BF1726" t="s">
        <v>14364</v>
      </c>
      <c r="BM1726" t="s">
        <v>15650</v>
      </c>
    </row>
    <row r="1727" spans="1:65">
      <c r="A1727" s="1">
        <f>HYPERLINK("https://lsnyc.legalserver.org/matter/dynamic-profile/view/1885151","18-1885151")</f>
        <v>0</v>
      </c>
      <c r="B1727" t="s">
        <v>133</v>
      </c>
      <c r="C1727" t="s">
        <v>248</v>
      </c>
      <c r="D1727" t="s">
        <v>542</v>
      </c>
      <c r="F1727" t="s">
        <v>1880</v>
      </c>
      <c r="G1727" t="s">
        <v>3678</v>
      </c>
      <c r="H1727" t="s">
        <v>5368</v>
      </c>
      <c r="I1727" t="s">
        <v>6407</v>
      </c>
      <c r="J1727" t="s">
        <v>7174</v>
      </c>
      <c r="K1727">
        <v>11213</v>
      </c>
      <c r="N1727" t="s">
        <v>7237</v>
      </c>
      <c r="O1727" t="s">
        <v>8373</v>
      </c>
      <c r="P1727">
        <v>1</v>
      </c>
      <c r="Q1727">
        <v>0</v>
      </c>
      <c r="R1727">
        <v>59.31</v>
      </c>
      <c r="U1727">
        <v>7200</v>
      </c>
      <c r="V1727" t="s">
        <v>10453</v>
      </c>
      <c r="W1727">
        <v>0</v>
      </c>
      <c r="Y1727" t="s">
        <v>225</v>
      </c>
      <c r="AA1727" t="s">
        <v>10974</v>
      </c>
      <c r="AB1727" t="s">
        <v>11000</v>
      </c>
      <c r="AD1727" t="s">
        <v>11101</v>
      </c>
      <c r="AF1727" t="s">
        <v>11118</v>
      </c>
      <c r="AH1727" t="s">
        <v>10974</v>
      </c>
      <c r="AJ1727" t="s">
        <v>11144</v>
      </c>
      <c r="AK1727" t="s">
        <v>7225</v>
      </c>
      <c r="AM1727">
        <v>1229.5</v>
      </c>
      <c r="AO1727">
        <v>19</v>
      </c>
      <c r="AQ1727" t="s">
        <v>11157</v>
      </c>
      <c r="AS1727" t="s">
        <v>11174</v>
      </c>
      <c r="AU1727">
        <v>25</v>
      </c>
      <c r="AW1727" t="s">
        <v>11187</v>
      </c>
      <c r="AY1727" t="s">
        <v>11213</v>
      </c>
      <c r="AZ1727" t="s">
        <v>11221</v>
      </c>
      <c r="BC1727" t="s">
        <v>11230</v>
      </c>
      <c r="BE1727" t="s">
        <v>12662</v>
      </c>
      <c r="BF1727" t="s">
        <v>14364</v>
      </c>
      <c r="BM1727" t="s">
        <v>15650</v>
      </c>
    </row>
    <row r="1728" spans="1:65">
      <c r="A1728" s="1">
        <f>HYPERLINK("https://lsnyc.legalserver.org/matter/dynamic-profile/view/1885163","18-1885163")</f>
        <v>0</v>
      </c>
      <c r="B1728" t="s">
        <v>133</v>
      </c>
      <c r="C1728" t="s">
        <v>248</v>
      </c>
      <c r="D1728" t="s">
        <v>542</v>
      </c>
      <c r="F1728" t="s">
        <v>1880</v>
      </c>
      <c r="G1728" t="s">
        <v>3678</v>
      </c>
      <c r="H1728" t="s">
        <v>5368</v>
      </c>
      <c r="I1728" t="s">
        <v>6407</v>
      </c>
      <c r="J1728" t="s">
        <v>7174</v>
      </c>
      <c r="K1728">
        <v>11213</v>
      </c>
      <c r="N1728" t="s">
        <v>7237</v>
      </c>
      <c r="O1728" t="s">
        <v>8373</v>
      </c>
      <c r="P1728">
        <v>1</v>
      </c>
      <c r="Q1728">
        <v>0</v>
      </c>
      <c r="R1728">
        <v>59.31</v>
      </c>
      <c r="U1728">
        <v>7200</v>
      </c>
      <c r="V1728" t="s">
        <v>10454</v>
      </c>
      <c r="W1728">
        <v>0</v>
      </c>
      <c r="Y1728" t="s">
        <v>225</v>
      </c>
      <c r="AA1728" t="s">
        <v>10974</v>
      </c>
      <c r="AB1728" t="s">
        <v>11029</v>
      </c>
      <c r="AD1728" t="s">
        <v>11098</v>
      </c>
      <c r="AF1728" t="s">
        <v>11122</v>
      </c>
      <c r="AH1728" t="s">
        <v>10974</v>
      </c>
      <c r="AJ1728" t="s">
        <v>11144</v>
      </c>
      <c r="AK1728" t="s">
        <v>7225</v>
      </c>
      <c r="AM1728">
        <v>1229.5</v>
      </c>
      <c r="AO1728">
        <v>19</v>
      </c>
      <c r="AQ1728" t="s">
        <v>11157</v>
      </c>
      <c r="AS1728" t="s">
        <v>11174</v>
      </c>
      <c r="AU1728">
        <v>25</v>
      </c>
      <c r="AW1728" t="s">
        <v>11187</v>
      </c>
      <c r="AY1728" t="s">
        <v>11213</v>
      </c>
      <c r="AZ1728" t="s">
        <v>11221</v>
      </c>
      <c r="BC1728" t="s">
        <v>11173</v>
      </c>
      <c r="BE1728" t="s">
        <v>12662</v>
      </c>
      <c r="BF1728" t="s">
        <v>14364</v>
      </c>
      <c r="BG1728" t="s">
        <v>11086</v>
      </c>
      <c r="BM1728" t="s">
        <v>15650</v>
      </c>
    </row>
    <row r="1729" spans="1:65">
      <c r="A1729" s="1">
        <f>HYPERLINK("https://lsnyc.legalserver.org/matter/dynamic-profile/view/1905727","19-1905727")</f>
        <v>0</v>
      </c>
      <c r="B1729" t="s">
        <v>133</v>
      </c>
      <c r="C1729" t="s">
        <v>248</v>
      </c>
      <c r="D1729" t="s">
        <v>511</v>
      </c>
      <c r="F1729" t="s">
        <v>1881</v>
      </c>
      <c r="G1729" t="s">
        <v>3679</v>
      </c>
      <c r="H1729" t="s">
        <v>4801</v>
      </c>
      <c r="I1729" t="s">
        <v>6417</v>
      </c>
      <c r="J1729" t="s">
        <v>7174</v>
      </c>
      <c r="K1729">
        <v>11221</v>
      </c>
      <c r="N1729" t="s">
        <v>7237</v>
      </c>
      <c r="O1729" t="s">
        <v>8374</v>
      </c>
      <c r="P1729">
        <v>2</v>
      </c>
      <c r="Q1729">
        <v>2</v>
      </c>
      <c r="R1729">
        <v>427.18</v>
      </c>
      <c r="U1729">
        <v>110000</v>
      </c>
      <c r="V1729" t="s">
        <v>10455</v>
      </c>
      <c r="W1729">
        <v>0</v>
      </c>
      <c r="Y1729" t="s">
        <v>101</v>
      </c>
      <c r="AA1729" t="s">
        <v>10974</v>
      </c>
      <c r="AB1729" t="s">
        <v>370</v>
      </c>
      <c r="AD1729" t="s">
        <v>11086</v>
      </c>
      <c r="AF1729" t="s">
        <v>10384</v>
      </c>
      <c r="AH1729" t="s">
        <v>10974</v>
      </c>
      <c r="AJ1729" t="s">
        <v>11141</v>
      </c>
      <c r="AK1729" t="s">
        <v>7225</v>
      </c>
      <c r="AM1729">
        <v>700</v>
      </c>
      <c r="AO1729">
        <v>13</v>
      </c>
      <c r="AQ1729" t="s">
        <v>11157</v>
      </c>
      <c r="AS1729" t="s">
        <v>11173</v>
      </c>
      <c r="AU1729">
        <v>14</v>
      </c>
      <c r="AW1729" t="s">
        <v>11187</v>
      </c>
      <c r="AY1729" t="s">
        <v>11213</v>
      </c>
      <c r="BA1729" t="s">
        <v>11222</v>
      </c>
      <c r="BD1729" t="s">
        <v>11667</v>
      </c>
      <c r="BF1729" t="s">
        <v>14364</v>
      </c>
      <c r="BG1729" t="s">
        <v>14411</v>
      </c>
      <c r="BM1729" t="s">
        <v>15650</v>
      </c>
    </row>
    <row r="1730" spans="1:65">
      <c r="A1730" s="1">
        <f>HYPERLINK("https://lsnyc.legalserver.org/matter/dynamic-profile/view/1885048","18-1885048")</f>
        <v>0</v>
      </c>
      <c r="B1730" t="s">
        <v>133</v>
      </c>
      <c r="C1730" t="s">
        <v>248</v>
      </c>
      <c r="D1730" t="s">
        <v>542</v>
      </c>
      <c r="F1730" t="s">
        <v>1882</v>
      </c>
      <c r="G1730" t="s">
        <v>3680</v>
      </c>
      <c r="H1730" t="s">
        <v>5368</v>
      </c>
      <c r="I1730" t="s">
        <v>6440</v>
      </c>
      <c r="J1730" t="s">
        <v>7174</v>
      </c>
      <c r="K1730">
        <v>11213</v>
      </c>
      <c r="N1730" t="s">
        <v>7237</v>
      </c>
      <c r="O1730" t="s">
        <v>8375</v>
      </c>
      <c r="P1730">
        <v>3</v>
      </c>
      <c r="Q1730">
        <v>0</v>
      </c>
      <c r="R1730">
        <v>50.05</v>
      </c>
      <c r="U1730">
        <v>10400</v>
      </c>
      <c r="W1730">
        <v>0</v>
      </c>
      <c r="Y1730" t="s">
        <v>101</v>
      </c>
      <c r="AA1730" t="s">
        <v>10974</v>
      </c>
      <c r="AB1730" t="s">
        <v>11000</v>
      </c>
      <c r="AD1730" t="s">
        <v>11098</v>
      </c>
      <c r="AF1730" t="s">
        <v>11122</v>
      </c>
      <c r="AH1730" t="s">
        <v>10974</v>
      </c>
      <c r="AJ1730" t="s">
        <v>11144</v>
      </c>
      <c r="AK1730" t="s">
        <v>7225</v>
      </c>
      <c r="AM1730">
        <v>412</v>
      </c>
      <c r="AO1730">
        <v>19</v>
      </c>
      <c r="AQ1730" t="s">
        <v>11157</v>
      </c>
      <c r="AR1730" t="s">
        <v>11172</v>
      </c>
      <c r="AU1730">
        <v>12</v>
      </c>
      <c r="AW1730" t="s">
        <v>11187</v>
      </c>
      <c r="AZ1730" t="s">
        <v>11221</v>
      </c>
      <c r="BE1730" t="s">
        <v>12663</v>
      </c>
      <c r="BF1730" t="s">
        <v>14364</v>
      </c>
      <c r="BG1730" t="s">
        <v>11173</v>
      </c>
      <c r="BM1730" t="s">
        <v>15650</v>
      </c>
    </row>
    <row r="1731" spans="1:65">
      <c r="A1731" s="1">
        <f>HYPERLINK("https://lsnyc.legalserver.org/matter/dynamic-profile/view/1905081","19-1905081")</f>
        <v>0</v>
      </c>
      <c r="B1731" t="s">
        <v>133</v>
      </c>
      <c r="C1731" t="s">
        <v>248</v>
      </c>
      <c r="D1731" t="s">
        <v>332</v>
      </c>
      <c r="F1731" t="s">
        <v>1881</v>
      </c>
      <c r="G1731" t="s">
        <v>3679</v>
      </c>
      <c r="H1731" t="s">
        <v>4801</v>
      </c>
      <c r="I1731" t="s">
        <v>6417</v>
      </c>
      <c r="J1731" t="s">
        <v>7174</v>
      </c>
      <c r="K1731">
        <v>11221</v>
      </c>
      <c r="N1731" t="s">
        <v>7245</v>
      </c>
      <c r="O1731" t="s">
        <v>8374</v>
      </c>
      <c r="P1731">
        <v>2</v>
      </c>
      <c r="Q1731">
        <v>2</v>
      </c>
      <c r="R1731">
        <v>427.18</v>
      </c>
      <c r="U1731">
        <v>110000</v>
      </c>
      <c r="V1731" t="s">
        <v>10456</v>
      </c>
      <c r="W1731">
        <v>0</v>
      </c>
      <c r="Y1731" t="s">
        <v>225</v>
      </c>
      <c r="AA1731" t="s">
        <v>10974</v>
      </c>
      <c r="AB1731" t="s">
        <v>483</v>
      </c>
      <c r="AD1731" t="s">
        <v>11100</v>
      </c>
      <c r="AF1731" t="s">
        <v>10384</v>
      </c>
      <c r="AH1731" t="s">
        <v>10974</v>
      </c>
      <c r="AJ1731" t="s">
        <v>11141</v>
      </c>
      <c r="AK1731" t="s">
        <v>7225</v>
      </c>
      <c r="AM1731">
        <v>700</v>
      </c>
      <c r="AO1731">
        <v>13</v>
      </c>
      <c r="AQ1731" t="s">
        <v>11157</v>
      </c>
      <c r="AS1731" t="s">
        <v>11173</v>
      </c>
      <c r="AU1731">
        <v>14</v>
      </c>
      <c r="AW1731" t="s">
        <v>11187</v>
      </c>
      <c r="AY1731" t="s">
        <v>11213</v>
      </c>
      <c r="BA1731" t="s">
        <v>11222</v>
      </c>
      <c r="BC1731" t="s">
        <v>11173</v>
      </c>
      <c r="BD1731" t="s">
        <v>11667</v>
      </c>
      <c r="BF1731" t="s">
        <v>14364</v>
      </c>
      <c r="BG1731" t="s">
        <v>11228</v>
      </c>
      <c r="BM1731" t="s">
        <v>15650</v>
      </c>
    </row>
    <row r="1732" spans="1:65">
      <c r="A1732" s="1">
        <f>HYPERLINK("https://lsnyc.legalserver.org/matter/dynamic-profile/view/1878659","18-1878659")</f>
        <v>0</v>
      </c>
      <c r="B1732" t="s">
        <v>133</v>
      </c>
      <c r="C1732" t="s">
        <v>248</v>
      </c>
      <c r="D1732" t="s">
        <v>543</v>
      </c>
      <c r="F1732" t="s">
        <v>1470</v>
      </c>
      <c r="G1732" t="s">
        <v>3245</v>
      </c>
      <c r="H1732" t="s">
        <v>4800</v>
      </c>
      <c r="I1732" t="s">
        <v>6407</v>
      </c>
      <c r="J1732" t="s">
        <v>7174</v>
      </c>
      <c r="K1732">
        <v>11221</v>
      </c>
      <c r="N1732" t="s">
        <v>7237</v>
      </c>
      <c r="O1732" t="s">
        <v>7731</v>
      </c>
      <c r="P1732">
        <v>1</v>
      </c>
      <c r="Q1732">
        <v>0</v>
      </c>
      <c r="R1732">
        <v>74.95999999999999</v>
      </c>
      <c r="U1732">
        <v>9100</v>
      </c>
      <c r="V1732" t="s">
        <v>10457</v>
      </c>
      <c r="W1732">
        <v>0</v>
      </c>
      <c r="Y1732" t="s">
        <v>225</v>
      </c>
      <c r="AA1732" t="s">
        <v>10974</v>
      </c>
      <c r="AB1732" t="s">
        <v>850</v>
      </c>
      <c r="AD1732" t="s">
        <v>11101</v>
      </c>
      <c r="AF1732" t="s">
        <v>11118</v>
      </c>
      <c r="AH1732" t="s">
        <v>10974</v>
      </c>
      <c r="AJ1732" t="s">
        <v>11141</v>
      </c>
      <c r="AK1732" t="s">
        <v>7225</v>
      </c>
      <c r="AM1732">
        <v>793</v>
      </c>
      <c r="AO1732">
        <v>12</v>
      </c>
      <c r="AQ1732" t="s">
        <v>11157</v>
      </c>
      <c r="AS1732" t="s">
        <v>11173</v>
      </c>
      <c r="AU1732">
        <v>15</v>
      </c>
      <c r="AW1732" t="s">
        <v>11187</v>
      </c>
      <c r="AZ1732" t="s">
        <v>11221</v>
      </c>
      <c r="BE1732" t="s">
        <v>12086</v>
      </c>
      <c r="BF1732" t="s">
        <v>14364</v>
      </c>
      <c r="BM1732" t="s">
        <v>15650</v>
      </c>
    </row>
    <row r="1733" spans="1:65">
      <c r="A1733" s="1">
        <f>HYPERLINK("https://lsnyc.legalserver.org/matter/dynamic-profile/view/1907769","19-1907769")</f>
        <v>0</v>
      </c>
      <c r="B1733" t="s">
        <v>133</v>
      </c>
      <c r="C1733" t="s">
        <v>248</v>
      </c>
      <c r="D1733" t="s">
        <v>570</v>
      </c>
      <c r="F1733" t="s">
        <v>1883</v>
      </c>
      <c r="G1733" t="s">
        <v>3681</v>
      </c>
      <c r="H1733" t="s">
        <v>5057</v>
      </c>
      <c r="I1733" t="s">
        <v>6437</v>
      </c>
      <c r="J1733" t="s">
        <v>7174</v>
      </c>
      <c r="K1733">
        <v>11212</v>
      </c>
      <c r="N1733" t="s">
        <v>7237</v>
      </c>
      <c r="O1733" t="s">
        <v>7405</v>
      </c>
      <c r="P1733">
        <v>1</v>
      </c>
      <c r="Q1733">
        <v>0</v>
      </c>
      <c r="R1733">
        <v>76</v>
      </c>
      <c r="U1733">
        <v>9492</v>
      </c>
      <c r="W1733">
        <v>0.08</v>
      </c>
      <c r="X1733" t="s">
        <v>671</v>
      </c>
      <c r="Y1733" t="s">
        <v>101</v>
      </c>
      <c r="AA1733" t="s">
        <v>10974</v>
      </c>
      <c r="AB1733" t="s">
        <v>450</v>
      </c>
      <c r="AD1733" t="s">
        <v>11100</v>
      </c>
      <c r="AF1733" t="s">
        <v>10384</v>
      </c>
      <c r="AH1733" t="s">
        <v>10974</v>
      </c>
      <c r="AJ1733" t="s">
        <v>11141</v>
      </c>
      <c r="AK1733" t="s">
        <v>7225</v>
      </c>
      <c r="AM1733">
        <v>257</v>
      </c>
      <c r="AO1733">
        <v>96</v>
      </c>
      <c r="AQ1733" t="s">
        <v>11157</v>
      </c>
      <c r="AS1733" t="s">
        <v>11104</v>
      </c>
      <c r="AU1733">
        <v>6</v>
      </c>
      <c r="AW1733" t="s">
        <v>11187</v>
      </c>
      <c r="AY1733" t="s">
        <v>11213</v>
      </c>
      <c r="BA1733" t="s">
        <v>11222</v>
      </c>
      <c r="BE1733" t="s">
        <v>12664</v>
      </c>
      <c r="BF1733" t="s">
        <v>14364</v>
      </c>
      <c r="BG1733" t="s">
        <v>11173</v>
      </c>
      <c r="BM1733" t="s">
        <v>15650</v>
      </c>
    </row>
    <row r="1734" spans="1:65">
      <c r="A1734" s="1">
        <f>HYPERLINK("https://lsnyc.legalserver.org/matter/dynamic-profile/view/1878656","18-1878656")</f>
        <v>0</v>
      </c>
      <c r="B1734" t="s">
        <v>133</v>
      </c>
      <c r="C1734" t="s">
        <v>248</v>
      </c>
      <c r="D1734" t="s">
        <v>543</v>
      </c>
      <c r="F1734" t="s">
        <v>1470</v>
      </c>
      <c r="G1734" t="s">
        <v>3245</v>
      </c>
      <c r="H1734" t="s">
        <v>4800</v>
      </c>
      <c r="I1734" t="s">
        <v>6407</v>
      </c>
      <c r="J1734" t="s">
        <v>7174</v>
      </c>
      <c r="K1734">
        <v>11221</v>
      </c>
      <c r="N1734" t="s">
        <v>7237</v>
      </c>
      <c r="O1734" t="s">
        <v>7731</v>
      </c>
      <c r="P1734">
        <v>1</v>
      </c>
      <c r="Q1734">
        <v>0</v>
      </c>
      <c r="R1734">
        <v>74.95999999999999</v>
      </c>
      <c r="U1734">
        <v>9100</v>
      </c>
      <c r="V1734" t="s">
        <v>10457</v>
      </c>
      <c r="W1734">
        <v>0</v>
      </c>
      <c r="Y1734" t="s">
        <v>225</v>
      </c>
      <c r="AA1734" t="s">
        <v>10974</v>
      </c>
      <c r="AB1734" t="s">
        <v>300</v>
      </c>
      <c r="AD1734" t="s">
        <v>11098</v>
      </c>
      <c r="AF1734" t="s">
        <v>11122</v>
      </c>
      <c r="AH1734" t="s">
        <v>10974</v>
      </c>
      <c r="AJ1734" t="s">
        <v>11141</v>
      </c>
      <c r="AK1734" t="s">
        <v>7225</v>
      </c>
      <c r="AM1734">
        <v>793</v>
      </c>
      <c r="AO1734">
        <v>12</v>
      </c>
      <c r="AQ1734" t="s">
        <v>11157</v>
      </c>
      <c r="AS1734" t="s">
        <v>11173</v>
      </c>
      <c r="AU1734">
        <v>15</v>
      </c>
      <c r="AW1734" t="s">
        <v>11187</v>
      </c>
      <c r="AZ1734" t="s">
        <v>11221</v>
      </c>
      <c r="BE1734" t="s">
        <v>12086</v>
      </c>
      <c r="BF1734" t="s">
        <v>14364</v>
      </c>
      <c r="BM1734" t="s">
        <v>15650</v>
      </c>
    </row>
    <row r="1735" spans="1:65">
      <c r="A1735" s="1">
        <f>HYPERLINK("https://lsnyc.legalserver.org/matter/dynamic-profile/view/1885176","18-1885176")</f>
        <v>0</v>
      </c>
      <c r="B1735" t="s">
        <v>133</v>
      </c>
      <c r="C1735" t="s">
        <v>248</v>
      </c>
      <c r="D1735" t="s">
        <v>542</v>
      </c>
      <c r="F1735" t="s">
        <v>1877</v>
      </c>
      <c r="G1735" t="s">
        <v>3467</v>
      </c>
      <c r="H1735" t="s">
        <v>5368</v>
      </c>
      <c r="I1735" t="s">
        <v>6425</v>
      </c>
      <c r="J1735" t="s">
        <v>7174</v>
      </c>
      <c r="K1735">
        <v>11213</v>
      </c>
      <c r="N1735" t="s">
        <v>7237</v>
      </c>
      <c r="O1735" t="s">
        <v>8371</v>
      </c>
      <c r="P1735">
        <v>3</v>
      </c>
      <c r="Q1735">
        <v>3</v>
      </c>
      <c r="R1735">
        <v>53.94</v>
      </c>
      <c r="U1735">
        <v>18200</v>
      </c>
      <c r="V1735" t="s">
        <v>10458</v>
      </c>
      <c r="W1735">
        <v>0</v>
      </c>
      <c r="Y1735" t="s">
        <v>225</v>
      </c>
      <c r="AA1735" t="s">
        <v>10974</v>
      </c>
      <c r="AB1735" t="s">
        <v>547</v>
      </c>
      <c r="AD1735" t="s">
        <v>11098</v>
      </c>
      <c r="AF1735" t="s">
        <v>11122</v>
      </c>
      <c r="AH1735" t="s">
        <v>10974</v>
      </c>
      <c r="AJ1735" t="s">
        <v>11144</v>
      </c>
      <c r="AK1735" t="s">
        <v>7225</v>
      </c>
      <c r="AM1735">
        <v>951</v>
      </c>
      <c r="AO1735">
        <v>19</v>
      </c>
      <c r="AQ1735" t="s">
        <v>11157</v>
      </c>
      <c r="AS1735" t="s">
        <v>11175</v>
      </c>
      <c r="AU1735">
        <v>16</v>
      </c>
      <c r="AW1735" t="s">
        <v>11187</v>
      </c>
      <c r="AY1735" t="s">
        <v>11213</v>
      </c>
      <c r="AZ1735" t="s">
        <v>11221</v>
      </c>
      <c r="BC1735" t="s">
        <v>11173</v>
      </c>
      <c r="BE1735" t="s">
        <v>12658</v>
      </c>
      <c r="BF1735" t="s">
        <v>14364</v>
      </c>
      <c r="BG1735" t="s">
        <v>11086</v>
      </c>
      <c r="BM1735" t="s">
        <v>15650</v>
      </c>
    </row>
    <row r="1736" spans="1:65">
      <c r="A1736" s="1">
        <f>HYPERLINK("https://lsnyc.legalserver.org/matter/dynamic-profile/view/1907774","19-1907774")</f>
        <v>0</v>
      </c>
      <c r="B1736" t="s">
        <v>133</v>
      </c>
      <c r="C1736" t="s">
        <v>248</v>
      </c>
      <c r="D1736" t="s">
        <v>570</v>
      </c>
      <c r="F1736" t="s">
        <v>1884</v>
      </c>
      <c r="G1736" t="s">
        <v>1457</v>
      </c>
      <c r="H1736" t="s">
        <v>5057</v>
      </c>
      <c r="I1736" t="s">
        <v>6507</v>
      </c>
      <c r="J1736" t="s">
        <v>7174</v>
      </c>
      <c r="K1736">
        <v>11212</v>
      </c>
      <c r="N1736" t="s">
        <v>7237</v>
      </c>
      <c r="O1736" t="s">
        <v>8376</v>
      </c>
      <c r="P1736">
        <v>2</v>
      </c>
      <c r="Q1736">
        <v>0</v>
      </c>
      <c r="R1736">
        <v>4.99</v>
      </c>
      <c r="U1736">
        <v>843</v>
      </c>
      <c r="W1736">
        <v>0.08</v>
      </c>
      <c r="X1736" t="s">
        <v>671</v>
      </c>
      <c r="Y1736" t="s">
        <v>101</v>
      </c>
      <c r="AA1736" t="s">
        <v>10974</v>
      </c>
      <c r="AB1736" t="s">
        <v>11030</v>
      </c>
      <c r="AD1736" t="s">
        <v>11100</v>
      </c>
      <c r="AF1736" t="s">
        <v>10384</v>
      </c>
      <c r="AH1736" t="s">
        <v>10974</v>
      </c>
      <c r="AJ1736" t="s">
        <v>11141</v>
      </c>
      <c r="AK1736" t="s">
        <v>7225</v>
      </c>
      <c r="AM1736">
        <v>1047.01</v>
      </c>
      <c r="AO1736">
        <v>96</v>
      </c>
      <c r="AQ1736" t="s">
        <v>11157</v>
      </c>
      <c r="AS1736" t="s">
        <v>11173</v>
      </c>
      <c r="AU1736">
        <v>30</v>
      </c>
      <c r="AW1736" t="s">
        <v>11187</v>
      </c>
      <c r="AY1736" t="s">
        <v>11213</v>
      </c>
      <c r="BA1736" t="s">
        <v>11222</v>
      </c>
      <c r="BE1736" t="s">
        <v>12665</v>
      </c>
      <c r="BF1736" t="s">
        <v>14364</v>
      </c>
      <c r="BG1736" t="s">
        <v>11173</v>
      </c>
      <c r="BM1736" t="s">
        <v>15650</v>
      </c>
    </row>
    <row r="1737" spans="1:65">
      <c r="A1737" s="1">
        <f>HYPERLINK("https://lsnyc.legalserver.org/matter/dynamic-profile/view/1885024","18-1885024")</f>
        <v>0</v>
      </c>
      <c r="B1737" t="s">
        <v>133</v>
      </c>
      <c r="C1737" t="s">
        <v>248</v>
      </c>
      <c r="D1737" t="s">
        <v>706</v>
      </c>
      <c r="F1737" t="s">
        <v>1882</v>
      </c>
      <c r="G1737" t="s">
        <v>3680</v>
      </c>
      <c r="H1737" t="s">
        <v>5368</v>
      </c>
      <c r="I1737" t="s">
        <v>6440</v>
      </c>
      <c r="J1737" t="s">
        <v>7174</v>
      </c>
      <c r="K1737">
        <v>11213</v>
      </c>
      <c r="N1737" t="s">
        <v>7237</v>
      </c>
      <c r="O1737" t="s">
        <v>8375</v>
      </c>
      <c r="P1737">
        <v>3</v>
      </c>
      <c r="Q1737">
        <v>0</v>
      </c>
      <c r="R1737">
        <v>50.05</v>
      </c>
      <c r="U1737">
        <v>10400</v>
      </c>
      <c r="W1737">
        <v>0.5</v>
      </c>
      <c r="X1737" t="s">
        <v>1010</v>
      </c>
      <c r="Y1737" t="s">
        <v>101</v>
      </c>
      <c r="AA1737" t="s">
        <v>10974</v>
      </c>
      <c r="AB1737" t="s">
        <v>569</v>
      </c>
      <c r="AD1737" t="s">
        <v>11101</v>
      </c>
      <c r="AF1737" t="s">
        <v>11118</v>
      </c>
      <c r="AH1737" t="s">
        <v>10974</v>
      </c>
      <c r="AJ1737" t="s">
        <v>11144</v>
      </c>
      <c r="AK1737" t="s">
        <v>7225</v>
      </c>
      <c r="AM1737">
        <v>412</v>
      </c>
      <c r="AO1737">
        <v>19</v>
      </c>
      <c r="AQ1737" t="s">
        <v>11157</v>
      </c>
      <c r="AR1737" t="s">
        <v>11172</v>
      </c>
      <c r="AU1737">
        <v>12</v>
      </c>
      <c r="AW1737" t="s">
        <v>11187</v>
      </c>
      <c r="AZ1737" t="s">
        <v>11221</v>
      </c>
      <c r="BE1737" t="s">
        <v>12663</v>
      </c>
      <c r="BG1737" t="s">
        <v>14793</v>
      </c>
      <c r="BM1737" t="s">
        <v>15650</v>
      </c>
    </row>
    <row r="1738" spans="1:65">
      <c r="A1738" s="1">
        <f>HYPERLINK("https://lsnyc.legalserver.org/matter/dynamic-profile/view/1872110","18-1872110")</f>
        <v>0</v>
      </c>
      <c r="B1738" t="s">
        <v>133</v>
      </c>
      <c r="C1738" t="s">
        <v>248</v>
      </c>
      <c r="D1738" t="s">
        <v>618</v>
      </c>
      <c r="F1738" t="s">
        <v>1121</v>
      </c>
      <c r="G1738" t="s">
        <v>3079</v>
      </c>
      <c r="H1738" t="s">
        <v>5034</v>
      </c>
      <c r="I1738" t="s">
        <v>6777</v>
      </c>
      <c r="J1738" t="s">
        <v>7174</v>
      </c>
      <c r="K1738">
        <v>11225</v>
      </c>
      <c r="N1738" t="s">
        <v>7237</v>
      </c>
      <c r="O1738" t="s">
        <v>8370</v>
      </c>
      <c r="P1738">
        <v>1</v>
      </c>
      <c r="Q1738">
        <v>0</v>
      </c>
      <c r="R1738">
        <v>0</v>
      </c>
      <c r="U1738">
        <v>0</v>
      </c>
      <c r="W1738">
        <v>0</v>
      </c>
      <c r="Y1738" t="s">
        <v>225</v>
      </c>
      <c r="AA1738" t="s">
        <v>10974</v>
      </c>
      <c r="AB1738" t="s">
        <v>453</v>
      </c>
      <c r="AD1738" t="s">
        <v>11100</v>
      </c>
      <c r="AF1738" t="s">
        <v>10384</v>
      </c>
      <c r="AH1738" t="s">
        <v>10974</v>
      </c>
      <c r="AJ1738" t="s">
        <v>11134</v>
      </c>
      <c r="AK1738" t="s">
        <v>7225</v>
      </c>
      <c r="AM1738">
        <v>1021</v>
      </c>
      <c r="AO1738">
        <v>89</v>
      </c>
      <c r="AQ1738" t="s">
        <v>11157</v>
      </c>
      <c r="AS1738" t="s">
        <v>11173</v>
      </c>
      <c r="AU1738">
        <v>17</v>
      </c>
      <c r="AW1738" t="s">
        <v>11187</v>
      </c>
      <c r="AZ1738" t="s">
        <v>11221</v>
      </c>
      <c r="BE1738" t="s">
        <v>12657</v>
      </c>
      <c r="BF1738" t="s">
        <v>14364</v>
      </c>
      <c r="BM1738" t="s">
        <v>15650</v>
      </c>
    </row>
    <row r="1739" spans="1:65">
      <c r="A1739" s="1">
        <f>HYPERLINK("https://lsnyc.legalserver.org/matter/dynamic-profile/view/1887906","19-1887906")</f>
        <v>0</v>
      </c>
      <c r="B1739" t="s">
        <v>133</v>
      </c>
      <c r="C1739" t="s">
        <v>248</v>
      </c>
      <c r="D1739" t="s">
        <v>329</v>
      </c>
      <c r="F1739" t="s">
        <v>1878</v>
      </c>
      <c r="G1739" t="s">
        <v>3675</v>
      </c>
      <c r="H1739" t="s">
        <v>5368</v>
      </c>
      <c r="I1739" t="s">
        <v>6413</v>
      </c>
      <c r="J1739" t="s">
        <v>7174</v>
      </c>
      <c r="K1739">
        <v>11213</v>
      </c>
      <c r="N1739" t="s">
        <v>7237</v>
      </c>
      <c r="O1739" t="s">
        <v>8278</v>
      </c>
      <c r="P1739">
        <v>2</v>
      </c>
      <c r="Q1739">
        <v>2</v>
      </c>
      <c r="R1739">
        <v>4.06</v>
      </c>
      <c r="U1739">
        <v>1020</v>
      </c>
      <c r="W1739">
        <v>0</v>
      </c>
      <c r="Y1739" t="s">
        <v>101</v>
      </c>
      <c r="AA1739" t="s">
        <v>10974</v>
      </c>
      <c r="AB1739" t="s">
        <v>730</v>
      </c>
      <c r="AD1739" t="s">
        <v>11098</v>
      </c>
      <c r="AF1739" t="s">
        <v>11122</v>
      </c>
      <c r="AH1739" t="s">
        <v>10974</v>
      </c>
      <c r="AJ1739" t="s">
        <v>11104</v>
      </c>
      <c r="AK1739" t="s">
        <v>7225</v>
      </c>
      <c r="AM1739">
        <v>643.51</v>
      </c>
      <c r="AO1739">
        <v>19</v>
      </c>
      <c r="AQ1739" t="s">
        <v>11157</v>
      </c>
      <c r="AS1739" t="s">
        <v>11173</v>
      </c>
      <c r="AU1739">
        <v>7</v>
      </c>
      <c r="AW1739" t="s">
        <v>11187</v>
      </c>
      <c r="AZ1739" t="s">
        <v>11221</v>
      </c>
      <c r="BE1739" t="s">
        <v>12659</v>
      </c>
      <c r="BF1739" t="s">
        <v>14364</v>
      </c>
      <c r="BM1739" t="s">
        <v>15650</v>
      </c>
    </row>
    <row r="1740" spans="1:65">
      <c r="A1740" s="1">
        <f>HYPERLINK("https://lsnyc.legalserver.org/matter/dynamic-profile/view/1868231","18-1868231")</f>
        <v>0</v>
      </c>
      <c r="B1740" t="s">
        <v>133</v>
      </c>
      <c r="C1740" t="s">
        <v>248</v>
      </c>
      <c r="D1740" t="s">
        <v>452</v>
      </c>
      <c r="F1740" t="s">
        <v>1885</v>
      </c>
      <c r="G1740" t="s">
        <v>3682</v>
      </c>
      <c r="H1740" t="s">
        <v>5371</v>
      </c>
      <c r="I1740" t="s">
        <v>6780</v>
      </c>
      <c r="J1740" t="s">
        <v>7174</v>
      </c>
      <c r="K1740">
        <v>11211</v>
      </c>
      <c r="N1740" t="s">
        <v>7237</v>
      </c>
      <c r="O1740" t="s">
        <v>8377</v>
      </c>
      <c r="P1740">
        <v>2</v>
      </c>
      <c r="Q1740">
        <v>0</v>
      </c>
      <c r="R1740">
        <v>74.12</v>
      </c>
      <c r="U1740">
        <v>12200</v>
      </c>
      <c r="W1740">
        <v>17.51</v>
      </c>
      <c r="X1740" t="s">
        <v>570</v>
      </c>
      <c r="Y1740" t="s">
        <v>10912</v>
      </c>
      <c r="AA1740" t="s">
        <v>10974</v>
      </c>
      <c r="AB1740" t="s">
        <v>452</v>
      </c>
      <c r="AC1740" t="s">
        <v>11081</v>
      </c>
      <c r="AF1740" t="s">
        <v>10384</v>
      </c>
      <c r="AG1740" t="s">
        <v>11124</v>
      </c>
      <c r="AJ1740" t="s">
        <v>11138</v>
      </c>
      <c r="AK1740" t="s">
        <v>7225</v>
      </c>
      <c r="AM1740">
        <v>630</v>
      </c>
      <c r="AO1740">
        <v>20</v>
      </c>
      <c r="AQ1740" t="s">
        <v>11168</v>
      </c>
      <c r="AR1740" t="s">
        <v>11172</v>
      </c>
      <c r="AU1740">
        <v>35</v>
      </c>
      <c r="AW1740" t="s">
        <v>11187</v>
      </c>
      <c r="AZ1740" t="s">
        <v>11221</v>
      </c>
      <c r="BE1740" t="s">
        <v>12666</v>
      </c>
      <c r="BF1740" t="s">
        <v>14364</v>
      </c>
      <c r="BM1740" t="s">
        <v>15650</v>
      </c>
    </row>
    <row r="1741" spans="1:65">
      <c r="A1741" s="1">
        <f>HYPERLINK("https://lsnyc.legalserver.org/matter/dynamic-profile/view/1875921","18-1875921")</f>
        <v>0</v>
      </c>
      <c r="B1741" t="s">
        <v>133</v>
      </c>
      <c r="C1741" t="s">
        <v>248</v>
      </c>
      <c r="D1741" t="s">
        <v>469</v>
      </c>
      <c r="F1741" t="s">
        <v>1113</v>
      </c>
      <c r="G1741" t="s">
        <v>3674</v>
      </c>
      <c r="H1741" t="s">
        <v>5034</v>
      </c>
      <c r="I1741" t="s">
        <v>6775</v>
      </c>
      <c r="J1741" t="s">
        <v>7174</v>
      </c>
      <c r="K1741">
        <v>11225</v>
      </c>
      <c r="N1741" t="s">
        <v>7237</v>
      </c>
      <c r="O1741" t="s">
        <v>8366</v>
      </c>
      <c r="P1741">
        <v>2</v>
      </c>
      <c r="Q1741">
        <v>0</v>
      </c>
      <c r="R1741">
        <v>60.66</v>
      </c>
      <c r="U1741">
        <v>9984</v>
      </c>
      <c r="V1741" t="s">
        <v>10330</v>
      </c>
      <c r="W1741">
        <v>0</v>
      </c>
      <c r="Y1741" t="s">
        <v>225</v>
      </c>
      <c r="AA1741" t="s">
        <v>10974</v>
      </c>
      <c r="AD1741" t="s">
        <v>11086</v>
      </c>
      <c r="AF1741" t="s">
        <v>10384</v>
      </c>
      <c r="AH1741" t="s">
        <v>10975</v>
      </c>
      <c r="AJ1741" t="s">
        <v>11141</v>
      </c>
      <c r="AK1741" t="s">
        <v>7225</v>
      </c>
      <c r="AM1741">
        <v>795.52</v>
      </c>
      <c r="AO1741">
        <v>89</v>
      </c>
      <c r="AQ1741" t="s">
        <v>11157</v>
      </c>
      <c r="AS1741" t="s">
        <v>11174</v>
      </c>
      <c r="AU1741">
        <v>35</v>
      </c>
      <c r="AW1741" t="s">
        <v>11187</v>
      </c>
      <c r="AX1741" t="s">
        <v>11212</v>
      </c>
      <c r="AZ1741" t="s">
        <v>11221</v>
      </c>
      <c r="BE1741" t="s">
        <v>12654</v>
      </c>
      <c r="BF1741" t="s">
        <v>14364</v>
      </c>
      <c r="BG1741" t="s">
        <v>11086</v>
      </c>
      <c r="BM1741" t="s">
        <v>15650</v>
      </c>
    </row>
    <row r="1742" spans="1:65">
      <c r="A1742" s="1">
        <f>HYPERLINK("https://lsnyc.legalserver.org/matter/dynamic-profile/view/1896744","19-1896744")</f>
        <v>0</v>
      </c>
      <c r="B1742" t="s">
        <v>133</v>
      </c>
      <c r="C1742" t="s">
        <v>248</v>
      </c>
      <c r="D1742" t="s">
        <v>776</v>
      </c>
      <c r="F1742" t="s">
        <v>1612</v>
      </c>
      <c r="G1742" t="s">
        <v>3377</v>
      </c>
      <c r="H1742" t="s">
        <v>5166</v>
      </c>
      <c r="I1742" t="s">
        <v>6482</v>
      </c>
      <c r="J1742" t="s">
        <v>7174</v>
      </c>
      <c r="K1742">
        <v>11213</v>
      </c>
      <c r="N1742" t="s">
        <v>7237</v>
      </c>
      <c r="O1742" t="s">
        <v>7931</v>
      </c>
      <c r="P1742">
        <v>2</v>
      </c>
      <c r="Q1742">
        <v>0</v>
      </c>
      <c r="R1742">
        <v>49.67</v>
      </c>
      <c r="U1742">
        <v>8400</v>
      </c>
      <c r="V1742" t="s">
        <v>10449</v>
      </c>
      <c r="W1742">
        <v>2</v>
      </c>
      <c r="X1742" t="s">
        <v>265</v>
      </c>
      <c r="Y1742" t="s">
        <v>101</v>
      </c>
      <c r="AA1742" t="s">
        <v>10974</v>
      </c>
      <c r="AB1742" t="s">
        <v>503</v>
      </c>
      <c r="AD1742" t="s">
        <v>11098</v>
      </c>
      <c r="AF1742" t="s">
        <v>11122</v>
      </c>
      <c r="AH1742" t="s">
        <v>10974</v>
      </c>
      <c r="AJ1742" t="s">
        <v>11141</v>
      </c>
      <c r="AK1742" t="s">
        <v>7225</v>
      </c>
      <c r="AM1742">
        <v>551</v>
      </c>
      <c r="AO1742">
        <v>6</v>
      </c>
      <c r="AQ1742" t="s">
        <v>11157</v>
      </c>
      <c r="AS1742" t="s">
        <v>11173</v>
      </c>
      <c r="AU1742">
        <v>15</v>
      </c>
      <c r="AW1742" t="s">
        <v>11187</v>
      </c>
      <c r="BA1742" t="s">
        <v>11222</v>
      </c>
      <c r="BE1742" t="s">
        <v>12263</v>
      </c>
      <c r="BF1742" t="s">
        <v>14364</v>
      </c>
      <c r="BG1742" t="s">
        <v>14801</v>
      </c>
      <c r="BM1742" t="s">
        <v>15650</v>
      </c>
    </row>
    <row r="1743" spans="1:65">
      <c r="A1743" s="1">
        <f>HYPERLINK("https://lsnyc.legalserver.org/matter/dynamic-profile/view/1887830","19-1887830")</f>
        <v>0</v>
      </c>
      <c r="B1743" t="s">
        <v>133</v>
      </c>
      <c r="C1743" t="s">
        <v>248</v>
      </c>
      <c r="D1743" t="s">
        <v>596</v>
      </c>
      <c r="F1743" t="s">
        <v>1886</v>
      </c>
      <c r="G1743" t="s">
        <v>3683</v>
      </c>
      <c r="H1743" t="s">
        <v>5034</v>
      </c>
      <c r="I1743" t="s">
        <v>6781</v>
      </c>
      <c r="J1743" t="s">
        <v>7174</v>
      </c>
      <c r="K1743">
        <v>11225</v>
      </c>
      <c r="N1743" t="s">
        <v>7237</v>
      </c>
      <c r="O1743" t="s">
        <v>8378</v>
      </c>
      <c r="P1743">
        <v>4</v>
      </c>
      <c r="Q1743">
        <v>0</v>
      </c>
      <c r="R1743">
        <v>62.15</v>
      </c>
      <c r="U1743">
        <v>15600</v>
      </c>
      <c r="W1743">
        <v>0</v>
      </c>
      <c r="Y1743" t="s">
        <v>101</v>
      </c>
      <c r="AA1743" t="s">
        <v>10974</v>
      </c>
      <c r="AB1743" t="s">
        <v>453</v>
      </c>
      <c r="AD1743" t="s">
        <v>11098</v>
      </c>
      <c r="AF1743" t="s">
        <v>11122</v>
      </c>
      <c r="AH1743" t="s">
        <v>10974</v>
      </c>
      <c r="AJ1743" t="s">
        <v>11134</v>
      </c>
      <c r="AK1743" t="s">
        <v>7225</v>
      </c>
      <c r="AM1743">
        <v>745.62</v>
      </c>
      <c r="AO1743">
        <v>89</v>
      </c>
      <c r="AQ1743" t="s">
        <v>11157</v>
      </c>
      <c r="AS1743" t="s">
        <v>11173</v>
      </c>
      <c r="AU1743">
        <v>40</v>
      </c>
      <c r="AW1743" t="s">
        <v>11187</v>
      </c>
      <c r="AZ1743" t="s">
        <v>11221</v>
      </c>
      <c r="BE1743" t="s">
        <v>12667</v>
      </c>
      <c r="BF1743" t="s">
        <v>14364</v>
      </c>
      <c r="BM1743" t="s">
        <v>15650</v>
      </c>
    </row>
    <row r="1744" spans="1:65">
      <c r="A1744" s="1">
        <f>HYPERLINK("https://lsnyc.legalserver.org/matter/dynamic-profile/view/1869417","18-1869417")</f>
        <v>0</v>
      </c>
      <c r="B1744" t="s">
        <v>133</v>
      </c>
      <c r="C1744" t="s">
        <v>248</v>
      </c>
      <c r="D1744" t="s">
        <v>766</v>
      </c>
      <c r="F1744" t="s">
        <v>1138</v>
      </c>
      <c r="G1744" t="s">
        <v>3077</v>
      </c>
      <c r="H1744" t="s">
        <v>5365</v>
      </c>
      <c r="I1744" t="s">
        <v>6426</v>
      </c>
      <c r="J1744" t="s">
        <v>7174</v>
      </c>
      <c r="K1744">
        <v>11233</v>
      </c>
      <c r="N1744" t="s">
        <v>7237</v>
      </c>
      <c r="O1744" t="s">
        <v>8379</v>
      </c>
      <c r="P1744">
        <v>4</v>
      </c>
      <c r="Q1744">
        <v>1</v>
      </c>
      <c r="R1744">
        <v>0</v>
      </c>
      <c r="U1744">
        <v>0</v>
      </c>
      <c r="W1744">
        <v>0</v>
      </c>
      <c r="Y1744" t="s">
        <v>225</v>
      </c>
      <c r="AA1744" t="s">
        <v>10974</v>
      </c>
      <c r="AB1744" t="s">
        <v>759</v>
      </c>
      <c r="AD1744" t="s">
        <v>11100</v>
      </c>
      <c r="AF1744" t="s">
        <v>10384</v>
      </c>
      <c r="AH1744" t="s">
        <v>10974</v>
      </c>
      <c r="AI1744" t="s">
        <v>11126</v>
      </c>
      <c r="AK1744" t="s">
        <v>7225</v>
      </c>
      <c r="AM1744">
        <v>900</v>
      </c>
      <c r="AO1744">
        <v>8</v>
      </c>
      <c r="AQ1744" t="s">
        <v>11157</v>
      </c>
      <c r="AS1744" t="s">
        <v>11173</v>
      </c>
      <c r="AU1744">
        <v>27</v>
      </c>
      <c r="AW1744" t="s">
        <v>11187</v>
      </c>
      <c r="AZ1744" t="s">
        <v>11221</v>
      </c>
      <c r="BE1744" t="s">
        <v>12668</v>
      </c>
      <c r="BF1744" t="s">
        <v>14364</v>
      </c>
      <c r="BM1744" t="s">
        <v>15650</v>
      </c>
    </row>
    <row r="1745" spans="1:65">
      <c r="A1745" s="1">
        <f>HYPERLINK("https://lsnyc.legalserver.org/matter/dynamic-profile/view/1903997","19-1903997")</f>
        <v>0</v>
      </c>
      <c r="B1745" t="s">
        <v>133</v>
      </c>
      <c r="C1745" t="s">
        <v>248</v>
      </c>
      <c r="D1745" t="s">
        <v>406</v>
      </c>
      <c r="F1745" t="s">
        <v>1877</v>
      </c>
      <c r="G1745" t="s">
        <v>3467</v>
      </c>
      <c r="H1745" t="s">
        <v>5368</v>
      </c>
      <c r="I1745" t="s">
        <v>6425</v>
      </c>
      <c r="J1745" t="s">
        <v>7174</v>
      </c>
      <c r="K1745">
        <v>11213</v>
      </c>
      <c r="N1745" t="s">
        <v>7245</v>
      </c>
      <c r="O1745" t="s">
        <v>8371</v>
      </c>
      <c r="P1745">
        <v>3</v>
      </c>
      <c r="Q1745">
        <v>3</v>
      </c>
      <c r="R1745">
        <v>52.62</v>
      </c>
      <c r="U1745">
        <v>18200</v>
      </c>
      <c r="W1745">
        <v>0</v>
      </c>
      <c r="Y1745" t="s">
        <v>225</v>
      </c>
      <c r="AA1745" t="s">
        <v>10974</v>
      </c>
      <c r="AB1745" t="s">
        <v>483</v>
      </c>
      <c r="AD1745" t="s">
        <v>11100</v>
      </c>
      <c r="AF1745" t="s">
        <v>10384</v>
      </c>
      <c r="AH1745" t="s">
        <v>10974</v>
      </c>
      <c r="AJ1745" t="s">
        <v>11144</v>
      </c>
      <c r="AK1745" t="s">
        <v>7225</v>
      </c>
      <c r="AM1745">
        <v>951</v>
      </c>
      <c r="AO1745">
        <v>19</v>
      </c>
      <c r="AQ1745" t="s">
        <v>11157</v>
      </c>
      <c r="AS1745" t="s">
        <v>11175</v>
      </c>
      <c r="AU1745">
        <v>16</v>
      </c>
      <c r="AW1745" t="s">
        <v>11187</v>
      </c>
      <c r="AY1745" t="s">
        <v>11213</v>
      </c>
      <c r="BA1745" t="s">
        <v>11222</v>
      </c>
      <c r="BC1745" t="s">
        <v>11173</v>
      </c>
      <c r="BE1745" t="s">
        <v>12658</v>
      </c>
      <c r="BF1745" t="s">
        <v>14364</v>
      </c>
      <c r="BG1745" t="s">
        <v>11173</v>
      </c>
      <c r="BM1745" t="s">
        <v>15650</v>
      </c>
    </row>
    <row r="1746" spans="1:65">
      <c r="A1746" s="1">
        <f>HYPERLINK("https://lsnyc.legalserver.org/matter/dynamic-profile/view/1904004","19-1904004")</f>
        <v>0</v>
      </c>
      <c r="B1746" t="s">
        <v>133</v>
      </c>
      <c r="C1746" t="s">
        <v>248</v>
      </c>
      <c r="D1746" t="s">
        <v>406</v>
      </c>
      <c r="F1746" t="s">
        <v>1882</v>
      </c>
      <c r="G1746" t="s">
        <v>3680</v>
      </c>
      <c r="H1746" t="s">
        <v>5368</v>
      </c>
      <c r="I1746" t="s">
        <v>6440</v>
      </c>
      <c r="J1746" t="s">
        <v>7174</v>
      </c>
      <c r="K1746">
        <v>11213</v>
      </c>
      <c r="N1746" t="s">
        <v>7245</v>
      </c>
      <c r="O1746" t="s">
        <v>8375</v>
      </c>
      <c r="P1746">
        <v>3</v>
      </c>
      <c r="Q1746">
        <v>0</v>
      </c>
      <c r="R1746">
        <v>48.76</v>
      </c>
      <c r="U1746">
        <v>10400</v>
      </c>
      <c r="V1746" t="s">
        <v>10459</v>
      </c>
      <c r="W1746">
        <v>0</v>
      </c>
      <c r="Y1746" t="s">
        <v>101</v>
      </c>
      <c r="AA1746" t="s">
        <v>10974</v>
      </c>
      <c r="AB1746" t="s">
        <v>483</v>
      </c>
      <c r="AD1746" t="s">
        <v>11100</v>
      </c>
      <c r="AF1746" t="s">
        <v>10384</v>
      </c>
      <c r="AH1746" t="s">
        <v>10974</v>
      </c>
      <c r="AJ1746" t="s">
        <v>11144</v>
      </c>
      <c r="AK1746" t="s">
        <v>7225</v>
      </c>
      <c r="AM1746">
        <v>412</v>
      </c>
      <c r="AO1746">
        <v>19</v>
      </c>
      <c r="AQ1746" t="s">
        <v>11157</v>
      </c>
      <c r="AS1746" t="s">
        <v>11173</v>
      </c>
      <c r="AU1746">
        <v>12</v>
      </c>
      <c r="AW1746" t="s">
        <v>11187</v>
      </c>
      <c r="AY1746" t="s">
        <v>11213</v>
      </c>
      <c r="BA1746" t="s">
        <v>11222</v>
      </c>
      <c r="BE1746" t="s">
        <v>12663</v>
      </c>
      <c r="BF1746" t="s">
        <v>14364</v>
      </c>
      <c r="BG1746" t="s">
        <v>11173</v>
      </c>
      <c r="BM1746" t="s">
        <v>15650</v>
      </c>
    </row>
    <row r="1747" spans="1:65">
      <c r="A1747" s="1">
        <f>HYPERLINK("https://lsnyc.legalserver.org/matter/dynamic-profile/view/1857222","18-1857222")</f>
        <v>0</v>
      </c>
      <c r="B1747" t="s">
        <v>133</v>
      </c>
      <c r="C1747" t="s">
        <v>248</v>
      </c>
      <c r="D1747" t="s">
        <v>386</v>
      </c>
      <c r="F1747" t="s">
        <v>1475</v>
      </c>
      <c r="G1747" t="s">
        <v>2911</v>
      </c>
      <c r="H1747" t="s">
        <v>5369</v>
      </c>
      <c r="I1747" t="s">
        <v>6413</v>
      </c>
      <c r="J1747" t="s">
        <v>7174</v>
      </c>
      <c r="K1747">
        <v>11206</v>
      </c>
      <c r="N1747" t="s">
        <v>7237</v>
      </c>
      <c r="O1747" t="s">
        <v>8287</v>
      </c>
      <c r="P1747">
        <v>2</v>
      </c>
      <c r="Q1747">
        <v>0</v>
      </c>
      <c r="R1747">
        <v>62.11</v>
      </c>
      <c r="U1747">
        <v>10224</v>
      </c>
      <c r="V1747" t="s">
        <v>10460</v>
      </c>
      <c r="W1747">
        <v>0</v>
      </c>
      <c r="Y1747" t="s">
        <v>225</v>
      </c>
      <c r="AA1747" t="s">
        <v>10974</v>
      </c>
      <c r="AB1747" t="s">
        <v>292</v>
      </c>
      <c r="AD1747" t="s">
        <v>11101</v>
      </c>
      <c r="AF1747" t="s">
        <v>11118</v>
      </c>
      <c r="AH1747" t="s">
        <v>10974</v>
      </c>
      <c r="AI1747" t="s">
        <v>11126</v>
      </c>
      <c r="AK1747" t="s">
        <v>7225</v>
      </c>
      <c r="AM1747">
        <v>1283</v>
      </c>
      <c r="AO1747">
        <v>29</v>
      </c>
      <c r="AQ1747" t="s">
        <v>11157</v>
      </c>
      <c r="AS1747" t="s">
        <v>11178</v>
      </c>
      <c r="AU1747">
        <v>2</v>
      </c>
      <c r="AW1747" t="s">
        <v>11187</v>
      </c>
      <c r="AZ1747" t="s">
        <v>11221</v>
      </c>
      <c r="BE1747" t="s">
        <v>12669</v>
      </c>
      <c r="BF1747" t="s">
        <v>14364</v>
      </c>
      <c r="BM1747" t="s">
        <v>15650</v>
      </c>
    </row>
    <row r="1748" spans="1:65">
      <c r="A1748" s="1">
        <f>HYPERLINK("https://lsnyc.legalserver.org/matter/dynamic-profile/view/1857194","18-1857194")</f>
        <v>0</v>
      </c>
      <c r="B1748" t="s">
        <v>133</v>
      </c>
      <c r="C1748" t="s">
        <v>248</v>
      </c>
      <c r="D1748" t="s">
        <v>386</v>
      </c>
      <c r="F1748" t="s">
        <v>1199</v>
      </c>
      <c r="G1748" t="s">
        <v>3684</v>
      </c>
      <c r="H1748" t="s">
        <v>5367</v>
      </c>
      <c r="I1748" t="s">
        <v>6491</v>
      </c>
      <c r="J1748" t="s">
        <v>7174</v>
      </c>
      <c r="K1748">
        <v>11206</v>
      </c>
      <c r="N1748" t="s">
        <v>7237</v>
      </c>
      <c r="O1748" t="s">
        <v>8380</v>
      </c>
      <c r="P1748">
        <v>1</v>
      </c>
      <c r="Q1748">
        <v>0</v>
      </c>
      <c r="R1748">
        <v>76.62</v>
      </c>
      <c r="U1748">
        <v>9240</v>
      </c>
      <c r="W1748">
        <v>0</v>
      </c>
      <c r="Y1748" t="s">
        <v>225</v>
      </c>
      <c r="AA1748" t="s">
        <v>10974</v>
      </c>
      <c r="AB1748" t="s">
        <v>292</v>
      </c>
      <c r="AD1748" t="s">
        <v>11101</v>
      </c>
      <c r="AF1748" t="s">
        <v>11118</v>
      </c>
      <c r="AH1748" t="s">
        <v>10974</v>
      </c>
      <c r="AJ1748" t="s">
        <v>11134</v>
      </c>
      <c r="AK1748" t="s">
        <v>7225</v>
      </c>
      <c r="AM1748">
        <v>473</v>
      </c>
      <c r="AO1748">
        <v>25</v>
      </c>
      <c r="AQ1748" t="s">
        <v>11157</v>
      </c>
      <c r="AS1748" t="s">
        <v>11173</v>
      </c>
      <c r="AU1748">
        <v>7</v>
      </c>
      <c r="AW1748" t="s">
        <v>11187</v>
      </c>
      <c r="AZ1748" t="s">
        <v>11221</v>
      </c>
      <c r="BE1748" t="s">
        <v>12670</v>
      </c>
      <c r="BF1748" t="s">
        <v>14364</v>
      </c>
      <c r="BM1748" t="s">
        <v>15650</v>
      </c>
    </row>
    <row r="1749" spans="1:65">
      <c r="A1749" s="1">
        <f>HYPERLINK("https://lsnyc.legalserver.org/matter/dynamic-profile/view/1887820","19-1887820")</f>
        <v>0</v>
      </c>
      <c r="B1749" t="s">
        <v>133</v>
      </c>
      <c r="C1749" t="s">
        <v>248</v>
      </c>
      <c r="D1749" t="s">
        <v>596</v>
      </c>
      <c r="F1749" t="s">
        <v>1093</v>
      </c>
      <c r="G1749" t="s">
        <v>3265</v>
      </c>
      <c r="H1749" t="s">
        <v>5034</v>
      </c>
      <c r="I1749" t="s">
        <v>6782</v>
      </c>
      <c r="J1749" t="s">
        <v>7174</v>
      </c>
      <c r="K1749">
        <v>11225</v>
      </c>
      <c r="N1749" t="s">
        <v>7237</v>
      </c>
      <c r="O1749" t="s">
        <v>7759</v>
      </c>
      <c r="P1749">
        <v>1</v>
      </c>
      <c r="Q1749">
        <v>0</v>
      </c>
      <c r="R1749">
        <v>502.47</v>
      </c>
      <c r="U1749">
        <v>61000</v>
      </c>
      <c r="W1749">
        <v>0</v>
      </c>
      <c r="Y1749" t="s">
        <v>101</v>
      </c>
      <c r="AA1749" t="s">
        <v>10974</v>
      </c>
      <c r="AB1749" t="s">
        <v>453</v>
      </c>
      <c r="AD1749" t="s">
        <v>11098</v>
      </c>
      <c r="AF1749" t="s">
        <v>11122</v>
      </c>
      <c r="AH1749" t="s">
        <v>10974</v>
      </c>
      <c r="AJ1749" t="s">
        <v>11134</v>
      </c>
      <c r="AK1749" t="s">
        <v>7225</v>
      </c>
      <c r="AM1749">
        <v>1552.37</v>
      </c>
      <c r="AO1749">
        <v>89</v>
      </c>
      <c r="AQ1749" t="s">
        <v>11157</v>
      </c>
      <c r="AS1749" t="s">
        <v>11173</v>
      </c>
      <c r="AU1749">
        <v>3</v>
      </c>
      <c r="AW1749" t="s">
        <v>11187</v>
      </c>
      <c r="AZ1749" t="s">
        <v>11221</v>
      </c>
      <c r="BE1749" t="s">
        <v>12112</v>
      </c>
      <c r="BF1749" t="s">
        <v>14364</v>
      </c>
      <c r="BM1749" t="s">
        <v>15650</v>
      </c>
    </row>
    <row r="1750" spans="1:65">
      <c r="A1750" s="1">
        <f>HYPERLINK("https://lsnyc.legalserver.org/matter/dynamic-profile/view/1896646","19-1896646")</f>
        <v>0</v>
      </c>
      <c r="B1750" t="s">
        <v>133</v>
      </c>
      <c r="C1750" t="s">
        <v>248</v>
      </c>
      <c r="D1750" t="s">
        <v>585</v>
      </c>
      <c r="F1750" t="s">
        <v>1887</v>
      </c>
      <c r="G1750" t="s">
        <v>3685</v>
      </c>
      <c r="H1750" t="s">
        <v>5166</v>
      </c>
      <c r="I1750" t="s">
        <v>6783</v>
      </c>
      <c r="J1750" t="s">
        <v>7174</v>
      </c>
      <c r="K1750">
        <v>11213</v>
      </c>
      <c r="N1750" t="s">
        <v>7237</v>
      </c>
      <c r="O1750" t="s">
        <v>8381</v>
      </c>
      <c r="P1750">
        <v>1</v>
      </c>
      <c r="Q1750">
        <v>0</v>
      </c>
      <c r="R1750">
        <v>512.41</v>
      </c>
      <c r="U1750">
        <v>64000</v>
      </c>
      <c r="W1750">
        <v>0</v>
      </c>
      <c r="Y1750" t="s">
        <v>101</v>
      </c>
      <c r="AA1750" t="s">
        <v>10974</v>
      </c>
      <c r="AB1750" t="s">
        <v>727</v>
      </c>
      <c r="AD1750" t="s">
        <v>11100</v>
      </c>
      <c r="AF1750" t="s">
        <v>10384</v>
      </c>
      <c r="AH1750" t="s">
        <v>10974</v>
      </c>
      <c r="AJ1750" t="s">
        <v>11141</v>
      </c>
      <c r="AK1750" t="s">
        <v>7225</v>
      </c>
      <c r="AM1750">
        <v>540</v>
      </c>
      <c r="AO1750">
        <v>6</v>
      </c>
      <c r="AQ1750" t="s">
        <v>11157</v>
      </c>
      <c r="AS1750" t="s">
        <v>11173</v>
      </c>
      <c r="AU1750">
        <v>18</v>
      </c>
      <c r="AW1750" t="s">
        <v>11187</v>
      </c>
      <c r="BA1750" t="s">
        <v>11222</v>
      </c>
      <c r="BC1750" t="s">
        <v>11173</v>
      </c>
      <c r="BE1750" t="s">
        <v>12671</v>
      </c>
      <c r="BF1750" t="s">
        <v>14364</v>
      </c>
      <c r="BG1750" t="s">
        <v>11086</v>
      </c>
      <c r="BM1750" t="s">
        <v>15650</v>
      </c>
    </row>
    <row r="1751" spans="1:65">
      <c r="A1751" s="1">
        <f>HYPERLINK("https://lsnyc.legalserver.org/matter/dynamic-profile/view/1896659","19-1896659")</f>
        <v>0</v>
      </c>
      <c r="B1751" t="s">
        <v>133</v>
      </c>
      <c r="C1751" t="s">
        <v>248</v>
      </c>
      <c r="D1751" t="s">
        <v>585</v>
      </c>
      <c r="F1751" t="s">
        <v>1887</v>
      </c>
      <c r="G1751" t="s">
        <v>3685</v>
      </c>
      <c r="H1751" t="s">
        <v>5166</v>
      </c>
      <c r="I1751" t="s">
        <v>6783</v>
      </c>
      <c r="J1751" t="s">
        <v>7174</v>
      </c>
      <c r="K1751">
        <v>11213</v>
      </c>
      <c r="N1751" t="s">
        <v>7237</v>
      </c>
      <c r="O1751" t="s">
        <v>8381</v>
      </c>
      <c r="P1751">
        <v>1</v>
      </c>
      <c r="Q1751">
        <v>0</v>
      </c>
      <c r="R1751">
        <v>512.41</v>
      </c>
      <c r="U1751">
        <v>64000</v>
      </c>
      <c r="V1751" t="s">
        <v>10461</v>
      </c>
      <c r="W1751">
        <v>0</v>
      </c>
      <c r="Y1751" t="s">
        <v>101</v>
      </c>
      <c r="AA1751" t="s">
        <v>10974</v>
      </c>
      <c r="AB1751" t="s">
        <v>10979</v>
      </c>
      <c r="AD1751" t="s">
        <v>11098</v>
      </c>
      <c r="AF1751" t="s">
        <v>11122</v>
      </c>
      <c r="AH1751" t="s">
        <v>10974</v>
      </c>
      <c r="AJ1751" t="s">
        <v>11141</v>
      </c>
      <c r="AK1751" t="s">
        <v>7225</v>
      </c>
      <c r="AM1751">
        <v>540</v>
      </c>
      <c r="AO1751">
        <v>6</v>
      </c>
      <c r="AQ1751" t="s">
        <v>11157</v>
      </c>
      <c r="AS1751" t="s">
        <v>11173</v>
      </c>
      <c r="AU1751">
        <v>18</v>
      </c>
      <c r="AW1751" t="s">
        <v>11187</v>
      </c>
      <c r="BA1751" t="s">
        <v>11222</v>
      </c>
      <c r="BE1751" t="s">
        <v>12671</v>
      </c>
      <c r="BF1751" t="s">
        <v>14364</v>
      </c>
      <c r="BG1751" t="s">
        <v>11173</v>
      </c>
      <c r="BM1751" t="s">
        <v>15650</v>
      </c>
    </row>
    <row r="1752" spans="1:65">
      <c r="A1752" s="1">
        <f>HYPERLINK("https://lsnyc.legalserver.org/matter/dynamic-profile/view/1871730","18-1871730")</f>
        <v>0</v>
      </c>
      <c r="B1752" t="s">
        <v>133</v>
      </c>
      <c r="C1752" t="s">
        <v>248</v>
      </c>
      <c r="D1752" t="s">
        <v>720</v>
      </c>
      <c r="F1752" t="s">
        <v>1475</v>
      </c>
      <c r="G1752" t="s">
        <v>2911</v>
      </c>
      <c r="H1752" t="s">
        <v>5369</v>
      </c>
      <c r="I1752" t="s">
        <v>6413</v>
      </c>
      <c r="J1752" t="s">
        <v>7174</v>
      </c>
      <c r="K1752">
        <v>11206</v>
      </c>
      <c r="N1752" t="s">
        <v>7237</v>
      </c>
      <c r="O1752" t="s">
        <v>8287</v>
      </c>
      <c r="P1752">
        <v>2</v>
      </c>
      <c r="Q1752">
        <v>0</v>
      </c>
      <c r="R1752">
        <v>62.11</v>
      </c>
      <c r="U1752">
        <v>10224</v>
      </c>
      <c r="V1752" t="s">
        <v>10330</v>
      </c>
      <c r="W1752">
        <v>0</v>
      </c>
      <c r="Y1752" t="s">
        <v>10925</v>
      </c>
      <c r="AA1752" t="s">
        <v>10974</v>
      </c>
      <c r="AB1752" t="s">
        <v>11024</v>
      </c>
      <c r="AD1752" t="s">
        <v>11098</v>
      </c>
      <c r="AF1752" t="s">
        <v>11122</v>
      </c>
      <c r="AH1752" t="s">
        <v>10974</v>
      </c>
      <c r="AI1752" t="s">
        <v>11126</v>
      </c>
      <c r="AK1752" t="s">
        <v>7225</v>
      </c>
      <c r="AM1752">
        <v>1283</v>
      </c>
      <c r="AO1752">
        <v>29</v>
      </c>
      <c r="AQ1752" t="s">
        <v>11157</v>
      </c>
      <c r="AS1752" t="s">
        <v>11178</v>
      </c>
      <c r="AU1752">
        <v>2</v>
      </c>
      <c r="AW1752" t="s">
        <v>11187</v>
      </c>
      <c r="AZ1752" t="s">
        <v>11221</v>
      </c>
      <c r="BE1752" t="s">
        <v>12669</v>
      </c>
      <c r="BG1752" t="s">
        <v>14795</v>
      </c>
      <c r="BM1752" t="s">
        <v>15650</v>
      </c>
    </row>
    <row r="1753" spans="1:65">
      <c r="A1753" s="1">
        <f>HYPERLINK("https://lsnyc.legalserver.org/matter/dynamic-profile/view/1857233","18-1857233")</f>
        <v>0</v>
      </c>
      <c r="B1753" t="s">
        <v>133</v>
      </c>
      <c r="C1753" t="s">
        <v>248</v>
      </c>
      <c r="D1753" t="s">
        <v>386</v>
      </c>
      <c r="F1753" t="s">
        <v>1871</v>
      </c>
      <c r="G1753" t="s">
        <v>3670</v>
      </c>
      <c r="H1753" t="s">
        <v>5369</v>
      </c>
      <c r="I1753" t="s">
        <v>6417</v>
      </c>
      <c r="J1753" t="s">
        <v>7174</v>
      </c>
      <c r="K1753">
        <v>11206</v>
      </c>
      <c r="N1753" t="s">
        <v>7237</v>
      </c>
      <c r="O1753" t="s">
        <v>8361</v>
      </c>
      <c r="P1753">
        <v>3</v>
      </c>
      <c r="Q1753">
        <v>0</v>
      </c>
      <c r="R1753">
        <v>38.87</v>
      </c>
      <c r="U1753">
        <v>7938</v>
      </c>
      <c r="V1753" t="s">
        <v>10447</v>
      </c>
      <c r="W1753">
        <v>15.25</v>
      </c>
      <c r="X1753" t="s">
        <v>641</v>
      </c>
      <c r="Y1753" t="s">
        <v>225</v>
      </c>
      <c r="AA1753" t="s">
        <v>10974</v>
      </c>
      <c r="AB1753" t="s">
        <v>11031</v>
      </c>
      <c r="AD1753" t="s">
        <v>11101</v>
      </c>
      <c r="AF1753" t="s">
        <v>11118</v>
      </c>
      <c r="AH1753" t="s">
        <v>10974</v>
      </c>
      <c r="AI1753" t="s">
        <v>11126</v>
      </c>
      <c r="AK1753" t="s">
        <v>7225</v>
      </c>
      <c r="AM1753">
        <v>1291.45</v>
      </c>
      <c r="AO1753">
        <v>29</v>
      </c>
      <c r="AQ1753" t="s">
        <v>11157</v>
      </c>
      <c r="AS1753" t="s">
        <v>11174</v>
      </c>
      <c r="AU1753">
        <v>23</v>
      </c>
      <c r="AW1753" t="s">
        <v>11187</v>
      </c>
      <c r="AZ1753" t="s">
        <v>11221</v>
      </c>
      <c r="BE1753" t="s">
        <v>12649</v>
      </c>
      <c r="BF1753" t="s">
        <v>14364</v>
      </c>
      <c r="BM1753" t="s">
        <v>15650</v>
      </c>
    </row>
    <row r="1754" spans="1:65">
      <c r="A1754" s="1">
        <f>HYPERLINK("https://lsnyc.legalserver.org/matter/dynamic-profile/view/1904273","19-1904273")</f>
        <v>0</v>
      </c>
      <c r="B1754" t="s">
        <v>133</v>
      </c>
      <c r="C1754" t="s">
        <v>248</v>
      </c>
      <c r="D1754" t="s">
        <v>512</v>
      </c>
      <c r="F1754" t="s">
        <v>1470</v>
      </c>
      <c r="G1754" t="s">
        <v>3245</v>
      </c>
      <c r="H1754" t="s">
        <v>4800</v>
      </c>
      <c r="I1754" t="s">
        <v>6407</v>
      </c>
      <c r="J1754" t="s">
        <v>7174</v>
      </c>
      <c r="K1754">
        <v>11221</v>
      </c>
      <c r="N1754" t="s">
        <v>7245</v>
      </c>
      <c r="O1754" t="s">
        <v>7731</v>
      </c>
      <c r="P1754">
        <v>1</v>
      </c>
      <c r="Q1754">
        <v>0</v>
      </c>
      <c r="R1754">
        <v>72.86</v>
      </c>
      <c r="U1754">
        <v>9100</v>
      </c>
      <c r="V1754" t="s">
        <v>10311</v>
      </c>
      <c r="W1754">
        <v>0</v>
      </c>
      <c r="Y1754" t="s">
        <v>225</v>
      </c>
      <c r="AA1754" t="s">
        <v>10974</v>
      </c>
      <c r="AB1754" t="s">
        <v>483</v>
      </c>
      <c r="AD1754" t="s">
        <v>11100</v>
      </c>
      <c r="AF1754" t="s">
        <v>10384</v>
      </c>
      <c r="AH1754" t="s">
        <v>10974</v>
      </c>
      <c r="AJ1754" t="s">
        <v>11141</v>
      </c>
      <c r="AK1754" t="s">
        <v>7225</v>
      </c>
      <c r="AM1754">
        <v>793</v>
      </c>
      <c r="AO1754">
        <v>12</v>
      </c>
      <c r="AQ1754" t="s">
        <v>11157</v>
      </c>
      <c r="AS1754" t="s">
        <v>11173</v>
      </c>
      <c r="AU1754">
        <v>15</v>
      </c>
      <c r="AW1754" t="s">
        <v>11187</v>
      </c>
      <c r="AY1754" t="s">
        <v>11213</v>
      </c>
      <c r="BA1754" t="s">
        <v>11222</v>
      </c>
      <c r="BC1754" t="s">
        <v>11228</v>
      </c>
      <c r="BE1754" t="s">
        <v>12086</v>
      </c>
      <c r="BF1754" t="s">
        <v>14364</v>
      </c>
      <c r="BG1754" t="s">
        <v>14411</v>
      </c>
      <c r="BM1754" t="s">
        <v>15650</v>
      </c>
    </row>
    <row r="1755" spans="1:65">
      <c r="A1755" s="1">
        <f>HYPERLINK("https://lsnyc.legalserver.org/matter/dynamic-profile/view/1905757","19-1905757")</f>
        <v>0</v>
      </c>
      <c r="B1755" t="s">
        <v>133</v>
      </c>
      <c r="C1755" t="s">
        <v>248</v>
      </c>
      <c r="D1755" t="s">
        <v>511</v>
      </c>
      <c r="F1755" t="s">
        <v>1470</v>
      </c>
      <c r="G1755" t="s">
        <v>3245</v>
      </c>
      <c r="H1755" t="s">
        <v>4800</v>
      </c>
      <c r="I1755" t="s">
        <v>6407</v>
      </c>
      <c r="J1755" t="s">
        <v>7174</v>
      </c>
      <c r="K1755">
        <v>11221</v>
      </c>
      <c r="N1755" t="s">
        <v>7237</v>
      </c>
      <c r="O1755" t="s">
        <v>7731</v>
      </c>
      <c r="P1755">
        <v>1</v>
      </c>
      <c r="Q1755">
        <v>0</v>
      </c>
      <c r="R1755">
        <v>72.86</v>
      </c>
      <c r="U1755">
        <v>9100</v>
      </c>
      <c r="V1755" t="s">
        <v>10462</v>
      </c>
      <c r="W1755">
        <v>0</v>
      </c>
      <c r="Y1755" t="s">
        <v>101</v>
      </c>
      <c r="AA1755" t="s">
        <v>10974</v>
      </c>
      <c r="AB1755" t="s">
        <v>370</v>
      </c>
      <c r="AD1755" t="s">
        <v>11086</v>
      </c>
      <c r="AF1755" t="s">
        <v>10384</v>
      </c>
      <c r="AH1755" t="s">
        <v>10974</v>
      </c>
      <c r="AJ1755" t="s">
        <v>11141</v>
      </c>
      <c r="AK1755" t="s">
        <v>7225</v>
      </c>
      <c r="AM1755">
        <v>793</v>
      </c>
      <c r="AO1755">
        <v>12</v>
      </c>
      <c r="AQ1755" t="s">
        <v>11157</v>
      </c>
      <c r="AS1755" t="s">
        <v>11173</v>
      </c>
      <c r="AU1755">
        <v>15</v>
      </c>
      <c r="AW1755" t="s">
        <v>11187</v>
      </c>
      <c r="AY1755" t="s">
        <v>11213</v>
      </c>
      <c r="BA1755" t="s">
        <v>11222</v>
      </c>
      <c r="BC1755" t="s">
        <v>11173</v>
      </c>
      <c r="BE1755" t="s">
        <v>12086</v>
      </c>
      <c r="BF1755" t="s">
        <v>14364</v>
      </c>
      <c r="BG1755" t="s">
        <v>11086</v>
      </c>
      <c r="BM1755" t="s">
        <v>15650</v>
      </c>
    </row>
    <row r="1756" spans="1:65">
      <c r="A1756" s="1">
        <f>HYPERLINK("https://lsnyc.legalserver.org/matter/dynamic-profile/view/1896653","19-1896653")</f>
        <v>0</v>
      </c>
      <c r="B1756" t="s">
        <v>133</v>
      </c>
      <c r="C1756" t="s">
        <v>248</v>
      </c>
      <c r="D1756" t="s">
        <v>585</v>
      </c>
      <c r="F1756" t="s">
        <v>1887</v>
      </c>
      <c r="G1756" t="s">
        <v>3685</v>
      </c>
      <c r="H1756" t="s">
        <v>5166</v>
      </c>
      <c r="I1756" t="s">
        <v>6783</v>
      </c>
      <c r="J1756" t="s">
        <v>7174</v>
      </c>
      <c r="K1756">
        <v>11213</v>
      </c>
      <c r="N1756" t="s">
        <v>7237</v>
      </c>
      <c r="O1756" t="s">
        <v>8381</v>
      </c>
      <c r="P1756">
        <v>1</v>
      </c>
      <c r="Q1756">
        <v>0</v>
      </c>
      <c r="R1756">
        <v>512.41</v>
      </c>
      <c r="U1756">
        <v>64000</v>
      </c>
      <c r="V1756" t="s">
        <v>10463</v>
      </c>
      <c r="W1756">
        <v>0</v>
      </c>
      <c r="Y1756" t="s">
        <v>101</v>
      </c>
      <c r="AA1756" t="s">
        <v>10974</v>
      </c>
      <c r="AB1756" t="s">
        <v>503</v>
      </c>
      <c r="AD1756" t="s">
        <v>11098</v>
      </c>
      <c r="AF1756" t="s">
        <v>11122</v>
      </c>
      <c r="AH1756" t="s">
        <v>10974</v>
      </c>
      <c r="AJ1756" t="s">
        <v>11141</v>
      </c>
      <c r="AK1756" t="s">
        <v>7225</v>
      </c>
      <c r="AM1756">
        <v>540</v>
      </c>
      <c r="AO1756">
        <v>6</v>
      </c>
      <c r="AQ1756" t="s">
        <v>11157</v>
      </c>
      <c r="AS1756" t="s">
        <v>11173</v>
      </c>
      <c r="AU1756">
        <v>18</v>
      </c>
      <c r="AW1756" t="s">
        <v>11187</v>
      </c>
      <c r="BA1756" t="s">
        <v>11222</v>
      </c>
      <c r="BE1756" t="s">
        <v>12671</v>
      </c>
      <c r="BF1756" t="s">
        <v>14364</v>
      </c>
      <c r="BG1756" t="s">
        <v>14802</v>
      </c>
      <c r="BM1756" t="s">
        <v>15650</v>
      </c>
    </row>
    <row r="1757" spans="1:65">
      <c r="A1757" s="1">
        <f>HYPERLINK("https://lsnyc.legalserver.org/matter/dynamic-profile/view/0830073","17-0830073")</f>
        <v>0</v>
      </c>
      <c r="B1757" t="s">
        <v>133</v>
      </c>
      <c r="C1757" t="s">
        <v>248</v>
      </c>
      <c r="D1757" t="s">
        <v>762</v>
      </c>
      <c r="F1757" t="s">
        <v>1870</v>
      </c>
      <c r="G1757" t="s">
        <v>3668</v>
      </c>
      <c r="H1757" t="s">
        <v>5366</v>
      </c>
      <c r="I1757" t="s">
        <v>6573</v>
      </c>
      <c r="J1757" t="s">
        <v>7174</v>
      </c>
      <c r="K1757">
        <v>11212</v>
      </c>
      <c r="N1757" t="s">
        <v>7237</v>
      </c>
      <c r="O1757" t="s">
        <v>8359</v>
      </c>
      <c r="P1757">
        <v>2</v>
      </c>
      <c r="Q1757">
        <v>0</v>
      </c>
      <c r="R1757">
        <v>61.55</v>
      </c>
      <c r="U1757">
        <v>9996</v>
      </c>
      <c r="W1757">
        <v>0.25</v>
      </c>
      <c r="X1757" t="s">
        <v>1015</v>
      </c>
      <c r="Y1757" t="s">
        <v>133</v>
      </c>
      <c r="AA1757" t="s">
        <v>10974</v>
      </c>
      <c r="AB1757" t="s">
        <v>762</v>
      </c>
      <c r="AD1757" t="s">
        <v>11086</v>
      </c>
      <c r="AF1757" t="s">
        <v>10384</v>
      </c>
      <c r="AH1757" t="s">
        <v>10974</v>
      </c>
      <c r="AJ1757" t="s">
        <v>11104</v>
      </c>
      <c r="AK1757" t="s">
        <v>7225</v>
      </c>
      <c r="AM1757">
        <v>840</v>
      </c>
      <c r="AO1757">
        <v>32</v>
      </c>
      <c r="AQ1757" t="s">
        <v>11157</v>
      </c>
      <c r="AR1757" t="s">
        <v>11172</v>
      </c>
      <c r="AU1757">
        <v>19</v>
      </c>
      <c r="AW1757" t="s">
        <v>11187</v>
      </c>
      <c r="AZ1757" t="s">
        <v>11221</v>
      </c>
      <c r="BE1757" t="s">
        <v>12647</v>
      </c>
      <c r="BG1757" t="s">
        <v>14789</v>
      </c>
      <c r="BM1757" t="s">
        <v>15650</v>
      </c>
    </row>
    <row r="1758" spans="1:65">
      <c r="A1758" s="1">
        <f>HYPERLINK("https://lsnyc.legalserver.org/matter/dynamic-profile/view/1864009","18-1864009")</f>
        <v>0</v>
      </c>
      <c r="B1758" t="s">
        <v>133</v>
      </c>
      <c r="C1758" t="s">
        <v>248</v>
      </c>
      <c r="D1758" t="s">
        <v>770</v>
      </c>
      <c r="F1758" t="s">
        <v>1886</v>
      </c>
      <c r="G1758" t="s">
        <v>3683</v>
      </c>
      <c r="H1758" t="s">
        <v>5034</v>
      </c>
      <c r="I1758" t="s">
        <v>6781</v>
      </c>
      <c r="J1758" t="s">
        <v>7174</v>
      </c>
      <c r="K1758">
        <v>11225</v>
      </c>
      <c r="N1758" t="s">
        <v>7237</v>
      </c>
      <c r="O1758" t="s">
        <v>8378</v>
      </c>
      <c r="P1758">
        <v>4</v>
      </c>
      <c r="Q1758">
        <v>0</v>
      </c>
      <c r="R1758">
        <v>62.15</v>
      </c>
      <c r="U1758">
        <v>15600</v>
      </c>
      <c r="W1758">
        <v>0</v>
      </c>
      <c r="Y1758" t="s">
        <v>225</v>
      </c>
      <c r="AA1758" t="s">
        <v>10974</v>
      </c>
      <c r="AB1758" t="s">
        <v>453</v>
      </c>
      <c r="AD1758" t="s">
        <v>11100</v>
      </c>
      <c r="AF1758" t="s">
        <v>10384</v>
      </c>
      <c r="AH1758" t="s">
        <v>10974</v>
      </c>
      <c r="AJ1758" t="s">
        <v>11134</v>
      </c>
      <c r="AK1758" t="s">
        <v>7225</v>
      </c>
      <c r="AM1758">
        <v>745.62</v>
      </c>
      <c r="AO1758">
        <v>89</v>
      </c>
      <c r="AQ1758" t="s">
        <v>11157</v>
      </c>
      <c r="AS1758" t="s">
        <v>11173</v>
      </c>
      <c r="AU1758">
        <v>40</v>
      </c>
      <c r="AW1758" t="s">
        <v>11187</v>
      </c>
      <c r="AZ1758" t="s">
        <v>11221</v>
      </c>
      <c r="BE1758" t="s">
        <v>12667</v>
      </c>
      <c r="BF1758" t="s">
        <v>14364</v>
      </c>
      <c r="BM1758" t="s">
        <v>15650</v>
      </c>
    </row>
    <row r="1759" spans="1:65">
      <c r="A1759" s="1">
        <f>HYPERLINK("https://lsnyc.legalserver.org/matter/dynamic-profile/view/1871564","18-1871564")</f>
        <v>0</v>
      </c>
      <c r="B1759" t="s">
        <v>133</v>
      </c>
      <c r="C1759" t="s">
        <v>248</v>
      </c>
      <c r="D1759" t="s">
        <v>620</v>
      </c>
      <c r="F1759" t="s">
        <v>1866</v>
      </c>
      <c r="G1759" t="s">
        <v>3664</v>
      </c>
      <c r="H1759" t="s">
        <v>5366</v>
      </c>
      <c r="I1759" t="s">
        <v>6772</v>
      </c>
      <c r="J1759" t="s">
        <v>7174</v>
      </c>
      <c r="K1759">
        <v>11212</v>
      </c>
      <c r="N1759" t="s">
        <v>7237</v>
      </c>
      <c r="O1759" t="s">
        <v>8349</v>
      </c>
      <c r="P1759">
        <v>1</v>
      </c>
      <c r="Q1759">
        <v>2</v>
      </c>
      <c r="R1759">
        <v>37.65</v>
      </c>
      <c r="U1759">
        <v>15648</v>
      </c>
      <c r="W1759">
        <v>0</v>
      </c>
      <c r="Y1759" t="s">
        <v>10925</v>
      </c>
      <c r="AA1759" t="s">
        <v>10974</v>
      </c>
      <c r="AB1759" t="s">
        <v>11020</v>
      </c>
      <c r="AD1759" t="s">
        <v>11086</v>
      </c>
      <c r="AF1759" t="s">
        <v>10384</v>
      </c>
      <c r="AH1759" t="s">
        <v>10974</v>
      </c>
      <c r="AJ1759" t="s">
        <v>11104</v>
      </c>
      <c r="AK1759" t="s">
        <v>7225</v>
      </c>
      <c r="AM1759">
        <v>939.42</v>
      </c>
      <c r="AO1759">
        <v>32</v>
      </c>
      <c r="AQ1759" t="s">
        <v>11157</v>
      </c>
      <c r="AS1759" t="s">
        <v>11175</v>
      </c>
      <c r="AU1759">
        <v>19</v>
      </c>
      <c r="AW1759" t="s">
        <v>11187</v>
      </c>
      <c r="AZ1759" t="s">
        <v>11221</v>
      </c>
      <c r="BE1759" t="s">
        <v>12638</v>
      </c>
      <c r="BF1759" t="s">
        <v>14364</v>
      </c>
      <c r="BM1759" t="s">
        <v>15650</v>
      </c>
    </row>
    <row r="1760" spans="1:65">
      <c r="A1760" s="1">
        <f>HYPERLINK("https://lsnyc.legalserver.org/matter/dynamic-profile/view/1871632","18-1871632")</f>
        <v>0</v>
      </c>
      <c r="B1760" t="s">
        <v>133</v>
      </c>
      <c r="C1760" t="s">
        <v>248</v>
      </c>
      <c r="D1760" t="s">
        <v>771</v>
      </c>
      <c r="F1760" t="s">
        <v>1856</v>
      </c>
      <c r="G1760" t="s">
        <v>3653</v>
      </c>
      <c r="H1760" t="s">
        <v>5366</v>
      </c>
      <c r="I1760" t="s">
        <v>6769</v>
      </c>
      <c r="J1760" t="s">
        <v>7174</v>
      </c>
      <c r="K1760">
        <v>11212</v>
      </c>
      <c r="N1760" t="s">
        <v>7237</v>
      </c>
      <c r="O1760" t="s">
        <v>8328</v>
      </c>
      <c r="P1760">
        <v>2</v>
      </c>
      <c r="Q1760">
        <v>0</v>
      </c>
      <c r="R1760">
        <v>21.87</v>
      </c>
      <c r="U1760">
        <v>3600</v>
      </c>
      <c r="W1760">
        <v>0</v>
      </c>
      <c r="Y1760" t="s">
        <v>10925</v>
      </c>
      <c r="AA1760" t="s">
        <v>10974</v>
      </c>
      <c r="AB1760" t="s">
        <v>11020</v>
      </c>
      <c r="AD1760" t="s">
        <v>11086</v>
      </c>
      <c r="AF1760" t="s">
        <v>10384</v>
      </c>
      <c r="AH1760" t="s">
        <v>10974</v>
      </c>
      <c r="AJ1760" t="s">
        <v>11104</v>
      </c>
      <c r="AK1760" t="s">
        <v>7225</v>
      </c>
      <c r="AM1760">
        <v>1135</v>
      </c>
      <c r="AO1760">
        <v>32</v>
      </c>
      <c r="AQ1760" t="s">
        <v>11157</v>
      </c>
      <c r="AS1760" t="s">
        <v>11173</v>
      </c>
      <c r="AU1760">
        <v>20</v>
      </c>
      <c r="AW1760" t="s">
        <v>11187</v>
      </c>
      <c r="AZ1760" t="s">
        <v>11221</v>
      </c>
      <c r="BE1760" t="s">
        <v>12619</v>
      </c>
      <c r="BF1760" t="s">
        <v>14364</v>
      </c>
      <c r="BM1760" t="s">
        <v>15650</v>
      </c>
    </row>
    <row r="1761" spans="1:65">
      <c r="A1761" s="1">
        <f>HYPERLINK("https://lsnyc.legalserver.org/matter/dynamic-profile/view/1896791","19-1896791")</f>
        <v>0</v>
      </c>
      <c r="B1761" t="s">
        <v>133</v>
      </c>
      <c r="C1761" t="s">
        <v>248</v>
      </c>
      <c r="D1761" t="s">
        <v>776</v>
      </c>
      <c r="F1761" t="s">
        <v>1876</v>
      </c>
      <c r="G1761" t="s">
        <v>3249</v>
      </c>
      <c r="H1761" t="s">
        <v>5166</v>
      </c>
      <c r="I1761" t="s">
        <v>6637</v>
      </c>
      <c r="J1761" t="s">
        <v>7174</v>
      </c>
      <c r="K1761">
        <v>11213</v>
      </c>
      <c r="N1761" t="s">
        <v>7237</v>
      </c>
      <c r="O1761" t="s">
        <v>8367</v>
      </c>
      <c r="P1761">
        <v>1</v>
      </c>
      <c r="Q1761">
        <v>1</v>
      </c>
      <c r="R1761">
        <v>52.58</v>
      </c>
      <c r="U1761">
        <v>8892</v>
      </c>
      <c r="V1761" t="s">
        <v>10451</v>
      </c>
      <c r="W1761">
        <v>0</v>
      </c>
      <c r="Y1761" t="s">
        <v>101</v>
      </c>
      <c r="AA1761" t="s">
        <v>10974</v>
      </c>
      <c r="AB1761" t="s">
        <v>428</v>
      </c>
      <c r="AD1761" t="s">
        <v>11100</v>
      </c>
      <c r="AF1761" t="s">
        <v>10384</v>
      </c>
      <c r="AH1761" t="s">
        <v>10974</v>
      </c>
      <c r="AJ1761" t="s">
        <v>11141</v>
      </c>
      <c r="AK1761" t="s">
        <v>7225</v>
      </c>
      <c r="AM1761">
        <v>855.86</v>
      </c>
      <c r="AO1761">
        <v>6</v>
      </c>
      <c r="AQ1761" t="s">
        <v>11157</v>
      </c>
      <c r="AS1761" t="s">
        <v>11173</v>
      </c>
      <c r="AU1761">
        <v>26</v>
      </c>
      <c r="AW1761" t="s">
        <v>11187</v>
      </c>
      <c r="BA1761" t="s">
        <v>11222</v>
      </c>
      <c r="BD1761" t="s">
        <v>11667</v>
      </c>
      <c r="BF1761" t="s">
        <v>14364</v>
      </c>
      <c r="BG1761" t="s">
        <v>11086</v>
      </c>
      <c r="BM1761" t="s">
        <v>15650</v>
      </c>
    </row>
    <row r="1762" spans="1:65">
      <c r="A1762" s="1">
        <f>HYPERLINK("https://lsnyc.legalserver.org/matter/dynamic-profile/view/1887822","19-1887822")</f>
        <v>0</v>
      </c>
      <c r="B1762" t="s">
        <v>133</v>
      </c>
      <c r="C1762" t="s">
        <v>248</v>
      </c>
      <c r="D1762" t="s">
        <v>596</v>
      </c>
      <c r="F1762" t="s">
        <v>1888</v>
      </c>
      <c r="G1762" t="s">
        <v>3466</v>
      </c>
      <c r="H1762" t="s">
        <v>5034</v>
      </c>
      <c r="I1762" t="s">
        <v>6450</v>
      </c>
      <c r="J1762" t="s">
        <v>7174</v>
      </c>
      <c r="K1762">
        <v>11225</v>
      </c>
      <c r="N1762" t="s">
        <v>7237</v>
      </c>
      <c r="O1762" t="s">
        <v>8320</v>
      </c>
      <c r="P1762">
        <v>6</v>
      </c>
      <c r="Q1762">
        <v>1</v>
      </c>
      <c r="R1762">
        <v>420.39</v>
      </c>
      <c r="U1762">
        <v>160000</v>
      </c>
      <c r="W1762">
        <v>0</v>
      </c>
      <c r="Y1762" t="s">
        <v>101</v>
      </c>
      <c r="AA1762" t="s">
        <v>10974</v>
      </c>
      <c r="AB1762" t="s">
        <v>453</v>
      </c>
      <c r="AD1762" t="s">
        <v>11098</v>
      </c>
      <c r="AF1762" t="s">
        <v>11122</v>
      </c>
      <c r="AH1762" t="s">
        <v>10974</v>
      </c>
      <c r="AJ1762" t="s">
        <v>11134</v>
      </c>
      <c r="AK1762" t="s">
        <v>7225</v>
      </c>
      <c r="AM1762">
        <v>1416</v>
      </c>
      <c r="AO1762">
        <v>89</v>
      </c>
      <c r="AQ1762" t="s">
        <v>11157</v>
      </c>
      <c r="AS1762" t="s">
        <v>11173</v>
      </c>
      <c r="AU1762">
        <v>1</v>
      </c>
      <c r="AW1762" t="s">
        <v>11187</v>
      </c>
      <c r="AZ1762" t="s">
        <v>11221</v>
      </c>
      <c r="BE1762" t="s">
        <v>12672</v>
      </c>
      <c r="BF1762" t="s">
        <v>14364</v>
      </c>
      <c r="BM1762" t="s">
        <v>15650</v>
      </c>
    </row>
    <row r="1763" spans="1:65">
      <c r="A1763" s="1">
        <f>HYPERLINK("https://lsnyc.legalserver.org/matter/dynamic-profile/view/1896648","19-1896648")</f>
        <v>0</v>
      </c>
      <c r="B1763" t="s">
        <v>133</v>
      </c>
      <c r="C1763" t="s">
        <v>248</v>
      </c>
      <c r="D1763" t="s">
        <v>585</v>
      </c>
      <c r="F1763" t="s">
        <v>1887</v>
      </c>
      <c r="G1763" t="s">
        <v>3685</v>
      </c>
      <c r="H1763" t="s">
        <v>5166</v>
      </c>
      <c r="I1763" t="s">
        <v>6783</v>
      </c>
      <c r="J1763" t="s">
        <v>7174</v>
      </c>
      <c r="K1763">
        <v>11213</v>
      </c>
      <c r="N1763" t="s">
        <v>7237</v>
      </c>
      <c r="O1763" t="s">
        <v>8381</v>
      </c>
      <c r="P1763">
        <v>1</v>
      </c>
      <c r="Q1763">
        <v>0</v>
      </c>
      <c r="R1763">
        <v>512.41</v>
      </c>
      <c r="U1763">
        <v>64000</v>
      </c>
      <c r="V1763" t="s">
        <v>10464</v>
      </c>
      <c r="W1763">
        <v>0</v>
      </c>
      <c r="Y1763" t="s">
        <v>101</v>
      </c>
      <c r="AA1763" t="s">
        <v>10974</v>
      </c>
      <c r="AB1763" t="s">
        <v>428</v>
      </c>
      <c r="AD1763" t="s">
        <v>11100</v>
      </c>
      <c r="AF1763" t="s">
        <v>10384</v>
      </c>
      <c r="AH1763" t="s">
        <v>10974</v>
      </c>
      <c r="AJ1763" t="s">
        <v>11141</v>
      </c>
      <c r="AK1763" t="s">
        <v>7225</v>
      </c>
      <c r="AM1763">
        <v>540</v>
      </c>
      <c r="AO1763">
        <v>6</v>
      </c>
      <c r="AQ1763" t="s">
        <v>11157</v>
      </c>
      <c r="AS1763" t="s">
        <v>11173</v>
      </c>
      <c r="AU1763">
        <v>18</v>
      </c>
      <c r="AW1763" t="s">
        <v>11187</v>
      </c>
      <c r="BA1763" t="s">
        <v>11222</v>
      </c>
      <c r="BE1763" t="s">
        <v>12671</v>
      </c>
      <c r="BF1763" t="s">
        <v>14364</v>
      </c>
      <c r="BG1763" t="s">
        <v>11086</v>
      </c>
      <c r="BM1763" t="s">
        <v>15650</v>
      </c>
    </row>
    <row r="1764" spans="1:65">
      <c r="A1764" s="1">
        <f>HYPERLINK("https://lsnyc.legalserver.org/matter/dynamic-profile/view/1905902","19-1905902")</f>
        <v>0</v>
      </c>
      <c r="B1764" t="s">
        <v>133</v>
      </c>
      <c r="C1764" t="s">
        <v>248</v>
      </c>
      <c r="D1764" t="s">
        <v>337</v>
      </c>
      <c r="F1764" t="s">
        <v>1887</v>
      </c>
      <c r="G1764" t="s">
        <v>3685</v>
      </c>
      <c r="H1764" t="s">
        <v>5166</v>
      </c>
      <c r="I1764" t="s">
        <v>6783</v>
      </c>
      <c r="J1764" t="s">
        <v>7174</v>
      </c>
      <c r="K1764">
        <v>11213</v>
      </c>
      <c r="N1764" t="s">
        <v>7237</v>
      </c>
      <c r="O1764" t="s">
        <v>8381</v>
      </c>
      <c r="P1764">
        <v>1</v>
      </c>
      <c r="Q1764">
        <v>0</v>
      </c>
      <c r="R1764">
        <v>512.41</v>
      </c>
      <c r="U1764">
        <v>64000</v>
      </c>
      <c r="V1764" t="s">
        <v>10465</v>
      </c>
      <c r="W1764">
        <v>0</v>
      </c>
      <c r="Y1764" t="s">
        <v>225</v>
      </c>
      <c r="AA1764" t="s">
        <v>10974</v>
      </c>
      <c r="AB1764" t="s">
        <v>10987</v>
      </c>
      <c r="AD1764" t="s">
        <v>11100</v>
      </c>
      <c r="AF1764" t="s">
        <v>10384</v>
      </c>
      <c r="AH1764" t="s">
        <v>10974</v>
      </c>
      <c r="AJ1764" t="s">
        <v>11129</v>
      </c>
      <c r="AK1764" t="s">
        <v>7225</v>
      </c>
      <c r="AM1764">
        <v>540</v>
      </c>
      <c r="AO1764">
        <v>6</v>
      </c>
      <c r="AQ1764" t="s">
        <v>11157</v>
      </c>
      <c r="AS1764" t="s">
        <v>11173</v>
      </c>
      <c r="AU1764">
        <v>18</v>
      </c>
      <c r="AW1764" t="s">
        <v>11187</v>
      </c>
      <c r="AY1764" t="s">
        <v>11213</v>
      </c>
      <c r="BA1764" t="s">
        <v>11222</v>
      </c>
      <c r="BC1764" t="s">
        <v>11173</v>
      </c>
      <c r="BE1764" t="s">
        <v>12671</v>
      </c>
      <c r="BF1764" t="s">
        <v>14364</v>
      </c>
      <c r="BG1764" t="s">
        <v>14410</v>
      </c>
      <c r="BM1764" t="s">
        <v>15650</v>
      </c>
    </row>
    <row r="1765" spans="1:65">
      <c r="A1765" s="1">
        <f>HYPERLINK("https://lsnyc.legalserver.org/matter/dynamic-profile/view/1905871","19-1905871")</f>
        <v>0</v>
      </c>
      <c r="B1765" t="s">
        <v>133</v>
      </c>
      <c r="C1765" t="s">
        <v>248</v>
      </c>
      <c r="D1765" t="s">
        <v>337</v>
      </c>
      <c r="F1765" t="s">
        <v>1876</v>
      </c>
      <c r="G1765" t="s">
        <v>3249</v>
      </c>
      <c r="H1765" t="s">
        <v>5166</v>
      </c>
      <c r="I1765" t="s">
        <v>6637</v>
      </c>
      <c r="J1765" t="s">
        <v>7174</v>
      </c>
      <c r="K1765">
        <v>11213</v>
      </c>
      <c r="N1765" t="s">
        <v>7237</v>
      </c>
      <c r="O1765" t="s">
        <v>8367</v>
      </c>
      <c r="P1765">
        <v>1</v>
      </c>
      <c r="Q1765">
        <v>1</v>
      </c>
      <c r="R1765">
        <v>52.58</v>
      </c>
      <c r="U1765">
        <v>8892</v>
      </c>
      <c r="W1765">
        <v>0</v>
      </c>
      <c r="Y1765" t="s">
        <v>225</v>
      </c>
      <c r="AA1765" t="s">
        <v>10974</v>
      </c>
      <c r="AB1765" t="s">
        <v>370</v>
      </c>
      <c r="AD1765" t="s">
        <v>11100</v>
      </c>
      <c r="AF1765" t="s">
        <v>10384</v>
      </c>
      <c r="AH1765" t="s">
        <v>10974</v>
      </c>
      <c r="AJ1765" t="s">
        <v>11129</v>
      </c>
      <c r="AK1765" t="s">
        <v>7225</v>
      </c>
      <c r="AM1765">
        <v>855.86</v>
      </c>
      <c r="AO1765">
        <v>6</v>
      </c>
      <c r="AQ1765" t="s">
        <v>11157</v>
      </c>
      <c r="AS1765" t="s">
        <v>11173</v>
      </c>
      <c r="AU1765">
        <v>26</v>
      </c>
      <c r="AW1765" t="s">
        <v>11187</v>
      </c>
      <c r="AY1765" t="s">
        <v>11213</v>
      </c>
      <c r="BA1765" t="s">
        <v>11222</v>
      </c>
      <c r="BC1765" t="s">
        <v>11173</v>
      </c>
      <c r="BD1765" t="s">
        <v>11667</v>
      </c>
      <c r="BF1765" t="s">
        <v>14364</v>
      </c>
      <c r="BG1765" t="s">
        <v>11228</v>
      </c>
      <c r="BM1765" t="s">
        <v>15650</v>
      </c>
    </row>
    <row r="1766" spans="1:65">
      <c r="A1766" s="1">
        <f>HYPERLINK("https://lsnyc.legalserver.org/matter/dynamic-profile/view/1896778","19-1896778")</f>
        <v>0</v>
      </c>
      <c r="B1766" t="s">
        <v>133</v>
      </c>
      <c r="C1766" t="s">
        <v>248</v>
      </c>
      <c r="D1766" t="s">
        <v>776</v>
      </c>
      <c r="F1766" t="s">
        <v>1876</v>
      </c>
      <c r="G1766" t="s">
        <v>3249</v>
      </c>
      <c r="H1766" t="s">
        <v>5166</v>
      </c>
      <c r="I1766" t="s">
        <v>6637</v>
      </c>
      <c r="J1766" t="s">
        <v>7174</v>
      </c>
      <c r="K1766">
        <v>11213</v>
      </c>
      <c r="N1766" t="s">
        <v>7237</v>
      </c>
      <c r="O1766" t="s">
        <v>8367</v>
      </c>
      <c r="P1766">
        <v>1</v>
      </c>
      <c r="Q1766">
        <v>1</v>
      </c>
      <c r="R1766">
        <v>52.58</v>
      </c>
      <c r="U1766">
        <v>8892</v>
      </c>
      <c r="W1766">
        <v>0</v>
      </c>
      <c r="Y1766" t="s">
        <v>101</v>
      </c>
      <c r="AA1766" t="s">
        <v>10974</v>
      </c>
      <c r="AB1766" t="s">
        <v>727</v>
      </c>
      <c r="AD1766" t="s">
        <v>11100</v>
      </c>
      <c r="AF1766" t="s">
        <v>10384</v>
      </c>
      <c r="AH1766" t="s">
        <v>10974</v>
      </c>
      <c r="AJ1766" t="s">
        <v>11141</v>
      </c>
      <c r="AK1766" t="s">
        <v>7225</v>
      </c>
      <c r="AM1766">
        <v>855.86</v>
      </c>
      <c r="AO1766">
        <v>6</v>
      </c>
      <c r="AQ1766" t="s">
        <v>11157</v>
      </c>
      <c r="AS1766" t="s">
        <v>11173</v>
      </c>
      <c r="AU1766">
        <v>26</v>
      </c>
      <c r="AW1766" t="s">
        <v>11187</v>
      </c>
      <c r="BA1766" t="s">
        <v>11222</v>
      </c>
      <c r="BD1766" t="s">
        <v>11667</v>
      </c>
      <c r="BF1766" t="s">
        <v>14364</v>
      </c>
      <c r="BG1766" t="s">
        <v>11086</v>
      </c>
      <c r="BM1766" t="s">
        <v>15650</v>
      </c>
    </row>
    <row r="1767" spans="1:65">
      <c r="A1767" s="1">
        <f>HYPERLINK("https://lsnyc.legalserver.org/matter/dynamic-profile/view/1887811","19-1887811")</f>
        <v>0</v>
      </c>
      <c r="B1767" t="s">
        <v>133</v>
      </c>
      <c r="C1767" t="s">
        <v>248</v>
      </c>
      <c r="D1767" t="s">
        <v>596</v>
      </c>
      <c r="F1767" t="s">
        <v>1874</v>
      </c>
      <c r="G1767" t="s">
        <v>3673</v>
      </c>
      <c r="H1767" t="s">
        <v>5034</v>
      </c>
      <c r="I1767" t="s">
        <v>6757</v>
      </c>
      <c r="J1767" t="s">
        <v>7174</v>
      </c>
      <c r="K1767">
        <v>11225</v>
      </c>
      <c r="N1767" t="s">
        <v>7237</v>
      </c>
      <c r="O1767" t="s">
        <v>8038</v>
      </c>
      <c r="P1767">
        <v>2</v>
      </c>
      <c r="Q1767">
        <v>2</v>
      </c>
      <c r="R1767">
        <v>0</v>
      </c>
      <c r="U1767">
        <v>0</v>
      </c>
      <c r="W1767">
        <v>0</v>
      </c>
      <c r="Y1767" t="s">
        <v>101</v>
      </c>
      <c r="AA1767" t="s">
        <v>10974</v>
      </c>
      <c r="AB1767" t="s">
        <v>453</v>
      </c>
      <c r="AD1767" t="s">
        <v>11098</v>
      </c>
      <c r="AF1767" t="s">
        <v>11122</v>
      </c>
      <c r="AH1767" t="s">
        <v>10974</v>
      </c>
      <c r="AI1767" t="s">
        <v>11126</v>
      </c>
      <c r="AK1767" t="s">
        <v>7225</v>
      </c>
      <c r="AM1767">
        <v>757.21</v>
      </c>
      <c r="AO1767">
        <v>89</v>
      </c>
      <c r="AQ1767" t="s">
        <v>11157</v>
      </c>
      <c r="AS1767" t="s">
        <v>11173</v>
      </c>
      <c r="AU1767">
        <v>29</v>
      </c>
      <c r="AW1767" t="s">
        <v>11187</v>
      </c>
      <c r="AZ1767" t="s">
        <v>11221</v>
      </c>
      <c r="BE1767" t="s">
        <v>12652</v>
      </c>
      <c r="BF1767" t="s">
        <v>14364</v>
      </c>
      <c r="BM1767" t="s">
        <v>15650</v>
      </c>
    </row>
    <row r="1768" spans="1:65">
      <c r="A1768" s="1">
        <f>HYPERLINK("https://lsnyc.legalserver.org/matter/dynamic-profile/view/1851832","17-1851832")</f>
        <v>0</v>
      </c>
      <c r="B1768" t="s">
        <v>133</v>
      </c>
      <c r="C1768" t="s">
        <v>248</v>
      </c>
      <c r="D1768" t="s">
        <v>783</v>
      </c>
      <c r="F1768" t="s">
        <v>1777</v>
      </c>
      <c r="G1768" t="s">
        <v>3686</v>
      </c>
      <c r="H1768" t="s">
        <v>5367</v>
      </c>
      <c r="I1768" t="s">
        <v>6495</v>
      </c>
      <c r="J1768" t="s">
        <v>7174</v>
      </c>
      <c r="K1768">
        <v>11206</v>
      </c>
      <c r="N1768" t="s">
        <v>7237</v>
      </c>
      <c r="O1768" t="s">
        <v>8382</v>
      </c>
      <c r="P1768">
        <v>2</v>
      </c>
      <c r="Q1768">
        <v>0</v>
      </c>
      <c r="R1768">
        <v>54.16</v>
      </c>
      <c r="U1768">
        <v>8796</v>
      </c>
      <c r="W1768">
        <v>0</v>
      </c>
      <c r="Y1768" t="s">
        <v>10901</v>
      </c>
      <c r="AA1768" t="s">
        <v>10974</v>
      </c>
      <c r="AB1768" t="s">
        <v>898</v>
      </c>
      <c r="AD1768" t="s">
        <v>11100</v>
      </c>
      <c r="AF1768" t="s">
        <v>10384</v>
      </c>
      <c r="AH1768" t="s">
        <v>10974</v>
      </c>
      <c r="AI1768" t="s">
        <v>11126</v>
      </c>
      <c r="AK1768" t="s">
        <v>7225</v>
      </c>
      <c r="AM1768">
        <v>1119</v>
      </c>
      <c r="AO1768">
        <v>25</v>
      </c>
      <c r="AQ1768" t="s">
        <v>11157</v>
      </c>
      <c r="AS1768" t="s">
        <v>11181</v>
      </c>
      <c r="AU1768">
        <v>-1</v>
      </c>
      <c r="AW1768" t="s">
        <v>11187</v>
      </c>
      <c r="AZ1768" t="s">
        <v>11221</v>
      </c>
      <c r="BE1768" t="s">
        <v>12673</v>
      </c>
      <c r="BF1768" t="s">
        <v>14364</v>
      </c>
      <c r="BM1768" t="s">
        <v>15650</v>
      </c>
    </row>
    <row r="1769" spans="1:65">
      <c r="A1769" s="1">
        <f>HYPERLINK("https://lsnyc.legalserver.org/matter/dynamic-profile/view/1904757","19-1904757")</f>
        <v>0</v>
      </c>
      <c r="B1769" t="s">
        <v>134</v>
      </c>
      <c r="C1769" t="s">
        <v>246</v>
      </c>
      <c r="D1769" t="s">
        <v>373</v>
      </c>
      <c r="F1769" t="s">
        <v>1889</v>
      </c>
      <c r="G1769" t="s">
        <v>2880</v>
      </c>
      <c r="H1769" t="s">
        <v>5372</v>
      </c>
      <c r="I1769" t="s">
        <v>6493</v>
      </c>
      <c r="J1769" t="s">
        <v>7170</v>
      </c>
      <c r="K1769">
        <v>10456</v>
      </c>
      <c r="N1769" t="s">
        <v>7237</v>
      </c>
      <c r="O1769" t="s">
        <v>8383</v>
      </c>
      <c r="P1769">
        <v>1</v>
      </c>
      <c r="Q1769">
        <v>0</v>
      </c>
      <c r="R1769">
        <v>224.18</v>
      </c>
      <c r="U1769">
        <v>28000</v>
      </c>
      <c r="W1769">
        <v>0.5</v>
      </c>
      <c r="X1769" t="s">
        <v>373</v>
      </c>
      <c r="Y1769" t="s">
        <v>210</v>
      </c>
      <c r="AA1769" t="s">
        <v>10974</v>
      </c>
      <c r="AB1769" t="s">
        <v>10979</v>
      </c>
      <c r="AD1769" t="s">
        <v>11098</v>
      </c>
      <c r="AF1769" t="s">
        <v>11122</v>
      </c>
      <c r="AH1769" t="s">
        <v>10974</v>
      </c>
      <c r="AJ1769" t="s">
        <v>11132</v>
      </c>
      <c r="AK1769" t="s">
        <v>7225</v>
      </c>
      <c r="AM1769">
        <v>972.76</v>
      </c>
      <c r="AO1769">
        <v>17</v>
      </c>
      <c r="AQ1769" t="s">
        <v>11157</v>
      </c>
      <c r="AS1769" t="s">
        <v>11173</v>
      </c>
      <c r="AU1769">
        <v>28</v>
      </c>
      <c r="AW1769" t="s">
        <v>11187</v>
      </c>
      <c r="BA1769" t="s">
        <v>11222</v>
      </c>
      <c r="BD1769" t="s">
        <v>11667</v>
      </c>
      <c r="BF1769" t="s">
        <v>14364</v>
      </c>
      <c r="BM1769" t="s">
        <v>15650</v>
      </c>
    </row>
    <row r="1770" spans="1:65">
      <c r="A1770" s="1">
        <f>HYPERLINK("https://lsnyc.legalserver.org/matter/dynamic-profile/view/1857459","18-1857459")</f>
        <v>0</v>
      </c>
      <c r="B1770" t="s">
        <v>134</v>
      </c>
      <c r="C1770" t="s">
        <v>246</v>
      </c>
      <c r="D1770" t="s">
        <v>691</v>
      </c>
      <c r="F1770" t="s">
        <v>1890</v>
      </c>
      <c r="G1770" t="s">
        <v>3687</v>
      </c>
      <c r="H1770" t="s">
        <v>4844</v>
      </c>
      <c r="I1770" t="s">
        <v>6784</v>
      </c>
      <c r="J1770" t="s">
        <v>7170</v>
      </c>
      <c r="K1770">
        <v>10452</v>
      </c>
      <c r="N1770" t="s">
        <v>7237</v>
      </c>
      <c r="O1770" t="s">
        <v>8384</v>
      </c>
      <c r="P1770">
        <v>2</v>
      </c>
      <c r="Q1770">
        <v>5</v>
      </c>
      <c r="R1770">
        <v>61.93</v>
      </c>
      <c r="U1770">
        <v>23000</v>
      </c>
      <c r="V1770" t="s">
        <v>10466</v>
      </c>
      <c r="W1770">
        <v>0</v>
      </c>
      <c r="Y1770" t="s">
        <v>10897</v>
      </c>
      <c r="Z1770" t="s">
        <v>10972</v>
      </c>
      <c r="AA1770" t="s">
        <v>10976</v>
      </c>
      <c r="AD1770" t="s">
        <v>11096</v>
      </c>
      <c r="AF1770" t="s">
        <v>11122</v>
      </c>
      <c r="AH1770" t="s">
        <v>10974</v>
      </c>
      <c r="AJ1770" t="s">
        <v>11141</v>
      </c>
      <c r="AK1770" t="s">
        <v>7225</v>
      </c>
      <c r="AM1770">
        <v>1197.41</v>
      </c>
      <c r="AO1770">
        <v>122</v>
      </c>
      <c r="AQ1770" t="s">
        <v>11157</v>
      </c>
      <c r="AS1770" t="s">
        <v>11173</v>
      </c>
      <c r="AT1770" t="s">
        <v>11184</v>
      </c>
      <c r="AU1770">
        <v>0</v>
      </c>
      <c r="AW1770" t="s">
        <v>11187</v>
      </c>
      <c r="AX1770" t="s">
        <v>11212</v>
      </c>
      <c r="AZ1770" t="s">
        <v>11221</v>
      </c>
      <c r="BB1770" t="s">
        <v>11224</v>
      </c>
      <c r="BC1770" t="s">
        <v>11380</v>
      </c>
      <c r="BD1770" t="s">
        <v>11667</v>
      </c>
      <c r="BG1770" t="s">
        <v>14717</v>
      </c>
      <c r="BM1770" t="s">
        <v>15650</v>
      </c>
    </row>
    <row r="1771" spans="1:65">
      <c r="A1771" s="1">
        <f>HYPERLINK("https://lsnyc.legalserver.org/matter/dynamic-profile/view/1876811","18-1876811")</f>
        <v>0</v>
      </c>
      <c r="B1771" t="s">
        <v>134</v>
      </c>
      <c r="C1771" t="s">
        <v>246</v>
      </c>
      <c r="D1771" t="s">
        <v>628</v>
      </c>
      <c r="F1771" t="s">
        <v>1428</v>
      </c>
      <c r="G1771" t="s">
        <v>3688</v>
      </c>
      <c r="H1771" t="s">
        <v>5373</v>
      </c>
      <c r="I1771" t="s">
        <v>6421</v>
      </c>
      <c r="J1771" t="s">
        <v>7170</v>
      </c>
      <c r="K1771">
        <v>10456</v>
      </c>
      <c r="N1771" t="s">
        <v>7237</v>
      </c>
      <c r="O1771" t="s">
        <v>8385</v>
      </c>
      <c r="P1771">
        <v>2</v>
      </c>
      <c r="Q1771">
        <v>0</v>
      </c>
      <c r="R1771">
        <v>109.36</v>
      </c>
      <c r="U1771">
        <v>18000</v>
      </c>
      <c r="W1771">
        <v>0</v>
      </c>
      <c r="Y1771" t="s">
        <v>216</v>
      </c>
      <c r="AA1771" t="s">
        <v>10974</v>
      </c>
      <c r="AB1771" t="s">
        <v>730</v>
      </c>
      <c r="AD1771" t="s">
        <v>11098</v>
      </c>
      <c r="AF1771" t="s">
        <v>11122</v>
      </c>
      <c r="AH1771" t="s">
        <v>10974</v>
      </c>
      <c r="AJ1771" t="s">
        <v>11141</v>
      </c>
      <c r="AK1771" t="s">
        <v>7225</v>
      </c>
      <c r="AM1771">
        <v>947.5</v>
      </c>
      <c r="AO1771">
        <v>131</v>
      </c>
      <c r="AQ1771" t="s">
        <v>11157</v>
      </c>
      <c r="AS1771" t="s">
        <v>11173</v>
      </c>
      <c r="AU1771">
        <v>25</v>
      </c>
      <c r="AW1771" t="s">
        <v>11187</v>
      </c>
      <c r="AZ1771" t="s">
        <v>11221</v>
      </c>
      <c r="BE1771" t="s">
        <v>12674</v>
      </c>
      <c r="BG1771" t="s">
        <v>14803</v>
      </c>
      <c r="BM1771" t="s">
        <v>15650</v>
      </c>
    </row>
    <row r="1772" spans="1:65">
      <c r="A1772" s="1">
        <f>HYPERLINK("https://lsnyc.legalserver.org/matter/dynamic-profile/view/1857139","18-1857139")</f>
        <v>0</v>
      </c>
      <c r="B1772" t="s">
        <v>134</v>
      </c>
      <c r="C1772" t="s">
        <v>246</v>
      </c>
      <c r="D1772" t="s">
        <v>692</v>
      </c>
      <c r="F1772" t="s">
        <v>1891</v>
      </c>
      <c r="G1772" t="s">
        <v>3689</v>
      </c>
      <c r="H1772" t="s">
        <v>4844</v>
      </c>
      <c r="I1772" t="s">
        <v>6785</v>
      </c>
      <c r="J1772" t="s">
        <v>7170</v>
      </c>
      <c r="K1772">
        <v>10452</v>
      </c>
      <c r="N1772" t="s">
        <v>7237</v>
      </c>
      <c r="O1772" t="s">
        <v>8386</v>
      </c>
      <c r="P1772">
        <v>2</v>
      </c>
      <c r="Q1772">
        <v>3</v>
      </c>
      <c r="R1772">
        <v>169.95</v>
      </c>
      <c r="U1772">
        <v>50000</v>
      </c>
      <c r="W1772">
        <v>0</v>
      </c>
      <c r="Y1772" t="s">
        <v>10897</v>
      </c>
      <c r="AA1772" t="s">
        <v>10974</v>
      </c>
      <c r="AB1772" t="s">
        <v>849</v>
      </c>
      <c r="AD1772" t="s">
        <v>11096</v>
      </c>
      <c r="AF1772" t="s">
        <v>11122</v>
      </c>
      <c r="AH1772" t="s">
        <v>10974</v>
      </c>
      <c r="AJ1772" t="s">
        <v>11141</v>
      </c>
      <c r="AK1772" t="s">
        <v>7225</v>
      </c>
      <c r="AL1772" t="s">
        <v>11150</v>
      </c>
      <c r="AM1772">
        <v>0</v>
      </c>
      <c r="AO1772">
        <v>122</v>
      </c>
      <c r="AQ1772" t="s">
        <v>11157</v>
      </c>
      <c r="AR1772" t="s">
        <v>11172</v>
      </c>
      <c r="AT1772" t="s">
        <v>11184</v>
      </c>
      <c r="AU1772">
        <v>0</v>
      </c>
      <c r="AW1772" t="s">
        <v>11187</v>
      </c>
      <c r="AZ1772" t="s">
        <v>11221</v>
      </c>
      <c r="BD1772" t="s">
        <v>11667</v>
      </c>
      <c r="BG1772" t="s">
        <v>14717</v>
      </c>
      <c r="BM1772" t="s">
        <v>15650</v>
      </c>
    </row>
    <row r="1773" spans="1:65">
      <c r="A1773" s="1">
        <f>HYPERLINK("https://lsnyc.legalserver.org/matter/dynamic-profile/view/1905846","19-1905846")</f>
        <v>0</v>
      </c>
      <c r="B1773" t="s">
        <v>134</v>
      </c>
      <c r="C1773" t="s">
        <v>246</v>
      </c>
      <c r="D1773" t="s">
        <v>268</v>
      </c>
      <c r="E1773" t="s">
        <v>312</v>
      </c>
      <c r="F1773" t="s">
        <v>1892</v>
      </c>
      <c r="G1773" t="s">
        <v>3690</v>
      </c>
      <c r="H1773" t="s">
        <v>5374</v>
      </c>
      <c r="I1773" t="s">
        <v>6751</v>
      </c>
      <c r="J1773" t="s">
        <v>7170</v>
      </c>
      <c r="K1773">
        <v>10452</v>
      </c>
      <c r="L1773" t="s">
        <v>7216</v>
      </c>
      <c r="N1773" t="s">
        <v>7237</v>
      </c>
      <c r="O1773" t="s">
        <v>8387</v>
      </c>
      <c r="P1773">
        <v>2</v>
      </c>
      <c r="Q1773">
        <v>3</v>
      </c>
      <c r="R1773">
        <v>39.77</v>
      </c>
      <c r="U1773">
        <v>12000</v>
      </c>
      <c r="W1773">
        <v>0.1</v>
      </c>
      <c r="X1773" t="s">
        <v>312</v>
      </c>
      <c r="Y1773" t="s">
        <v>216</v>
      </c>
      <c r="AA1773" t="s">
        <v>10974</v>
      </c>
      <c r="AC1773" t="s">
        <v>11081</v>
      </c>
      <c r="AF1773" t="s">
        <v>11119</v>
      </c>
      <c r="AH1773" t="s">
        <v>10975</v>
      </c>
      <c r="AJ1773" t="s">
        <v>11141</v>
      </c>
      <c r="AK1773" t="s">
        <v>7225</v>
      </c>
      <c r="AM1773">
        <v>1075</v>
      </c>
      <c r="AO1773">
        <v>58</v>
      </c>
      <c r="AQ1773" t="s">
        <v>11165</v>
      </c>
      <c r="AS1773" t="s">
        <v>11176</v>
      </c>
      <c r="AU1773">
        <v>8</v>
      </c>
      <c r="AW1773" t="s">
        <v>11187</v>
      </c>
      <c r="AX1773" t="s">
        <v>11212</v>
      </c>
      <c r="BA1773" t="s">
        <v>11222</v>
      </c>
      <c r="BC1773" t="s">
        <v>11381</v>
      </c>
      <c r="BD1773" t="s">
        <v>11667</v>
      </c>
      <c r="BF1773" t="s">
        <v>14364</v>
      </c>
      <c r="BG1773" t="s">
        <v>11228</v>
      </c>
      <c r="BM1773" t="s">
        <v>15651</v>
      </c>
    </row>
    <row r="1774" spans="1:65">
      <c r="A1774" s="1">
        <f>HYPERLINK("https://lsnyc.legalserver.org/matter/dynamic-profile/view/1856982","18-1856982")</f>
        <v>0</v>
      </c>
      <c r="B1774" t="s">
        <v>134</v>
      </c>
      <c r="C1774" t="s">
        <v>246</v>
      </c>
      <c r="D1774" t="s">
        <v>359</v>
      </c>
      <c r="F1774" t="s">
        <v>1890</v>
      </c>
      <c r="G1774" t="s">
        <v>3687</v>
      </c>
      <c r="H1774" t="s">
        <v>4844</v>
      </c>
      <c r="I1774" t="s">
        <v>6784</v>
      </c>
      <c r="J1774" t="s">
        <v>7170</v>
      </c>
      <c r="K1774">
        <v>10452</v>
      </c>
      <c r="N1774" t="s">
        <v>7237</v>
      </c>
      <c r="O1774" t="s">
        <v>8384</v>
      </c>
      <c r="P1774">
        <v>2</v>
      </c>
      <c r="Q1774">
        <v>5</v>
      </c>
      <c r="R1774">
        <v>61.93</v>
      </c>
      <c r="U1774">
        <v>23000.04</v>
      </c>
      <c r="V1774" t="s">
        <v>10466</v>
      </c>
      <c r="W1774">
        <v>0</v>
      </c>
      <c r="Y1774" t="s">
        <v>10897</v>
      </c>
      <c r="Z1774" t="s">
        <v>10972</v>
      </c>
      <c r="AA1774" t="s">
        <v>10976</v>
      </c>
      <c r="AD1774" t="s">
        <v>11096</v>
      </c>
      <c r="AF1774" t="s">
        <v>11122</v>
      </c>
      <c r="AH1774" t="s">
        <v>10974</v>
      </c>
      <c r="AJ1774" t="s">
        <v>11141</v>
      </c>
      <c r="AK1774" t="s">
        <v>7225</v>
      </c>
      <c r="AM1774">
        <v>1197.41</v>
      </c>
      <c r="AN1774" t="s">
        <v>11151</v>
      </c>
      <c r="AO1774" t="s">
        <v>11153</v>
      </c>
      <c r="AP1774" t="s">
        <v>11155</v>
      </c>
      <c r="AR1774" t="s">
        <v>11172</v>
      </c>
      <c r="AT1774" t="s">
        <v>11184</v>
      </c>
      <c r="AU1774">
        <v>0</v>
      </c>
      <c r="AW1774" t="s">
        <v>11187</v>
      </c>
      <c r="AX1774" t="s">
        <v>11212</v>
      </c>
      <c r="AZ1774" t="s">
        <v>11221</v>
      </c>
      <c r="BC1774" t="s">
        <v>11382</v>
      </c>
      <c r="BD1774" t="s">
        <v>11667</v>
      </c>
      <c r="BG1774" t="s">
        <v>14719</v>
      </c>
      <c r="BM1774" t="s">
        <v>15650</v>
      </c>
    </row>
    <row r="1775" spans="1:65">
      <c r="A1775" s="1">
        <f>HYPERLINK("https://lsnyc.legalserver.org/matter/dynamic-profile/view/1857002","18-1857002")</f>
        <v>0</v>
      </c>
      <c r="B1775" t="s">
        <v>134</v>
      </c>
      <c r="C1775" t="s">
        <v>246</v>
      </c>
      <c r="D1775" t="s">
        <v>359</v>
      </c>
      <c r="F1775" t="s">
        <v>1893</v>
      </c>
      <c r="G1775" t="s">
        <v>3691</v>
      </c>
      <c r="H1775" t="s">
        <v>4844</v>
      </c>
      <c r="I1775" t="s">
        <v>6786</v>
      </c>
      <c r="J1775" t="s">
        <v>7170</v>
      </c>
      <c r="K1775">
        <v>10452</v>
      </c>
      <c r="N1775" t="s">
        <v>7237</v>
      </c>
      <c r="O1775" t="s">
        <v>8388</v>
      </c>
      <c r="P1775">
        <v>3</v>
      </c>
      <c r="Q1775">
        <v>1</v>
      </c>
      <c r="R1775">
        <v>65.04000000000001</v>
      </c>
      <c r="U1775">
        <v>15999.96</v>
      </c>
      <c r="W1775">
        <v>0</v>
      </c>
      <c r="Y1775" t="s">
        <v>10897</v>
      </c>
      <c r="AA1775" t="s">
        <v>10974</v>
      </c>
      <c r="AB1775" t="s">
        <v>871</v>
      </c>
      <c r="AD1775" t="s">
        <v>11096</v>
      </c>
      <c r="AF1775" t="s">
        <v>11122</v>
      </c>
      <c r="AH1775" t="s">
        <v>10974</v>
      </c>
      <c r="AJ1775" t="s">
        <v>11141</v>
      </c>
      <c r="AK1775" t="s">
        <v>7225</v>
      </c>
      <c r="AM1775">
        <v>1050</v>
      </c>
      <c r="AO1775">
        <v>122</v>
      </c>
      <c r="AQ1775" t="s">
        <v>11157</v>
      </c>
      <c r="AS1775" t="s">
        <v>11173</v>
      </c>
      <c r="AU1775">
        <v>14</v>
      </c>
      <c r="AW1775" t="s">
        <v>11187</v>
      </c>
      <c r="AZ1775" t="s">
        <v>11221</v>
      </c>
      <c r="BE1775" t="s">
        <v>12675</v>
      </c>
      <c r="BG1775" t="s">
        <v>14719</v>
      </c>
      <c r="BM1775" t="s">
        <v>15650</v>
      </c>
    </row>
    <row r="1776" spans="1:65">
      <c r="A1776" s="1">
        <f>HYPERLINK("https://lsnyc.legalserver.org/matter/dynamic-profile/view/1914999","19-1914999")</f>
        <v>0</v>
      </c>
      <c r="B1776" t="s">
        <v>134</v>
      </c>
      <c r="C1776" t="s">
        <v>246</v>
      </c>
      <c r="D1776" t="s">
        <v>316</v>
      </c>
      <c r="F1776" t="s">
        <v>1894</v>
      </c>
      <c r="G1776" t="s">
        <v>3194</v>
      </c>
      <c r="H1776" t="s">
        <v>5375</v>
      </c>
      <c r="I1776">
        <v>102</v>
      </c>
      <c r="J1776" t="s">
        <v>7170</v>
      </c>
      <c r="K1776">
        <v>10457</v>
      </c>
      <c r="N1776" t="s">
        <v>7237</v>
      </c>
      <c r="O1776" t="s">
        <v>8389</v>
      </c>
      <c r="P1776">
        <v>1</v>
      </c>
      <c r="Q1776">
        <v>0</v>
      </c>
      <c r="R1776">
        <v>464.37</v>
      </c>
      <c r="U1776">
        <v>58000</v>
      </c>
      <c r="W1776">
        <v>0</v>
      </c>
      <c r="Y1776" t="s">
        <v>216</v>
      </c>
      <c r="AA1776" t="s">
        <v>10974</v>
      </c>
      <c r="AC1776" t="s">
        <v>11081</v>
      </c>
      <c r="AF1776" t="s">
        <v>11119</v>
      </c>
      <c r="AH1776" t="s">
        <v>10975</v>
      </c>
      <c r="AJ1776" t="s">
        <v>11141</v>
      </c>
      <c r="AK1776" t="s">
        <v>7225</v>
      </c>
      <c r="AM1776">
        <v>887</v>
      </c>
      <c r="AO1776">
        <v>8</v>
      </c>
      <c r="AQ1776" t="s">
        <v>11165</v>
      </c>
      <c r="AS1776" t="s">
        <v>11173</v>
      </c>
      <c r="AU1776">
        <v>7</v>
      </c>
      <c r="AW1776" t="s">
        <v>11187</v>
      </c>
      <c r="AX1776" t="s">
        <v>11212</v>
      </c>
      <c r="AZ1776" t="s">
        <v>11221</v>
      </c>
      <c r="BE1776" t="s">
        <v>12676</v>
      </c>
      <c r="BF1776" t="s">
        <v>14364</v>
      </c>
      <c r="BM1776" t="s">
        <v>15650</v>
      </c>
    </row>
    <row r="1777" spans="1:65">
      <c r="A1777" s="1">
        <f>HYPERLINK("https://lsnyc.legalserver.org/matter/dynamic-profile/view/1907485","19-1907485")</f>
        <v>0</v>
      </c>
      <c r="B1777" t="s">
        <v>134</v>
      </c>
      <c r="C1777" t="s">
        <v>246</v>
      </c>
      <c r="D1777" t="s">
        <v>362</v>
      </c>
      <c r="F1777" t="s">
        <v>1098</v>
      </c>
      <c r="G1777" t="s">
        <v>3168</v>
      </c>
      <c r="H1777" t="s">
        <v>5376</v>
      </c>
      <c r="I1777" t="s">
        <v>6449</v>
      </c>
      <c r="J1777" t="s">
        <v>7170</v>
      </c>
      <c r="K1777">
        <v>10455</v>
      </c>
      <c r="N1777" t="s">
        <v>7237</v>
      </c>
      <c r="O1777" t="s">
        <v>8390</v>
      </c>
      <c r="P1777">
        <v>2</v>
      </c>
      <c r="Q1777">
        <v>0</v>
      </c>
      <c r="R1777">
        <v>61.5</v>
      </c>
      <c r="U1777">
        <v>10400</v>
      </c>
      <c r="W1777">
        <v>6.5</v>
      </c>
      <c r="X1777" t="s">
        <v>362</v>
      </c>
      <c r="Y1777" t="s">
        <v>200</v>
      </c>
      <c r="AA1777" t="s">
        <v>10974</v>
      </c>
      <c r="AC1777" t="s">
        <v>11081</v>
      </c>
      <c r="AF1777" t="s">
        <v>10384</v>
      </c>
      <c r="AH1777" t="s">
        <v>10974</v>
      </c>
      <c r="AJ1777" t="s">
        <v>11129</v>
      </c>
      <c r="AK1777" t="s">
        <v>7225</v>
      </c>
      <c r="AM1777">
        <v>347</v>
      </c>
      <c r="AO1777">
        <v>40</v>
      </c>
      <c r="AQ1777" t="s">
        <v>11157</v>
      </c>
      <c r="AR1777" t="s">
        <v>11172</v>
      </c>
      <c r="AU1777">
        <v>42</v>
      </c>
      <c r="AW1777" t="s">
        <v>11187</v>
      </c>
      <c r="AX1777" t="s">
        <v>11212</v>
      </c>
      <c r="BA1777" t="s">
        <v>11222</v>
      </c>
      <c r="BE1777" t="s">
        <v>12677</v>
      </c>
      <c r="BF1777" t="s">
        <v>14364</v>
      </c>
      <c r="BM1777" t="s">
        <v>15650</v>
      </c>
    </row>
    <row r="1778" spans="1:65">
      <c r="A1778" s="1">
        <f>HYPERLINK("https://lsnyc.legalserver.org/matter/dynamic-profile/view/1857470","18-1857470")</f>
        <v>0</v>
      </c>
      <c r="B1778" t="s">
        <v>134</v>
      </c>
      <c r="C1778" t="s">
        <v>246</v>
      </c>
      <c r="D1778" t="s">
        <v>691</v>
      </c>
      <c r="F1778" t="s">
        <v>1893</v>
      </c>
      <c r="G1778" t="s">
        <v>3691</v>
      </c>
      <c r="H1778" t="s">
        <v>4844</v>
      </c>
      <c r="I1778" t="s">
        <v>6786</v>
      </c>
      <c r="J1778" t="s">
        <v>7170</v>
      </c>
      <c r="K1778">
        <v>10452</v>
      </c>
      <c r="N1778" t="s">
        <v>7237</v>
      </c>
      <c r="O1778" t="s">
        <v>8388</v>
      </c>
      <c r="P1778">
        <v>3</v>
      </c>
      <c r="Q1778">
        <v>1</v>
      </c>
      <c r="R1778">
        <v>65.04000000000001</v>
      </c>
      <c r="U1778">
        <v>16000</v>
      </c>
      <c r="V1778" t="s">
        <v>10396</v>
      </c>
      <c r="W1778">
        <v>0</v>
      </c>
      <c r="Y1778" t="s">
        <v>10897</v>
      </c>
      <c r="AA1778" t="s">
        <v>10974</v>
      </c>
      <c r="AB1778" t="s">
        <v>10984</v>
      </c>
      <c r="AD1778" t="s">
        <v>11096</v>
      </c>
      <c r="AF1778" t="s">
        <v>11122</v>
      </c>
      <c r="AH1778" t="s">
        <v>10974</v>
      </c>
      <c r="AJ1778" t="s">
        <v>11141</v>
      </c>
      <c r="AK1778" t="s">
        <v>7225</v>
      </c>
      <c r="AM1778">
        <v>1050</v>
      </c>
      <c r="AO1778">
        <v>122</v>
      </c>
      <c r="AQ1778" t="s">
        <v>11157</v>
      </c>
      <c r="AS1778" t="s">
        <v>11173</v>
      </c>
      <c r="AU1778">
        <v>16</v>
      </c>
      <c r="AW1778" t="s">
        <v>11187</v>
      </c>
      <c r="AZ1778" t="s">
        <v>11221</v>
      </c>
      <c r="BE1778" t="s">
        <v>12675</v>
      </c>
      <c r="BG1778" t="s">
        <v>14717</v>
      </c>
      <c r="BM1778" t="s">
        <v>15650</v>
      </c>
    </row>
    <row r="1779" spans="1:65">
      <c r="A1779" s="1">
        <f>HYPERLINK("https://lsnyc.legalserver.org/matter/dynamic-profile/view/1876857","18-1876857")</f>
        <v>0</v>
      </c>
      <c r="B1779" t="s">
        <v>134</v>
      </c>
      <c r="C1779" t="s">
        <v>246</v>
      </c>
      <c r="D1779" t="s">
        <v>402</v>
      </c>
      <c r="F1779" t="s">
        <v>1895</v>
      </c>
      <c r="G1779" t="s">
        <v>3692</v>
      </c>
      <c r="H1779" t="s">
        <v>5373</v>
      </c>
      <c r="I1779" t="s">
        <v>6569</v>
      </c>
      <c r="J1779" t="s">
        <v>7170</v>
      </c>
      <c r="K1779">
        <v>10456</v>
      </c>
      <c r="N1779" t="s">
        <v>7237</v>
      </c>
      <c r="O1779" t="s">
        <v>7659</v>
      </c>
      <c r="P1779">
        <v>3</v>
      </c>
      <c r="Q1779">
        <v>0</v>
      </c>
      <c r="R1779">
        <v>168.43</v>
      </c>
      <c r="U1779">
        <v>35000</v>
      </c>
      <c r="W1779">
        <v>0</v>
      </c>
      <c r="Y1779" t="s">
        <v>216</v>
      </c>
      <c r="AA1779" t="s">
        <v>10974</v>
      </c>
      <c r="AB1779" t="s">
        <v>730</v>
      </c>
      <c r="AD1779" t="s">
        <v>11098</v>
      </c>
      <c r="AF1779" t="s">
        <v>11122</v>
      </c>
      <c r="AH1779" t="s">
        <v>10974</v>
      </c>
      <c r="AJ1779" t="s">
        <v>11141</v>
      </c>
      <c r="AK1779" t="s">
        <v>7225</v>
      </c>
      <c r="AM1779">
        <v>1268.04</v>
      </c>
      <c r="AO1779">
        <v>131</v>
      </c>
      <c r="AQ1779" t="s">
        <v>11157</v>
      </c>
      <c r="AS1779" t="s">
        <v>11173</v>
      </c>
      <c r="AU1779">
        <v>21</v>
      </c>
      <c r="AW1779" t="s">
        <v>11189</v>
      </c>
      <c r="AZ1779" t="s">
        <v>11221</v>
      </c>
      <c r="BE1779" t="s">
        <v>12678</v>
      </c>
      <c r="BG1779" t="s">
        <v>14803</v>
      </c>
      <c r="BM1779" t="s">
        <v>15650</v>
      </c>
    </row>
    <row r="1780" spans="1:65">
      <c r="A1780" s="1">
        <f>HYPERLINK("https://lsnyc.legalserver.org/matter/dynamic-profile/view/1912812","19-1912812")</f>
        <v>0</v>
      </c>
      <c r="B1780" t="s">
        <v>134</v>
      </c>
      <c r="C1780" t="s">
        <v>246</v>
      </c>
      <c r="D1780" t="s">
        <v>316</v>
      </c>
      <c r="F1780" t="s">
        <v>1894</v>
      </c>
      <c r="G1780" t="s">
        <v>3194</v>
      </c>
      <c r="H1780" t="s">
        <v>5375</v>
      </c>
      <c r="I1780">
        <v>102</v>
      </c>
      <c r="J1780" t="s">
        <v>7170</v>
      </c>
      <c r="K1780">
        <v>10457</v>
      </c>
      <c r="N1780" t="s">
        <v>7237</v>
      </c>
      <c r="O1780" t="s">
        <v>8389</v>
      </c>
      <c r="P1780">
        <v>1</v>
      </c>
      <c r="Q1780">
        <v>0</v>
      </c>
      <c r="R1780">
        <v>464.37</v>
      </c>
      <c r="U1780">
        <v>58000</v>
      </c>
      <c r="W1780">
        <v>0</v>
      </c>
      <c r="Y1780" t="s">
        <v>134</v>
      </c>
      <c r="AA1780" t="s">
        <v>10974</v>
      </c>
      <c r="AD1780" t="s">
        <v>11101</v>
      </c>
      <c r="AF1780" t="s">
        <v>10384</v>
      </c>
      <c r="AH1780" t="s">
        <v>10975</v>
      </c>
      <c r="AJ1780" t="s">
        <v>11130</v>
      </c>
      <c r="AK1780" t="s">
        <v>7225</v>
      </c>
      <c r="AM1780">
        <v>887</v>
      </c>
      <c r="AN1780" t="s">
        <v>11151</v>
      </c>
      <c r="AO1780" t="s">
        <v>11153</v>
      </c>
      <c r="AQ1780" t="s">
        <v>11167</v>
      </c>
      <c r="AS1780" t="s">
        <v>11104</v>
      </c>
      <c r="AU1780">
        <v>7</v>
      </c>
      <c r="AW1780" t="s">
        <v>11187</v>
      </c>
      <c r="AX1780" t="s">
        <v>11212</v>
      </c>
      <c r="BA1780" t="s">
        <v>11222</v>
      </c>
      <c r="BE1780" t="s">
        <v>12676</v>
      </c>
      <c r="BF1780" t="s">
        <v>14364</v>
      </c>
      <c r="BM1780" t="s">
        <v>15650</v>
      </c>
    </row>
    <row r="1781" spans="1:65">
      <c r="A1781" s="1">
        <f>HYPERLINK("https://lsnyc.legalserver.org/matter/dynamic-profile/view/1869373","18-1869373")</f>
        <v>0</v>
      </c>
      <c r="B1781" t="s">
        <v>134</v>
      </c>
      <c r="C1781" t="s">
        <v>246</v>
      </c>
      <c r="D1781" t="s">
        <v>766</v>
      </c>
      <c r="F1781" t="s">
        <v>1599</v>
      </c>
      <c r="G1781" t="s">
        <v>3693</v>
      </c>
      <c r="H1781" t="s">
        <v>5377</v>
      </c>
      <c r="I1781" t="s">
        <v>6551</v>
      </c>
      <c r="J1781" t="s">
        <v>7170</v>
      </c>
      <c r="K1781">
        <v>10453</v>
      </c>
      <c r="N1781" t="s">
        <v>7237</v>
      </c>
      <c r="O1781" t="s">
        <v>8391</v>
      </c>
      <c r="P1781">
        <v>1</v>
      </c>
      <c r="Q1781">
        <v>1</v>
      </c>
      <c r="R1781">
        <v>88.45999999999999</v>
      </c>
      <c r="U1781">
        <v>14560</v>
      </c>
      <c r="W1781">
        <v>7.6</v>
      </c>
      <c r="X1781" t="s">
        <v>671</v>
      </c>
      <c r="Y1781" t="s">
        <v>10865</v>
      </c>
      <c r="AA1781" t="s">
        <v>10974</v>
      </c>
      <c r="AB1781" t="s">
        <v>724</v>
      </c>
      <c r="AD1781" t="s">
        <v>11082</v>
      </c>
      <c r="AF1781" t="s">
        <v>11118</v>
      </c>
      <c r="AH1781" t="s">
        <v>10975</v>
      </c>
      <c r="AJ1781" t="s">
        <v>11136</v>
      </c>
      <c r="AK1781" t="s">
        <v>7225</v>
      </c>
      <c r="AM1781">
        <v>1450</v>
      </c>
      <c r="AO1781">
        <v>55</v>
      </c>
      <c r="AQ1781" t="s">
        <v>11157</v>
      </c>
      <c r="AS1781" t="s">
        <v>11173</v>
      </c>
      <c r="AU1781">
        <v>1</v>
      </c>
      <c r="AV1781" t="s">
        <v>11186</v>
      </c>
      <c r="AZ1781" t="s">
        <v>11221</v>
      </c>
      <c r="BC1781" t="s">
        <v>11383</v>
      </c>
      <c r="BE1781" t="s">
        <v>12679</v>
      </c>
      <c r="BG1781" t="s">
        <v>14804</v>
      </c>
      <c r="BM1781" t="s">
        <v>15650</v>
      </c>
    </row>
    <row r="1782" spans="1:65">
      <c r="A1782" s="1">
        <f>HYPERLINK("https://lsnyc.legalserver.org/matter/dynamic-profile/view/1886108","18-1886108")</f>
        <v>0</v>
      </c>
      <c r="B1782" t="s">
        <v>134</v>
      </c>
      <c r="C1782" t="s">
        <v>246</v>
      </c>
      <c r="D1782" t="s">
        <v>405</v>
      </c>
      <c r="F1782" t="s">
        <v>1428</v>
      </c>
      <c r="G1782" t="s">
        <v>3688</v>
      </c>
      <c r="H1782" t="s">
        <v>5373</v>
      </c>
      <c r="I1782" t="s">
        <v>6421</v>
      </c>
      <c r="J1782" t="s">
        <v>7170</v>
      </c>
      <c r="K1782">
        <v>10456</v>
      </c>
      <c r="N1782" t="s">
        <v>7237</v>
      </c>
      <c r="O1782" t="s">
        <v>8385</v>
      </c>
      <c r="P1782">
        <v>2</v>
      </c>
      <c r="Q1782">
        <v>0</v>
      </c>
      <c r="R1782">
        <v>109.36</v>
      </c>
      <c r="U1782">
        <v>18000</v>
      </c>
      <c r="W1782">
        <v>0</v>
      </c>
      <c r="Y1782" t="s">
        <v>216</v>
      </c>
      <c r="AA1782" t="s">
        <v>10974</v>
      </c>
      <c r="AB1782" t="s">
        <v>597</v>
      </c>
      <c r="AD1782" t="s">
        <v>11098</v>
      </c>
      <c r="AF1782" t="s">
        <v>11122</v>
      </c>
      <c r="AH1782" t="s">
        <v>10974</v>
      </c>
      <c r="AJ1782" t="s">
        <v>11141</v>
      </c>
      <c r="AK1782" t="s">
        <v>7225</v>
      </c>
      <c r="AM1782">
        <v>947.5</v>
      </c>
      <c r="AO1782">
        <v>131</v>
      </c>
      <c r="AQ1782" t="s">
        <v>11157</v>
      </c>
      <c r="AS1782" t="s">
        <v>11173</v>
      </c>
      <c r="AU1782">
        <v>25</v>
      </c>
      <c r="AW1782" t="s">
        <v>11187</v>
      </c>
      <c r="AZ1782" t="s">
        <v>11221</v>
      </c>
      <c r="BE1782" t="s">
        <v>12674</v>
      </c>
      <c r="BG1782" t="s">
        <v>14805</v>
      </c>
      <c r="BM1782" t="s">
        <v>15650</v>
      </c>
    </row>
    <row r="1783" spans="1:65">
      <c r="A1783" s="1">
        <f>HYPERLINK("https://lsnyc.legalserver.org/matter/dynamic-profile/view/1876809","18-1876809")</f>
        <v>0</v>
      </c>
      <c r="B1783" t="s">
        <v>134</v>
      </c>
      <c r="C1783" t="s">
        <v>246</v>
      </c>
      <c r="D1783" t="s">
        <v>628</v>
      </c>
      <c r="F1783" t="s">
        <v>1896</v>
      </c>
      <c r="G1783" t="s">
        <v>2507</v>
      </c>
      <c r="H1783" t="s">
        <v>5373</v>
      </c>
      <c r="I1783" t="s">
        <v>6405</v>
      </c>
      <c r="J1783" t="s">
        <v>7170</v>
      </c>
      <c r="K1783">
        <v>10456</v>
      </c>
      <c r="N1783" t="s">
        <v>7237</v>
      </c>
      <c r="O1783" t="s">
        <v>8392</v>
      </c>
      <c r="P1783">
        <v>2</v>
      </c>
      <c r="Q1783">
        <v>0</v>
      </c>
      <c r="R1783">
        <v>255.16</v>
      </c>
      <c r="U1783">
        <v>42000</v>
      </c>
      <c r="W1783">
        <v>1.5</v>
      </c>
      <c r="X1783" t="s">
        <v>1060</v>
      </c>
      <c r="Y1783" t="s">
        <v>216</v>
      </c>
      <c r="AA1783" t="s">
        <v>10974</v>
      </c>
      <c r="AB1783" t="s">
        <v>730</v>
      </c>
      <c r="AD1783" t="s">
        <v>11098</v>
      </c>
      <c r="AF1783" t="s">
        <v>11122</v>
      </c>
      <c r="AH1783" t="s">
        <v>10974</v>
      </c>
      <c r="AJ1783" t="s">
        <v>11141</v>
      </c>
      <c r="AK1783" t="s">
        <v>7225</v>
      </c>
      <c r="AM1783">
        <v>886</v>
      </c>
      <c r="AO1783">
        <v>131</v>
      </c>
      <c r="AQ1783" t="s">
        <v>11157</v>
      </c>
      <c r="AS1783" t="s">
        <v>11173</v>
      </c>
      <c r="AU1783">
        <v>28</v>
      </c>
      <c r="AW1783" t="s">
        <v>11187</v>
      </c>
      <c r="AZ1783" t="s">
        <v>11221</v>
      </c>
      <c r="BE1783" t="s">
        <v>12680</v>
      </c>
      <c r="BG1783" t="s">
        <v>14805</v>
      </c>
      <c r="BM1783" t="s">
        <v>15650</v>
      </c>
    </row>
    <row r="1784" spans="1:65">
      <c r="A1784" s="1">
        <f>HYPERLINK("https://lsnyc.legalserver.org/matter/dynamic-profile/view/0823543","16-0823543")</f>
        <v>0</v>
      </c>
      <c r="B1784" t="s">
        <v>134</v>
      </c>
      <c r="C1784" t="s">
        <v>246</v>
      </c>
      <c r="D1784" t="s">
        <v>698</v>
      </c>
      <c r="F1784" t="s">
        <v>1897</v>
      </c>
      <c r="G1784" t="s">
        <v>3694</v>
      </c>
      <c r="H1784" t="s">
        <v>4844</v>
      </c>
      <c r="I1784" t="s">
        <v>6787</v>
      </c>
      <c r="J1784" t="s">
        <v>7170</v>
      </c>
      <c r="K1784">
        <v>10452</v>
      </c>
      <c r="N1784" t="s">
        <v>7237</v>
      </c>
      <c r="O1784" t="s">
        <v>8393</v>
      </c>
      <c r="P1784">
        <v>2</v>
      </c>
      <c r="Q1784">
        <v>1</v>
      </c>
      <c r="R1784">
        <v>224.22</v>
      </c>
      <c r="U1784">
        <v>45202.56</v>
      </c>
      <c r="W1784">
        <v>0</v>
      </c>
      <c r="Y1784" t="s">
        <v>10897</v>
      </c>
      <c r="AA1784" t="s">
        <v>10974</v>
      </c>
      <c r="AB1784" t="s">
        <v>698</v>
      </c>
      <c r="AD1784" t="s">
        <v>11096</v>
      </c>
      <c r="AF1784" t="s">
        <v>11122</v>
      </c>
      <c r="AH1784" t="s">
        <v>10974</v>
      </c>
      <c r="AJ1784" t="s">
        <v>11144</v>
      </c>
      <c r="AK1784" t="s">
        <v>7225</v>
      </c>
      <c r="AM1784">
        <v>1038.43</v>
      </c>
      <c r="AO1784">
        <v>122</v>
      </c>
      <c r="AQ1784" t="s">
        <v>11157</v>
      </c>
      <c r="AR1784" t="s">
        <v>11172</v>
      </c>
      <c r="AU1784">
        <v>7</v>
      </c>
      <c r="AW1784" t="s">
        <v>11187</v>
      </c>
      <c r="AZ1784" t="s">
        <v>11221</v>
      </c>
      <c r="BE1784" t="s">
        <v>12681</v>
      </c>
      <c r="BG1784" t="s">
        <v>14719</v>
      </c>
      <c r="BM1784" t="s">
        <v>15650</v>
      </c>
    </row>
    <row r="1785" spans="1:65">
      <c r="A1785" s="1">
        <f>HYPERLINK("https://lsnyc.legalserver.org/matter/dynamic-profile/view/0823544","16-0823544")</f>
        <v>0</v>
      </c>
      <c r="B1785" t="s">
        <v>134</v>
      </c>
      <c r="C1785" t="s">
        <v>246</v>
      </c>
      <c r="D1785" t="s">
        <v>784</v>
      </c>
      <c r="F1785" t="s">
        <v>1898</v>
      </c>
      <c r="G1785" t="s">
        <v>3691</v>
      </c>
      <c r="H1785" t="s">
        <v>4844</v>
      </c>
      <c r="I1785" t="s">
        <v>6788</v>
      </c>
      <c r="J1785" t="s">
        <v>7170</v>
      </c>
      <c r="K1785">
        <v>10452</v>
      </c>
      <c r="N1785" t="s">
        <v>7237</v>
      </c>
      <c r="O1785" t="s">
        <v>7698</v>
      </c>
      <c r="P1785">
        <v>1</v>
      </c>
      <c r="Q1785">
        <v>0</v>
      </c>
      <c r="R1785">
        <v>109.43</v>
      </c>
      <c r="U1785">
        <v>13000</v>
      </c>
      <c r="W1785">
        <v>0</v>
      </c>
      <c r="Y1785" t="s">
        <v>10897</v>
      </c>
      <c r="AA1785" t="s">
        <v>10974</v>
      </c>
      <c r="AB1785" t="s">
        <v>10978</v>
      </c>
      <c r="AD1785" t="s">
        <v>11096</v>
      </c>
      <c r="AF1785" t="s">
        <v>11122</v>
      </c>
      <c r="AH1785" t="s">
        <v>10974</v>
      </c>
      <c r="AJ1785" t="s">
        <v>11144</v>
      </c>
      <c r="AK1785" t="s">
        <v>7225</v>
      </c>
      <c r="AM1785">
        <v>750</v>
      </c>
      <c r="AO1785">
        <v>122</v>
      </c>
      <c r="AQ1785" t="s">
        <v>11157</v>
      </c>
      <c r="AR1785" t="s">
        <v>11172</v>
      </c>
      <c r="AU1785">
        <v>7</v>
      </c>
      <c r="AW1785" t="s">
        <v>11187</v>
      </c>
      <c r="AZ1785" t="s">
        <v>11221</v>
      </c>
      <c r="BE1785" t="s">
        <v>12682</v>
      </c>
      <c r="BG1785" t="s">
        <v>14719</v>
      </c>
      <c r="BM1785" t="s">
        <v>15650</v>
      </c>
    </row>
    <row r="1786" spans="1:65">
      <c r="A1786" s="1">
        <f>HYPERLINK("https://lsnyc.legalserver.org/matter/dynamic-profile/view/1886106","18-1886106")</f>
        <v>0</v>
      </c>
      <c r="B1786" t="s">
        <v>134</v>
      </c>
      <c r="C1786" t="s">
        <v>246</v>
      </c>
      <c r="D1786" t="s">
        <v>405</v>
      </c>
      <c r="F1786" t="s">
        <v>1896</v>
      </c>
      <c r="G1786" t="s">
        <v>2507</v>
      </c>
      <c r="H1786" t="s">
        <v>5373</v>
      </c>
      <c r="I1786" t="s">
        <v>6405</v>
      </c>
      <c r="J1786" t="s">
        <v>7170</v>
      </c>
      <c r="K1786">
        <v>10456</v>
      </c>
      <c r="N1786" t="s">
        <v>7237</v>
      </c>
      <c r="O1786" t="s">
        <v>8392</v>
      </c>
      <c r="P1786">
        <v>2</v>
      </c>
      <c r="Q1786">
        <v>0</v>
      </c>
      <c r="R1786">
        <v>255.16</v>
      </c>
      <c r="U1786">
        <v>42000</v>
      </c>
      <c r="W1786">
        <v>0</v>
      </c>
      <c r="Y1786" t="s">
        <v>216</v>
      </c>
      <c r="AA1786" t="s">
        <v>10974</v>
      </c>
      <c r="AB1786" t="s">
        <v>597</v>
      </c>
      <c r="AD1786" t="s">
        <v>11098</v>
      </c>
      <c r="AF1786" t="s">
        <v>11122</v>
      </c>
      <c r="AH1786" t="s">
        <v>10974</v>
      </c>
      <c r="AJ1786" t="s">
        <v>11141</v>
      </c>
      <c r="AK1786" t="s">
        <v>7225</v>
      </c>
      <c r="AM1786">
        <v>886</v>
      </c>
      <c r="AO1786">
        <v>131</v>
      </c>
      <c r="AQ1786" t="s">
        <v>11157</v>
      </c>
      <c r="AS1786" t="s">
        <v>11173</v>
      </c>
      <c r="AU1786">
        <v>28</v>
      </c>
      <c r="AW1786" t="s">
        <v>11187</v>
      </c>
      <c r="AZ1786" t="s">
        <v>11221</v>
      </c>
      <c r="BE1786" t="s">
        <v>12680</v>
      </c>
      <c r="BG1786" t="s">
        <v>14805</v>
      </c>
      <c r="BM1786" t="s">
        <v>15650</v>
      </c>
    </row>
    <row r="1787" spans="1:65">
      <c r="A1787" s="1">
        <f>HYPERLINK("https://lsnyc.legalserver.org/matter/dynamic-profile/view/1914885","19-1914885")</f>
        <v>0</v>
      </c>
      <c r="B1787" t="s">
        <v>134</v>
      </c>
      <c r="C1787" t="s">
        <v>246</v>
      </c>
      <c r="D1787" t="s">
        <v>316</v>
      </c>
      <c r="E1787" t="s">
        <v>426</v>
      </c>
      <c r="F1787" t="s">
        <v>1090</v>
      </c>
      <c r="G1787" t="s">
        <v>3695</v>
      </c>
      <c r="H1787" t="s">
        <v>5378</v>
      </c>
      <c r="I1787" t="s">
        <v>6410</v>
      </c>
      <c r="J1787" t="s">
        <v>7170</v>
      </c>
      <c r="K1787">
        <v>10452</v>
      </c>
      <c r="L1787" t="s">
        <v>7216</v>
      </c>
      <c r="N1787" t="s">
        <v>7237</v>
      </c>
      <c r="O1787" t="s">
        <v>8394</v>
      </c>
      <c r="P1787">
        <v>2</v>
      </c>
      <c r="Q1787">
        <v>0</v>
      </c>
      <c r="R1787">
        <v>76.88</v>
      </c>
      <c r="U1787">
        <v>13000</v>
      </c>
      <c r="W1787">
        <v>1</v>
      </c>
      <c r="X1787" t="s">
        <v>426</v>
      </c>
      <c r="Y1787" t="s">
        <v>216</v>
      </c>
      <c r="AA1787" t="s">
        <v>10974</v>
      </c>
      <c r="AD1787" t="s">
        <v>11101</v>
      </c>
      <c r="AF1787" t="s">
        <v>11119</v>
      </c>
      <c r="AG1787" t="s">
        <v>11124</v>
      </c>
      <c r="AJ1787" t="s">
        <v>11141</v>
      </c>
      <c r="AK1787" t="s">
        <v>7225</v>
      </c>
      <c r="AM1787">
        <v>896</v>
      </c>
      <c r="AO1787">
        <v>89</v>
      </c>
      <c r="AQ1787" t="s">
        <v>11164</v>
      </c>
      <c r="AS1787" t="s">
        <v>11174</v>
      </c>
      <c r="AU1787">
        <v>24</v>
      </c>
      <c r="AW1787" t="s">
        <v>11189</v>
      </c>
      <c r="AX1787" t="s">
        <v>11212</v>
      </c>
      <c r="BA1787" t="s">
        <v>11222</v>
      </c>
      <c r="BD1787" t="s">
        <v>11667</v>
      </c>
      <c r="BF1787" t="s">
        <v>14364</v>
      </c>
      <c r="BM1787" t="s">
        <v>15651</v>
      </c>
    </row>
    <row r="1788" spans="1:65">
      <c r="A1788" s="1">
        <f>HYPERLINK("https://lsnyc.legalserver.org/matter/dynamic-profile/view/0806186","16-0806186")</f>
        <v>0</v>
      </c>
      <c r="B1788" t="s">
        <v>134</v>
      </c>
      <c r="C1788" t="s">
        <v>246</v>
      </c>
      <c r="D1788" t="s">
        <v>715</v>
      </c>
      <c r="F1788" t="s">
        <v>1890</v>
      </c>
      <c r="G1788" t="s">
        <v>3687</v>
      </c>
      <c r="H1788" t="s">
        <v>4844</v>
      </c>
      <c r="I1788" t="s">
        <v>6784</v>
      </c>
      <c r="J1788" t="s">
        <v>7170</v>
      </c>
      <c r="K1788">
        <v>10452</v>
      </c>
      <c r="N1788" t="s">
        <v>7237</v>
      </c>
      <c r="O1788" t="s">
        <v>8384</v>
      </c>
      <c r="P1788">
        <v>2</v>
      </c>
      <c r="Q1788">
        <v>5</v>
      </c>
      <c r="R1788">
        <v>62.62</v>
      </c>
      <c r="U1788">
        <v>23000</v>
      </c>
      <c r="V1788" t="s">
        <v>10467</v>
      </c>
      <c r="W1788">
        <v>0.1</v>
      </c>
      <c r="X1788" t="s">
        <v>10814</v>
      </c>
      <c r="Y1788" t="s">
        <v>138</v>
      </c>
      <c r="Z1788" t="s">
        <v>10972</v>
      </c>
      <c r="AA1788" t="s">
        <v>10975</v>
      </c>
      <c r="AD1788" t="s">
        <v>11085</v>
      </c>
      <c r="AF1788" t="s">
        <v>11118</v>
      </c>
      <c r="AH1788" t="s">
        <v>10974</v>
      </c>
      <c r="AJ1788" t="s">
        <v>11141</v>
      </c>
      <c r="AK1788" t="s">
        <v>7225</v>
      </c>
      <c r="AM1788">
        <v>1197.41</v>
      </c>
      <c r="AO1788">
        <v>122</v>
      </c>
      <c r="AQ1788" t="s">
        <v>11157</v>
      </c>
      <c r="AS1788" t="s">
        <v>11173</v>
      </c>
      <c r="AU1788">
        <v>8</v>
      </c>
      <c r="AW1788" t="s">
        <v>11187</v>
      </c>
      <c r="AX1788" t="s">
        <v>11212</v>
      </c>
      <c r="AZ1788" t="s">
        <v>11221</v>
      </c>
      <c r="BB1788" t="s">
        <v>11224</v>
      </c>
      <c r="BC1788" t="s">
        <v>11380</v>
      </c>
      <c r="BD1788" t="s">
        <v>11667</v>
      </c>
      <c r="BF1788" t="s">
        <v>14364</v>
      </c>
      <c r="BG1788" t="s">
        <v>14716</v>
      </c>
      <c r="BM1788" t="s">
        <v>15650</v>
      </c>
    </row>
    <row r="1789" spans="1:65">
      <c r="A1789" s="1">
        <f>HYPERLINK("https://lsnyc.legalserver.org/matter/dynamic-profile/view/1915005","19-1915005")</f>
        <v>0</v>
      </c>
      <c r="B1789" t="s">
        <v>134</v>
      </c>
      <c r="C1789" t="s">
        <v>246</v>
      </c>
      <c r="D1789" t="s">
        <v>264</v>
      </c>
      <c r="F1789" t="s">
        <v>1899</v>
      </c>
      <c r="G1789" t="s">
        <v>3035</v>
      </c>
      <c r="H1789" t="s">
        <v>5373</v>
      </c>
      <c r="J1789" t="s">
        <v>7170</v>
      </c>
      <c r="K1789">
        <v>10456</v>
      </c>
      <c r="N1789" t="s">
        <v>7237</v>
      </c>
      <c r="O1789" t="s">
        <v>8395</v>
      </c>
      <c r="P1789">
        <v>1</v>
      </c>
      <c r="Q1789">
        <v>1</v>
      </c>
      <c r="R1789">
        <v>76.88</v>
      </c>
      <c r="U1789">
        <v>13000</v>
      </c>
      <c r="W1789">
        <v>0</v>
      </c>
      <c r="Y1789" t="s">
        <v>10865</v>
      </c>
      <c r="AA1789" t="s">
        <v>10974</v>
      </c>
      <c r="AC1789" t="s">
        <v>11081</v>
      </c>
      <c r="AF1789" t="s">
        <v>11122</v>
      </c>
      <c r="AH1789" t="s">
        <v>10974</v>
      </c>
      <c r="AJ1789" t="s">
        <v>11129</v>
      </c>
      <c r="AK1789" t="s">
        <v>7225</v>
      </c>
      <c r="AM1789">
        <v>1238.23</v>
      </c>
      <c r="AO1789">
        <v>131</v>
      </c>
      <c r="AQ1789" t="s">
        <v>11157</v>
      </c>
      <c r="AS1789" t="s">
        <v>11173</v>
      </c>
      <c r="AU1789">
        <v>11</v>
      </c>
      <c r="AW1789" t="s">
        <v>11187</v>
      </c>
      <c r="AX1789" t="s">
        <v>11212</v>
      </c>
      <c r="BA1789" t="s">
        <v>11222</v>
      </c>
      <c r="BE1789" t="s">
        <v>12683</v>
      </c>
      <c r="BF1789" t="s">
        <v>14364</v>
      </c>
      <c r="BM1789" t="s">
        <v>15650</v>
      </c>
    </row>
    <row r="1790" spans="1:65">
      <c r="A1790" s="1">
        <f>HYPERLINK("https://lsnyc.legalserver.org/matter/dynamic-profile/view/1890736","19-1890736")</f>
        <v>0</v>
      </c>
      <c r="B1790" t="s">
        <v>134</v>
      </c>
      <c r="C1790" t="s">
        <v>246</v>
      </c>
      <c r="D1790" t="s">
        <v>367</v>
      </c>
      <c r="F1790" t="s">
        <v>1889</v>
      </c>
      <c r="G1790" t="s">
        <v>2880</v>
      </c>
      <c r="H1790" t="s">
        <v>5372</v>
      </c>
      <c r="I1790" t="s">
        <v>6493</v>
      </c>
      <c r="J1790" t="s">
        <v>7170</v>
      </c>
      <c r="K1790">
        <v>10456</v>
      </c>
      <c r="N1790" t="s">
        <v>7237</v>
      </c>
      <c r="O1790" t="s">
        <v>8383</v>
      </c>
      <c r="P1790">
        <v>1</v>
      </c>
      <c r="Q1790">
        <v>0</v>
      </c>
      <c r="R1790">
        <v>224.18</v>
      </c>
      <c r="U1790">
        <v>28000</v>
      </c>
      <c r="W1790">
        <v>0</v>
      </c>
      <c r="Y1790" t="s">
        <v>210</v>
      </c>
      <c r="AA1790" t="s">
        <v>10974</v>
      </c>
      <c r="AB1790" t="s">
        <v>10979</v>
      </c>
      <c r="AD1790" t="s">
        <v>11086</v>
      </c>
      <c r="AF1790" t="s">
        <v>11119</v>
      </c>
      <c r="AH1790" t="s">
        <v>10974</v>
      </c>
      <c r="AJ1790" t="s">
        <v>11132</v>
      </c>
      <c r="AK1790" t="s">
        <v>7225</v>
      </c>
      <c r="AM1790">
        <v>972.76</v>
      </c>
      <c r="AN1790" t="s">
        <v>11151</v>
      </c>
      <c r="AO1790" t="s">
        <v>11153</v>
      </c>
      <c r="AQ1790" t="s">
        <v>11157</v>
      </c>
      <c r="AS1790" t="s">
        <v>11173</v>
      </c>
      <c r="AU1790">
        <v>28</v>
      </c>
      <c r="AW1790" t="s">
        <v>11187</v>
      </c>
      <c r="BA1790" t="s">
        <v>11222</v>
      </c>
      <c r="BD1790" t="s">
        <v>11667</v>
      </c>
      <c r="BF1790" t="s">
        <v>14364</v>
      </c>
      <c r="BM1790" t="s">
        <v>15650</v>
      </c>
    </row>
    <row r="1791" spans="1:65">
      <c r="A1791" s="1">
        <f>HYPERLINK("https://lsnyc.legalserver.org/matter/dynamic-profile/view/0823604","17-0823604")</f>
        <v>0</v>
      </c>
      <c r="B1791" t="s">
        <v>134</v>
      </c>
      <c r="C1791" t="s">
        <v>246</v>
      </c>
      <c r="D1791" t="s">
        <v>462</v>
      </c>
      <c r="F1791" t="s">
        <v>1090</v>
      </c>
      <c r="G1791" t="s">
        <v>2889</v>
      </c>
      <c r="H1791" t="s">
        <v>4844</v>
      </c>
      <c r="I1791" t="s">
        <v>6789</v>
      </c>
      <c r="J1791" t="s">
        <v>7170</v>
      </c>
      <c r="K1791">
        <v>10452</v>
      </c>
      <c r="N1791" t="s">
        <v>7237</v>
      </c>
      <c r="O1791" t="s">
        <v>8396</v>
      </c>
      <c r="P1791">
        <v>1</v>
      </c>
      <c r="Q1791">
        <v>0</v>
      </c>
      <c r="R1791">
        <v>0</v>
      </c>
      <c r="U1791">
        <v>0</v>
      </c>
      <c r="W1791">
        <v>0</v>
      </c>
      <c r="Y1791" t="s">
        <v>10897</v>
      </c>
      <c r="AA1791" t="s">
        <v>10974</v>
      </c>
      <c r="AB1791" t="s">
        <v>998</v>
      </c>
      <c r="AD1791" t="s">
        <v>11096</v>
      </c>
      <c r="AF1791" t="s">
        <v>11122</v>
      </c>
      <c r="AH1791" t="s">
        <v>10974</v>
      </c>
      <c r="AJ1791" t="s">
        <v>11141</v>
      </c>
      <c r="AK1791" t="s">
        <v>7225</v>
      </c>
      <c r="AL1791" t="s">
        <v>11150</v>
      </c>
      <c r="AM1791">
        <v>0</v>
      </c>
      <c r="AO1791">
        <v>122</v>
      </c>
      <c r="AQ1791" t="s">
        <v>11157</v>
      </c>
      <c r="AR1791" t="s">
        <v>11172</v>
      </c>
      <c r="AT1791" t="s">
        <v>11184</v>
      </c>
      <c r="AU1791">
        <v>0</v>
      </c>
      <c r="AW1791" t="s">
        <v>11189</v>
      </c>
      <c r="AZ1791" t="s">
        <v>11221</v>
      </c>
      <c r="BE1791" t="s">
        <v>12684</v>
      </c>
      <c r="BG1791" t="s">
        <v>14719</v>
      </c>
      <c r="BM1791" t="s">
        <v>15650</v>
      </c>
    </row>
    <row r="1792" spans="1:65">
      <c r="A1792" s="1">
        <f>HYPERLINK("https://lsnyc.legalserver.org/matter/dynamic-profile/view/0822363","16-0822363")</f>
        <v>0</v>
      </c>
      <c r="B1792" t="s">
        <v>134</v>
      </c>
      <c r="C1792" t="s">
        <v>246</v>
      </c>
      <c r="D1792" t="s">
        <v>714</v>
      </c>
      <c r="E1792" t="s">
        <v>735</v>
      </c>
      <c r="F1792" t="s">
        <v>1459</v>
      </c>
      <c r="G1792" t="s">
        <v>3046</v>
      </c>
      <c r="H1792" t="s">
        <v>5290</v>
      </c>
      <c r="I1792" t="s">
        <v>6453</v>
      </c>
      <c r="J1792" t="s">
        <v>7170</v>
      </c>
      <c r="K1792">
        <v>10468</v>
      </c>
      <c r="L1792" t="s">
        <v>7217</v>
      </c>
      <c r="N1792" t="s">
        <v>7237</v>
      </c>
      <c r="O1792" t="s">
        <v>8397</v>
      </c>
      <c r="P1792">
        <v>5</v>
      </c>
      <c r="Q1792">
        <v>0</v>
      </c>
      <c r="R1792">
        <v>255.98</v>
      </c>
      <c r="S1792" t="s">
        <v>250</v>
      </c>
      <c r="U1792">
        <v>72800</v>
      </c>
      <c r="W1792">
        <v>1.5</v>
      </c>
      <c r="X1792" t="s">
        <v>861</v>
      </c>
      <c r="Y1792" t="s">
        <v>10899</v>
      </c>
      <c r="AA1792" t="s">
        <v>10974</v>
      </c>
      <c r="AB1792" t="s">
        <v>763</v>
      </c>
      <c r="AD1792" t="s">
        <v>11090</v>
      </c>
      <c r="AF1792" t="s">
        <v>11120</v>
      </c>
      <c r="AH1792" t="s">
        <v>10974</v>
      </c>
      <c r="AJ1792" t="s">
        <v>11141</v>
      </c>
      <c r="AK1792" t="s">
        <v>7225</v>
      </c>
      <c r="AM1792">
        <v>1263.71</v>
      </c>
      <c r="AO1792">
        <v>37</v>
      </c>
      <c r="AQ1792" t="s">
        <v>11164</v>
      </c>
      <c r="AS1792" t="s">
        <v>11173</v>
      </c>
      <c r="AU1792">
        <v>16</v>
      </c>
      <c r="AW1792" t="s">
        <v>11189</v>
      </c>
      <c r="AZ1792" t="s">
        <v>11221</v>
      </c>
      <c r="BD1792" t="s">
        <v>11667</v>
      </c>
      <c r="BF1792" t="s">
        <v>14364</v>
      </c>
      <c r="BM1792" t="s">
        <v>15651</v>
      </c>
    </row>
    <row r="1793" spans="1:65">
      <c r="A1793" s="1">
        <f>HYPERLINK("https://lsnyc.legalserver.org/matter/dynamic-profile/view/0790741","15-0790741")</f>
        <v>0</v>
      </c>
      <c r="B1793" t="s">
        <v>134</v>
      </c>
      <c r="C1793" t="s">
        <v>246</v>
      </c>
      <c r="D1793" t="s">
        <v>707</v>
      </c>
      <c r="F1793" t="s">
        <v>1897</v>
      </c>
      <c r="G1793" t="s">
        <v>3694</v>
      </c>
      <c r="H1793" t="s">
        <v>4844</v>
      </c>
      <c r="I1793" t="s">
        <v>6787</v>
      </c>
      <c r="J1793" t="s">
        <v>7170</v>
      </c>
      <c r="K1793">
        <v>10452</v>
      </c>
      <c r="N1793" t="s">
        <v>7237</v>
      </c>
      <c r="O1793" t="s">
        <v>8393</v>
      </c>
      <c r="P1793">
        <v>2</v>
      </c>
      <c r="Q1793">
        <v>1</v>
      </c>
      <c r="R1793">
        <v>225</v>
      </c>
      <c r="U1793">
        <v>45202.56</v>
      </c>
      <c r="W1793">
        <v>0.1</v>
      </c>
      <c r="X1793" t="s">
        <v>698</v>
      </c>
      <c r="Y1793" t="s">
        <v>138</v>
      </c>
      <c r="AA1793" t="s">
        <v>10974</v>
      </c>
      <c r="AB1793" t="s">
        <v>11032</v>
      </c>
      <c r="AD1793" t="s">
        <v>11085</v>
      </c>
      <c r="AF1793" t="s">
        <v>11118</v>
      </c>
      <c r="AH1793" t="s">
        <v>10974</v>
      </c>
      <c r="AJ1793" t="s">
        <v>11132</v>
      </c>
      <c r="AK1793" t="s">
        <v>7225</v>
      </c>
      <c r="AM1793">
        <v>1038.43</v>
      </c>
      <c r="AO1793">
        <v>122</v>
      </c>
      <c r="AQ1793" t="s">
        <v>11157</v>
      </c>
      <c r="AR1793" t="s">
        <v>11172</v>
      </c>
      <c r="AU1793">
        <v>6</v>
      </c>
      <c r="AW1793" t="s">
        <v>11187</v>
      </c>
      <c r="AZ1793" t="s">
        <v>11221</v>
      </c>
      <c r="BE1793" t="s">
        <v>12681</v>
      </c>
      <c r="BF1793" t="s">
        <v>14364</v>
      </c>
      <c r="BG1793" t="s">
        <v>14716</v>
      </c>
      <c r="BM1793" t="s">
        <v>15650</v>
      </c>
    </row>
    <row r="1794" spans="1:65">
      <c r="A1794" s="1">
        <f>HYPERLINK("https://lsnyc.legalserver.org/matter/dynamic-profile/view/1890731","19-1890731")</f>
        <v>0</v>
      </c>
      <c r="B1794" t="s">
        <v>134</v>
      </c>
      <c r="C1794" t="s">
        <v>246</v>
      </c>
      <c r="D1794" t="s">
        <v>367</v>
      </c>
      <c r="F1794" t="s">
        <v>1090</v>
      </c>
      <c r="G1794" t="s">
        <v>3021</v>
      </c>
      <c r="H1794" t="s">
        <v>5372</v>
      </c>
      <c r="I1794" t="s">
        <v>6412</v>
      </c>
      <c r="J1794" t="s">
        <v>7170</v>
      </c>
      <c r="K1794">
        <v>10456</v>
      </c>
      <c r="N1794" t="s">
        <v>7237</v>
      </c>
      <c r="O1794" t="s">
        <v>8398</v>
      </c>
      <c r="P1794">
        <v>3</v>
      </c>
      <c r="Q1794">
        <v>0</v>
      </c>
      <c r="R1794">
        <v>86.75</v>
      </c>
      <c r="U1794">
        <v>18504</v>
      </c>
      <c r="W1794">
        <v>5.5</v>
      </c>
      <c r="X1794" t="s">
        <v>608</v>
      </c>
      <c r="Y1794" t="s">
        <v>210</v>
      </c>
      <c r="AA1794" t="s">
        <v>10974</v>
      </c>
      <c r="AB1794" t="s">
        <v>10979</v>
      </c>
      <c r="AD1794" t="s">
        <v>11101</v>
      </c>
      <c r="AF1794" t="s">
        <v>11118</v>
      </c>
      <c r="AH1794" t="s">
        <v>10974</v>
      </c>
      <c r="AJ1794" t="s">
        <v>11132</v>
      </c>
      <c r="AK1794" t="s">
        <v>7225</v>
      </c>
      <c r="AM1794">
        <v>380.89</v>
      </c>
      <c r="AN1794" t="s">
        <v>11151</v>
      </c>
      <c r="AO1794" t="s">
        <v>11153</v>
      </c>
      <c r="AQ1794" t="s">
        <v>11160</v>
      </c>
      <c r="AS1794" t="s">
        <v>11175</v>
      </c>
      <c r="AU1794">
        <v>50</v>
      </c>
      <c r="AW1794" t="s">
        <v>11189</v>
      </c>
      <c r="BA1794" t="s">
        <v>11222</v>
      </c>
      <c r="BE1794" t="s">
        <v>12685</v>
      </c>
      <c r="BG1794" t="s">
        <v>14806</v>
      </c>
      <c r="BM1794" t="s">
        <v>15650</v>
      </c>
    </row>
    <row r="1795" spans="1:65">
      <c r="A1795" s="1">
        <f>HYPERLINK("https://lsnyc.legalserver.org/matter/dynamic-profile/view/1904637","19-1904637")</f>
        <v>0</v>
      </c>
      <c r="B1795" t="s">
        <v>134</v>
      </c>
      <c r="C1795" t="s">
        <v>246</v>
      </c>
      <c r="D1795" t="s">
        <v>373</v>
      </c>
      <c r="F1795" t="s">
        <v>1900</v>
      </c>
      <c r="G1795" t="s">
        <v>3696</v>
      </c>
      <c r="H1795" t="s">
        <v>5373</v>
      </c>
      <c r="I1795" t="s">
        <v>6764</v>
      </c>
      <c r="J1795" t="s">
        <v>7170</v>
      </c>
      <c r="K1795">
        <v>10456</v>
      </c>
      <c r="N1795" t="s">
        <v>7237</v>
      </c>
      <c r="O1795" t="s">
        <v>8399</v>
      </c>
      <c r="P1795">
        <v>1</v>
      </c>
      <c r="Q1795">
        <v>3</v>
      </c>
      <c r="R1795">
        <v>18.31</v>
      </c>
      <c r="U1795">
        <v>4715.04</v>
      </c>
      <c r="W1795">
        <v>0</v>
      </c>
      <c r="Y1795" t="s">
        <v>216</v>
      </c>
      <c r="AA1795" t="s">
        <v>10974</v>
      </c>
      <c r="AB1795" t="s">
        <v>10979</v>
      </c>
      <c r="AD1795" t="s">
        <v>11098</v>
      </c>
      <c r="AF1795" t="s">
        <v>11122</v>
      </c>
      <c r="AH1795" t="s">
        <v>10974</v>
      </c>
      <c r="AJ1795" t="s">
        <v>11141</v>
      </c>
      <c r="AK1795" t="s">
        <v>7225</v>
      </c>
      <c r="AM1795">
        <v>820</v>
      </c>
      <c r="AO1795">
        <v>131</v>
      </c>
      <c r="AQ1795" t="s">
        <v>11157</v>
      </c>
      <c r="AS1795" t="s">
        <v>11176</v>
      </c>
      <c r="AU1795">
        <v>9</v>
      </c>
      <c r="AW1795" t="s">
        <v>11187</v>
      </c>
      <c r="BA1795" t="s">
        <v>11222</v>
      </c>
      <c r="BB1795" t="s">
        <v>11224</v>
      </c>
      <c r="BC1795">
        <v>6629815</v>
      </c>
      <c r="BD1795" t="s">
        <v>11667</v>
      </c>
      <c r="BG1795" t="s">
        <v>14805</v>
      </c>
      <c r="BM1795" t="s">
        <v>15650</v>
      </c>
    </row>
    <row r="1796" spans="1:65">
      <c r="A1796" s="1">
        <f>HYPERLINK("https://lsnyc.legalserver.org/matter/dynamic-profile/view/0796753","16-0796753")</f>
        <v>0</v>
      </c>
      <c r="B1796" t="s">
        <v>134</v>
      </c>
      <c r="C1796" t="s">
        <v>246</v>
      </c>
      <c r="D1796" t="s">
        <v>707</v>
      </c>
      <c r="F1796" t="s">
        <v>1898</v>
      </c>
      <c r="G1796" t="s">
        <v>3691</v>
      </c>
      <c r="H1796" t="s">
        <v>4844</v>
      </c>
      <c r="I1796" t="s">
        <v>6788</v>
      </c>
      <c r="J1796" t="s">
        <v>7170</v>
      </c>
      <c r="K1796">
        <v>10452</v>
      </c>
      <c r="N1796" t="s">
        <v>7237</v>
      </c>
      <c r="O1796" t="s">
        <v>7698</v>
      </c>
      <c r="P1796">
        <v>1</v>
      </c>
      <c r="Q1796">
        <v>0</v>
      </c>
      <c r="R1796">
        <v>110.45</v>
      </c>
      <c r="U1796">
        <v>13000</v>
      </c>
      <c r="W1796">
        <v>0.1</v>
      </c>
      <c r="X1796" t="s">
        <v>10828</v>
      </c>
      <c r="Y1796" t="s">
        <v>138</v>
      </c>
      <c r="AA1796" t="s">
        <v>10974</v>
      </c>
      <c r="AB1796" t="s">
        <v>538</v>
      </c>
      <c r="AD1796" t="s">
        <v>11085</v>
      </c>
      <c r="AF1796" t="s">
        <v>11118</v>
      </c>
      <c r="AH1796" t="s">
        <v>10974</v>
      </c>
      <c r="AJ1796" t="s">
        <v>11132</v>
      </c>
      <c r="AK1796" t="s">
        <v>7225</v>
      </c>
      <c r="AM1796">
        <v>750</v>
      </c>
      <c r="AO1796">
        <v>122</v>
      </c>
      <c r="AQ1796" t="s">
        <v>11157</v>
      </c>
      <c r="AR1796" t="s">
        <v>11172</v>
      </c>
      <c r="AU1796">
        <v>6</v>
      </c>
      <c r="AW1796" t="s">
        <v>11187</v>
      </c>
      <c r="AZ1796" t="s">
        <v>11221</v>
      </c>
      <c r="BE1796" t="s">
        <v>12682</v>
      </c>
      <c r="BF1796" t="s">
        <v>14364</v>
      </c>
      <c r="BG1796" t="s">
        <v>14716</v>
      </c>
      <c r="BM1796" t="s">
        <v>15650</v>
      </c>
    </row>
    <row r="1797" spans="1:65">
      <c r="A1797" s="1">
        <f>HYPERLINK("https://lsnyc.legalserver.org/matter/dynamic-profile/view/1852102","17-1852102")</f>
        <v>0</v>
      </c>
      <c r="B1797" t="s">
        <v>134</v>
      </c>
      <c r="C1797" t="s">
        <v>246</v>
      </c>
      <c r="D1797" t="s">
        <v>396</v>
      </c>
      <c r="F1797" t="s">
        <v>1901</v>
      </c>
      <c r="G1797" t="s">
        <v>2877</v>
      </c>
      <c r="H1797" t="s">
        <v>5379</v>
      </c>
      <c r="I1797" t="s">
        <v>6790</v>
      </c>
      <c r="J1797" t="s">
        <v>7170</v>
      </c>
      <c r="K1797">
        <v>10453</v>
      </c>
      <c r="N1797" t="s">
        <v>7237</v>
      </c>
      <c r="O1797" t="s">
        <v>8400</v>
      </c>
      <c r="P1797">
        <v>3</v>
      </c>
      <c r="Q1797">
        <v>0</v>
      </c>
      <c r="R1797">
        <v>37.02</v>
      </c>
      <c r="U1797">
        <v>7560</v>
      </c>
      <c r="W1797">
        <v>2.6</v>
      </c>
      <c r="X1797" t="s">
        <v>761</v>
      </c>
      <c r="Y1797" t="s">
        <v>10899</v>
      </c>
      <c r="AA1797" t="s">
        <v>10974</v>
      </c>
      <c r="AB1797" t="s">
        <v>10992</v>
      </c>
      <c r="AD1797" t="s">
        <v>11096</v>
      </c>
      <c r="AF1797" t="s">
        <v>11122</v>
      </c>
      <c r="AH1797" t="s">
        <v>10975</v>
      </c>
      <c r="AJ1797" t="s">
        <v>11132</v>
      </c>
      <c r="AK1797" t="s">
        <v>7225</v>
      </c>
      <c r="AM1797">
        <v>1583</v>
      </c>
      <c r="AO1797">
        <v>64</v>
      </c>
      <c r="AQ1797" t="s">
        <v>11157</v>
      </c>
      <c r="AS1797" t="s">
        <v>11174</v>
      </c>
      <c r="AU1797">
        <v>27</v>
      </c>
      <c r="AW1797" t="s">
        <v>11189</v>
      </c>
      <c r="AZ1797" t="s">
        <v>11221</v>
      </c>
      <c r="BE1797" t="s">
        <v>12686</v>
      </c>
      <c r="BG1797" t="s">
        <v>14807</v>
      </c>
      <c r="BM1797" t="s">
        <v>15650</v>
      </c>
    </row>
    <row r="1798" spans="1:65">
      <c r="A1798" s="1">
        <f>HYPERLINK("https://lsnyc.legalserver.org/matter/dynamic-profile/view/1876810","18-1876810")</f>
        <v>0</v>
      </c>
      <c r="B1798" t="s">
        <v>134</v>
      </c>
      <c r="C1798" t="s">
        <v>246</v>
      </c>
      <c r="D1798" t="s">
        <v>628</v>
      </c>
      <c r="F1798" t="s">
        <v>1428</v>
      </c>
      <c r="G1798" t="s">
        <v>3688</v>
      </c>
      <c r="H1798" t="s">
        <v>5373</v>
      </c>
      <c r="I1798" t="s">
        <v>6421</v>
      </c>
      <c r="J1798" t="s">
        <v>7170</v>
      </c>
      <c r="K1798">
        <v>10456</v>
      </c>
      <c r="N1798" t="s">
        <v>7237</v>
      </c>
      <c r="O1798" t="s">
        <v>8385</v>
      </c>
      <c r="P1798">
        <v>2</v>
      </c>
      <c r="Q1798">
        <v>0</v>
      </c>
      <c r="R1798">
        <v>109.36</v>
      </c>
      <c r="U1798">
        <v>18000</v>
      </c>
      <c r="W1798">
        <v>0</v>
      </c>
      <c r="Y1798" t="s">
        <v>216</v>
      </c>
      <c r="AA1798" t="s">
        <v>10974</v>
      </c>
      <c r="AB1798" t="s">
        <v>573</v>
      </c>
      <c r="AD1798" t="s">
        <v>11101</v>
      </c>
      <c r="AF1798" t="s">
        <v>11118</v>
      </c>
      <c r="AH1798" t="s">
        <v>10974</v>
      </c>
      <c r="AJ1798" t="s">
        <v>11141</v>
      </c>
      <c r="AK1798" t="s">
        <v>7225</v>
      </c>
      <c r="AM1798">
        <v>947.5</v>
      </c>
      <c r="AO1798">
        <v>131</v>
      </c>
      <c r="AQ1798" t="s">
        <v>11157</v>
      </c>
      <c r="AS1798" t="s">
        <v>11173</v>
      </c>
      <c r="AU1798">
        <v>25</v>
      </c>
      <c r="AW1798" t="s">
        <v>11187</v>
      </c>
      <c r="AZ1798" t="s">
        <v>11221</v>
      </c>
      <c r="BE1798" t="s">
        <v>12674</v>
      </c>
      <c r="BG1798" t="s">
        <v>14808</v>
      </c>
      <c r="BM1798" t="s">
        <v>15650</v>
      </c>
    </row>
    <row r="1799" spans="1:65">
      <c r="A1799" s="1">
        <f>HYPERLINK("https://lsnyc.legalserver.org/matter/dynamic-profile/view/1857284","18-1857284")</f>
        <v>0</v>
      </c>
      <c r="B1799" t="s">
        <v>134</v>
      </c>
      <c r="C1799" t="s">
        <v>246</v>
      </c>
      <c r="D1799" t="s">
        <v>386</v>
      </c>
      <c r="F1799" t="s">
        <v>1898</v>
      </c>
      <c r="G1799" t="s">
        <v>3691</v>
      </c>
      <c r="H1799" t="s">
        <v>4844</v>
      </c>
      <c r="I1799" t="s">
        <v>6788</v>
      </c>
      <c r="J1799" t="s">
        <v>7170</v>
      </c>
      <c r="K1799">
        <v>10452</v>
      </c>
      <c r="N1799" t="s">
        <v>7237</v>
      </c>
      <c r="O1799" t="s">
        <v>7698</v>
      </c>
      <c r="P1799">
        <v>1</v>
      </c>
      <c r="Q1799">
        <v>0</v>
      </c>
      <c r="R1799">
        <v>107.79</v>
      </c>
      <c r="U1799">
        <v>13000</v>
      </c>
      <c r="W1799">
        <v>0</v>
      </c>
      <c r="Y1799" t="s">
        <v>10897</v>
      </c>
      <c r="AA1799" t="s">
        <v>10974</v>
      </c>
      <c r="AB1799" t="s">
        <v>11013</v>
      </c>
      <c r="AD1799" t="s">
        <v>11096</v>
      </c>
      <c r="AF1799" t="s">
        <v>11122</v>
      </c>
      <c r="AH1799" t="s">
        <v>10974</v>
      </c>
      <c r="AJ1799" t="s">
        <v>11141</v>
      </c>
      <c r="AK1799" t="s">
        <v>7225</v>
      </c>
      <c r="AM1799">
        <v>750</v>
      </c>
      <c r="AO1799">
        <v>122</v>
      </c>
      <c r="AQ1799" t="s">
        <v>11157</v>
      </c>
      <c r="AR1799" t="s">
        <v>11172</v>
      </c>
      <c r="AU1799">
        <v>8</v>
      </c>
      <c r="AW1799" t="s">
        <v>11187</v>
      </c>
      <c r="AZ1799" t="s">
        <v>11221</v>
      </c>
      <c r="BE1799" t="s">
        <v>12682</v>
      </c>
      <c r="BG1799" t="s">
        <v>14717</v>
      </c>
      <c r="BM1799" t="s">
        <v>15650</v>
      </c>
    </row>
    <row r="1800" spans="1:65">
      <c r="A1800" s="1">
        <f>HYPERLINK("https://lsnyc.legalserver.org/matter/dynamic-profile/view/1887044","19-1887044")</f>
        <v>0</v>
      </c>
      <c r="B1800" t="s">
        <v>134</v>
      </c>
      <c r="C1800" t="s">
        <v>246</v>
      </c>
      <c r="D1800" t="s">
        <v>785</v>
      </c>
      <c r="F1800" t="s">
        <v>1703</v>
      </c>
      <c r="G1800" t="s">
        <v>3479</v>
      </c>
      <c r="H1800" t="s">
        <v>4971</v>
      </c>
      <c r="I1800" t="s">
        <v>6694</v>
      </c>
      <c r="J1800" t="s">
        <v>7170</v>
      </c>
      <c r="K1800">
        <v>10460</v>
      </c>
      <c r="N1800" t="s">
        <v>7237</v>
      </c>
      <c r="O1800" t="s">
        <v>8067</v>
      </c>
      <c r="P1800">
        <v>2</v>
      </c>
      <c r="Q1800">
        <v>0</v>
      </c>
      <c r="R1800">
        <v>11.92</v>
      </c>
      <c r="U1800">
        <v>1962</v>
      </c>
      <c r="W1800">
        <v>26.9</v>
      </c>
      <c r="X1800" t="s">
        <v>598</v>
      </c>
      <c r="Y1800" t="s">
        <v>216</v>
      </c>
      <c r="AA1800" t="s">
        <v>10974</v>
      </c>
      <c r="AB1800" t="s">
        <v>558</v>
      </c>
      <c r="AD1800" t="s">
        <v>11082</v>
      </c>
      <c r="AF1800" t="s">
        <v>11118</v>
      </c>
      <c r="AH1800" t="s">
        <v>10975</v>
      </c>
      <c r="AJ1800" t="s">
        <v>11129</v>
      </c>
      <c r="AK1800" t="s">
        <v>7225</v>
      </c>
      <c r="AM1800">
        <v>233</v>
      </c>
      <c r="AO1800">
        <v>248</v>
      </c>
      <c r="AQ1800" t="s">
        <v>11163</v>
      </c>
      <c r="AS1800" t="s">
        <v>11177</v>
      </c>
      <c r="AU1800">
        <v>25</v>
      </c>
      <c r="AW1800" t="s">
        <v>11187</v>
      </c>
      <c r="AY1800" t="s">
        <v>11214</v>
      </c>
      <c r="AZ1800" t="s">
        <v>11221</v>
      </c>
      <c r="BE1800" t="s">
        <v>12384</v>
      </c>
      <c r="BG1800" t="s">
        <v>14809</v>
      </c>
      <c r="BM1800" t="s">
        <v>15650</v>
      </c>
    </row>
    <row r="1801" spans="1:65">
      <c r="A1801" s="1">
        <f>HYPERLINK("https://lsnyc.legalserver.org/matter/dynamic-profile/view/1876689","18-1876689")</f>
        <v>0</v>
      </c>
      <c r="B1801" t="s">
        <v>134</v>
      </c>
      <c r="C1801" t="s">
        <v>246</v>
      </c>
      <c r="D1801" t="s">
        <v>662</v>
      </c>
      <c r="F1801" t="s">
        <v>1900</v>
      </c>
      <c r="G1801" t="s">
        <v>3696</v>
      </c>
      <c r="H1801" t="s">
        <v>5373</v>
      </c>
      <c r="I1801" t="s">
        <v>6764</v>
      </c>
      <c r="J1801" t="s">
        <v>7170</v>
      </c>
      <c r="K1801">
        <v>10456</v>
      </c>
      <c r="N1801" t="s">
        <v>7237</v>
      </c>
      <c r="O1801" t="s">
        <v>8399</v>
      </c>
      <c r="P1801">
        <v>1</v>
      </c>
      <c r="Q1801">
        <v>3</v>
      </c>
      <c r="R1801">
        <v>18.79</v>
      </c>
      <c r="U1801">
        <v>4715.04</v>
      </c>
      <c r="W1801">
        <v>0</v>
      </c>
      <c r="Y1801" t="s">
        <v>216</v>
      </c>
      <c r="AA1801" t="s">
        <v>10974</v>
      </c>
      <c r="AB1801" t="s">
        <v>662</v>
      </c>
      <c r="AD1801" t="s">
        <v>11101</v>
      </c>
      <c r="AF1801" t="s">
        <v>11118</v>
      </c>
      <c r="AH1801" t="s">
        <v>10974</v>
      </c>
      <c r="AJ1801" t="s">
        <v>11141</v>
      </c>
      <c r="AK1801" t="s">
        <v>7225</v>
      </c>
      <c r="AM1801">
        <v>820</v>
      </c>
      <c r="AO1801">
        <v>131</v>
      </c>
      <c r="AQ1801" t="s">
        <v>11157</v>
      </c>
      <c r="AS1801" t="s">
        <v>11176</v>
      </c>
      <c r="AU1801">
        <v>9</v>
      </c>
      <c r="AW1801" t="s">
        <v>11187</v>
      </c>
      <c r="AZ1801" t="s">
        <v>11221</v>
      </c>
      <c r="BB1801" t="s">
        <v>11224</v>
      </c>
      <c r="BC1801">
        <v>6629815</v>
      </c>
      <c r="BD1801" t="s">
        <v>11667</v>
      </c>
      <c r="BG1801" t="s">
        <v>14808</v>
      </c>
      <c r="BM1801" t="s">
        <v>15650</v>
      </c>
    </row>
    <row r="1802" spans="1:65">
      <c r="A1802" s="1">
        <f>HYPERLINK("https://lsnyc.legalserver.org/matter/dynamic-profile/view/1876683","18-1876683")</f>
        <v>0</v>
      </c>
      <c r="B1802" t="s">
        <v>134</v>
      </c>
      <c r="C1802" t="s">
        <v>246</v>
      </c>
      <c r="D1802" t="s">
        <v>662</v>
      </c>
      <c r="F1802" t="s">
        <v>1900</v>
      </c>
      <c r="G1802" t="s">
        <v>3696</v>
      </c>
      <c r="H1802" t="s">
        <v>5373</v>
      </c>
      <c r="I1802" t="s">
        <v>6764</v>
      </c>
      <c r="J1802" t="s">
        <v>7170</v>
      </c>
      <c r="K1802">
        <v>10456</v>
      </c>
      <c r="N1802" t="s">
        <v>7237</v>
      </c>
      <c r="O1802" t="s">
        <v>8399</v>
      </c>
      <c r="P1802">
        <v>1</v>
      </c>
      <c r="Q1802">
        <v>3</v>
      </c>
      <c r="R1802">
        <v>20.35</v>
      </c>
      <c r="U1802">
        <v>5107.96</v>
      </c>
      <c r="W1802">
        <v>0</v>
      </c>
      <c r="Y1802" t="s">
        <v>216</v>
      </c>
      <c r="AA1802" t="s">
        <v>10974</v>
      </c>
      <c r="AB1802" t="s">
        <v>662</v>
      </c>
      <c r="AD1802" t="s">
        <v>11098</v>
      </c>
      <c r="AF1802" t="s">
        <v>11122</v>
      </c>
      <c r="AH1802" t="s">
        <v>10974</v>
      </c>
      <c r="AJ1802" t="s">
        <v>11141</v>
      </c>
      <c r="AK1802" t="s">
        <v>7225</v>
      </c>
      <c r="AM1802">
        <v>820</v>
      </c>
      <c r="AO1802">
        <v>131</v>
      </c>
      <c r="AQ1802" t="s">
        <v>11157</v>
      </c>
      <c r="AS1802" t="s">
        <v>11176</v>
      </c>
      <c r="AU1802">
        <v>9</v>
      </c>
      <c r="AW1802" t="s">
        <v>11187</v>
      </c>
      <c r="AZ1802" t="s">
        <v>11221</v>
      </c>
      <c r="BB1802" t="s">
        <v>11224</v>
      </c>
      <c r="BC1802">
        <v>6629815</v>
      </c>
      <c r="BD1802" t="s">
        <v>11667</v>
      </c>
      <c r="BG1802" t="s">
        <v>14803</v>
      </c>
      <c r="BM1802" t="s">
        <v>15650</v>
      </c>
    </row>
    <row r="1803" spans="1:65">
      <c r="A1803" s="1">
        <f>HYPERLINK("https://lsnyc.legalserver.org/matter/dynamic-profile/view/1914349","19-1914349")</f>
        <v>0</v>
      </c>
      <c r="B1803" t="s">
        <v>134</v>
      </c>
      <c r="C1803" t="s">
        <v>246</v>
      </c>
      <c r="D1803" t="s">
        <v>497</v>
      </c>
      <c r="F1803" t="s">
        <v>1902</v>
      </c>
      <c r="G1803" t="s">
        <v>3337</v>
      </c>
      <c r="H1803" t="s">
        <v>5380</v>
      </c>
      <c r="I1803" t="s">
        <v>6474</v>
      </c>
      <c r="J1803" t="s">
        <v>7170</v>
      </c>
      <c r="K1803">
        <v>10460</v>
      </c>
      <c r="N1803" t="s">
        <v>7237</v>
      </c>
      <c r="O1803" t="s">
        <v>8401</v>
      </c>
      <c r="P1803">
        <v>1</v>
      </c>
      <c r="Q1803">
        <v>0</v>
      </c>
      <c r="R1803">
        <v>93</v>
      </c>
      <c r="U1803">
        <v>11616</v>
      </c>
      <c r="W1803">
        <v>0.25</v>
      </c>
      <c r="X1803" t="s">
        <v>497</v>
      </c>
      <c r="Y1803" t="s">
        <v>134</v>
      </c>
      <c r="AA1803" t="s">
        <v>10974</v>
      </c>
      <c r="AD1803" t="s">
        <v>11101</v>
      </c>
      <c r="AF1803" t="s">
        <v>11119</v>
      </c>
      <c r="AH1803" t="s">
        <v>10975</v>
      </c>
      <c r="AJ1803" t="s">
        <v>11141</v>
      </c>
      <c r="AK1803" t="s">
        <v>7225</v>
      </c>
      <c r="AM1803">
        <v>1487</v>
      </c>
      <c r="AN1803" t="s">
        <v>11151</v>
      </c>
      <c r="AO1803" t="s">
        <v>11153</v>
      </c>
      <c r="AQ1803" t="s">
        <v>11157</v>
      </c>
      <c r="AS1803" t="s">
        <v>11177</v>
      </c>
      <c r="AU1803">
        <v>1</v>
      </c>
      <c r="AW1803" t="s">
        <v>11187</v>
      </c>
      <c r="AX1803" t="s">
        <v>11212</v>
      </c>
      <c r="BA1803" t="s">
        <v>11222</v>
      </c>
      <c r="BE1803" t="s">
        <v>12687</v>
      </c>
      <c r="BF1803" t="s">
        <v>14364</v>
      </c>
      <c r="BG1803" t="s">
        <v>14810</v>
      </c>
      <c r="BM1803" t="s">
        <v>15650</v>
      </c>
    </row>
    <row r="1804" spans="1:65">
      <c r="A1804" s="1">
        <f>HYPERLINK("https://lsnyc.legalserver.org/matter/dynamic-profile/view/1886871","19-1886871")</f>
        <v>0</v>
      </c>
      <c r="B1804" t="s">
        <v>134</v>
      </c>
      <c r="C1804" t="s">
        <v>246</v>
      </c>
      <c r="D1804" t="s">
        <v>547</v>
      </c>
      <c r="F1804" t="s">
        <v>1903</v>
      </c>
      <c r="G1804" t="s">
        <v>3697</v>
      </c>
      <c r="H1804" t="s">
        <v>5373</v>
      </c>
      <c r="I1804" t="s">
        <v>6596</v>
      </c>
      <c r="J1804" t="s">
        <v>7170</v>
      </c>
      <c r="K1804">
        <v>10456</v>
      </c>
      <c r="N1804" t="s">
        <v>7237</v>
      </c>
      <c r="O1804" t="s">
        <v>8313</v>
      </c>
      <c r="P1804">
        <v>3</v>
      </c>
      <c r="Q1804">
        <v>1</v>
      </c>
      <c r="R1804">
        <v>102.96</v>
      </c>
      <c r="U1804">
        <v>25844</v>
      </c>
      <c r="W1804">
        <v>0</v>
      </c>
      <c r="Y1804" t="s">
        <v>216</v>
      </c>
      <c r="AA1804" t="s">
        <v>10974</v>
      </c>
      <c r="AB1804" t="s">
        <v>370</v>
      </c>
      <c r="AD1804" t="s">
        <v>11098</v>
      </c>
      <c r="AF1804" t="s">
        <v>11122</v>
      </c>
      <c r="AH1804" t="s">
        <v>10974</v>
      </c>
      <c r="AJ1804" t="s">
        <v>11141</v>
      </c>
      <c r="AK1804" t="s">
        <v>7225</v>
      </c>
      <c r="AM1804">
        <v>1200.58</v>
      </c>
      <c r="AO1804">
        <v>131</v>
      </c>
      <c r="AQ1804" t="s">
        <v>11157</v>
      </c>
      <c r="AS1804" t="s">
        <v>11173</v>
      </c>
      <c r="AU1804">
        <v>7</v>
      </c>
      <c r="AW1804" t="s">
        <v>11189</v>
      </c>
      <c r="AZ1804" t="s">
        <v>11221</v>
      </c>
      <c r="BE1804" t="s">
        <v>12688</v>
      </c>
      <c r="BG1804" t="s">
        <v>14803</v>
      </c>
      <c r="BM1804" t="s">
        <v>15650</v>
      </c>
    </row>
    <row r="1805" spans="1:65">
      <c r="A1805" s="1">
        <f>HYPERLINK("https://lsnyc.legalserver.org/matter/dynamic-profile/view/1847473","17-1847473")</f>
        <v>0</v>
      </c>
      <c r="B1805" t="s">
        <v>134</v>
      </c>
      <c r="C1805" t="s">
        <v>246</v>
      </c>
      <c r="D1805" t="s">
        <v>786</v>
      </c>
      <c r="F1805" t="s">
        <v>1904</v>
      </c>
      <c r="G1805" t="s">
        <v>3698</v>
      </c>
      <c r="H1805" t="s">
        <v>5259</v>
      </c>
      <c r="I1805" t="s">
        <v>6497</v>
      </c>
      <c r="J1805" t="s">
        <v>7170</v>
      </c>
      <c r="K1805">
        <v>10453</v>
      </c>
      <c r="N1805" t="s">
        <v>7237</v>
      </c>
      <c r="O1805" t="s">
        <v>8402</v>
      </c>
      <c r="P1805">
        <v>2</v>
      </c>
      <c r="Q1805">
        <v>0</v>
      </c>
      <c r="R1805">
        <v>160.1</v>
      </c>
      <c r="U1805">
        <v>62400</v>
      </c>
      <c r="W1805">
        <v>11.5</v>
      </c>
      <c r="X1805" t="s">
        <v>458</v>
      </c>
      <c r="Y1805" t="s">
        <v>10899</v>
      </c>
      <c r="AA1805" t="s">
        <v>10974</v>
      </c>
      <c r="AB1805" t="s">
        <v>485</v>
      </c>
      <c r="AD1805" t="s">
        <v>11082</v>
      </c>
      <c r="AF1805" t="s">
        <v>11118</v>
      </c>
      <c r="AH1805" t="s">
        <v>10975</v>
      </c>
      <c r="AJ1805" t="s">
        <v>11129</v>
      </c>
      <c r="AK1805" t="s">
        <v>7225</v>
      </c>
      <c r="AM1805">
        <v>1432.96</v>
      </c>
      <c r="AO1805">
        <v>101</v>
      </c>
      <c r="AQ1805" t="s">
        <v>11157</v>
      </c>
      <c r="AS1805" t="s">
        <v>11173</v>
      </c>
      <c r="AU1805">
        <v>25</v>
      </c>
      <c r="AW1805" t="s">
        <v>11187</v>
      </c>
      <c r="AZ1805" t="s">
        <v>11221</v>
      </c>
      <c r="BE1805" t="s">
        <v>12689</v>
      </c>
      <c r="BG1805" t="s">
        <v>14811</v>
      </c>
      <c r="BM1805" t="s">
        <v>15650</v>
      </c>
    </row>
    <row r="1806" spans="1:65">
      <c r="A1806" s="1">
        <f>HYPERLINK("https://lsnyc.legalserver.org/matter/dynamic-profile/view/1906227","19-1906227")</f>
        <v>0</v>
      </c>
      <c r="B1806" t="s">
        <v>134</v>
      </c>
      <c r="C1806" t="s">
        <v>246</v>
      </c>
      <c r="D1806" t="s">
        <v>524</v>
      </c>
      <c r="F1806" t="s">
        <v>1713</v>
      </c>
      <c r="G1806" t="s">
        <v>3699</v>
      </c>
      <c r="H1806" t="s">
        <v>5381</v>
      </c>
      <c r="I1806" t="s">
        <v>6497</v>
      </c>
      <c r="J1806" t="s">
        <v>7170</v>
      </c>
      <c r="K1806">
        <v>10451</v>
      </c>
      <c r="N1806" t="s">
        <v>7237</v>
      </c>
      <c r="O1806" t="s">
        <v>8403</v>
      </c>
      <c r="P1806">
        <v>1</v>
      </c>
      <c r="Q1806">
        <v>3</v>
      </c>
      <c r="R1806">
        <v>20.97</v>
      </c>
      <c r="U1806">
        <v>5400</v>
      </c>
      <c r="W1806">
        <v>0.1</v>
      </c>
      <c r="X1806" t="s">
        <v>536</v>
      </c>
      <c r="Y1806" t="s">
        <v>10897</v>
      </c>
      <c r="Z1806" t="s">
        <v>10972</v>
      </c>
      <c r="AA1806" t="s">
        <v>10976</v>
      </c>
      <c r="AD1806" t="s">
        <v>11101</v>
      </c>
      <c r="AE1806" t="s">
        <v>11117</v>
      </c>
      <c r="AG1806" t="s">
        <v>11124</v>
      </c>
      <c r="AJ1806" t="s">
        <v>11141</v>
      </c>
      <c r="AK1806" t="s">
        <v>7225</v>
      </c>
      <c r="AM1806">
        <v>1325</v>
      </c>
      <c r="AN1806" t="s">
        <v>11151</v>
      </c>
      <c r="AO1806" t="s">
        <v>11153</v>
      </c>
      <c r="AQ1806" t="s">
        <v>11160</v>
      </c>
      <c r="AR1806" t="s">
        <v>11172</v>
      </c>
      <c r="AU1806">
        <v>5</v>
      </c>
      <c r="AW1806" t="s">
        <v>11187</v>
      </c>
      <c r="AX1806" t="s">
        <v>11212</v>
      </c>
      <c r="BA1806" t="s">
        <v>11223</v>
      </c>
      <c r="BC1806" t="s">
        <v>11384</v>
      </c>
      <c r="BE1806" t="s">
        <v>12690</v>
      </c>
      <c r="BF1806" t="s">
        <v>14364</v>
      </c>
      <c r="BM1806" t="s">
        <v>15650</v>
      </c>
    </row>
    <row r="1807" spans="1:65">
      <c r="A1807" s="1">
        <f>HYPERLINK("https://lsnyc.legalserver.org/matter/dynamic-profile/view/0788276","15-0788276")</f>
        <v>0</v>
      </c>
      <c r="B1807" t="s">
        <v>134</v>
      </c>
      <c r="C1807" t="s">
        <v>246</v>
      </c>
      <c r="D1807" t="s">
        <v>787</v>
      </c>
      <c r="F1807" t="s">
        <v>1905</v>
      </c>
      <c r="G1807" t="s">
        <v>3700</v>
      </c>
      <c r="H1807" t="s">
        <v>4844</v>
      </c>
      <c r="I1807">
        <v>18</v>
      </c>
      <c r="J1807" t="s">
        <v>7170</v>
      </c>
      <c r="K1807">
        <v>10452</v>
      </c>
      <c r="N1807" t="s">
        <v>7237</v>
      </c>
      <c r="O1807" t="s">
        <v>8404</v>
      </c>
      <c r="P1807">
        <v>1</v>
      </c>
      <c r="Q1807">
        <v>1</v>
      </c>
      <c r="R1807">
        <v>0</v>
      </c>
      <c r="U1807">
        <v>0</v>
      </c>
      <c r="W1807">
        <v>0.6</v>
      </c>
      <c r="X1807" t="s">
        <v>1064</v>
      </c>
      <c r="Y1807" t="s">
        <v>10868</v>
      </c>
      <c r="AA1807" t="s">
        <v>10974</v>
      </c>
      <c r="AB1807" t="s">
        <v>11033</v>
      </c>
      <c r="AD1807" t="s">
        <v>11107</v>
      </c>
      <c r="AF1807" t="s">
        <v>11118</v>
      </c>
      <c r="AH1807" t="s">
        <v>10974</v>
      </c>
      <c r="AJ1807" t="s">
        <v>11130</v>
      </c>
      <c r="AK1807" t="s">
        <v>7225</v>
      </c>
      <c r="AM1807">
        <v>1000</v>
      </c>
      <c r="AO1807">
        <v>122</v>
      </c>
      <c r="AQ1807" t="s">
        <v>11157</v>
      </c>
      <c r="AR1807" t="s">
        <v>11172</v>
      </c>
      <c r="AU1807">
        <v>1</v>
      </c>
      <c r="AW1807" t="s">
        <v>11187</v>
      </c>
      <c r="AZ1807" t="s">
        <v>11221</v>
      </c>
      <c r="BE1807" t="s">
        <v>12691</v>
      </c>
      <c r="BF1807" t="s">
        <v>14364</v>
      </c>
      <c r="BG1807" t="s">
        <v>14812</v>
      </c>
      <c r="BM1807" t="s">
        <v>15650</v>
      </c>
    </row>
    <row r="1808" spans="1:65">
      <c r="A1808" s="1">
        <f>HYPERLINK("https://lsnyc.legalserver.org/matter/dynamic-profile/view/0788972","15-0788972")</f>
        <v>0</v>
      </c>
      <c r="B1808" t="s">
        <v>134</v>
      </c>
      <c r="C1808" t="s">
        <v>246</v>
      </c>
      <c r="D1808" t="s">
        <v>697</v>
      </c>
      <c r="F1808" t="s">
        <v>1188</v>
      </c>
      <c r="G1808" t="s">
        <v>2308</v>
      </c>
      <c r="H1808" t="s">
        <v>4844</v>
      </c>
      <c r="J1808" t="s">
        <v>7170</v>
      </c>
      <c r="K1808">
        <v>10452</v>
      </c>
      <c r="N1808" t="s">
        <v>7237</v>
      </c>
      <c r="O1808" t="s">
        <v>7362</v>
      </c>
      <c r="P1808">
        <v>1</v>
      </c>
      <c r="Q1808">
        <v>0</v>
      </c>
      <c r="R1808">
        <v>93.48999999999999</v>
      </c>
      <c r="U1808">
        <v>11004</v>
      </c>
      <c r="W1808">
        <v>2.8</v>
      </c>
      <c r="X1808" t="s">
        <v>789</v>
      </c>
      <c r="Y1808" t="s">
        <v>138</v>
      </c>
      <c r="AA1808" t="s">
        <v>10974</v>
      </c>
      <c r="AB1808" t="s">
        <v>697</v>
      </c>
      <c r="AD1808" t="s">
        <v>11107</v>
      </c>
      <c r="AF1808" t="s">
        <v>11118</v>
      </c>
      <c r="AH1808" t="s">
        <v>10974</v>
      </c>
      <c r="AJ1808" t="s">
        <v>11132</v>
      </c>
      <c r="AK1808" t="s">
        <v>7225</v>
      </c>
      <c r="AM1808">
        <v>700.84</v>
      </c>
      <c r="AN1808" t="s">
        <v>11151</v>
      </c>
      <c r="AO1808" t="s">
        <v>11153</v>
      </c>
      <c r="AQ1808" t="s">
        <v>11157</v>
      </c>
      <c r="AR1808" t="s">
        <v>11172</v>
      </c>
      <c r="AU1808">
        <v>24</v>
      </c>
      <c r="AW1808" t="s">
        <v>11187</v>
      </c>
      <c r="AZ1808" t="s">
        <v>11221</v>
      </c>
      <c r="BE1808" t="s">
        <v>11761</v>
      </c>
      <c r="BF1808" t="s">
        <v>14364</v>
      </c>
      <c r="BG1808" t="s">
        <v>14716</v>
      </c>
      <c r="BM1808" t="s">
        <v>15650</v>
      </c>
    </row>
    <row r="1809" spans="1:67">
      <c r="A1809" s="1">
        <f>HYPERLINK("https://lsnyc.legalserver.org/matter/dynamic-profile/view/1870509","18-1870509")</f>
        <v>0</v>
      </c>
      <c r="B1809" t="s">
        <v>134</v>
      </c>
      <c r="C1809" t="s">
        <v>246</v>
      </c>
      <c r="D1809" t="s">
        <v>641</v>
      </c>
      <c r="F1809" t="s">
        <v>1906</v>
      </c>
      <c r="G1809" t="s">
        <v>3701</v>
      </c>
      <c r="H1809" t="s">
        <v>5373</v>
      </c>
      <c r="I1809" t="s">
        <v>6451</v>
      </c>
      <c r="J1809" t="s">
        <v>7170</v>
      </c>
      <c r="K1809">
        <v>10456</v>
      </c>
      <c r="N1809" t="s">
        <v>7237</v>
      </c>
      <c r="O1809" t="s">
        <v>8405</v>
      </c>
      <c r="P1809">
        <v>3</v>
      </c>
      <c r="Q1809">
        <v>0</v>
      </c>
      <c r="R1809">
        <v>144.37</v>
      </c>
      <c r="U1809">
        <v>30000</v>
      </c>
      <c r="W1809">
        <v>2.5</v>
      </c>
      <c r="X1809" t="s">
        <v>444</v>
      </c>
      <c r="Y1809" t="s">
        <v>216</v>
      </c>
      <c r="AA1809" t="s">
        <v>10974</v>
      </c>
      <c r="AB1809" t="s">
        <v>939</v>
      </c>
      <c r="AD1809" t="s">
        <v>11101</v>
      </c>
      <c r="AF1809" t="s">
        <v>11118</v>
      </c>
      <c r="AH1809" t="s">
        <v>10974</v>
      </c>
      <c r="AJ1809" t="s">
        <v>11141</v>
      </c>
      <c r="AK1809" t="s">
        <v>7225</v>
      </c>
      <c r="AM1809">
        <v>560</v>
      </c>
      <c r="AO1809">
        <v>131</v>
      </c>
      <c r="AQ1809" t="s">
        <v>11157</v>
      </c>
      <c r="AS1809" t="s">
        <v>11173</v>
      </c>
      <c r="AU1809">
        <v>25</v>
      </c>
      <c r="AW1809" t="s">
        <v>11187</v>
      </c>
      <c r="AZ1809" t="s">
        <v>11221</v>
      </c>
      <c r="BE1809" t="s">
        <v>12692</v>
      </c>
      <c r="BF1809" t="s">
        <v>14364</v>
      </c>
      <c r="BG1809" t="s">
        <v>14813</v>
      </c>
      <c r="BM1809" t="s">
        <v>15650</v>
      </c>
    </row>
    <row r="1810" spans="1:67">
      <c r="A1810" s="1">
        <f>HYPERLINK("https://lsnyc.legalserver.org/matter/dynamic-profile/view/1881514","18-1881514")</f>
        <v>0</v>
      </c>
      <c r="B1810" t="s">
        <v>134</v>
      </c>
      <c r="C1810" t="s">
        <v>246</v>
      </c>
      <c r="D1810" t="s">
        <v>663</v>
      </c>
      <c r="E1810" t="s">
        <v>735</v>
      </c>
      <c r="F1810" t="s">
        <v>1354</v>
      </c>
      <c r="G1810" t="s">
        <v>2962</v>
      </c>
      <c r="H1810" t="s">
        <v>5382</v>
      </c>
      <c r="I1810" t="s">
        <v>6791</v>
      </c>
      <c r="J1810" t="s">
        <v>7170</v>
      </c>
      <c r="K1810">
        <v>10459</v>
      </c>
      <c r="L1810" t="s">
        <v>7216</v>
      </c>
      <c r="N1810" t="s">
        <v>7237</v>
      </c>
      <c r="O1810" t="s">
        <v>8406</v>
      </c>
      <c r="P1810">
        <v>1</v>
      </c>
      <c r="Q1810">
        <v>0</v>
      </c>
      <c r="R1810">
        <v>69.19</v>
      </c>
      <c r="U1810">
        <v>8400</v>
      </c>
      <c r="W1810">
        <v>2.7</v>
      </c>
      <c r="X1810" t="s">
        <v>552</v>
      </c>
      <c r="Y1810" t="s">
        <v>10890</v>
      </c>
      <c r="AA1810" t="s">
        <v>10974</v>
      </c>
      <c r="AB1810" t="s">
        <v>11004</v>
      </c>
      <c r="AD1810" t="s">
        <v>11082</v>
      </c>
      <c r="AF1810" t="s">
        <v>11119</v>
      </c>
      <c r="AG1810" t="s">
        <v>11124</v>
      </c>
      <c r="AJ1810" t="s">
        <v>11143</v>
      </c>
      <c r="AK1810" t="s">
        <v>7225</v>
      </c>
      <c r="AM1810">
        <v>242</v>
      </c>
      <c r="AO1810">
        <v>48</v>
      </c>
      <c r="AQ1810" t="s">
        <v>11157</v>
      </c>
      <c r="AS1810" t="s">
        <v>11104</v>
      </c>
      <c r="AU1810">
        <v>6</v>
      </c>
      <c r="AW1810" t="s">
        <v>11189</v>
      </c>
      <c r="AZ1810" t="s">
        <v>11221</v>
      </c>
      <c r="BE1810" t="s">
        <v>12693</v>
      </c>
      <c r="BG1810" t="s">
        <v>14814</v>
      </c>
      <c r="BM1810" t="s">
        <v>15651</v>
      </c>
      <c r="BN1810" t="s">
        <v>15653</v>
      </c>
      <c r="BO1810" t="s">
        <v>15688</v>
      </c>
    </row>
    <row r="1811" spans="1:67">
      <c r="A1811" s="1">
        <f>HYPERLINK("https://lsnyc.legalserver.org/matter/dynamic-profile/view/1886111","18-1886111")</f>
        <v>0</v>
      </c>
      <c r="B1811" t="s">
        <v>134</v>
      </c>
      <c r="C1811" t="s">
        <v>246</v>
      </c>
      <c r="D1811" t="s">
        <v>405</v>
      </c>
      <c r="F1811" t="s">
        <v>1906</v>
      </c>
      <c r="G1811" t="s">
        <v>3701</v>
      </c>
      <c r="H1811" t="s">
        <v>5373</v>
      </c>
      <c r="I1811" t="s">
        <v>6451</v>
      </c>
      <c r="J1811" t="s">
        <v>7170</v>
      </c>
      <c r="K1811">
        <v>10456</v>
      </c>
      <c r="N1811" t="s">
        <v>7237</v>
      </c>
      <c r="O1811" t="s">
        <v>8405</v>
      </c>
      <c r="P1811">
        <v>3</v>
      </c>
      <c r="Q1811">
        <v>0</v>
      </c>
      <c r="R1811">
        <v>144.37</v>
      </c>
      <c r="U1811">
        <v>30000</v>
      </c>
      <c r="V1811" t="s">
        <v>10468</v>
      </c>
      <c r="W1811">
        <v>0</v>
      </c>
      <c r="Y1811" t="s">
        <v>216</v>
      </c>
      <c r="AA1811" t="s">
        <v>10974</v>
      </c>
      <c r="AB1811" t="s">
        <v>597</v>
      </c>
      <c r="AD1811" t="s">
        <v>11098</v>
      </c>
      <c r="AF1811" t="s">
        <v>11122</v>
      </c>
      <c r="AH1811" t="s">
        <v>10974</v>
      </c>
      <c r="AJ1811" t="s">
        <v>11141</v>
      </c>
      <c r="AK1811" t="s">
        <v>7225</v>
      </c>
      <c r="AM1811">
        <v>560</v>
      </c>
      <c r="AO1811">
        <v>131</v>
      </c>
      <c r="AQ1811" t="s">
        <v>11157</v>
      </c>
      <c r="AS1811" t="s">
        <v>11173</v>
      </c>
      <c r="AU1811">
        <v>25</v>
      </c>
      <c r="AW1811" t="s">
        <v>11187</v>
      </c>
      <c r="AZ1811" t="s">
        <v>11221</v>
      </c>
      <c r="BE1811" t="s">
        <v>12692</v>
      </c>
      <c r="BG1811" t="s">
        <v>14805</v>
      </c>
      <c r="BM1811" t="s">
        <v>15650</v>
      </c>
    </row>
    <row r="1812" spans="1:67">
      <c r="A1812" s="1">
        <f>HYPERLINK("https://lsnyc.legalserver.org/matter/dynamic-profile/view/1904698","19-1904698")</f>
        <v>0</v>
      </c>
      <c r="B1812" t="s">
        <v>134</v>
      </c>
      <c r="C1812" t="s">
        <v>246</v>
      </c>
      <c r="D1812" t="s">
        <v>373</v>
      </c>
      <c r="F1812" t="s">
        <v>1907</v>
      </c>
      <c r="G1812" t="s">
        <v>3702</v>
      </c>
      <c r="H1812" t="s">
        <v>5383</v>
      </c>
      <c r="I1812">
        <v>12</v>
      </c>
      <c r="J1812" t="s">
        <v>7170</v>
      </c>
      <c r="K1812">
        <v>10451</v>
      </c>
      <c r="N1812" t="s">
        <v>7237</v>
      </c>
      <c r="O1812" t="s">
        <v>8407</v>
      </c>
      <c r="P1812">
        <v>3</v>
      </c>
      <c r="Q1812">
        <v>0</v>
      </c>
      <c r="R1812">
        <v>234.41</v>
      </c>
      <c r="U1812">
        <v>50000</v>
      </c>
      <c r="W1812">
        <v>40.45</v>
      </c>
      <c r="X1812" t="s">
        <v>528</v>
      </c>
      <c r="Y1812" t="s">
        <v>200</v>
      </c>
      <c r="AA1812" t="s">
        <v>10974</v>
      </c>
      <c r="AD1812" t="s">
        <v>11085</v>
      </c>
      <c r="AF1812" t="s">
        <v>11121</v>
      </c>
      <c r="AH1812" t="s">
        <v>10974</v>
      </c>
      <c r="AJ1812" t="s">
        <v>11130</v>
      </c>
      <c r="AK1812" t="s">
        <v>7225</v>
      </c>
      <c r="AL1812" t="s">
        <v>11150</v>
      </c>
      <c r="AM1812">
        <v>0</v>
      </c>
      <c r="AO1812">
        <v>13</v>
      </c>
      <c r="AQ1812" t="s">
        <v>11157</v>
      </c>
      <c r="AS1812" t="s">
        <v>11173</v>
      </c>
      <c r="AU1812">
        <v>5</v>
      </c>
      <c r="AW1812" t="s">
        <v>11187</v>
      </c>
      <c r="AX1812" t="s">
        <v>11212</v>
      </c>
      <c r="BA1812" t="s">
        <v>11222</v>
      </c>
      <c r="BE1812" t="s">
        <v>12694</v>
      </c>
      <c r="BF1812" t="s">
        <v>14364</v>
      </c>
      <c r="BM1812" t="s">
        <v>15650</v>
      </c>
    </row>
    <row r="1813" spans="1:67">
      <c r="A1813" s="1">
        <f>HYPERLINK("https://lsnyc.legalserver.org/matter/dynamic-profile/view/1887994","19-1887994")</f>
        <v>0</v>
      </c>
      <c r="B1813" t="s">
        <v>134</v>
      </c>
      <c r="C1813" t="s">
        <v>246</v>
      </c>
      <c r="D1813" t="s">
        <v>329</v>
      </c>
      <c r="F1813" t="s">
        <v>1333</v>
      </c>
      <c r="G1813" t="s">
        <v>3021</v>
      </c>
      <c r="H1813" t="s">
        <v>5372</v>
      </c>
      <c r="I1813" t="s">
        <v>6433</v>
      </c>
      <c r="J1813" t="s">
        <v>7170</v>
      </c>
      <c r="K1813">
        <v>10456</v>
      </c>
      <c r="N1813" t="s">
        <v>7237</v>
      </c>
      <c r="P1813">
        <v>3</v>
      </c>
      <c r="Q1813">
        <v>0</v>
      </c>
      <c r="R1813">
        <v>172.09</v>
      </c>
      <c r="U1813">
        <v>36707.84</v>
      </c>
      <c r="W1813">
        <v>1</v>
      </c>
      <c r="X1813" t="s">
        <v>329</v>
      </c>
      <c r="Y1813" t="s">
        <v>210</v>
      </c>
      <c r="AA1813" t="s">
        <v>10974</v>
      </c>
      <c r="AD1813" t="s">
        <v>11085</v>
      </c>
      <c r="AF1813" t="s">
        <v>11121</v>
      </c>
      <c r="AH1813" t="s">
        <v>10974</v>
      </c>
      <c r="AJ1813" t="s">
        <v>11132</v>
      </c>
      <c r="AK1813" t="s">
        <v>7225</v>
      </c>
      <c r="AM1813">
        <v>375</v>
      </c>
      <c r="AO1813">
        <v>17</v>
      </c>
      <c r="AQ1813" t="s">
        <v>11160</v>
      </c>
      <c r="AS1813" t="s">
        <v>11173</v>
      </c>
      <c r="AU1813">
        <v>60</v>
      </c>
      <c r="AW1813" t="s">
        <v>11189</v>
      </c>
      <c r="AX1813" t="s">
        <v>11212</v>
      </c>
      <c r="AZ1813" t="s">
        <v>11221</v>
      </c>
      <c r="BE1813" t="s">
        <v>12695</v>
      </c>
      <c r="BF1813" t="s">
        <v>14364</v>
      </c>
      <c r="BM1813" t="s">
        <v>15650</v>
      </c>
    </row>
    <row r="1814" spans="1:67">
      <c r="A1814" s="1">
        <f>HYPERLINK("https://lsnyc.legalserver.org/matter/dynamic-profile/view/1876634","18-1876634")</f>
        <v>0</v>
      </c>
      <c r="B1814" t="s">
        <v>134</v>
      </c>
      <c r="C1814" t="s">
        <v>246</v>
      </c>
      <c r="D1814" t="s">
        <v>662</v>
      </c>
      <c r="F1814" t="s">
        <v>1908</v>
      </c>
      <c r="G1814" t="s">
        <v>3231</v>
      </c>
      <c r="H1814" t="s">
        <v>5373</v>
      </c>
      <c r="I1814" t="s">
        <v>6565</v>
      </c>
      <c r="J1814" t="s">
        <v>7170</v>
      </c>
      <c r="K1814">
        <v>10456</v>
      </c>
      <c r="N1814" t="s">
        <v>7237</v>
      </c>
      <c r="O1814" t="s">
        <v>8408</v>
      </c>
      <c r="P1814">
        <v>2</v>
      </c>
      <c r="Q1814">
        <v>0</v>
      </c>
      <c r="R1814">
        <v>243.01</v>
      </c>
      <c r="U1814">
        <v>40000</v>
      </c>
      <c r="W1814">
        <v>0</v>
      </c>
      <c r="Y1814" t="s">
        <v>216</v>
      </c>
      <c r="AA1814" t="s">
        <v>10974</v>
      </c>
      <c r="AB1814" t="s">
        <v>662</v>
      </c>
      <c r="AD1814" t="s">
        <v>11101</v>
      </c>
      <c r="AF1814" t="s">
        <v>11118</v>
      </c>
      <c r="AH1814" t="s">
        <v>10974</v>
      </c>
      <c r="AJ1814" t="s">
        <v>11141</v>
      </c>
      <c r="AK1814" t="s">
        <v>7225</v>
      </c>
      <c r="AM1814">
        <v>980</v>
      </c>
      <c r="AO1814">
        <v>131</v>
      </c>
      <c r="AQ1814" t="s">
        <v>11157</v>
      </c>
      <c r="AS1814" t="s">
        <v>11173</v>
      </c>
      <c r="AU1814">
        <v>4</v>
      </c>
      <c r="AW1814" t="s">
        <v>11187</v>
      </c>
      <c r="AZ1814" t="s">
        <v>11221</v>
      </c>
      <c r="BE1814" t="s">
        <v>12696</v>
      </c>
      <c r="BG1814" t="s">
        <v>14808</v>
      </c>
      <c r="BM1814" t="s">
        <v>15650</v>
      </c>
    </row>
    <row r="1815" spans="1:67">
      <c r="A1815" s="1">
        <f>HYPERLINK("https://lsnyc.legalserver.org/matter/dynamic-profile/view/1870514","18-1870514")</f>
        <v>0</v>
      </c>
      <c r="B1815" t="s">
        <v>134</v>
      </c>
      <c r="C1815" t="s">
        <v>246</v>
      </c>
      <c r="D1815" t="s">
        <v>641</v>
      </c>
      <c r="F1815" t="s">
        <v>1906</v>
      </c>
      <c r="G1815" t="s">
        <v>3701</v>
      </c>
      <c r="H1815" t="s">
        <v>5373</v>
      </c>
      <c r="I1815" t="s">
        <v>6451</v>
      </c>
      <c r="J1815" t="s">
        <v>7170</v>
      </c>
      <c r="K1815">
        <v>10456</v>
      </c>
      <c r="N1815" t="s">
        <v>7237</v>
      </c>
      <c r="O1815" t="s">
        <v>8405</v>
      </c>
      <c r="P1815">
        <v>3</v>
      </c>
      <c r="Q1815">
        <v>0</v>
      </c>
      <c r="R1815">
        <v>144.37</v>
      </c>
      <c r="U1815">
        <v>30000</v>
      </c>
      <c r="W1815">
        <v>0</v>
      </c>
      <c r="Y1815" t="s">
        <v>216</v>
      </c>
      <c r="AA1815" t="s">
        <v>10974</v>
      </c>
      <c r="AB1815" t="s">
        <v>939</v>
      </c>
      <c r="AD1815" t="s">
        <v>11098</v>
      </c>
      <c r="AF1815" t="s">
        <v>11122</v>
      </c>
      <c r="AH1815" t="s">
        <v>10974</v>
      </c>
      <c r="AJ1815" t="s">
        <v>11141</v>
      </c>
      <c r="AK1815" t="s">
        <v>7225</v>
      </c>
      <c r="AM1815">
        <v>560</v>
      </c>
      <c r="AO1815">
        <v>131</v>
      </c>
      <c r="AQ1815" t="s">
        <v>11157</v>
      </c>
      <c r="AS1815" t="s">
        <v>11173</v>
      </c>
      <c r="AU1815">
        <v>25</v>
      </c>
      <c r="AW1815" t="s">
        <v>11187</v>
      </c>
      <c r="AZ1815" t="s">
        <v>11221</v>
      </c>
      <c r="BE1815" t="s">
        <v>12692</v>
      </c>
      <c r="BG1815" t="s">
        <v>14803</v>
      </c>
      <c r="BM1815" t="s">
        <v>15650</v>
      </c>
    </row>
    <row r="1816" spans="1:67">
      <c r="A1816" s="1">
        <f>HYPERLINK("https://lsnyc.legalserver.org/matter/dynamic-profile/view/1915368","19-1915368")</f>
        <v>0</v>
      </c>
      <c r="B1816" t="s">
        <v>134</v>
      </c>
      <c r="C1816" t="s">
        <v>246</v>
      </c>
      <c r="D1816" t="s">
        <v>436</v>
      </c>
      <c r="F1816" t="s">
        <v>1906</v>
      </c>
      <c r="G1816" t="s">
        <v>3701</v>
      </c>
      <c r="H1816" t="s">
        <v>5373</v>
      </c>
      <c r="I1816" t="s">
        <v>6451</v>
      </c>
      <c r="J1816" t="s">
        <v>7170</v>
      </c>
      <c r="K1816">
        <v>10456</v>
      </c>
      <c r="N1816" t="s">
        <v>7237</v>
      </c>
      <c r="O1816" t="s">
        <v>8405</v>
      </c>
      <c r="P1816">
        <v>3</v>
      </c>
      <c r="Q1816">
        <v>0</v>
      </c>
      <c r="R1816">
        <v>140.65</v>
      </c>
      <c r="U1816">
        <v>30000</v>
      </c>
      <c r="W1816">
        <v>0.25</v>
      </c>
      <c r="X1816" t="s">
        <v>436</v>
      </c>
      <c r="Y1816" t="s">
        <v>216</v>
      </c>
      <c r="AA1816" t="s">
        <v>10974</v>
      </c>
      <c r="AD1816" t="s">
        <v>11098</v>
      </c>
      <c r="AF1816" t="s">
        <v>11120</v>
      </c>
      <c r="AH1816" t="s">
        <v>10974</v>
      </c>
      <c r="AJ1816" t="s">
        <v>11141</v>
      </c>
      <c r="AK1816" t="s">
        <v>7225</v>
      </c>
      <c r="AM1816">
        <v>560</v>
      </c>
      <c r="AO1816">
        <v>131</v>
      </c>
      <c r="AQ1816" t="s">
        <v>11157</v>
      </c>
      <c r="AS1816" t="s">
        <v>11173</v>
      </c>
      <c r="AU1816">
        <v>25</v>
      </c>
      <c r="AW1816" t="s">
        <v>11187</v>
      </c>
      <c r="AX1816" t="s">
        <v>11212</v>
      </c>
      <c r="BA1816" t="s">
        <v>11222</v>
      </c>
      <c r="BE1816" t="s">
        <v>12692</v>
      </c>
      <c r="BF1816" t="s">
        <v>14364</v>
      </c>
      <c r="BM1816" t="s">
        <v>15650</v>
      </c>
    </row>
    <row r="1817" spans="1:67">
      <c r="A1817" s="1">
        <f>HYPERLINK("https://lsnyc.legalserver.org/matter/dynamic-profile/view/1904710","19-1904710")</f>
        <v>0</v>
      </c>
      <c r="B1817" t="s">
        <v>134</v>
      </c>
      <c r="C1817" t="s">
        <v>246</v>
      </c>
      <c r="D1817" t="s">
        <v>373</v>
      </c>
      <c r="F1817" t="s">
        <v>1473</v>
      </c>
      <c r="G1817" t="s">
        <v>2902</v>
      </c>
      <c r="H1817" t="s">
        <v>5372</v>
      </c>
      <c r="I1817" t="s">
        <v>6413</v>
      </c>
      <c r="J1817" t="s">
        <v>7170</v>
      </c>
      <c r="K1817">
        <v>10456</v>
      </c>
      <c r="N1817" t="s">
        <v>7237</v>
      </c>
      <c r="O1817" t="s">
        <v>8409</v>
      </c>
      <c r="P1817">
        <v>3</v>
      </c>
      <c r="Q1817">
        <v>0</v>
      </c>
      <c r="R1817">
        <v>73.14</v>
      </c>
      <c r="U1817">
        <v>15600</v>
      </c>
      <c r="W1817">
        <v>0.5</v>
      </c>
      <c r="X1817" t="s">
        <v>373</v>
      </c>
      <c r="Y1817" t="s">
        <v>210</v>
      </c>
      <c r="AA1817" t="s">
        <v>10974</v>
      </c>
      <c r="AB1817" t="s">
        <v>10987</v>
      </c>
      <c r="AD1817" t="s">
        <v>11098</v>
      </c>
      <c r="AF1817" t="s">
        <v>11122</v>
      </c>
      <c r="AH1817" t="s">
        <v>10974</v>
      </c>
      <c r="AJ1817" t="s">
        <v>11132</v>
      </c>
      <c r="AK1817" t="s">
        <v>7225</v>
      </c>
      <c r="AM1817">
        <v>1457.57</v>
      </c>
      <c r="AO1817">
        <v>17</v>
      </c>
      <c r="AQ1817" t="s">
        <v>11164</v>
      </c>
      <c r="AS1817" t="s">
        <v>11173</v>
      </c>
      <c r="AU1817">
        <v>16</v>
      </c>
      <c r="AW1817" t="s">
        <v>11189</v>
      </c>
      <c r="BA1817" t="s">
        <v>11222</v>
      </c>
      <c r="BE1817" t="s">
        <v>12697</v>
      </c>
      <c r="BF1817" t="s">
        <v>14364</v>
      </c>
      <c r="BM1817" t="s">
        <v>15650</v>
      </c>
    </row>
    <row r="1818" spans="1:67">
      <c r="A1818" s="1">
        <f>HYPERLINK("https://lsnyc.legalserver.org/matter/dynamic-profile/view/1907805","19-1907805")</f>
        <v>0</v>
      </c>
      <c r="B1818" t="s">
        <v>134</v>
      </c>
      <c r="C1818" t="s">
        <v>246</v>
      </c>
      <c r="D1818" t="s">
        <v>570</v>
      </c>
      <c r="F1818" t="s">
        <v>1909</v>
      </c>
      <c r="G1818" t="s">
        <v>3703</v>
      </c>
      <c r="H1818" t="s">
        <v>5384</v>
      </c>
      <c r="I1818" t="s">
        <v>6792</v>
      </c>
      <c r="J1818" t="s">
        <v>7170</v>
      </c>
      <c r="K1818">
        <v>10457</v>
      </c>
      <c r="N1818" t="s">
        <v>7237</v>
      </c>
      <c r="O1818" t="s">
        <v>8410</v>
      </c>
      <c r="P1818">
        <v>2</v>
      </c>
      <c r="Q1818">
        <v>1</v>
      </c>
      <c r="R1818">
        <v>37.82</v>
      </c>
      <c r="U1818">
        <v>8066.4</v>
      </c>
      <c r="W1818">
        <v>0</v>
      </c>
      <c r="Y1818" t="s">
        <v>10897</v>
      </c>
      <c r="AA1818" t="s">
        <v>10974</v>
      </c>
      <c r="AC1818" t="s">
        <v>11081</v>
      </c>
      <c r="AE1818" t="s">
        <v>11117</v>
      </c>
      <c r="AH1818" t="s">
        <v>10974</v>
      </c>
      <c r="AJ1818" t="s">
        <v>11141</v>
      </c>
      <c r="AK1818" t="s">
        <v>7225</v>
      </c>
      <c r="AL1818" t="s">
        <v>11150</v>
      </c>
      <c r="AM1818">
        <v>0</v>
      </c>
      <c r="AN1818" t="s">
        <v>11151</v>
      </c>
      <c r="AO1818" t="s">
        <v>11153</v>
      </c>
      <c r="AQ1818" t="s">
        <v>11164</v>
      </c>
      <c r="AS1818" t="s">
        <v>11173</v>
      </c>
      <c r="AU1818">
        <v>5</v>
      </c>
      <c r="AW1818" t="s">
        <v>11187</v>
      </c>
      <c r="AX1818" t="s">
        <v>11212</v>
      </c>
      <c r="BA1818" t="s">
        <v>11222</v>
      </c>
      <c r="BE1818" t="s">
        <v>12698</v>
      </c>
      <c r="BF1818" t="s">
        <v>14364</v>
      </c>
      <c r="BM1818" t="s">
        <v>15650</v>
      </c>
    </row>
    <row r="1819" spans="1:67">
      <c r="A1819" s="1">
        <f>HYPERLINK("https://lsnyc.legalserver.org/matter/dynamic-profile/view/1876839","18-1876839")</f>
        <v>0</v>
      </c>
      <c r="B1819" t="s">
        <v>134</v>
      </c>
      <c r="C1819" t="s">
        <v>246</v>
      </c>
      <c r="D1819" t="s">
        <v>628</v>
      </c>
      <c r="F1819" t="s">
        <v>1317</v>
      </c>
      <c r="G1819" t="s">
        <v>2988</v>
      </c>
      <c r="H1819" t="s">
        <v>5373</v>
      </c>
      <c r="I1819" t="s">
        <v>6501</v>
      </c>
      <c r="J1819" t="s">
        <v>7170</v>
      </c>
      <c r="K1819">
        <v>10456</v>
      </c>
      <c r="N1819" t="s">
        <v>7237</v>
      </c>
      <c r="O1819" t="s">
        <v>8411</v>
      </c>
      <c r="P1819">
        <v>1</v>
      </c>
      <c r="Q1819">
        <v>2</v>
      </c>
      <c r="R1819">
        <v>125.12</v>
      </c>
      <c r="U1819">
        <v>26000</v>
      </c>
      <c r="W1819">
        <v>0</v>
      </c>
      <c r="Y1819" t="s">
        <v>216</v>
      </c>
      <c r="AA1819" t="s">
        <v>10974</v>
      </c>
      <c r="AB1819" t="s">
        <v>730</v>
      </c>
      <c r="AD1819" t="s">
        <v>11098</v>
      </c>
      <c r="AF1819" t="s">
        <v>11122</v>
      </c>
      <c r="AH1819" t="s">
        <v>10974</v>
      </c>
      <c r="AJ1819" t="s">
        <v>11141</v>
      </c>
      <c r="AK1819" t="s">
        <v>7225</v>
      </c>
      <c r="AM1819">
        <v>1330.07</v>
      </c>
      <c r="AO1819">
        <v>131</v>
      </c>
      <c r="AQ1819" t="s">
        <v>11157</v>
      </c>
      <c r="AS1819" t="s">
        <v>11173</v>
      </c>
      <c r="AU1819">
        <v>3</v>
      </c>
      <c r="AW1819" t="s">
        <v>11189</v>
      </c>
      <c r="AZ1819" t="s">
        <v>11221</v>
      </c>
      <c r="BE1819" t="s">
        <v>12699</v>
      </c>
      <c r="BG1819" t="s">
        <v>14803</v>
      </c>
      <c r="BM1819" t="s">
        <v>15650</v>
      </c>
    </row>
    <row r="1820" spans="1:67">
      <c r="A1820" s="1">
        <f>HYPERLINK("https://lsnyc.legalserver.org/matter/dynamic-profile/view/0788993","15-0788993")</f>
        <v>0</v>
      </c>
      <c r="B1820" t="s">
        <v>134</v>
      </c>
      <c r="C1820" t="s">
        <v>246</v>
      </c>
      <c r="D1820" t="s">
        <v>697</v>
      </c>
      <c r="F1820" t="s">
        <v>1175</v>
      </c>
      <c r="G1820" t="s">
        <v>3047</v>
      </c>
      <c r="H1820" t="s">
        <v>4844</v>
      </c>
      <c r="I1820" t="s">
        <v>6793</v>
      </c>
      <c r="J1820" t="s">
        <v>7170</v>
      </c>
      <c r="K1820">
        <v>10452</v>
      </c>
      <c r="N1820" t="s">
        <v>7237</v>
      </c>
      <c r="O1820" t="s">
        <v>8412</v>
      </c>
      <c r="P1820">
        <v>2</v>
      </c>
      <c r="Q1820">
        <v>0</v>
      </c>
      <c r="R1820">
        <v>25.08</v>
      </c>
      <c r="U1820">
        <v>3996</v>
      </c>
      <c r="W1820">
        <v>0.35</v>
      </c>
      <c r="X1820" t="s">
        <v>277</v>
      </c>
      <c r="Y1820" t="s">
        <v>138</v>
      </c>
      <c r="AA1820" t="s">
        <v>10974</v>
      </c>
      <c r="AB1820" t="s">
        <v>697</v>
      </c>
      <c r="AD1820" t="s">
        <v>11107</v>
      </c>
      <c r="AF1820" t="s">
        <v>11118</v>
      </c>
      <c r="AH1820" t="s">
        <v>10974</v>
      </c>
      <c r="AJ1820" t="s">
        <v>11132</v>
      </c>
      <c r="AK1820" t="s">
        <v>7225</v>
      </c>
      <c r="AM1820">
        <v>1053.9</v>
      </c>
      <c r="AN1820" t="s">
        <v>11151</v>
      </c>
      <c r="AO1820" t="s">
        <v>11153</v>
      </c>
      <c r="AP1820" t="s">
        <v>11155</v>
      </c>
      <c r="AS1820" t="s">
        <v>11173</v>
      </c>
      <c r="AU1820">
        <v>24</v>
      </c>
      <c r="AW1820" t="s">
        <v>11187</v>
      </c>
      <c r="AZ1820" t="s">
        <v>11221</v>
      </c>
      <c r="BE1820" t="s">
        <v>12700</v>
      </c>
      <c r="BF1820" t="s">
        <v>14364</v>
      </c>
      <c r="BG1820" t="s">
        <v>14716</v>
      </c>
      <c r="BM1820" t="s">
        <v>15650</v>
      </c>
    </row>
    <row r="1821" spans="1:67">
      <c r="A1821" s="1">
        <f>HYPERLINK("https://lsnyc.legalserver.org/matter/dynamic-profile/view/1857551","18-1857551")</f>
        <v>0</v>
      </c>
      <c r="B1821" t="s">
        <v>134</v>
      </c>
      <c r="C1821" t="s">
        <v>246</v>
      </c>
      <c r="D1821" t="s">
        <v>691</v>
      </c>
      <c r="F1821" t="s">
        <v>1648</v>
      </c>
      <c r="G1821" t="s">
        <v>3563</v>
      </c>
      <c r="H1821" t="s">
        <v>4844</v>
      </c>
      <c r="I1821" t="s">
        <v>6738</v>
      </c>
      <c r="J1821" t="s">
        <v>7170</v>
      </c>
      <c r="K1821">
        <v>10452</v>
      </c>
      <c r="N1821" t="s">
        <v>7237</v>
      </c>
      <c r="O1821" t="s">
        <v>8199</v>
      </c>
      <c r="P1821">
        <v>3</v>
      </c>
      <c r="Q1821">
        <v>0</v>
      </c>
      <c r="R1821">
        <v>240.62</v>
      </c>
      <c r="U1821">
        <v>50000</v>
      </c>
      <c r="V1821" t="s">
        <v>10403</v>
      </c>
      <c r="W1821">
        <v>0.1</v>
      </c>
      <c r="X1821" t="s">
        <v>920</v>
      </c>
      <c r="Y1821" t="s">
        <v>10897</v>
      </c>
      <c r="AA1821" t="s">
        <v>10974</v>
      </c>
      <c r="AB1821" t="s">
        <v>939</v>
      </c>
      <c r="AD1821" t="s">
        <v>11096</v>
      </c>
      <c r="AF1821" t="s">
        <v>11122</v>
      </c>
      <c r="AH1821" t="s">
        <v>10974</v>
      </c>
      <c r="AJ1821" t="s">
        <v>11141</v>
      </c>
      <c r="AK1821" t="s">
        <v>7225</v>
      </c>
      <c r="AM1821">
        <v>818.46</v>
      </c>
      <c r="AO1821">
        <v>122</v>
      </c>
      <c r="AQ1821" t="s">
        <v>11157</v>
      </c>
      <c r="AS1821" t="s">
        <v>11173</v>
      </c>
      <c r="AU1821">
        <v>25</v>
      </c>
      <c r="AW1821" t="s">
        <v>11187</v>
      </c>
      <c r="AZ1821" t="s">
        <v>11221</v>
      </c>
      <c r="BE1821" t="s">
        <v>12499</v>
      </c>
      <c r="BG1821" t="s">
        <v>14717</v>
      </c>
      <c r="BM1821" t="s">
        <v>15650</v>
      </c>
    </row>
    <row r="1822" spans="1:67">
      <c r="A1822" s="1">
        <f>HYPERLINK("https://lsnyc.legalserver.org/matter/dynamic-profile/view/1907723","19-1907723")</f>
        <v>0</v>
      </c>
      <c r="B1822" t="s">
        <v>134</v>
      </c>
      <c r="C1822" t="s">
        <v>246</v>
      </c>
      <c r="D1822" t="s">
        <v>544</v>
      </c>
      <c r="F1822" t="s">
        <v>1910</v>
      </c>
      <c r="G1822" t="s">
        <v>3704</v>
      </c>
      <c r="H1822" t="s">
        <v>5385</v>
      </c>
      <c r="I1822">
        <v>52</v>
      </c>
      <c r="J1822" t="s">
        <v>7170</v>
      </c>
      <c r="K1822">
        <v>10452</v>
      </c>
      <c r="N1822" t="s">
        <v>7237</v>
      </c>
      <c r="O1822" t="s">
        <v>8413</v>
      </c>
      <c r="P1822">
        <v>1</v>
      </c>
      <c r="Q1822">
        <v>0</v>
      </c>
      <c r="R1822">
        <v>560.45</v>
      </c>
      <c r="U1822">
        <v>70000</v>
      </c>
      <c r="W1822">
        <v>0</v>
      </c>
      <c r="Y1822" t="s">
        <v>10897</v>
      </c>
      <c r="AA1822" t="s">
        <v>10974</v>
      </c>
      <c r="AC1822" t="s">
        <v>11081</v>
      </c>
      <c r="AE1822" t="s">
        <v>11117</v>
      </c>
      <c r="AH1822" t="s">
        <v>10974</v>
      </c>
      <c r="AJ1822" t="s">
        <v>11141</v>
      </c>
      <c r="AK1822" t="s">
        <v>7225</v>
      </c>
      <c r="AM1822">
        <v>1380.54</v>
      </c>
      <c r="AO1822">
        <v>31</v>
      </c>
      <c r="AQ1822" t="s">
        <v>11157</v>
      </c>
      <c r="AS1822" t="s">
        <v>11173</v>
      </c>
      <c r="AU1822">
        <v>3</v>
      </c>
      <c r="AW1822" t="s">
        <v>11187</v>
      </c>
      <c r="AX1822" t="s">
        <v>11212</v>
      </c>
      <c r="BA1822" t="s">
        <v>11222</v>
      </c>
      <c r="BE1822" t="s">
        <v>12701</v>
      </c>
      <c r="BF1822" t="s">
        <v>14364</v>
      </c>
      <c r="BM1822" t="s">
        <v>15650</v>
      </c>
    </row>
    <row r="1823" spans="1:67">
      <c r="A1823" s="1">
        <f>HYPERLINK("https://lsnyc.legalserver.org/matter/dynamic-profile/view/1853934","17-1853934")</f>
        <v>0</v>
      </c>
      <c r="B1823" t="s">
        <v>134</v>
      </c>
      <c r="C1823" t="s">
        <v>246</v>
      </c>
      <c r="D1823" t="s">
        <v>788</v>
      </c>
      <c r="E1823" t="s">
        <v>312</v>
      </c>
      <c r="F1823" t="s">
        <v>1459</v>
      </c>
      <c r="G1823" t="s">
        <v>3094</v>
      </c>
      <c r="H1823" t="s">
        <v>5386</v>
      </c>
      <c r="I1823" t="s">
        <v>6491</v>
      </c>
      <c r="J1823" t="s">
        <v>7170</v>
      </c>
      <c r="K1823">
        <v>10453</v>
      </c>
      <c r="L1823" t="s">
        <v>7219</v>
      </c>
      <c r="N1823" t="s">
        <v>7237</v>
      </c>
      <c r="O1823" t="s">
        <v>8414</v>
      </c>
      <c r="P1823">
        <v>5</v>
      </c>
      <c r="Q1823">
        <v>1</v>
      </c>
      <c r="R1823">
        <v>72.81999999999999</v>
      </c>
      <c r="U1823">
        <v>24000</v>
      </c>
      <c r="W1823">
        <v>44.3</v>
      </c>
      <c r="X1823" t="s">
        <v>344</v>
      </c>
      <c r="Y1823" t="s">
        <v>10899</v>
      </c>
      <c r="AA1823" t="s">
        <v>10974</v>
      </c>
      <c r="AB1823" t="s">
        <v>1019</v>
      </c>
      <c r="AD1823" t="s">
        <v>11082</v>
      </c>
      <c r="AF1823" t="s">
        <v>11118</v>
      </c>
      <c r="AH1823" t="s">
        <v>10975</v>
      </c>
      <c r="AJ1823" t="s">
        <v>11129</v>
      </c>
      <c r="AK1823" t="s">
        <v>7225</v>
      </c>
      <c r="AM1823">
        <v>930.91</v>
      </c>
      <c r="AO1823">
        <v>30</v>
      </c>
      <c r="AQ1823" t="s">
        <v>11157</v>
      </c>
      <c r="AS1823" t="s">
        <v>11174</v>
      </c>
      <c r="AU1823">
        <v>18</v>
      </c>
      <c r="AW1823" t="s">
        <v>11187</v>
      </c>
      <c r="AZ1823" t="s">
        <v>11221</v>
      </c>
      <c r="BE1823" t="s">
        <v>12702</v>
      </c>
      <c r="BG1823" t="s">
        <v>14815</v>
      </c>
      <c r="BH1823" t="s">
        <v>15605</v>
      </c>
      <c r="BJ1823" t="s">
        <v>15615</v>
      </c>
      <c r="BL1823" t="s">
        <v>15648</v>
      </c>
      <c r="BM1823" t="s">
        <v>15651</v>
      </c>
    </row>
    <row r="1824" spans="1:67">
      <c r="A1824" s="1">
        <f>HYPERLINK("https://lsnyc.legalserver.org/matter/dynamic-profile/view/1891035","19-1891035")</f>
        <v>0</v>
      </c>
      <c r="B1824" t="s">
        <v>134</v>
      </c>
      <c r="C1824" t="s">
        <v>246</v>
      </c>
      <c r="D1824" t="s">
        <v>479</v>
      </c>
      <c r="F1824" t="s">
        <v>1911</v>
      </c>
      <c r="G1824" t="s">
        <v>3705</v>
      </c>
      <c r="H1824" t="s">
        <v>5373</v>
      </c>
      <c r="I1824" t="s">
        <v>6684</v>
      </c>
      <c r="J1824" t="s">
        <v>7170</v>
      </c>
      <c r="K1824">
        <v>10456</v>
      </c>
      <c r="N1824" t="s">
        <v>7237</v>
      </c>
      <c r="O1824" t="s">
        <v>8415</v>
      </c>
      <c r="P1824">
        <v>4</v>
      </c>
      <c r="Q1824">
        <v>0</v>
      </c>
      <c r="R1824">
        <v>37.98</v>
      </c>
      <c r="U1824">
        <v>9780</v>
      </c>
      <c r="W1824">
        <v>1.5</v>
      </c>
      <c r="X1824" t="s">
        <v>505</v>
      </c>
      <c r="Y1824" t="s">
        <v>216</v>
      </c>
      <c r="AA1824" t="s">
        <v>10974</v>
      </c>
      <c r="AB1824" t="s">
        <v>370</v>
      </c>
      <c r="AD1824" t="s">
        <v>11098</v>
      </c>
      <c r="AF1824" t="s">
        <v>11119</v>
      </c>
      <c r="AH1824" t="s">
        <v>10974</v>
      </c>
      <c r="AJ1824" t="s">
        <v>11141</v>
      </c>
      <c r="AK1824" t="s">
        <v>7225</v>
      </c>
      <c r="AL1824" t="s">
        <v>11150</v>
      </c>
      <c r="AM1824">
        <v>0</v>
      </c>
      <c r="AO1824">
        <v>131</v>
      </c>
      <c r="AQ1824" t="s">
        <v>11157</v>
      </c>
      <c r="AS1824" t="s">
        <v>11173</v>
      </c>
      <c r="AT1824" t="s">
        <v>11184</v>
      </c>
      <c r="AU1824">
        <v>0</v>
      </c>
      <c r="AW1824" t="s">
        <v>11187</v>
      </c>
      <c r="AZ1824" t="s">
        <v>11221</v>
      </c>
      <c r="BD1824" t="s">
        <v>11667</v>
      </c>
      <c r="BF1824" t="s">
        <v>14364</v>
      </c>
      <c r="BM1824" t="s">
        <v>15650</v>
      </c>
    </row>
    <row r="1825" spans="1:65">
      <c r="A1825" s="1">
        <f>HYPERLINK("https://lsnyc.legalserver.org/matter/dynamic-profile/view/1857511","18-1857511")</f>
        <v>0</v>
      </c>
      <c r="B1825" t="s">
        <v>134</v>
      </c>
      <c r="C1825" t="s">
        <v>246</v>
      </c>
      <c r="D1825" t="s">
        <v>691</v>
      </c>
      <c r="F1825" t="s">
        <v>1912</v>
      </c>
      <c r="G1825" t="s">
        <v>3706</v>
      </c>
      <c r="H1825" t="s">
        <v>4844</v>
      </c>
      <c r="I1825" t="s">
        <v>6794</v>
      </c>
      <c r="J1825" t="s">
        <v>7170</v>
      </c>
      <c r="K1825">
        <v>10452</v>
      </c>
      <c r="N1825" t="s">
        <v>7237</v>
      </c>
      <c r="O1825" t="s">
        <v>8416</v>
      </c>
      <c r="P1825">
        <v>2</v>
      </c>
      <c r="Q1825">
        <v>5</v>
      </c>
      <c r="R1825">
        <v>204.94</v>
      </c>
      <c r="U1825">
        <v>78000</v>
      </c>
      <c r="V1825" t="s">
        <v>10403</v>
      </c>
      <c r="W1825">
        <v>0.25</v>
      </c>
      <c r="X1825" t="s">
        <v>824</v>
      </c>
      <c r="Y1825" t="s">
        <v>10897</v>
      </c>
      <c r="AA1825" t="s">
        <v>10974</v>
      </c>
      <c r="AB1825" t="s">
        <v>730</v>
      </c>
      <c r="AD1825" t="s">
        <v>11096</v>
      </c>
      <c r="AF1825" t="s">
        <v>11122</v>
      </c>
      <c r="AH1825" t="s">
        <v>10974</v>
      </c>
      <c r="AJ1825" t="s">
        <v>11141</v>
      </c>
      <c r="AK1825" t="s">
        <v>7225</v>
      </c>
      <c r="AM1825">
        <v>766.61</v>
      </c>
      <c r="AO1825">
        <v>122</v>
      </c>
      <c r="AQ1825" t="s">
        <v>11157</v>
      </c>
      <c r="AS1825" t="s">
        <v>11173</v>
      </c>
      <c r="AU1825">
        <v>24</v>
      </c>
      <c r="AW1825" t="s">
        <v>11187</v>
      </c>
      <c r="AZ1825" t="s">
        <v>11221</v>
      </c>
      <c r="BE1825" t="s">
        <v>12703</v>
      </c>
      <c r="BG1825" t="s">
        <v>14717</v>
      </c>
      <c r="BM1825" t="s">
        <v>15650</v>
      </c>
    </row>
    <row r="1826" spans="1:65">
      <c r="A1826" s="1">
        <f>HYPERLINK("https://lsnyc.legalserver.org/matter/dynamic-profile/view/0789341","15-0789341")</f>
        <v>0</v>
      </c>
      <c r="B1826" t="s">
        <v>134</v>
      </c>
      <c r="C1826" t="s">
        <v>246</v>
      </c>
      <c r="D1826" t="s">
        <v>697</v>
      </c>
      <c r="F1826" t="s">
        <v>1913</v>
      </c>
      <c r="G1826" t="s">
        <v>3707</v>
      </c>
      <c r="H1826" t="s">
        <v>4844</v>
      </c>
      <c r="I1826" t="s">
        <v>6795</v>
      </c>
      <c r="J1826" t="s">
        <v>7170</v>
      </c>
      <c r="K1826">
        <v>10452</v>
      </c>
      <c r="N1826" t="s">
        <v>7237</v>
      </c>
      <c r="O1826" t="s">
        <v>7852</v>
      </c>
      <c r="P1826">
        <v>2</v>
      </c>
      <c r="Q1826">
        <v>2</v>
      </c>
      <c r="R1826">
        <v>173.69</v>
      </c>
      <c r="U1826">
        <v>42120</v>
      </c>
      <c r="W1826">
        <v>0.1</v>
      </c>
      <c r="X1826" t="s">
        <v>719</v>
      </c>
      <c r="Y1826" t="s">
        <v>138</v>
      </c>
      <c r="Z1826" t="s">
        <v>10973</v>
      </c>
      <c r="AA1826" t="s">
        <v>10975</v>
      </c>
      <c r="AB1826" t="s">
        <v>697</v>
      </c>
      <c r="AD1826" t="s">
        <v>11096</v>
      </c>
      <c r="AF1826" t="s">
        <v>11122</v>
      </c>
      <c r="AH1826" t="s">
        <v>10974</v>
      </c>
      <c r="AJ1826" t="s">
        <v>11132</v>
      </c>
      <c r="AK1826" t="s">
        <v>7225</v>
      </c>
      <c r="AM1826">
        <v>858.6900000000001</v>
      </c>
      <c r="AN1826" t="s">
        <v>11151</v>
      </c>
      <c r="AO1826" t="s">
        <v>11153</v>
      </c>
      <c r="AP1826" t="s">
        <v>11155</v>
      </c>
      <c r="AR1826" t="s">
        <v>11172</v>
      </c>
      <c r="AU1826">
        <v>3</v>
      </c>
      <c r="AW1826" t="s">
        <v>11187</v>
      </c>
      <c r="AZ1826" t="s">
        <v>11221</v>
      </c>
      <c r="BE1826" t="s">
        <v>12704</v>
      </c>
      <c r="BG1826" t="s">
        <v>14719</v>
      </c>
      <c r="BM1826" t="s">
        <v>15650</v>
      </c>
    </row>
    <row r="1827" spans="1:65">
      <c r="A1827" s="1">
        <f>HYPERLINK("https://lsnyc.legalserver.org/matter/dynamic-profile/view/1879421","18-1879421")</f>
        <v>0</v>
      </c>
      <c r="B1827" t="s">
        <v>134</v>
      </c>
      <c r="C1827" t="s">
        <v>246</v>
      </c>
      <c r="D1827" t="s">
        <v>789</v>
      </c>
      <c r="E1827" t="s">
        <v>735</v>
      </c>
      <c r="F1827" t="s">
        <v>1914</v>
      </c>
      <c r="G1827" t="s">
        <v>3708</v>
      </c>
      <c r="H1827" t="s">
        <v>5387</v>
      </c>
      <c r="I1827" t="s">
        <v>6618</v>
      </c>
      <c r="J1827" t="s">
        <v>7170</v>
      </c>
      <c r="K1827">
        <v>10459</v>
      </c>
      <c r="L1827" t="s">
        <v>7217</v>
      </c>
      <c r="N1827" t="s">
        <v>7237</v>
      </c>
      <c r="O1827" t="s">
        <v>8417</v>
      </c>
      <c r="P1827">
        <v>1</v>
      </c>
      <c r="Q1827">
        <v>0</v>
      </c>
      <c r="R1827">
        <v>138.09</v>
      </c>
      <c r="U1827">
        <v>16764</v>
      </c>
      <c r="W1827">
        <v>2.6</v>
      </c>
      <c r="X1827" t="s">
        <v>735</v>
      </c>
      <c r="Y1827" t="s">
        <v>10888</v>
      </c>
      <c r="AA1827" t="s">
        <v>10974</v>
      </c>
      <c r="AB1827" t="s">
        <v>789</v>
      </c>
      <c r="AD1827" t="s">
        <v>11090</v>
      </c>
      <c r="AF1827" t="s">
        <v>10384</v>
      </c>
      <c r="AH1827" t="s">
        <v>10975</v>
      </c>
      <c r="AJ1827" t="s">
        <v>11141</v>
      </c>
      <c r="AK1827" t="s">
        <v>7225</v>
      </c>
      <c r="AM1827">
        <v>795</v>
      </c>
      <c r="AO1827">
        <v>72</v>
      </c>
      <c r="AQ1827" t="s">
        <v>11157</v>
      </c>
      <c r="AS1827" t="s">
        <v>11175</v>
      </c>
      <c r="AU1827">
        <v>22</v>
      </c>
      <c r="AW1827" t="s">
        <v>11187</v>
      </c>
      <c r="AZ1827" t="s">
        <v>11221</v>
      </c>
      <c r="BE1827" t="s">
        <v>12705</v>
      </c>
      <c r="BF1827" t="s">
        <v>14364</v>
      </c>
      <c r="BM1827" t="s">
        <v>15651</v>
      </c>
    </row>
    <row r="1828" spans="1:65">
      <c r="A1828" s="1">
        <f>HYPERLINK("https://lsnyc.legalserver.org/matter/dynamic-profile/view/0826040","17-0826040")</f>
        <v>0</v>
      </c>
      <c r="B1828" t="s">
        <v>134</v>
      </c>
      <c r="C1828" t="s">
        <v>246</v>
      </c>
      <c r="D1828" t="s">
        <v>623</v>
      </c>
      <c r="F1828" t="s">
        <v>1905</v>
      </c>
      <c r="G1828" t="s">
        <v>3700</v>
      </c>
      <c r="H1828" t="s">
        <v>4844</v>
      </c>
      <c r="I1828">
        <v>18</v>
      </c>
      <c r="J1828" t="s">
        <v>7170</v>
      </c>
      <c r="K1828">
        <v>10452</v>
      </c>
      <c r="N1828" t="s">
        <v>7237</v>
      </c>
      <c r="O1828" t="s">
        <v>8404</v>
      </c>
      <c r="P1828">
        <v>1</v>
      </c>
      <c r="Q1828">
        <v>1</v>
      </c>
      <c r="R1828">
        <v>0</v>
      </c>
      <c r="U1828">
        <v>0</v>
      </c>
      <c r="W1828">
        <v>1.2</v>
      </c>
      <c r="X1828" t="s">
        <v>708</v>
      </c>
      <c r="Y1828" t="s">
        <v>10899</v>
      </c>
      <c r="AA1828" t="s">
        <v>10974</v>
      </c>
      <c r="AB1828" t="s">
        <v>378</v>
      </c>
      <c r="AD1828" t="s">
        <v>11096</v>
      </c>
      <c r="AF1828" t="s">
        <v>11122</v>
      </c>
      <c r="AH1828" t="s">
        <v>10974</v>
      </c>
      <c r="AJ1828" t="s">
        <v>11130</v>
      </c>
      <c r="AK1828" t="s">
        <v>7225</v>
      </c>
      <c r="AM1828">
        <v>1000</v>
      </c>
      <c r="AO1828">
        <v>122</v>
      </c>
      <c r="AQ1828" t="s">
        <v>11157</v>
      </c>
      <c r="AR1828" t="s">
        <v>11172</v>
      </c>
      <c r="AU1828">
        <v>1</v>
      </c>
      <c r="AW1828" t="s">
        <v>11187</v>
      </c>
      <c r="AZ1828" t="s">
        <v>11221</v>
      </c>
      <c r="BE1828" t="s">
        <v>12691</v>
      </c>
      <c r="BF1828" t="s">
        <v>14364</v>
      </c>
      <c r="BM1828" t="s">
        <v>15650</v>
      </c>
    </row>
    <row r="1829" spans="1:65">
      <c r="A1829" s="1">
        <f>HYPERLINK("https://lsnyc.legalserver.org/matter/dynamic-profile/view/1886102","18-1886102")</f>
        <v>0</v>
      </c>
      <c r="B1829" t="s">
        <v>134</v>
      </c>
      <c r="C1829" t="s">
        <v>246</v>
      </c>
      <c r="D1829" t="s">
        <v>405</v>
      </c>
      <c r="F1829" t="s">
        <v>1900</v>
      </c>
      <c r="G1829" t="s">
        <v>3696</v>
      </c>
      <c r="H1829" t="s">
        <v>5373</v>
      </c>
      <c r="I1829" t="s">
        <v>6764</v>
      </c>
      <c r="J1829" t="s">
        <v>7170</v>
      </c>
      <c r="K1829">
        <v>10456</v>
      </c>
      <c r="N1829" t="s">
        <v>7237</v>
      </c>
      <c r="O1829" t="s">
        <v>8399</v>
      </c>
      <c r="P1829">
        <v>1</v>
      </c>
      <c r="Q1829">
        <v>3</v>
      </c>
      <c r="R1829">
        <v>20.3</v>
      </c>
      <c r="U1829">
        <v>5096</v>
      </c>
      <c r="W1829">
        <v>0</v>
      </c>
      <c r="Y1829" t="s">
        <v>216</v>
      </c>
      <c r="AA1829" t="s">
        <v>10974</v>
      </c>
      <c r="AB1829" t="s">
        <v>597</v>
      </c>
      <c r="AD1829" t="s">
        <v>11098</v>
      </c>
      <c r="AF1829" t="s">
        <v>11122</v>
      </c>
      <c r="AH1829" t="s">
        <v>10974</v>
      </c>
      <c r="AJ1829" t="s">
        <v>11141</v>
      </c>
      <c r="AK1829" t="s">
        <v>7225</v>
      </c>
      <c r="AM1829">
        <v>820</v>
      </c>
      <c r="AO1829">
        <v>131</v>
      </c>
      <c r="AQ1829" t="s">
        <v>11157</v>
      </c>
      <c r="AS1829" t="s">
        <v>11176</v>
      </c>
      <c r="AU1829">
        <v>9</v>
      </c>
      <c r="AW1829" t="s">
        <v>11187</v>
      </c>
      <c r="AZ1829" t="s">
        <v>11221</v>
      </c>
      <c r="BB1829" t="s">
        <v>11224</v>
      </c>
      <c r="BC1829">
        <v>6629815</v>
      </c>
      <c r="BD1829" t="s">
        <v>11667</v>
      </c>
      <c r="BG1829" t="s">
        <v>14805</v>
      </c>
      <c r="BM1829" t="s">
        <v>15650</v>
      </c>
    </row>
    <row r="1830" spans="1:65">
      <c r="A1830" s="1">
        <f>HYPERLINK("https://lsnyc.legalserver.org/matter/dynamic-profile/view/1862270","18-1862270")</f>
        <v>0</v>
      </c>
      <c r="B1830" t="s">
        <v>134</v>
      </c>
      <c r="C1830" t="s">
        <v>246</v>
      </c>
      <c r="D1830" t="s">
        <v>285</v>
      </c>
      <c r="E1830" t="s">
        <v>312</v>
      </c>
      <c r="F1830" t="s">
        <v>1860</v>
      </c>
      <c r="G1830" t="s">
        <v>3709</v>
      </c>
      <c r="H1830" t="s">
        <v>5388</v>
      </c>
      <c r="I1830" t="s">
        <v>6404</v>
      </c>
      <c r="J1830" t="s">
        <v>7170</v>
      </c>
      <c r="K1830">
        <v>10453</v>
      </c>
      <c r="L1830" t="s">
        <v>7219</v>
      </c>
      <c r="N1830" t="s">
        <v>7237</v>
      </c>
      <c r="O1830" t="s">
        <v>8418</v>
      </c>
      <c r="P1830">
        <v>1</v>
      </c>
      <c r="Q1830">
        <v>0</v>
      </c>
      <c r="R1830">
        <v>74.14</v>
      </c>
      <c r="U1830">
        <v>9000</v>
      </c>
      <c r="W1830">
        <v>97.59999999999999</v>
      </c>
      <c r="X1830" t="s">
        <v>328</v>
      </c>
      <c r="Y1830" t="s">
        <v>216</v>
      </c>
      <c r="AA1830" t="s">
        <v>10974</v>
      </c>
      <c r="AB1830" t="s">
        <v>1069</v>
      </c>
      <c r="AD1830" t="s">
        <v>11083</v>
      </c>
      <c r="AF1830" t="s">
        <v>11118</v>
      </c>
      <c r="AH1830" t="s">
        <v>10975</v>
      </c>
      <c r="AJ1830" t="s">
        <v>11129</v>
      </c>
      <c r="AK1830" t="s">
        <v>7225</v>
      </c>
      <c r="AM1830">
        <v>944.9</v>
      </c>
      <c r="AO1830">
        <v>111</v>
      </c>
      <c r="AQ1830" t="s">
        <v>11157</v>
      </c>
      <c r="AS1830" t="s">
        <v>11174</v>
      </c>
      <c r="AU1830">
        <v>26</v>
      </c>
      <c r="AW1830" t="s">
        <v>11187</v>
      </c>
      <c r="AZ1830" t="s">
        <v>11221</v>
      </c>
      <c r="BE1830" t="s">
        <v>12706</v>
      </c>
      <c r="BG1830" t="s">
        <v>14816</v>
      </c>
      <c r="BH1830" t="s">
        <v>15605</v>
      </c>
      <c r="BJ1830" t="s">
        <v>15615</v>
      </c>
      <c r="BL1830" t="s">
        <v>15648</v>
      </c>
      <c r="BM1830" t="s">
        <v>15651</v>
      </c>
    </row>
    <row r="1831" spans="1:65">
      <c r="A1831" s="1">
        <f>HYPERLINK("https://lsnyc.legalserver.org/matter/dynamic-profile/view/1912794","19-1912794")</f>
        <v>0</v>
      </c>
      <c r="B1831" t="s">
        <v>134</v>
      </c>
      <c r="C1831" t="s">
        <v>246</v>
      </c>
      <c r="D1831" t="s">
        <v>316</v>
      </c>
      <c r="E1831" t="s">
        <v>426</v>
      </c>
      <c r="F1831" t="s">
        <v>1267</v>
      </c>
      <c r="G1831" t="s">
        <v>2911</v>
      </c>
      <c r="H1831" t="s">
        <v>5373</v>
      </c>
      <c r="I1831" t="s">
        <v>6628</v>
      </c>
      <c r="J1831" t="s">
        <v>7170</v>
      </c>
      <c r="K1831">
        <v>10456</v>
      </c>
      <c r="L1831" t="s">
        <v>7216</v>
      </c>
      <c r="N1831" t="s">
        <v>7237</v>
      </c>
      <c r="O1831" t="s">
        <v>8419</v>
      </c>
      <c r="P1831">
        <v>1</v>
      </c>
      <c r="Q1831">
        <v>0</v>
      </c>
      <c r="R1831">
        <v>160.13</v>
      </c>
      <c r="U1831">
        <v>20000</v>
      </c>
      <c r="W1831">
        <v>0.5</v>
      </c>
      <c r="X1831" t="s">
        <v>426</v>
      </c>
      <c r="Y1831" t="s">
        <v>134</v>
      </c>
      <c r="AA1831" t="s">
        <v>10974</v>
      </c>
      <c r="AD1831" t="s">
        <v>11083</v>
      </c>
      <c r="AF1831" t="s">
        <v>11119</v>
      </c>
      <c r="AH1831" t="s">
        <v>10975</v>
      </c>
      <c r="AJ1831" t="s">
        <v>11130</v>
      </c>
      <c r="AK1831" t="s">
        <v>7225</v>
      </c>
      <c r="AM1831">
        <v>1132</v>
      </c>
      <c r="AO1831">
        <v>140</v>
      </c>
      <c r="AQ1831" t="s">
        <v>11157</v>
      </c>
      <c r="AS1831" t="s">
        <v>11173</v>
      </c>
      <c r="AT1831" t="s">
        <v>11184</v>
      </c>
      <c r="AU1831">
        <v>0</v>
      </c>
      <c r="AW1831" t="s">
        <v>11189</v>
      </c>
      <c r="AX1831" t="s">
        <v>11212</v>
      </c>
      <c r="BA1831" t="s">
        <v>11222</v>
      </c>
      <c r="BE1831" t="s">
        <v>12707</v>
      </c>
      <c r="BF1831" t="s">
        <v>14364</v>
      </c>
      <c r="BM1831" t="s">
        <v>15651</v>
      </c>
    </row>
    <row r="1832" spans="1:65">
      <c r="A1832" s="1">
        <f>HYPERLINK("https://lsnyc.legalserver.org/matter/dynamic-profile/view/1857038","18-1857038")</f>
        <v>0</v>
      </c>
      <c r="B1832" t="s">
        <v>134</v>
      </c>
      <c r="C1832" t="s">
        <v>246</v>
      </c>
      <c r="D1832" t="s">
        <v>359</v>
      </c>
      <c r="F1832" t="s">
        <v>1915</v>
      </c>
      <c r="G1832" t="s">
        <v>3710</v>
      </c>
      <c r="H1832" t="s">
        <v>4844</v>
      </c>
      <c r="I1832" t="s">
        <v>6573</v>
      </c>
      <c r="J1832" t="s">
        <v>7170</v>
      </c>
      <c r="K1832">
        <v>10452</v>
      </c>
      <c r="N1832" t="s">
        <v>7237</v>
      </c>
      <c r="O1832" t="s">
        <v>8420</v>
      </c>
      <c r="P1832">
        <v>2</v>
      </c>
      <c r="Q1832">
        <v>0</v>
      </c>
      <c r="R1832">
        <v>0</v>
      </c>
      <c r="U1832">
        <v>0</v>
      </c>
      <c r="W1832">
        <v>0</v>
      </c>
      <c r="Y1832" t="s">
        <v>10897</v>
      </c>
      <c r="Z1832" t="s">
        <v>10972</v>
      </c>
      <c r="AA1832" t="s">
        <v>10976</v>
      </c>
      <c r="AD1832" t="s">
        <v>11096</v>
      </c>
      <c r="AF1832" t="s">
        <v>11122</v>
      </c>
      <c r="AH1832" t="s">
        <v>10974</v>
      </c>
      <c r="AJ1832" t="s">
        <v>11141</v>
      </c>
      <c r="AK1832" t="s">
        <v>7225</v>
      </c>
      <c r="AM1832">
        <v>855.3099999999999</v>
      </c>
      <c r="AO1832">
        <v>122</v>
      </c>
      <c r="AQ1832" t="s">
        <v>11157</v>
      </c>
      <c r="AS1832" t="s">
        <v>11173</v>
      </c>
      <c r="AT1832" t="s">
        <v>11184</v>
      </c>
      <c r="AU1832">
        <v>0</v>
      </c>
      <c r="AW1832" t="s">
        <v>11187</v>
      </c>
      <c r="AX1832" t="s">
        <v>11212</v>
      </c>
      <c r="AZ1832" t="s">
        <v>11221</v>
      </c>
      <c r="BD1832" t="s">
        <v>11667</v>
      </c>
      <c r="BG1832" t="s">
        <v>14719</v>
      </c>
      <c r="BM1832" t="s">
        <v>15650</v>
      </c>
    </row>
    <row r="1833" spans="1:65">
      <c r="A1833" s="1">
        <f>HYPERLINK("https://lsnyc.legalserver.org/matter/dynamic-profile/view/1907315","19-1907315")</f>
        <v>0</v>
      </c>
      <c r="B1833" t="s">
        <v>134</v>
      </c>
      <c r="C1833" t="s">
        <v>246</v>
      </c>
      <c r="D1833" t="s">
        <v>733</v>
      </c>
      <c r="F1833" t="s">
        <v>1439</v>
      </c>
      <c r="G1833" t="s">
        <v>3711</v>
      </c>
      <c r="H1833" t="s">
        <v>5383</v>
      </c>
      <c r="I1833">
        <v>9</v>
      </c>
      <c r="J1833" t="s">
        <v>7170</v>
      </c>
      <c r="K1833">
        <v>10451</v>
      </c>
      <c r="N1833" t="s">
        <v>7237</v>
      </c>
      <c r="O1833" t="s">
        <v>8421</v>
      </c>
      <c r="P1833">
        <v>3</v>
      </c>
      <c r="Q1833">
        <v>3</v>
      </c>
      <c r="R1833">
        <v>75.17</v>
      </c>
      <c r="U1833">
        <v>26000</v>
      </c>
      <c r="W1833">
        <v>0</v>
      </c>
      <c r="Y1833" t="s">
        <v>216</v>
      </c>
      <c r="AA1833" t="s">
        <v>10974</v>
      </c>
      <c r="AC1833" t="s">
        <v>11081</v>
      </c>
      <c r="AF1833" t="s">
        <v>11119</v>
      </c>
      <c r="AH1833" t="s">
        <v>10974</v>
      </c>
      <c r="AJ1833" t="s">
        <v>11141</v>
      </c>
      <c r="AK1833" t="s">
        <v>7225</v>
      </c>
      <c r="AM1833">
        <v>1142</v>
      </c>
      <c r="AO1833">
        <v>14</v>
      </c>
      <c r="AQ1833" t="s">
        <v>11164</v>
      </c>
      <c r="AS1833" t="s">
        <v>11173</v>
      </c>
      <c r="AU1833">
        <v>14</v>
      </c>
      <c r="AW1833" t="s">
        <v>11189</v>
      </c>
      <c r="AX1833" t="s">
        <v>11212</v>
      </c>
      <c r="BA1833" t="s">
        <v>11222</v>
      </c>
      <c r="BE1833" t="s">
        <v>12708</v>
      </c>
      <c r="BF1833" t="s">
        <v>14364</v>
      </c>
      <c r="BM1833" t="s">
        <v>15650</v>
      </c>
    </row>
    <row r="1834" spans="1:65">
      <c r="A1834" s="1">
        <f>HYPERLINK("https://lsnyc.legalserver.org/matter/dynamic-profile/view/1914991","19-1914991")</f>
        <v>0</v>
      </c>
      <c r="B1834" t="s">
        <v>134</v>
      </c>
      <c r="C1834" t="s">
        <v>246</v>
      </c>
      <c r="D1834" t="s">
        <v>316</v>
      </c>
      <c r="E1834" t="s">
        <v>426</v>
      </c>
      <c r="F1834" t="s">
        <v>1916</v>
      </c>
      <c r="G1834" t="s">
        <v>1187</v>
      </c>
      <c r="H1834" t="s">
        <v>5389</v>
      </c>
      <c r="J1834" t="s">
        <v>7170</v>
      </c>
      <c r="K1834">
        <v>10451</v>
      </c>
      <c r="L1834" t="s">
        <v>7217</v>
      </c>
      <c r="N1834" t="s">
        <v>7237</v>
      </c>
      <c r="O1834" t="s">
        <v>8422</v>
      </c>
      <c r="P1834">
        <v>1</v>
      </c>
      <c r="Q1834">
        <v>1</v>
      </c>
      <c r="R1834">
        <v>28.39</v>
      </c>
      <c r="U1834">
        <v>4800</v>
      </c>
      <c r="W1834">
        <v>1</v>
      </c>
      <c r="X1834" t="s">
        <v>426</v>
      </c>
      <c r="Y1834" t="s">
        <v>216</v>
      </c>
      <c r="AA1834" t="s">
        <v>10974</v>
      </c>
      <c r="AD1834" t="s">
        <v>11084</v>
      </c>
      <c r="AF1834" t="s">
        <v>10384</v>
      </c>
      <c r="AH1834" t="s">
        <v>10975</v>
      </c>
      <c r="AJ1834" t="s">
        <v>11141</v>
      </c>
      <c r="AK1834" t="s">
        <v>7225</v>
      </c>
      <c r="AM1834">
        <v>508</v>
      </c>
      <c r="AO1834">
        <v>929</v>
      </c>
      <c r="AQ1834" t="s">
        <v>11164</v>
      </c>
      <c r="AS1834" t="s">
        <v>11173</v>
      </c>
      <c r="AU1834">
        <v>6</v>
      </c>
      <c r="AW1834" t="s">
        <v>11187</v>
      </c>
      <c r="AX1834" t="s">
        <v>11212</v>
      </c>
      <c r="BA1834" t="s">
        <v>11222</v>
      </c>
      <c r="BD1834" t="s">
        <v>11667</v>
      </c>
      <c r="BF1834" t="s">
        <v>14364</v>
      </c>
      <c r="BM1834" t="s">
        <v>15651</v>
      </c>
    </row>
    <row r="1835" spans="1:65">
      <c r="A1835" s="1">
        <f>HYPERLINK("https://lsnyc.legalserver.org/matter/dynamic-profile/view/1907322","19-1907322")</f>
        <v>0</v>
      </c>
      <c r="B1835" t="s">
        <v>134</v>
      </c>
      <c r="C1835" t="s">
        <v>246</v>
      </c>
      <c r="D1835" t="s">
        <v>310</v>
      </c>
      <c r="F1835" t="s">
        <v>1917</v>
      </c>
      <c r="G1835" t="s">
        <v>3152</v>
      </c>
      <c r="H1835" t="s">
        <v>5383</v>
      </c>
      <c r="I1835">
        <v>10</v>
      </c>
      <c r="J1835" t="s">
        <v>7170</v>
      </c>
      <c r="K1835">
        <v>10451</v>
      </c>
      <c r="N1835" t="s">
        <v>7237</v>
      </c>
      <c r="O1835" t="s">
        <v>8423</v>
      </c>
      <c r="P1835">
        <v>3</v>
      </c>
      <c r="Q1835">
        <v>1</v>
      </c>
      <c r="R1835">
        <v>135.92</v>
      </c>
      <c r="U1835">
        <v>35000</v>
      </c>
      <c r="W1835">
        <v>0</v>
      </c>
      <c r="Y1835" t="s">
        <v>216</v>
      </c>
      <c r="AA1835" t="s">
        <v>10974</v>
      </c>
      <c r="AC1835" t="s">
        <v>11081</v>
      </c>
      <c r="AF1835" t="s">
        <v>11119</v>
      </c>
      <c r="AH1835" t="s">
        <v>10974</v>
      </c>
      <c r="AJ1835" t="s">
        <v>11141</v>
      </c>
      <c r="AK1835" t="s">
        <v>7225</v>
      </c>
      <c r="AM1835">
        <v>787</v>
      </c>
      <c r="AO1835">
        <v>14</v>
      </c>
      <c r="AQ1835" t="s">
        <v>11157</v>
      </c>
      <c r="AS1835" t="s">
        <v>11173</v>
      </c>
      <c r="AU1835">
        <v>30</v>
      </c>
      <c r="AW1835" t="s">
        <v>11189</v>
      </c>
      <c r="AY1835" t="s">
        <v>11213</v>
      </c>
      <c r="BA1835" t="s">
        <v>11222</v>
      </c>
      <c r="BE1835" t="s">
        <v>12709</v>
      </c>
      <c r="BF1835" t="s">
        <v>14364</v>
      </c>
      <c r="BM1835" t="s">
        <v>15650</v>
      </c>
    </row>
    <row r="1836" spans="1:65">
      <c r="A1836" s="1">
        <f>HYPERLINK("https://lsnyc.legalserver.org/matter/dynamic-profile/view/1899720","19-1899720")</f>
        <v>0</v>
      </c>
      <c r="B1836" t="s">
        <v>134</v>
      </c>
      <c r="C1836" t="s">
        <v>246</v>
      </c>
      <c r="D1836" t="s">
        <v>585</v>
      </c>
      <c r="F1836" t="s">
        <v>1918</v>
      </c>
      <c r="G1836" t="s">
        <v>3712</v>
      </c>
      <c r="H1836" t="s">
        <v>5390</v>
      </c>
      <c r="I1836" t="s">
        <v>6436</v>
      </c>
      <c r="J1836" t="s">
        <v>7170</v>
      </c>
      <c r="K1836">
        <v>10452</v>
      </c>
      <c r="N1836" t="s">
        <v>7237</v>
      </c>
      <c r="O1836" t="s">
        <v>8424</v>
      </c>
      <c r="P1836">
        <v>1</v>
      </c>
      <c r="Q1836">
        <v>2</v>
      </c>
      <c r="R1836">
        <v>147.21</v>
      </c>
      <c r="U1836">
        <v>31400</v>
      </c>
      <c r="W1836">
        <v>0.5</v>
      </c>
      <c r="X1836" t="s">
        <v>322</v>
      </c>
      <c r="Y1836" t="s">
        <v>216</v>
      </c>
      <c r="AA1836" t="s">
        <v>10974</v>
      </c>
      <c r="AB1836" t="s">
        <v>10979</v>
      </c>
      <c r="AC1836" t="s">
        <v>11081</v>
      </c>
      <c r="AF1836" t="s">
        <v>11119</v>
      </c>
      <c r="AH1836" t="s">
        <v>10975</v>
      </c>
      <c r="AJ1836" t="s">
        <v>11141</v>
      </c>
      <c r="AK1836" t="s">
        <v>7225</v>
      </c>
      <c r="AL1836" t="s">
        <v>11150</v>
      </c>
      <c r="AM1836">
        <v>0</v>
      </c>
      <c r="AO1836">
        <v>50</v>
      </c>
      <c r="AQ1836" t="s">
        <v>11164</v>
      </c>
      <c r="AS1836" t="s">
        <v>11173</v>
      </c>
      <c r="AU1836">
        <v>5</v>
      </c>
      <c r="AW1836" t="s">
        <v>11189</v>
      </c>
      <c r="BA1836" t="s">
        <v>11222</v>
      </c>
      <c r="BE1836" t="s">
        <v>12710</v>
      </c>
      <c r="BF1836" t="s">
        <v>14364</v>
      </c>
      <c r="BM1836" t="s">
        <v>15650</v>
      </c>
    </row>
    <row r="1837" spans="1:65">
      <c r="A1837" s="1">
        <f>HYPERLINK("https://lsnyc.legalserver.org/matter/dynamic-profile/view/1865906","18-1865906")</f>
        <v>0</v>
      </c>
      <c r="B1837" t="s">
        <v>134</v>
      </c>
      <c r="C1837" t="s">
        <v>246</v>
      </c>
      <c r="D1837" t="s">
        <v>790</v>
      </c>
      <c r="F1837" t="s">
        <v>1502</v>
      </c>
      <c r="G1837" t="s">
        <v>3466</v>
      </c>
      <c r="H1837" t="s">
        <v>5391</v>
      </c>
      <c r="I1837" t="s">
        <v>6563</v>
      </c>
      <c r="J1837" t="s">
        <v>7170</v>
      </c>
      <c r="K1837">
        <v>10453</v>
      </c>
      <c r="N1837" t="s">
        <v>7237</v>
      </c>
      <c r="O1837" t="s">
        <v>8425</v>
      </c>
      <c r="P1837">
        <v>1</v>
      </c>
      <c r="Q1837">
        <v>2</v>
      </c>
      <c r="R1837">
        <v>50.53</v>
      </c>
      <c r="U1837">
        <v>10500</v>
      </c>
      <c r="W1837">
        <v>29.55</v>
      </c>
      <c r="X1837" t="s">
        <v>339</v>
      </c>
      <c r="Y1837" t="s">
        <v>216</v>
      </c>
      <c r="AA1837" t="s">
        <v>10974</v>
      </c>
      <c r="AB1837" t="s">
        <v>11007</v>
      </c>
      <c r="AD1837" t="s">
        <v>11082</v>
      </c>
      <c r="AF1837" t="s">
        <v>11118</v>
      </c>
      <c r="AH1837" t="s">
        <v>10975</v>
      </c>
      <c r="AJ1837" t="s">
        <v>11129</v>
      </c>
      <c r="AK1837" t="s">
        <v>7225</v>
      </c>
      <c r="AM1837">
        <v>1570.13</v>
      </c>
      <c r="AO1837">
        <v>255</v>
      </c>
      <c r="AQ1837" t="s">
        <v>11157</v>
      </c>
      <c r="AS1837" t="s">
        <v>11174</v>
      </c>
      <c r="AU1837">
        <v>2</v>
      </c>
      <c r="AW1837" t="s">
        <v>11187</v>
      </c>
      <c r="AZ1837" t="s">
        <v>11221</v>
      </c>
      <c r="BC1837" t="s">
        <v>11385</v>
      </c>
      <c r="BE1837" t="s">
        <v>12711</v>
      </c>
      <c r="BG1837" t="s">
        <v>14817</v>
      </c>
      <c r="BM1837" t="s">
        <v>15650</v>
      </c>
    </row>
    <row r="1838" spans="1:65">
      <c r="A1838" s="1">
        <f>HYPERLINK("https://lsnyc.legalserver.org/matter/dynamic-profile/view/0785673","15-0785673")</f>
        <v>0</v>
      </c>
      <c r="B1838" t="s">
        <v>134</v>
      </c>
      <c r="C1838" t="s">
        <v>246</v>
      </c>
      <c r="D1838" t="s">
        <v>705</v>
      </c>
      <c r="F1838" t="s">
        <v>1893</v>
      </c>
      <c r="G1838" t="s">
        <v>3691</v>
      </c>
      <c r="H1838" t="s">
        <v>4844</v>
      </c>
      <c r="I1838" t="s">
        <v>6786</v>
      </c>
      <c r="J1838" t="s">
        <v>7170</v>
      </c>
      <c r="K1838">
        <v>10452</v>
      </c>
      <c r="N1838" t="s">
        <v>7237</v>
      </c>
      <c r="O1838" t="s">
        <v>8388</v>
      </c>
      <c r="P1838">
        <v>3</v>
      </c>
      <c r="Q1838">
        <v>1</v>
      </c>
      <c r="R1838">
        <v>65.98</v>
      </c>
      <c r="U1838">
        <v>16000</v>
      </c>
      <c r="W1838">
        <v>0.1</v>
      </c>
      <c r="X1838" t="s">
        <v>10815</v>
      </c>
      <c r="Y1838" t="s">
        <v>10864</v>
      </c>
      <c r="AA1838" t="s">
        <v>10974</v>
      </c>
      <c r="AB1838" t="s">
        <v>705</v>
      </c>
      <c r="AD1838" t="s">
        <v>11085</v>
      </c>
      <c r="AF1838" t="s">
        <v>11118</v>
      </c>
      <c r="AH1838" t="s">
        <v>10974</v>
      </c>
      <c r="AJ1838" t="s">
        <v>11130</v>
      </c>
      <c r="AK1838" t="s">
        <v>7225</v>
      </c>
      <c r="AM1838">
        <v>1050</v>
      </c>
      <c r="AN1838" t="s">
        <v>11151</v>
      </c>
      <c r="AO1838" t="s">
        <v>11153</v>
      </c>
      <c r="AQ1838" t="s">
        <v>11157</v>
      </c>
      <c r="AR1838" t="s">
        <v>11172</v>
      </c>
      <c r="AU1838">
        <v>14</v>
      </c>
      <c r="AW1838" t="s">
        <v>11187</v>
      </c>
      <c r="AZ1838" t="s">
        <v>11221</v>
      </c>
      <c r="BE1838" t="s">
        <v>12675</v>
      </c>
      <c r="BF1838" t="s">
        <v>14364</v>
      </c>
      <c r="BG1838" t="s">
        <v>14716</v>
      </c>
      <c r="BM1838" t="s">
        <v>15650</v>
      </c>
    </row>
    <row r="1839" spans="1:65">
      <c r="A1839" s="1">
        <f>HYPERLINK("https://lsnyc.legalserver.org/matter/dynamic-profile/view/0789070","15-0789070")</f>
        <v>0</v>
      </c>
      <c r="B1839" t="s">
        <v>134</v>
      </c>
      <c r="C1839" t="s">
        <v>246</v>
      </c>
      <c r="D1839" t="s">
        <v>791</v>
      </c>
      <c r="F1839" t="s">
        <v>1919</v>
      </c>
      <c r="G1839" t="s">
        <v>3394</v>
      </c>
      <c r="H1839" t="s">
        <v>4844</v>
      </c>
      <c r="I1839" t="s">
        <v>6796</v>
      </c>
      <c r="J1839" t="s">
        <v>7170</v>
      </c>
      <c r="K1839">
        <v>10452</v>
      </c>
      <c r="N1839" t="s">
        <v>7237</v>
      </c>
      <c r="O1839" t="s">
        <v>8426</v>
      </c>
      <c r="P1839">
        <v>1</v>
      </c>
      <c r="Q1839">
        <v>0</v>
      </c>
      <c r="R1839">
        <v>278.33</v>
      </c>
      <c r="U1839">
        <v>32760</v>
      </c>
      <c r="W1839">
        <v>0.1</v>
      </c>
      <c r="X1839" t="s">
        <v>698</v>
      </c>
      <c r="Y1839" t="s">
        <v>138</v>
      </c>
      <c r="Z1839" t="s">
        <v>10972</v>
      </c>
      <c r="AA1839" t="s">
        <v>10975</v>
      </c>
      <c r="AD1839" t="s">
        <v>11085</v>
      </c>
      <c r="AF1839" t="s">
        <v>11118</v>
      </c>
      <c r="AH1839" t="s">
        <v>10974</v>
      </c>
      <c r="AJ1839" t="s">
        <v>11132</v>
      </c>
      <c r="AK1839" t="s">
        <v>7225</v>
      </c>
      <c r="AM1839">
        <v>1050</v>
      </c>
      <c r="AO1839">
        <v>122</v>
      </c>
      <c r="AQ1839" t="s">
        <v>11157</v>
      </c>
      <c r="AS1839" t="s">
        <v>11173</v>
      </c>
      <c r="AU1839">
        <v>1</v>
      </c>
      <c r="AW1839" t="s">
        <v>11187</v>
      </c>
      <c r="AX1839" t="s">
        <v>11212</v>
      </c>
      <c r="AZ1839" t="s">
        <v>11221</v>
      </c>
      <c r="BE1839" t="s">
        <v>12712</v>
      </c>
      <c r="BF1839" t="s">
        <v>14364</v>
      </c>
      <c r="BG1839" t="s">
        <v>14716</v>
      </c>
      <c r="BM1839" t="s">
        <v>15650</v>
      </c>
    </row>
    <row r="1840" spans="1:65">
      <c r="A1840" s="1">
        <f>HYPERLINK("https://lsnyc.legalserver.org/matter/dynamic-profile/view/1907807","19-1907807")</f>
        <v>0</v>
      </c>
      <c r="B1840" t="s">
        <v>134</v>
      </c>
      <c r="C1840" t="s">
        <v>246</v>
      </c>
      <c r="D1840" t="s">
        <v>570</v>
      </c>
      <c r="F1840" t="s">
        <v>1790</v>
      </c>
      <c r="G1840" t="s">
        <v>3713</v>
      </c>
      <c r="H1840" t="s">
        <v>5295</v>
      </c>
      <c r="I1840" t="s">
        <v>6596</v>
      </c>
      <c r="J1840" t="s">
        <v>7170</v>
      </c>
      <c r="K1840">
        <v>10467</v>
      </c>
      <c r="N1840" t="s">
        <v>7237</v>
      </c>
      <c r="O1840" t="s">
        <v>8222</v>
      </c>
      <c r="P1840">
        <v>2</v>
      </c>
      <c r="Q1840">
        <v>0</v>
      </c>
      <c r="R1840">
        <v>66.48999999999999</v>
      </c>
      <c r="U1840">
        <v>11244</v>
      </c>
      <c r="W1840">
        <v>0</v>
      </c>
      <c r="Y1840" t="s">
        <v>10897</v>
      </c>
      <c r="AA1840" t="s">
        <v>10974</v>
      </c>
      <c r="AC1840" t="s">
        <v>11081</v>
      </c>
      <c r="AE1840" t="s">
        <v>11117</v>
      </c>
      <c r="AH1840" t="s">
        <v>10974</v>
      </c>
      <c r="AJ1840" t="s">
        <v>11141</v>
      </c>
      <c r="AK1840" t="s">
        <v>7225</v>
      </c>
      <c r="AM1840">
        <v>1531.65</v>
      </c>
      <c r="AN1840" t="s">
        <v>11151</v>
      </c>
      <c r="AO1840" t="s">
        <v>11153</v>
      </c>
      <c r="AQ1840" t="s">
        <v>11157</v>
      </c>
      <c r="AS1840" t="s">
        <v>11174</v>
      </c>
      <c r="AU1840">
        <v>15</v>
      </c>
      <c r="AW1840" t="s">
        <v>11187</v>
      </c>
      <c r="AX1840" t="s">
        <v>11212</v>
      </c>
      <c r="BA1840" t="s">
        <v>11222</v>
      </c>
      <c r="BB1840" t="s">
        <v>11224</v>
      </c>
      <c r="BC1840">
        <v>4043580</v>
      </c>
      <c r="BE1840" t="s">
        <v>12524</v>
      </c>
      <c r="BF1840" t="s">
        <v>14364</v>
      </c>
      <c r="BM1840" t="s">
        <v>15650</v>
      </c>
    </row>
    <row r="1841" spans="1:65">
      <c r="A1841" s="1">
        <f>HYPERLINK("https://lsnyc.legalserver.org/matter/dynamic-profile/view/1857034","18-1857034")</f>
        <v>0</v>
      </c>
      <c r="B1841" t="s">
        <v>134</v>
      </c>
      <c r="C1841" t="s">
        <v>246</v>
      </c>
      <c r="D1841" t="s">
        <v>359</v>
      </c>
      <c r="F1841" t="s">
        <v>1913</v>
      </c>
      <c r="G1841" t="s">
        <v>3707</v>
      </c>
      <c r="H1841" t="s">
        <v>4844</v>
      </c>
      <c r="I1841" t="s">
        <v>6795</v>
      </c>
      <c r="J1841" t="s">
        <v>7170</v>
      </c>
      <c r="K1841">
        <v>10452</v>
      </c>
      <c r="N1841" t="s">
        <v>7237</v>
      </c>
      <c r="O1841" t="s">
        <v>7852</v>
      </c>
      <c r="P1841">
        <v>2</v>
      </c>
      <c r="Q1841">
        <v>2</v>
      </c>
      <c r="R1841">
        <v>171.22</v>
      </c>
      <c r="U1841">
        <v>42120</v>
      </c>
      <c r="V1841" t="s">
        <v>10469</v>
      </c>
      <c r="W1841">
        <v>0</v>
      </c>
      <c r="Y1841" t="s">
        <v>10897</v>
      </c>
      <c r="AA1841" t="s">
        <v>10974</v>
      </c>
      <c r="AB1841" t="s">
        <v>372</v>
      </c>
      <c r="AD1841" t="s">
        <v>11096</v>
      </c>
      <c r="AF1841" t="s">
        <v>11122</v>
      </c>
      <c r="AH1841" t="s">
        <v>10974</v>
      </c>
      <c r="AJ1841" t="s">
        <v>11141</v>
      </c>
      <c r="AK1841" t="s">
        <v>7225</v>
      </c>
      <c r="AM1841">
        <v>858.6900000000001</v>
      </c>
      <c r="AO1841">
        <v>122</v>
      </c>
      <c r="AQ1841" t="s">
        <v>11157</v>
      </c>
      <c r="AS1841" t="s">
        <v>11173</v>
      </c>
      <c r="AU1841">
        <v>4</v>
      </c>
      <c r="AW1841" t="s">
        <v>11187</v>
      </c>
      <c r="AZ1841" t="s">
        <v>11221</v>
      </c>
      <c r="BE1841" t="s">
        <v>12704</v>
      </c>
      <c r="BG1841" t="s">
        <v>14719</v>
      </c>
      <c r="BM1841" t="s">
        <v>15650</v>
      </c>
    </row>
    <row r="1842" spans="1:65">
      <c r="A1842" s="1">
        <f>HYPERLINK("https://lsnyc.legalserver.org/matter/dynamic-profile/view/1857277","18-1857277")</f>
        <v>0</v>
      </c>
      <c r="B1842" t="s">
        <v>134</v>
      </c>
      <c r="C1842" t="s">
        <v>246</v>
      </c>
      <c r="D1842" t="s">
        <v>386</v>
      </c>
      <c r="F1842" t="s">
        <v>1090</v>
      </c>
      <c r="G1842" t="s">
        <v>2889</v>
      </c>
      <c r="H1842" t="s">
        <v>4844</v>
      </c>
      <c r="I1842" t="s">
        <v>6789</v>
      </c>
      <c r="J1842" t="s">
        <v>7170</v>
      </c>
      <c r="K1842">
        <v>10452</v>
      </c>
      <c r="N1842" t="s">
        <v>7237</v>
      </c>
      <c r="O1842" t="s">
        <v>8396</v>
      </c>
      <c r="P1842">
        <v>1</v>
      </c>
      <c r="Q1842">
        <v>0</v>
      </c>
      <c r="R1842">
        <v>0</v>
      </c>
      <c r="U1842">
        <v>0</v>
      </c>
      <c r="W1842">
        <v>0.1</v>
      </c>
      <c r="X1842" t="s">
        <v>785</v>
      </c>
      <c r="Y1842" t="s">
        <v>10897</v>
      </c>
      <c r="AA1842" t="s">
        <v>10974</v>
      </c>
      <c r="AB1842" t="s">
        <v>1019</v>
      </c>
      <c r="AD1842" t="s">
        <v>11096</v>
      </c>
      <c r="AF1842" t="s">
        <v>11122</v>
      </c>
      <c r="AG1842" t="s">
        <v>11124</v>
      </c>
      <c r="AJ1842" t="s">
        <v>11141</v>
      </c>
      <c r="AK1842" t="s">
        <v>7225</v>
      </c>
      <c r="AL1842" t="s">
        <v>11150</v>
      </c>
      <c r="AM1842">
        <v>0</v>
      </c>
      <c r="AO1842">
        <v>122</v>
      </c>
      <c r="AQ1842" t="s">
        <v>11157</v>
      </c>
      <c r="AR1842" t="s">
        <v>11172</v>
      </c>
      <c r="AT1842" t="s">
        <v>11184</v>
      </c>
      <c r="AU1842">
        <v>0</v>
      </c>
      <c r="AW1842" t="s">
        <v>11189</v>
      </c>
      <c r="AZ1842" t="s">
        <v>11221</v>
      </c>
      <c r="BD1842" t="s">
        <v>11667</v>
      </c>
      <c r="BG1842" t="s">
        <v>14717</v>
      </c>
      <c r="BM1842" t="s">
        <v>15650</v>
      </c>
    </row>
    <row r="1843" spans="1:65">
      <c r="A1843" s="1">
        <f>HYPERLINK("https://lsnyc.legalserver.org/matter/dynamic-profile/view/1915001","19-1915001")</f>
        <v>0</v>
      </c>
      <c r="B1843" t="s">
        <v>134</v>
      </c>
      <c r="C1843" t="s">
        <v>246</v>
      </c>
      <c r="D1843" t="s">
        <v>264</v>
      </c>
      <c r="F1843" t="s">
        <v>1920</v>
      </c>
      <c r="G1843" t="s">
        <v>3714</v>
      </c>
      <c r="H1843" t="s">
        <v>5373</v>
      </c>
      <c r="I1843" t="s">
        <v>6467</v>
      </c>
      <c r="J1843" t="s">
        <v>7170</v>
      </c>
      <c r="K1843">
        <v>10456</v>
      </c>
      <c r="N1843" t="s">
        <v>7237</v>
      </c>
      <c r="O1843" t="s">
        <v>8427</v>
      </c>
      <c r="P1843">
        <v>1</v>
      </c>
      <c r="Q1843">
        <v>0</v>
      </c>
      <c r="R1843">
        <v>256.2</v>
      </c>
      <c r="U1843">
        <v>32000</v>
      </c>
      <c r="W1843">
        <v>0</v>
      </c>
      <c r="Y1843" t="s">
        <v>93</v>
      </c>
      <c r="AA1843" t="s">
        <v>10974</v>
      </c>
      <c r="AD1843" t="s">
        <v>11098</v>
      </c>
      <c r="AF1843" t="s">
        <v>11122</v>
      </c>
      <c r="AH1843" t="s">
        <v>10974</v>
      </c>
      <c r="AJ1843" t="s">
        <v>11141</v>
      </c>
      <c r="AK1843" t="s">
        <v>7225</v>
      </c>
      <c r="AM1843">
        <v>889.6</v>
      </c>
      <c r="AO1843">
        <v>131</v>
      </c>
      <c r="AQ1843" t="s">
        <v>11157</v>
      </c>
      <c r="AS1843" t="s">
        <v>11173</v>
      </c>
      <c r="AU1843">
        <v>26</v>
      </c>
      <c r="AW1843" t="s">
        <v>11187</v>
      </c>
      <c r="AX1843" t="s">
        <v>11212</v>
      </c>
      <c r="AZ1843" t="s">
        <v>11221</v>
      </c>
      <c r="BE1843" t="s">
        <v>12713</v>
      </c>
      <c r="BF1843" t="s">
        <v>14364</v>
      </c>
      <c r="BM1843" t="s">
        <v>15650</v>
      </c>
    </row>
    <row r="1844" spans="1:65">
      <c r="A1844" s="1">
        <f>HYPERLINK("https://lsnyc.legalserver.org/matter/dynamic-profile/view/1870265","18-1870265")</f>
        <v>0</v>
      </c>
      <c r="B1844" t="s">
        <v>134</v>
      </c>
      <c r="C1844" t="s">
        <v>246</v>
      </c>
      <c r="D1844" t="s">
        <v>298</v>
      </c>
      <c r="F1844" t="s">
        <v>1921</v>
      </c>
      <c r="G1844" t="s">
        <v>3140</v>
      </c>
      <c r="H1844" t="s">
        <v>5392</v>
      </c>
      <c r="I1844" t="s">
        <v>6754</v>
      </c>
      <c r="J1844" t="s">
        <v>7170</v>
      </c>
      <c r="K1844">
        <v>10453</v>
      </c>
      <c r="N1844" t="s">
        <v>7237</v>
      </c>
      <c r="O1844" t="s">
        <v>8428</v>
      </c>
      <c r="P1844">
        <v>1</v>
      </c>
      <c r="Q1844">
        <v>2</v>
      </c>
      <c r="R1844">
        <v>50.05</v>
      </c>
      <c r="U1844">
        <v>10400</v>
      </c>
      <c r="W1844">
        <v>28.82</v>
      </c>
      <c r="X1844" t="s">
        <v>321</v>
      </c>
      <c r="Y1844" t="s">
        <v>10897</v>
      </c>
      <c r="AA1844" t="s">
        <v>10974</v>
      </c>
      <c r="AB1844" t="s">
        <v>939</v>
      </c>
      <c r="AD1844" t="s">
        <v>11082</v>
      </c>
      <c r="AF1844" t="s">
        <v>11118</v>
      </c>
      <c r="AH1844" t="s">
        <v>10975</v>
      </c>
      <c r="AJ1844" t="s">
        <v>11128</v>
      </c>
      <c r="AK1844" t="s">
        <v>7225</v>
      </c>
      <c r="AM1844">
        <v>1449.16</v>
      </c>
      <c r="AO1844">
        <v>16</v>
      </c>
      <c r="AQ1844" t="s">
        <v>11157</v>
      </c>
      <c r="AS1844" t="s">
        <v>11173</v>
      </c>
      <c r="AU1844">
        <v>7</v>
      </c>
      <c r="AW1844" t="s">
        <v>11189</v>
      </c>
      <c r="AZ1844" t="s">
        <v>11221</v>
      </c>
      <c r="BC1844" t="s">
        <v>11386</v>
      </c>
      <c r="BE1844" t="s">
        <v>12714</v>
      </c>
      <c r="BG1844" t="s">
        <v>14818</v>
      </c>
      <c r="BM1844" t="s">
        <v>15650</v>
      </c>
    </row>
    <row r="1845" spans="1:65">
      <c r="A1845" s="1">
        <f>HYPERLINK("https://lsnyc.legalserver.org/matter/dynamic-profile/view/1857490","18-1857490")</f>
        <v>0</v>
      </c>
      <c r="B1845" t="s">
        <v>134</v>
      </c>
      <c r="C1845" t="s">
        <v>246</v>
      </c>
      <c r="D1845" t="s">
        <v>691</v>
      </c>
      <c r="F1845" t="s">
        <v>1913</v>
      </c>
      <c r="G1845" t="s">
        <v>3707</v>
      </c>
      <c r="H1845" t="s">
        <v>4844</v>
      </c>
      <c r="I1845" t="s">
        <v>6795</v>
      </c>
      <c r="J1845" t="s">
        <v>7170</v>
      </c>
      <c r="K1845">
        <v>10452</v>
      </c>
      <c r="N1845" t="s">
        <v>7237</v>
      </c>
      <c r="O1845" t="s">
        <v>7852</v>
      </c>
      <c r="P1845">
        <v>2</v>
      </c>
      <c r="Q1845">
        <v>2</v>
      </c>
      <c r="R1845">
        <v>171.22</v>
      </c>
      <c r="U1845">
        <v>42120</v>
      </c>
      <c r="V1845" t="s">
        <v>10470</v>
      </c>
      <c r="W1845">
        <v>0</v>
      </c>
      <c r="Y1845" t="s">
        <v>10897</v>
      </c>
      <c r="AA1845" t="s">
        <v>10974</v>
      </c>
      <c r="AB1845" t="s">
        <v>939</v>
      </c>
      <c r="AD1845" t="s">
        <v>11096</v>
      </c>
      <c r="AF1845" t="s">
        <v>11122</v>
      </c>
      <c r="AH1845" t="s">
        <v>10974</v>
      </c>
      <c r="AJ1845" t="s">
        <v>11141</v>
      </c>
      <c r="AK1845" t="s">
        <v>7225</v>
      </c>
      <c r="AM1845">
        <v>858.6900000000001</v>
      </c>
      <c r="AO1845">
        <v>122</v>
      </c>
      <c r="AQ1845" t="s">
        <v>11157</v>
      </c>
      <c r="AS1845" t="s">
        <v>11173</v>
      </c>
      <c r="AU1845">
        <v>5</v>
      </c>
      <c r="AW1845" t="s">
        <v>11187</v>
      </c>
      <c r="AZ1845" t="s">
        <v>11221</v>
      </c>
      <c r="BE1845" t="s">
        <v>12704</v>
      </c>
      <c r="BG1845" t="s">
        <v>14717</v>
      </c>
      <c r="BM1845" t="s">
        <v>15650</v>
      </c>
    </row>
    <row r="1846" spans="1:65">
      <c r="A1846" s="1">
        <f>HYPERLINK("https://lsnyc.legalserver.org/matter/dynamic-profile/view/1907325","19-1907325")</f>
        <v>0</v>
      </c>
      <c r="B1846" t="s">
        <v>134</v>
      </c>
      <c r="C1846" t="s">
        <v>246</v>
      </c>
      <c r="D1846" t="s">
        <v>447</v>
      </c>
      <c r="F1846" t="s">
        <v>1922</v>
      </c>
      <c r="G1846" t="s">
        <v>3715</v>
      </c>
      <c r="H1846" t="s">
        <v>5383</v>
      </c>
      <c r="I1846">
        <v>1</v>
      </c>
      <c r="J1846" t="s">
        <v>7170</v>
      </c>
      <c r="K1846">
        <v>10451</v>
      </c>
      <c r="N1846" t="s">
        <v>7237</v>
      </c>
      <c r="O1846" t="s">
        <v>8429</v>
      </c>
      <c r="P1846">
        <v>1</v>
      </c>
      <c r="Q1846">
        <v>0</v>
      </c>
      <c r="R1846">
        <v>200.16</v>
      </c>
      <c r="U1846">
        <v>25000</v>
      </c>
      <c r="W1846">
        <v>0</v>
      </c>
      <c r="Y1846" t="s">
        <v>216</v>
      </c>
      <c r="AA1846" t="s">
        <v>10974</v>
      </c>
      <c r="AC1846" t="s">
        <v>11081</v>
      </c>
      <c r="AF1846" t="s">
        <v>11119</v>
      </c>
      <c r="AH1846" t="s">
        <v>10974</v>
      </c>
      <c r="AJ1846" t="s">
        <v>11141</v>
      </c>
      <c r="AK1846" t="s">
        <v>7225</v>
      </c>
      <c r="AM1846">
        <v>1098</v>
      </c>
      <c r="AO1846">
        <v>14</v>
      </c>
      <c r="AQ1846" t="s">
        <v>11157</v>
      </c>
      <c r="AS1846" t="s">
        <v>11173</v>
      </c>
      <c r="AU1846">
        <v>7</v>
      </c>
      <c r="AW1846" t="s">
        <v>11187</v>
      </c>
      <c r="AY1846" t="s">
        <v>11213</v>
      </c>
      <c r="BA1846" t="s">
        <v>11222</v>
      </c>
      <c r="BE1846" t="s">
        <v>12715</v>
      </c>
      <c r="BF1846" t="s">
        <v>14364</v>
      </c>
      <c r="BM1846" t="s">
        <v>15650</v>
      </c>
    </row>
    <row r="1847" spans="1:65">
      <c r="A1847" s="1">
        <f>HYPERLINK("https://lsnyc.legalserver.org/matter/dynamic-profile/view/1915342","19-1915342")</f>
        <v>0</v>
      </c>
      <c r="B1847" t="s">
        <v>134</v>
      </c>
      <c r="C1847" t="s">
        <v>246</v>
      </c>
      <c r="D1847" t="s">
        <v>436</v>
      </c>
      <c r="E1847" t="s">
        <v>638</v>
      </c>
      <c r="F1847" t="s">
        <v>1923</v>
      </c>
      <c r="G1847" t="s">
        <v>3143</v>
      </c>
      <c r="H1847" t="s">
        <v>5393</v>
      </c>
      <c r="I1847" t="s">
        <v>6562</v>
      </c>
      <c r="J1847" t="s">
        <v>7170</v>
      </c>
      <c r="K1847">
        <v>10452</v>
      </c>
      <c r="L1847" t="s">
        <v>7217</v>
      </c>
      <c r="N1847" t="s">
        <v>7237</v>
      </c>
      <c r="O1847" t="s">
        <v>8430</v>
      </c>
      <c r="P1847">
        <v>3</v>
      </c>
      <c r="Q1847">
        <v>0</v>
      </c>
      <c r="R1847">
        <v>146.16</v>
      </c>
      <c r="U1847">
        <v>31176</v>
      </c>
      <c r="W1847">
        <v>0.1</v>
      </c>
      <c r="X1847" t="s">
        <v>638</v>
      </c>
      <c r="Y1847" t="s">
        <v>93</v>
      </c>
      <c r="AA1847" t="s">
        <v>10974</v>
      </c>
      <c r="AC1847" t="s">
        <v>11081</v>
      </c>
      <c r="AF1847" t="s">
        <v>10384</v>
      </c>
      <c r="AH1847" t="s">
        <v>10975</v>
      </c>
      <c r="AJ1847" t="s">
        <v>11141</v>
      </c>
      <c r="AK1847" t="s">
        <v>7225</v>
      </c>
      <c r="AM1847">
        <v>1141</v>
      </c>
      <c r="AO1847">
        <v>82</v>
      </c>
      <c r="AQ1847" t="s">
        <v>11164</v>
      </c>
      <c r="AS1847" t="s">
        <v>11173</v>
      </c>
      <c r="AU1847">
        <v>6</v>
      </c>
      <c r="AW1847" t="s">
        <v>11189</v>
      </c>
      <c r="AX1847" t="s">
        <v>11212</v>
      </c>
      <c r="AZ1847" t="s">
        <v>11221</v>
      </c>
      <c r="BD1847" t="s">
        <v>11667</v>
      </c>
      <c r="BF1847" t="s">
        <v>14364</v>
      </c>
      <c r="BM1847" t="s">
        <v>15651</v>
      </c>
    </row>
    <row r="1848" spans="1:65">
      <c r="A1848" s="1">
        <f>HYPERLINK("https://lsnyc.legalserver.org/matter/dynamic-profile/view/1857342","18-1857342")</f>
        <v>0</v>
      </c>
      <c r="B1848" t="s">
        <v>134</v>
      </c>
      <c r="C1848" t="s">
        <v>246</v>
      </c>
      <c r="D1848" t="s">
        <v>700</v>
      </c>
      <c r="F1848" t="s">
        <v>1905</v>
      </c>
      <c r="G1848" t="s">
        <v>3700</v>
      </c>
      <c r="H1848" t="s">
        <v>4844</v>
      </c>
      <c r="I1848">
        <v>18</v>
      </c>
      <c r="J1848" t="s">
        <v>7170</v>
      </c>
      <c r="K1848">
        <v>10452</v>
      </c>
      <c r="N1848" t="s">
        <v>7237</v>
      </c>
      <c r="O1848" t="s">
        <v>8404</v>
      </c>
      <c r="P1848">
        <v>1</v>
      </c>
      <c r="Q1848">
        <v>1</v>
      </c>
      <c r="R1848">
        <v>0</v>
      </c>
      <c r="U1848">
        <v>0</v>
      </c>
      <c r="V1848" t="s">
        <v>10403</v>
      </c>
      <c r="W1848">
        <v>0</v>
      </c>
      <c r="Y1848" t="s">
        <v>10897</v>
      </c>
      <c r="AA1848" t="s">
        <v>10974</v>
      </c>
      <c r="AD1848" t="s">
        <v>11096</v>
      </c>
      <c r="AF1848" t="s">
        <v>11122</v>
      </c>
      <c r="AH1848" t="s">
        <v>10974</v>
      </c>
      <c r="AJ1848" t="s">
        <v>11141</v>
      </c>
      <c r="AK1848" t="s">
        <v>7225</v>
      </c>
      <c r="AM1848">
        <v>1000</v>
      </c>
      <c r="AO1848">
        <v>122</v>
      </c>
      <c r="AQ1848" t="s">
        <v>11157</v>
      </c>
      <c r="AS1848" t="s">
        <v>11173</v>
      </c>
      <c r="AU1848">
        <v>2</v>
      </c>
      <c r="AW1848" t="s">
        <v>11187</v>
      </c>
      <c r="AX1848" t="s">
        <v>11212</v>
      </c>
      <c r="AZ1848" t="s">
        <v>11221</v>
      </c>
      <c r="BE1848" t="s">
        <v>12691</v>
      </c>
      <c r="BG1848" t="s">
        <v>14717</v>
      </c>
      <c r="BM1848" t="s">
        <v>15650</v>
      </c>
    </row>
    <row r="1849" spans="1:65">
      <c r="A1849" s="1">
        <f>HYPERLINK("https://lsnyc.legalserver.org/matter/dynamic-profile/view/0780604","15-0780604")</f>
        <v>0</v>
      </c>
      <c r="B1849" t="s">
        <v>134</v>
      </c>
      <c r="C1849" t="s">
        <v>246</v>
      </c>
      <c r="D1849" t="s">
        <v>792</v>
      </c>
      <c r="F1849" t="s">
        <v>1440</v>
      </c>
      <c r="G1849" t="s">
        <v>3716</v>
      </c>
      <c r="H1849" t="s">
        <v>4844</v>
      </c>
      <c r="I1849" t="s">
        <v>6797</v>
      </c>
      <c r="J1849" t="s">
        <v>7170</v>
      </c>
      <c r="K1849">
        <v>10452</v>
      </c>
      <c r="N1849" t="s">
        <v>7237</v>
      </c>
      <c r="O1849" t="s">
        <v>8431</v>
      </c>
      <c r="P1849">
        <v>1</v>
      </c>
      <c r="Q1849">
        <v>0</v>
      </c>
      <c r="R1849">
        <v>91.76000000000001</v>
      </c>
      <c r="U1849">
        <v>10800</v>
      </c>
      <c r="W1849">
        <v>943.87</v>
      </c>
      <c r="X1849" t="s">
        <v>539</v>
      </c>
      <c r="Y1849" t="s">
        <v>138</v>
      </c>
      <c r="AA1849" t="s">
        <v>10974</v>
      </c>
      <c r="AB1849" t="s">
        <v>719</v>
      </c>
      <c r="AD1849" t="s">
        <v>11107</v>
      </c>
      <c r="AF1849" t="s">
        <v>11118</v>
      </c>
      <c r="AH1849" t="s">
        <v>10974</v>
      </c>
      <c r="AJ1849" t="s">
        <v>11141</v>
      </c>
      <c r="AK1849" t="s">
        <v>7225</v>
      </c>
      <c r="AM1849">
        <v>706.95</v>
      </c>
      <c r="AO1849">
        <v>122</v>
      </c>
      <c r="AQ1849" t="s">
        <v>11157</v>
      </c>
      <c r="AR1849" t="s">
        <v>11172</v>
      </c>
      <c r="AU1849">
        <v>24</v>
      </c>
      <c r="AW1849" t="s">
        <v>11187</v>
      </c>
      <c r="AZ1849" t="s">
        <v>11221</v>
      </c>
      <c r="BE1849" t="s">
        <v>12716</v>
      </c>
      <c r="BF1849" t="s">
        <v>14364</v>
      </c>
      <c r="BG1849" t="s">
        <v>14716</v>
      </c>
      <c r="BM1849" t="s">
        <v>15650</v>
      </c>
    </row>
    <row r="1850" spans="1:65">
      <c r="A1850" s="1">
        <f>HYPERLINK("https://lsnyc.legalserver.org/matter/dynamic-profile/view/1857520","18-1857520")</f>
        <v>0</v>
      </c>
      <c r="B1850" t="s">
        <v>134</v>
      </c>
      <c r="C1850" t="s">
        <v>246</v>
      </c>
      <c r="D1850" t="s">
        <v>691</v>
      </c>
      <c r="F1850" t="s">
        <v>1915</v>
      </c>
      <c r="G1850" t="s">
        <v>3710</v>
      </c>
      <c r="H1850" t="s">
        <v>4844</v>
      </c>
      <c r="I1850" t="s">
        <v>6573</v>
      </c>
      <c r="J1850" t="s">
        <v>7170</v>
      </c>
      <c r="K1850">
        <v>10452</v>
      </c>
      <c r="N1850" t="s">
        <v>7237</v>
      </c>
      <c r="O1850" t="s">
        <v>8420</v>
      </c>
      <c r="P1850">
        <v>2</v>
      </c>
      <c r="Q1850">
        <v>0</v>
      </c>
      <c r="R1850">
        <v>0</v>
      </c>
      <c r="U1850">
        <v>0</v>
      </c>
      <c r="W1850">
        <v>0</v>
      </c>
      <c r="Y1850" t="s">
        <v>10897</v>
      </c>
      <c r="Z1850" t="s">
        <v>10972</v>
      </c>
      <c r="AA1850" t="s">
        <v>10976</v>
      </c>
      <c r="AD1850" t="s">
        <v>11096</v>
      </c>
      <c r="AF1850" t="s">
        <v>11122</v>
      </c>
      <c r="AH1850" t="s">
        <v>10974</v>
      </c>
      <c r="AJ1850" t="s">
        <v>11141</v>
      </c>
      <c r="AK1850" t="s">
        <v>7225</v>
      </c>
      <c r="AM1850">
        <v>855.3099999999999</v>
      </c>
      <c r="AO1850">
        <v>122</v>
      </c>
      <c r="AQ1850" t="s">
        <v>11157</v>
      </c>
      <c r="AR1850" t="s">
        <v>11172</v>
      </c>
      <c r="AT1850" t="s">
        <v>11184</v>
      </c>
      <c r="AU1850">
        <v>0</v>
      </c>
      <c r="AW1850" t="s">
        <v>11187</v>
      </c>
      <c r="AX1850" t="s">
        <v>11212</v>
      </c>
      <c r="AZ1850" t="s">
        <v>11221</v>
      </c>
      <c r="BD1850" t="s">
        <v>11667</v>
      </c>
      <c r="BG1850" t="s">
        <v>14717</v>
      </c>
      <c r="BM1850" t="s">
        <v>15650</v>
      </c>
    </row>
    <row r="1851" spans="1:65">
      <c r="A1851" s="1">
        <f>HYPERLINK("https://lsnyc.legalserver.org/matter/dynamic-profile/view/1874668","18-1874668")</f>
        <v>0</v>
      </c>
      <c r="B1851" t="s">
        <v>134</v>
      </c>
      <c r="C1851" t="s">
        <v>246</v>
      </c>
      <c r="D1851" t="s">
        <v>402</v>
      </c>
      <c r="F1851" t="s">
        <v>1924</v>
      </c>
      <c r="G1851" t="s">
        <v>2913</v>
      </c>
      <c r="H1851" t="s">
        <v>5394</v>
      </c>
      <c r="I1851" t="s">
        <v>6798</v>
      </c>
      <c r="J1851" t="s">
        <v>7170</v>
      </c>
      <c r="K1851">
        <v>10453</v>
      </c>
      <c r="N1851" t="s">
        <v>7237</v>
      </c>
      <c r="O1851" t="s">
        <v>8432</v>
      </c>
      <c r="P1851">
        <v>1</v>
      </c>
      <c r="Q1851">
        <v>0</v>
      </c>
      <c r="R1851">
        <v>39.54</v>
      </c>
      <c r="U1851">
        <v>4800</v>
      </c>
      <c r="W1851">
        <v>38.15</v>
      </c>
      <c r="X1851" t="s">
        <v>260</v>
      </c>
      <c r="Y1851" t="s">
        <v>10899</v>
      </c>
      <c r="AA1851" t="s">
        <v>10974</v>
      </c>
      <c r="AB1851" t="s">
        <v>730</v>
      </c>
      <c r="AD1851" t="s">
        <v>11082</v>
      </c>
      <c r="AF1851" t="s">
        <v>11118</v>
      </c>
      <c r="AH1851" t="s">
        <v>10975</v>
      </c>
      <c r="AJ1851" t="s">
        <v>11147</v>
      </c>
      <c r="AK1851" t="s">
        <v>7225</v>
      </c>
      <c r="AM1851">
        <v>784.77</v>
      </c>
      <c r="AO1851">
        <v>65</v>
      </c>
      <c r="AQ1851" t="s">
        <v>11157</v>
      </c>
      <c r="AS1851" t="s">
        <v>11173</v>
      </c>
      <c r="AU1851">
        <v>46</v>
      </c>
      <c r="AW1851" t="s">
        <v>11187</v>
      </c>
      <c r="AY1851" t="s">
        <v>11214</v>
      </c>
      <c r="AZ1851" t="s">
        <v>11221</v>
      </c>
      <c r="BE1851" t="s">
        <v>12717</v>
      </c>
      <c r="BG1851" t="s">
        <v>14819</v>
      </c>
      <c r="BM1851" t="s">
        <v>15650</v>
      </c>
    </row>
    <row r="1852" spans="1:65">
      <c r="A1852" s="1">
        <f>HYPERLINK("https://lsnyc.legalserver.org/matter/dynamic-profile/view/1915358","19-1915358")</f>
        <v>0</v>
      </c>
      <c r="B1852" t="s">
        <v>134</v>
      </c>
      <c r="C1852" t="s">
        <v>246</v>
      </c>
      <c r="D1852" t="s">
        <v>436</v>
      </c>
      <c r="F1852" t="s">
        <v>1896</v>
      </c>
      <c r="G1852" t="s">
        <v>2507</v>
      </c>
      <c r="H1852" t="s">
        <v>5373</v>
      </c>
      <c r="I1852" t="s">
        <v>6405</v>
      </c>
      <c r="J1852" t="s">
        <v>7170</v>
      </c>
      <c r="K1852">
        <v>10456</v>
      </c>
      <c r="N1852" t="s">
        <v>7237</v>
      </c>
      <c r="O1852" t="s">
        <v>8392</v>
      </c>
      <c r="P1852">
        <v>2</v>
      </c>
      <c r="Q1852">
        <v>0</v>
      </c>
      <c r="R1852">
        <v>248.37</v>
      </c>
      <c r="U1852">
        <v>42000</v>
      </c>
      <c r="W1852">
        <v>0.75</v>
      </c>
      <c r="X1852" t="s">
        <v>669</v>
      </c>
      <c r="Y1852" t="s">
        <v>216</v>
      </c>
      <c r="AA1852" t="s">
        <v>10974</v>
      </c>
      <c r="AD1852" t="s">
        <v>11098</v>
      </c>
      <c r="AF1852" t="s">
        <v>11120</v>
      </c>
      <c r="AH1852" t="s">
        <v>10974</v>
      </c>
      <c r="AJ1852" t="s">
        <v>11141</v>
      </c>
      <c r="AK1852" t="s">
        <v>7225</v>
      </c>
      <c r="AM1852">
        <v>886</v>
      </c>
      <c r="AO1852">
        <v>131</v>
      </c>
      <c r="AQ1852" t="s">
        <v>11157</v>
      </c>
      <c r="AS1852" t="s">
        <v>11173</v>
      </c>
      <c r="AU1852">
        <v>28</v>
      </c>
      <c r="AW1852" t="s">
        <v>11187</v>
      </c>
      <c r="AX1852" t="s">
        <v>11212</v>
      </c>
      <c r="AZ1852" t="s">
        <v>11221</v>
      </c>
      <c r="BE1852" t="s">
        <v>12680</v>
      </c>
      <c r="BF1852" t="s">
        <v>14364</v>
      </c>
      <c r="BM1852" t="s">
        <v>15650</v>
      </c>
    </row>
    <row r="1853" spans="1:65">
      <c r="A1853" s="1">
        <f>HYPERLINK("https://lsnyc.legalserver.org/matter/dynamic-profile/view/1876628","18-1876628")</f>
        <v>0</v>
      </c>
      <c r="B1853" t="s">
        <v>134</v>
      </c>
      <c r="C1853" t="s">
        <v>246</v>
      </c>
      <c r="D1853" t="s">
        <v>662</v>
      </c>
      <c r="F1853" t="s">
        <v>1343</v>
      </c>
      <c r="G1853" t="s">
        <v>3520</v>
      </c>
      <c r="H1853" t="s">
        <v>5373</v>
      </c>
      <c r="I1853" t="s">
        <v>6679</v>
      </c>
      <c r="J1853" t="s">
        <v>7170</v>
      </c>
      <c r="K1853">
        <v>10456</v>
      </c>
      <c r="N1853" t="s">
        <v>7237</v>
      </c>
      <c r="O1853" t="s">
        <v>8433</v>
      </c>
      <c r="P1853">
        <v>2</v>
      </c>
      <c r="Q1853">
        <v>1</v>
      </c>
      <c r="R1853">
        <v>668.91</v>
      </c>
      <c r="U1853">
        <v>139000</v>
      </c>
      <c r="W1853">
        <v>0</v>
      </c>
      <c r="Y1853" t="s">
        <v>216</v>
      </c>
      <c r="AA1853" t="s">
        <v>10974</v>
      </c>
      <c r="AB1853" t="s">
        <v>662</v>
      </c>
      <c r="AD1853" t="s">
        <v>11101</v>
      </c>
      <c r="AF1853" t="s">
        <v>11118</v>
      </c>
      <c r="AH1853" t="s">
        <v>10974</v>
      </c>
      <c r="AJ1853" t="s">
        <v>11141</v>
      </c>
      <c r="AK1853" t="s">
        <v>7225</v>
      </c>
      <c r="AM1853">
        <v>706</v>
      </c>
      <c r="AO1853">
        <v>131</v>
      </c>
      <c r="AQ1853" t="s">
        <v>11157</v>
      </c>
      <c r="AS1853" t="s">
        <v>11173</v>
      </c>
      <c r="AU1853">
        <v>8</v>
      </c>
      <c r="AW1853" t="s">
        <v>11187</v>
      </c>
      <c r="AZ1853" t="s">
        <v>11221</v>
      </c>
      <c r="BE1853" t="s">
        <v>12718</v>
      </c>
      <c r="BG1853" t="s">
        <v>14808</v>
      </c>
      <c r="BM1853" t="s">
        <v>15650</v>
      </c>
    </row>
    <row r="1854" spans="1:65">
      <c r="A1854" s="1">
        <f>HYPERLINK("https://lsnyc.legalserver.org/matter/dynamic-profile/view/1886574","18-1886574")</f>
        <v>0</v>
      </c>
      <c r="B1854" t="s">
        <v>134</v>
      </c>
      <c r="C1854" t="s">
        <v>246</v>
      </c>
      <c r="D1854" t="s">
        <v>300</v>
      </c>
      <c r="F1854" t="s">
        <v>1700</v>
      </c>
      <c r="G1854" t="s">
        <v>3282</v>
      </c>
      <c r="H1854" t="s">
        <v>5395</v>
      </c>
      <c r="I1854" t="s">
        <v>6425</v>
      </c>
      <c r="J1854" t="s">
        <v>7170</v>
      </c>
      <c r="K1854">
        <v>10457</v>
      </c>
      <c r="N1854" t="s">
        <v>7241</v>
      </c>
      <c r="O1854" t="s">
        <v>8434</v>
      </c>
      <c r="P1854">
        <v>2</v>
      </c>
      <c r="Q1854">
        <v>0</v>
      </c>
      <c r="R1854">
        <v>177.98</v>
      </c>
      <c r="U1854">
        <v>29296</v>
      </c>
      <c r="V1854" t="s">
        <v>10471</v>
      </c>
      <c r="W1854">
        <v>2.5</v>
      </c>
      <c r="X1854" t="s">
        <v>671</v>
      </c>
      <c r="Y1854" t="s">
        <v>10875</v>
      </c>
      <c r="AA1854" t="s">
        <v>10974</v>
      </c>
      <c r="AB1854" t="s">
        <v>621</v>
      </c>
      <c r="AD1854" t="s">
        <v>11090</v>
      </c>
      <c r="AF1854" t="s">
        <v>11119</v>
      </c>
      <c r="AH1854" t="s">
        <v>10975</v>
      </c>
      <c r="AJ1854" t="s">
        <v>11132</v>
      </c>
      <c r="AK1854" t="s">
        <v>7225</v>
      </c>
      <c r="AM1854">
        <v>1579</v>
      </c>
      <c r="AO1854">
        <v>110</v>
      </c>
      <c r="AQ1854" t="s">
        <v>11157</v>
      </c>
      <c r="AS1854" t="s">
        <v>11174</v>
      </c>
      <c r="AU1854">
        <v>4</v>
      </c>
      <c r="AW1854" t="s">
        <v>11187</v>
      </c>
      <c r="AZ1854" t="s">
        <v>11221</v>
      </c>
      <c r="BE1854" t="s">
        <v>12719</v>
      </c>
      <c r="BF1854" t="s">
        <v>14364</v>
      </c>
      <c r="BM1854" t="s">
        <v>15650</v>
      </c>
    </row>
    <row r="1855" spans="1:65">
      <c r="A1855" s="1">
        <f>HYPERLINK("https://lsnyc.legalserver.org/matter/dynamic-profile/view/0823542","16-0823542")</f>
        <v>0</v>
      </c>
      <c r="B1855" t="s">
        <v>134</v>
      </c>
      <c r="C1855" t="s">
        <v>246</v>
      </c>
      <c r="D1855" t="s">
        <v>698</v>
      </c>
      <c r="F1855" t="s">
        <v>1188</v>
      </c>
      <c r="G1855" t="s">
        <v>2308</v>
      </c>
      <c r="H1855" t="s">
        <v>4844</v>
      </c>
      <c r="J1855" t="s">
        <v>7170</v>
      </c>
      <c r="K1855">
        <v>10452</v>
      </c>
      <c r="N1855" t="s">
        <v>7237</v>
      </c>
      <c r="O1855" t="s">
        <v>7362</v>
      </c>
      <c r="P1855">
        <v>1</v>
      </c>
      <c r="Q1855">
        <v>0</v>
      </c>
      <c r="R1855">
        <v>92.63</v>
      </c>
      <c r="U1855">
        <v>11004</v>
      </c>
      <c r="W1855">
        <v>0</v>
      </c>
      <c r="Y1855" t="s">
        <v>10897</v>
      </c>
      <c r="AA1855" t="s">
        <v>10974</v>
      </c>
      <c r="AB1855" t="s">
        <v>698</v>
      </c>
      <c r="AD1855" t="s">
        <v>11096</v>
      </c>
      <c r="AF1855" t="s">
        <v>11122</v>
      </c>
      <c r="AH1855" t="s">
        <v>10974</v>
      </c>
      <c r="AJ1855" t="s">
        <v>11144</v>
      </c>
      <c r="AK1855" t="s">
        <v>7225</v>
      </c>
      <c r="AM1855">
        <v>700.84</v>
      </c>
      <c r="AO1855">
        <v>122</v>
      </c>
      <c r="AQ1855" t="s">
        <v>11157</v>
      </c>
      <c r="AR1855" t="s">
        <v>11172</v>
      </c>
      <c r="AU1855">
        <v>25</v>
      </c>
      <c r="AW1855" t="s">
        <v>11187</v>
      </c>
      <c r="AZ1855" t="s">
        <v>11221</v>
      </c>
      <c r="BE1855" t="s">
        <v>11761</v>
      </c>
      <c r="BF1855" t="s">
        <v>14364</v>
      </c>
      <c r="BM1855" t="s">
        <v>15650</v>
      </c>
    </row>
    <row r="1856" spans="1:65">
      <c r="A1856" s="1">
        <f>HYPERLINK("https://lsnyc.legalserver.org/matter/dynamic-profile/view/1881498","18-1881498")</f>
        <v>0</v>
      </c>
      <c r="B1856" t="s">
        <v>134</v>
      </c>
      <c r="C1856" t="s">
        <v>246</v>
      </c>
      <c r="D1856" t="s">
        <v>663</v>
      </c>
      <c r="F1856" t="s">
        <v>1312</v>
      </c>
      <c r="G1856" t="s">
        <v>3717</v>
      </c>
      <c r="H1856" t="s">
        <v>5396</v>
      </c>
      <c r="I1856" t="s">
        <v>6799</v>
      </c>
      <c r="J1856" t="s">
        <v>7170</v>
      </c>
      <c r="K1856">
        <v>10459</v>
      </c>
      <c r="N1856" t="s">
        <v>7237</v>
      </c>
      <c r="O1856" t="s">
        <v>8435</v>
      </c>
      <c r="P1856">
        <v>1</v>
      </c>
      <c r="Q1856">
        <v>0</v>
      </c>
      <c r="R1856">
        <v>74.14</v>
      </c>
      <c r="U1856">
        <v>9000</v>
      </c>
      <c r="W1856">
        <v>59.5</v>
      </c>
      <c r="X1856" t="s">
        <v>599</v>
      </c>
      <c r="Y1856" t="s">
        <v>193</v>
      </c>
      <c r="AA1856" t="s">
        <v>10974</v>
      </c>
      <c r="AB1856" t="s">
        <v>484</v>
      </c>
      <c r="AD1856" t="s">
        <v>11082</v>
      </c>
      <c r="AF1856" t="s">
        <v>11118</v>
      </c>
      <c r="AH1856" t="s">
        <v>10975</v>
      </c>
      <c r="AJ1856" t="s">
        <v>11138</v>
      </c>
      <c r="AK1856" t="s">
        <v>7225</v>
      </c>
      <c r="AM1856">
        <v>850</v>
      </c>
      <c r="AO1856">
        <v>56</v>
      </c>
      <c r="AQ1856" t="s">
        <v>11157</v>
      </c>
      <c r="AS1856" t="s">
        <v>11173</v>
      </c>
      <c r="AU1856">
        <v>14</v>
      </c>
      <c r="AW1856" t="s">
        <v>11189</v>
      </c>
      <c r="AY1856" t="s">
        <v>11217</v>
      </c>
      <c r="AZ1856" t="s">
        <v>11221</v>
      </c>
      <c r="BE1856" t="s">
        <v>12720</v>
      </c>
      <c r="BG1856" t="s">
        <v>14820</v>
      </c>
      <c r="BM1856" t="s">
        <v>15650</v>
      </c>
    </row>
    <row r="1857" spans="1:65">
      <c r="A1857" s="1">
        <f>HYPERLINK("https://lsnyc.legalserver.org/matter/dynamic-profile/view/0789082","15-0789082")</f>
        <v>0</v>
      </c>
      <c r="B1857" t="s">
        <v>134</v>
      </c>
      <c r="C1857" t="s">
        <v>246</v>
      </c>
      <c r="D1857" t="s">
        <v>707</v>
      </c>
      <c r="F1857" t="s">
        <v>1903</v>
      </c>
      <c r="G1857" t="s">
        <v>3718</v>
      </c>
      <c r="H1857" t="s">
        <v>4844</v>
      </c>
      <c r="I1857" t="s">
        <v>6745</v>
      </c>
      <c r="J1857" t="s">
        <v>7170</v>
      </c>
      <c r="K1857">
        <v>10452</v>
      </c>
      <c r="N1857" t="s">
        <v>7237</v>
      </c>
      <c r="O1857" t="s">
        <v>8436</v>
      </c>
      <c r="P1857">
        <v>1</v>
      </c>
      <c r="Q1857">
        <v>0</v>
      </c>
      <c r="R1857">
        <v>84.93000000000001</v>
      </c>
      <c r="U1857">
        <v>9996</v>
      </c>
      <c r="V1857" t="s">
        <v>10472</v>
      </c>
      <c r="W1857">
        <v>0.2</v>
      </c>
      <c r="X1857" t="s">
        <v>920</v>
      </c>
      <c r="Y1857" t="s">
        <v>138</v>
      </c>
      <c r="AA1857" t="s">
        <v>10974</v>
      </c>
      <c r="AB1857" t="s">
        <v>849</v>
      </c>
      <c r="AD1857" t="s">
        <v>11085</v>
      </c>
      <c r="AF1857" t="s">
        <v>11118</v>
      </c>
      <c r="AH1857" t="s">
        <v>10974</v>
      </c>
      <c r="AJ1857" t="s">
        <v>11132</v>
      </c>
      <c r="AK1857" t="s">
        <v>7225</v>
      </c>
      <c r="AM1857">
        <v>1057</v>
      </c>
      <c r="AN1857" t="s">
        <v>11151</v>
      </c>
      <c r="AO1857" t="s">
        <v>11153</v>
      </c>
      <c r="AP1857" t="s">
        <v>11155</v>
      </c>
      <c r="AR1857" t="s">
        <v>11172</v>
      </c>
      <c r="AU1857">
        <v>23</v>
      </c>
      <c r="AW1857" t="s">
        <v>11189</v>
      </c>
      <c r="AZ1857" t="s">
        <v>11221</v>
      </c>
      <c r="BC1857" t="s">
        <v>11387</v>
      </c>
      <c r="BE1857" t="s">
        <v>12721</v>
      </c>
      <c r="BG1857" t="s">
        <v>14821</v>
      </c>
      <c r="BM1857" t="s">
        <v>15650</v>
      </c>
    </row>
    <row r="1858" spans="1:65">
      <c r="A1858" s="1">
        <f>HYPERLINK("https://lsnyc.legalserver.org/matter/dynamic-profile/view/1886865","19-1886865")</f>
        <v>0</v>
      </c>
      <c r="B1858" t="s">
        <v>134</v>
      </c>
      <c r="C1858" t="s">
        <v>246</v>
      </c>
      <c r="D1858" t="s">
        <v>547</v>
      </c>
      <c r="F1858" t="s">
        <v>1317</v>
      </c>
      <c r="G1858" t="s">
        <v>2988</v>
      </c>
      <c r="H1858" t="s">
        <v>5373</v>
      </c>
      <c r="I1858" t="s">
        <v>6501</v>
      </c>
      <c r="J1858" t="s">
        <v>7170</v>
      </c>
      <c r="K1858">
        <v>10456</v>
      </c>
      <c r="N1858" t="s">
        <v>7237</v>
      </c>
      <c r="O1858" t="s">
        <v>8411</v>
      </c>
      <c r="P1858">
        <v>1</v>
      </c>
      <c r="Q1858">
        <v>2</v>
      </c>
      <c r="R1858">
        <v>125.12</v>
      </c>
      <c r="U1858">
        <v>26000</v>
      </c>
      <c r="W1858">
        <v>0</v>
      </c>
      <c r="Y1858" t="s">
        <v>216</v>
      </c>
      <c r="AA1858" t="s">
        <v>10974</v>
      </c>
      <c r="AB1858" t="s">
        <v>370</v>
      </c>
      <c r="AD1858" t="s">
        <v>11098</v>
      </c>
      <c r="AF1858" t="s">
        <v>11122</v>
      </c>
      <c r="AH1858" t="s">
        <v>10974</v>
      </c>
      <c r="AJ1858" t="s">
        <v>11141</v>
      </c>
      <c r="AK1858" t="s">
        <v>7225</v>
      </c>
      <c r="AM1858">
        <v>1330.07</v>
      </c>
      <c r="AO1858">
        <v>131</v>
      </c>
      <c r="AQ1858" t="s">
        <v>11157</v>
      </c>
      <c r="AS1858" t="s">
        <v>11173</v>
      </c>
      <c r="AU1858">
        <v>3</v>
      </c>
      <c r="AW1858" t="s">
        <v>11189</v>
      </c>
      <c r="AZ1858" t="s">
        <v>11221</v>
      </c>
      <c r="BE1858" t="s">
        <v>12699</v>
      </c>
      <c r="BG1858" t="s">
        <v>14805</v>
      </c>
      <c r="BM1858" t="s">
        <v>15650</v>
      </c>
    </row>
    <row r="1859" spans="1:65">
      <c r="A1859" s="1">
        <f>HYPERLINK("https://lsnyc.legalserver.org/matter/dynamic-profile/view/0821600","16-0821600")</f>
        <v>0</v>
      </c>
      <c r="B1859" t="s">
        <v>134</v>
      </c>
      <c r="C1859" t="s">
        <v>246</v>
      </c>
      <c r="D1859" t="s">
        <v>793</v>
      </c>
      <c r="F1859" t="s">
        <v>1891</v>
      </c>
      <c r="G1859" t="s">
        <v>3689</v>
      </c>
      <c r="H1859" t="s">
        <v>4844</v>
      </c>
      <c r="I1859" t="s">
        <v>6785</v>
      </c>
      <c r="J1859" t="s">
        <v>7170</v>
      </c>
      <c r="K1859">
        <v>10452</v>
      </c>
      <c r="N1859" t="s">
        <v>7237</v>
      </c>
      <c r="O1859" t="s">
        <v>8386</v>
      </c>
      <c r="P1859">
        <v>1</v>
      </c>
      <c r="Q1859">
        <v>0</v>
      </c>
      <c r="R1859">
        <v>0</v>
      </c>
      <c r="U1859">
        <v>0</v>
      </c>
      <c r="W1859">
        <v>0.1</v>
      </c>
      <c r="X1859" t="s">
        <v>698</v>
      </c>
      <c r="Y1859" t="s">
        <v>10897</v>
      </c>
      <c r="AA1859" t="s">
        <v>10974</v>
      </c>
      <c r="AB1859" t="s">
        <v>793</v>
      </c>
      <c r="AD1859" t="s">
        <v>11096</v>
      </c>
      <c r="AF1859" t="s">
        <v>11122</v>
      </c>
      <c r="AH1859" t="s">
        <v>10974</v>
      </c>
      <c r="AI1859" t="s">
        <v>11126</v>
      </c>
      <c r="AK1859" t="s">
        <v>7225</v>
      </c>
      <c r="AL1859" t="s">
        <v>11150</v>
      </c>
      <c r="AM1859">
        <v>0</v>
      </c>
      <c r="AO1859">
        <v>122</v>
      </c>
      <c r="AQ1859" t="s">
        <v>11157</v>
      </c>
      <c r="AR1859" t="s">
        <v>11172</v>
      </c>
      <c r="AT1859" t="s">
        <v>11184</v>
      </c>
      <c r="AU1859">
        <v>0</v>
      </c>
      <c r="AW1859" t="s">
        <v>11187</v>
      </c>
      <c r="AZ1859" t="s">
        <v>11221</v>
      </c>
      <c r="BD1859" t="s">
        <v>11667</v>
      </c>
      <c r="BG1859" t="s">
        <v>14719</v>
      </c>
      <c r="BM1859" t="s">
        <v>15650</v>
      </c>
    </row>
    <row r="1860" spans="1:65">
      <c r="A1860" s="1">
        <f>HYPERLINK("https://lsnyc.legalserver.org/matter/dynamic-profile/view/1857092","18-1857092")</f>
        <v>0</v>
      </c>
      <c r="B1860" t="s">
        <v>134</v>
      </c>
      <c r="C1860" t="s">
        <v>246</v>
      </c>
      <c r="D1860" t="s">
        <v>692</v>
      </c>
      <c r="F1860" t="s">
        <v>1903</v>
      </c>
      <c r="G1860" t="s">
        <v>3718</v>
      </c>
      <c r="H1860" t="s">
        <v>4844</v>
      </c>
      <c r="I1860" t="s">
        <v>6745</v>
      </c>
      <c r="J1860" t="s">
        <v>7170</v>
      </c>
      <c r="K1860">
        <v>10452</v>
      </c>
      <c r="N1860" t="s">
        <v>7237</v>
      </c>
      <c r="O1860" t="s">
        <v>8436</v>
      </c>
      <c r="P1860">
        <v>1</v>
      </c>
      <c r="Q1860">
        <v>0</v>
      </c>
      <c r="R1860">
        <v>82.89</v>
      </c>
      <c r="U1860">
        <v>9996</v>
      </c>
      <c r="V1860" t="s">
        <v>10473</v>
      </c>
      <c r="W1860">
        <v>0.1</v>
      </c>
      <c r="X1860" t="s">
        <v>920</v>
      </c>
      <c r="Y1860" t="s">
        <v>10897</v>
      </c>
      <c r="AA1860" t="s">
        <v>10974</v>
      </c>
      <c r="AB1860" t="s">
        <v>849</v>
      </c>
      <c r="AD1860" t="s">
        <v>11096</v>
      </c>
      <c r="AF1860" t="s">
        <v>11122</v>
      </c>
      <c r="AH1860" t="s">
        <v>10974</v>
      </c>
      <c r="AJ1860" t="s">
        <v>11141</v>
      </c>
      <c r="AK1860" t="s">
        <v>7225</v>
      </c>
      <c r="AM1860">
        <v>1057</v>
      </c>
      <c r="AO1860">
        <v>122</v>
      </c>
      <c r="AQ1860" t="s">
        <v>11157</v>
      </c>
      <c r="AR1860" t="s">
        <v>11172</v>
      </c>
      <c r="AU1860">
        <v>24</v>
      </c>
      <c r="AW1860" t="s">
        <v>11189</v>
      </c>
      <c r="AZ1860" t="s">
        <v>11221</v>
      </c>
      <c r="BC1860" t="s">
        <v>11387</v>
      </c>
      <c r="BE1860" t="s">
        <v>12721</v>
      </c>
      <c r="BG1860" t="s">
        <v>14719</v>
      </c>
      <c r="BM1860" t="s">
        <v>15650</v>
      </c>
    </row>
    <row r="1861" spans="1:65">
      <c r="A1861" s="1">
        <f>HYPERLINK("https://lsnyc.legalserver.org/matter/dynamic-profile/view/0821427","16-0821427")</f>
        <v>0</v>
      </c>
      <c r="B1861" t="s">
        <v>134</v>
      </c>
      <c r="C1861" t="s">
        <v>246</v>
      </c>
      <c r="D1861" t="s">
        <v>622</v>
      </c>
      <c r="E1861" t="s">
        <v>536</v>
      </c>
      <c r="F1861" t="s">
        <v>1925</v>
      </c>
      <c r="G1861" t="s">
        <v>3719</v>
      </c>
      <c r="H1861" t="s">
        <v>5290</v>
      </c>
      <c r="I1861" t="s">
        <v>6642</v>
      </c>
      <c r="J1861" t="s">
        <v>7170</v>
      </c>
      <c r="K1861">
        <v>10468</v>
      </c>
      <c r="L1861" t="s">
        <v>7217</v>
      </c>
      <c r="N1861" t="s">
        <v>7237</v>
      </c>
      <c r="O1861" t="s">
        <v>8437</v>
      </c>
      <c r="P1861">
        <v>3</v>
      </c>
      <c r="Q1861">
        <v>2</v>
      </c>
      <c r="R1861">
        <v>79.31999999999999</v>
      </c>
      <c r="S1861" t="s">
        <v>250</v>
      </c>
      <c r="U1861">
        <v>22560</v>
      </c>
      <c r="W1861">
        <v>1.1</v>
      </c>
      <c r="X1861" t="s">
        <v>536</v>
      </c>
      <c r="Y1861" t="s">
        <v>10899</v>
      </c>
      <c r="AA1861" t="s">
        <v>10974</v>
      </c>
      <c r="AB1861" t="s">
        <v>763</v>
      </c>
      <c r="AD1861" t="s">
        <v>11090</v>
      </c>
      <c r="AF1861" t="s">
        <v>11120</v>
      </c>
      <c r="AH1861" t="s">
        <v>10974</v>
      </c>
      <c r="AJ1861" t="s">
        <v>11141</v>
      </c>
      <c r="AK1861" t="s">
        <v>7225</v>
      </c>
      <c r="AM1861">
        <v>905.27</v>
      </c>
      <c r="AO1861">
        <v>37</v>
      </c>
      <c r="AQ1861" t="s">
        <v>11164</v>
      </c>
      <c r="AS1861" t="s">
        <v>11173</v>
      </c>
      <c r="AU1861">
        <v>30</v>
      </c>
      <c r="AW1861" t="s">
        <v>11187</v>
      </c>
      <c r="AZ1861" t="s">
        <v>11221</v>
      </c>
      <c r="BB1861" t="s">
        <v>11224</v>
      </c>
      <c r="BC1861" t="s">
        <v>11388</v>
      </c>
      <c r="BE1861" t="s">
        <v>12722</v>
      </c>
      <c r="BF1861" t="s">
        <v>14364</v>
      </c>
      <c r="BM1861" t="s">
        <v>15651</v>
      </c>
    </row>
    <row r="1862" spans="1:65">
      <c r="A1862" s="1">
        <f>HYPERLINK("https://lsnyc.legalserver.org/matter/dynamic-profile/view/1870539","18-1870539")</f>
        <v>0</v>
      </c>
      <c r="B1862" t="s">
        <v>134</v>
      </c>
      <c r="C1862" t="s">
        <v>246</v>
      </c>
      <c r="D1862" t="s">
        <v>641</v>
      </c>
      <c r="F1862" t="s">
        <v>1270</v>
      </c>
      <c r="G1862" t="s">
        <v>3562</v>
      </c>
      <c r="H1862" t="s">
        <v>5373</v>
      </c>
      <c r="I1862" t="s">
        <v>6420</v>
      </c>
      <c r="J1862" t="s">
        <v>7170</v>
      </c>
      <c r="K1862">
        <v>10456</v>
      </c>
      <c r="N1862" t="s">
        <v>7237</v>
      </c>
      <c r="O1862" t="s">
        <v>8438</v>
      </c>
      <c r="P1862">
        <v>1</v>
      </c>
      <c r="Q1862">
        <v>0</v>
      </c>
      <c r="R1862">
        <v>83.03</v>
      </c>
      <c r="U1862">
        <v>10080</v>
      </c>
      <c r="W1862">
        <v>0</v>
      </c>
      <c r="Y1862" t="s">
        <v>216</v>
      </c>
      <c r="AA1862" t="s">
        <v>10974</v>
      </c>
      <c r="AB1862" t="s">
        <v>939</v>
      </c>
      <c r="AD1862" t="s">
        <v>11101</v>
      </c>
      <c r="AF1862" t="s">
        <v>11118</v>
      </c>
      <c r="AH1862" t="s">
        <v>10974</v>
      </c>
      <c r="AJ1862" t="s">
        <v>11141</v>
      </c>
      <c r="AK1862" t="s">
        <v>7225</v>
      </c>
      <c r="AM1862">
        <v>589</v>
      </c>
      <c r="AO1862">
        <v>131</v>
      </c>
      <c r="AQ1862" t="s">
        <v>11160</v>
      </c>
      <c r="AS1862" t="s">
        <v>11174</v>
      </c>
      <c r="AU1862">
        <v>23</v>
      </c>
      <c r="AW1862" t="s">
        <v>11187</v>
      </c>
      <c r="AZ1862" t="s">
        <v>11221</v>
      </c>
      <c r="BB1862" t="s">
        <v>11224</v>
      </c>
      <c r="BC1862" t="s">
        <v>11389</v>
      </c>
      <c r="BD1862" t="s">
        <v>11667</v>
      </c>
      <c r="BF1862" t="s">
        <v>14364</v>
      </c>
      <c r="BG1862" t="s">
        <v>14813</v>
      </c>
      <c r="BM1862" t="s">
        <v>15650</v>
      </c>
    </row>
    <row r="1863" spans="1:65">
      <c r="A1863" s="1">
        <f>HYPERLINK("https://lsnyc.legalserver.org/matter/dynamic-profile/view/1886867","19-1886867")</f>
        <v>0</v>
      </c>
      <c r="B1863" t="s">
        <v>134</v>
      </c>
      <c r="C1863" t="s">
        <v>246</v>
      </c>
      <c r="D1863" t="s">
        <v>547</v>
      </c>
      <c r="F1863" t="s">
        <v>1213</v>
      </c>
      <c r="G1863" t="s">
        <v>3720</v>
      </c>
      <c r="H1863" t="s">
        <v>5373</v>
      </c>
      <c r="I1863" t="s">
        <v>6595</v>
      </c>
      <c r="J1863" t="s">
        <v>7170</v>
      </c>
      <c r="K1863">
        <v>10456</v>
      </c>
      <c r="N1863" t="s">
        <v>7237</v>
      </c>
      <c r="O1863" t="s">
        <v>8439</v>
      </c>
      <c r="P1863">
        <v>3</v>
      </c>
      <c r="Q1863">
        <v>0</v>
      </c>
      <c r="R1863">
        <v>346.49</v>
      </c>
      <c r="U1863">
        <v>72000</v>
      </c>
      <c r="W1863">
        <v>0</v>
      </c>
      <c r="Y1863" t="s">
        <v>216</v>
      </c>
      <c r="AA1863" t="s">
        <v>10974</v>
      </c>
      <c r="AB1863" t="s">
        <v>370</v>
      </c>
      <c r="AD1863" t="s">
        <v>11098</v>
      </c>
      <c r="AF1863" t="s">
        <v>11122</v>
      </c>
      <c r="AH1863" t="s">
        <v>10974</v>
      </c>
      <c r="AJ1863" t="s">
        <v>11141</v>
      </c>
      <c r="AK1863" t="s">
        <v>7225</v>
      </c>
      <c r="AM1863">
        <v>1035</v>
      </c>
      <c r="AO1863">
        <v>131</v>
      </c>
      <c r="AQ1863" t="s">
        <v>11157</v>
      </c>
      <c r="AS1863" t="s">
        <v>11173</v>
      </c>
      <c r="AU1863">
        <v>20</v>
      </c>
      <c r="AW1863" t="s">
        <v>11187</v>
      </c>
      <c r="AZ1863" t="s">
        <v>11221</v>
      </c>
      <c r="BE1863" t="s">
        <v>12723</v>
      </c>
      <c r="BG1863" t="s">
        <v>14805</v>
      </c>
      <c r="BM1863" t="s">
        <v>15650</v>
      </c>
    </row>
    <row r="1864" spans="1:65">
      <c r="A1864" s="1">
        <f>HYPERLINK("https://lsnyc.legalserver.org/matter/dynamic-profile/view/1870530","18-1870530")</f>
        <v>0</v>
      </c>
      <c r="B1864" t="s">
        <v>134</v>
      </c>
      <c r="C1864" t="s">
        <v>246</v>
      </c>
      <c r="D1864" t="s">
        <v>641</v>
      </c>
      <c r="F1864" t="s">
        <v>1213</v>
      </c>
      <c r="G1864" t="s">
        <v>3720</v>
      </c>
      <c r="H1864" t="s">
        <v>5373</v>
      </c>
      <c r="I1864" t="s">
        <v>6595</v>
      </c>
      <c r="J1864" t="s">
        <v>7170</v>
      </c>
      <c r="K1864">
        <v>10456</v>
      </c>
      <c r="N1864" t="s">
        <v>7237</v>
      </c>
      <c r="O1864" t="s">
        <v>8439</v>
      </c>
      <c r="P1864">
        <v>3</v>
      </c>
      <c r="Q1864">
        <v>0</v>
      </c>
      <c r="R1864">
        <v>346.49</v>
      </c>
      <c r="U1864">
        <v>72000</v>
      </c>
      <c r="W1864">
        <v>0</v>
      </c>
      <c r="Y1864" t="s">
        <v>216</v>
      </c>
      <c r="AA1864" t="s">
        <v>10974</v>
      </c>
      <c r="AB1864" t="s">
        <v>939</v>
      </c>
      <c r="AD1864" t="s">
        <v>11096</v>
      </c>
      <c r="AF1864" t="s">
        <v>11122</v>
      </c>
      <c r="AH1864" t="s">
        <v>10974</v>
      </c>
      <c r="AJ1864" t="s">
        <v>11141</v>
      </c>
      <c r="AK1864" t="s">
        <v>7225</v>
      </c>
      <c r="AM1864">
        <v>1035</v>
      </c>
      <c r="AO1864">
        <v>131</v>
      </c>
      <c r="AQ1864" t="s">
        <v>11157</v>
      </c>
      <c r="AS1864" t="s">
        <v>11173</v>
      </c>
      <c r="AU1864">
        <v>20</v>
      </c>
      <c r="AW1864" t="s">
        <v>11187</v>
      </c>
      <c r="AZ1864" t="s">
        <v>11221</v>
      </c>
      <c r="BE1864" t="s">
        <v>12723</v>
      </c>
      <c r="BG1864" t="s">
        <v>14805</v>
      </c>
      <c r="BM1864" t="s">
        <v>15650</v>
      </c>
    </row>
    <row r="1865" spans="1:65">
      <c r="A1865" s="1">
        <f>HYPERLINK("https://lsnyc.legalserver.org/matter/dynamic-profile/view/1887119","19-1887119")</f>
        <v>0</v>
      </c>
      <c r="B1865" t="s">
        <v>134</v>
      </c>
      <c r="C1865" t="s">
        <v>246</v>
      </c>
      <c r="D1865" t="s">
        <v>785</v>
      </c>
      <c r="E1865" t="s">
        <v>735</v>
      </c>
      <c r="F1865" t="s">
        <v>1926</v>
      </c>
      <c r="G1865" t="s">
        <v>2125</v>
      </c>
      <c r="H1865" t="s">
        <v>5397</v>
      </c>
      <c r="I1865" t="s">
        <v>6628</v>
      </c>
      <c r="J1865" t="s">
        <v>7170</v>
      </c>
      <c r="K1865">
        <v>10458</v>
      </c>
      <c r="L1865" t="s">
        <v>7216</v>
      </c>
      <c r="N1865" t="s">
        <v>7237</v>
      </c>
      <c r="O1865" t="s">
        <v>8440</v>
      </c>
      <c r="P1865">
        <v>1</v>
      </c>
      <c r="Q1865">
        <v>0</v>
      </c>
      <c r="R1865">
        <v>116.08</v>
      </c>
      <c r="U1865">
        <v>14092</v>
      </c>
      <c r="W1865">
        <v>3.4</v>
      </c>
      <c r="X1865" t="s">
        <v>587</v>
      </c>
      <c r="Y1865" t="s">
        <v>216</v>
      </c>
      <c r="AA1865" t="s">
        <v>10974</v>
      </c>
      <c r="AB1865" t="s">
        <v>785</v>
      </c>
      <c r="AD1865" t="s">
        <v>11082</v>
      </c>
      <c r="AF1865" t="s">
        <v>11119</v>
      </c>
      <c r="AH1865" t="s">
        <v>10975</v>
      </c>
      <c r="AJ1865" t="s">
        <v>11139</v>
      </c>
      <c r="AK1865" t="s">
        <v>7225</v>
      </c>
      <c r="AM1865">
        <v>984</v>
      </c>
      <c r="AO1865">
        <v>48</v>
      </c>
      <c r="AQ1865" t="s">
        <v>11157</v>
      </c>
      <c r="AS1865" t="s">
        <v>11173</v>
      </c>
      <c r="AU1865">
        <v>10</v>
      </c>
      <c r="AW1865" t="s">
        <v>11187</v>
      </c>
      <c r="AZ1865" t="s">
        <v>11221</v>
      </c>
      <c r="BE1865" t="s">
        <v>12724</v>
      </c>
      <c r="BG1865" t="s">
        <v>14822</v>
      </c>
      <c r="BM1865" t="s">
        <v>15651</v>
      </c>
    </row>
    <row r="1866" spans="1:65">
      <c r="A1866" s="1">
        <f>HYPERLINK("https://lsnyc.legalserver.org/matter/dynamic-profile/view/1862986","18-1862986")</f>
        <v>0</v>
      </c>
      <c r="B1866" t="s">
        <v>134</v>
      </c>
      <c r="C1866" t="s">
        <v>246</v>
      </c>
      <c r="D1866" t="s">
        <v>758</v>
      </c>
      <c r="F1866" t="s">
        <v>1927</v>
      </c>
      <c r="G1866" t="s">
        <v>3721</v>
      </c>
      <c r="H1866" t="s">
        <v>5398</v>
      </c>
      <c r="I1866" t="s">
        <v>6666</v>
      </c>
      <c r="J1866" t="s">
        <v>7170</v>
      </c>
      <c r="K1866">
        <v>10453</v>
      </c>
      <c r="N1866" t="s">
        <v>7237</v>
      </c>
      <c r="O1866" t="s">
        <v>8441</v>
      </c>
      <c r="P1866">
        <v>1</v>
      </c>
      <c r="Q1866">
        <v>0</v>
      </c>
      <c r="R1866">
        <v>79.08</v>
      </c>
      <c r="U1866">
        <v>9600</v>
      </c>
      <c r="V1866" t="s">
        <v>10474</v>
      </c>
      <c r="W1866">
        <v>42.2</v>
      </c>
      <c r="X1866" t="s">
        <v>616</v>
      </c>
      <c r="Y1866" t="s">
        <v>216</v>
      </c>
      <c r="AA1866" t="s">
        <v>10974</v>
      </c>
      <c r="AB1866" t="s">
        <v>939</v>
      </c>
      <c r="AD1866" t="s">
        <v>11082</v>
      </c>
      <c r="AF1866" t="s">
        <v>11118</v>
      </c>
      <c r="AH1866" t="s">
        <v>10975</v>
      </c>
      <c r="AJ1866" t="s">
        <v>11141</v>
      </c>
      <c r="AK1866" t="s">
        <v>7225</v>
      </c>
      <c r="AM1866">
        <v>1039.51</v>
      </c>
      <c r="AO1866">
        <v>69</v>
      </c>
      <c r="AQ1866" t="s">
        <v>11157</v>
      </c>
      <c r="AS1866" t="s">
        <v>11173</v>
      </c>
      <c r="AU1866">
        <v>15</v>
      </c>
      <c r="AW1866" t="s">
        <v>3528</v>
      </c>
      <c r="AZ1866" t="s">
        <v>11221</v>
      </c>
      <c r="BE1866" t="s">
        <v>12725</v>
      </c>
      <c r="BG1866" t="s">
        <v>14823</v>
      </c>
      <c r="BM1866" t="s">
        <v>15650</v>
      </c>
    </row>
    <row r="1867" spans="1:65">
      <c r="A1867" s="1">
        <f>HYPERLINK("https://lsnyc.legalserver.org/matter/dynamic-profile/view/1876715","18-1876715")</f>
        <v>0</v>
      </c>
      <c r="B1867" t="s">
        <v>134</v>
      </c>
      <c r="C1867" t="s">
        <v>246</v>
      </c>
      <c r="D1867" t="s">
        <v>662</v>
      </c>
      <c r="F1867" t="s">
        <v>1928</v>
      </c>
      <c r="G1867" t="s">
        <v>3504</v>
      </c>
      <c r="H1867" t="s">
        <v>5373</v>
      </c>
      <c r="I1867" t="s">
        <v>6448</v>
      </c>
      <c r="J1867" t="s">
        <v>7170</v>
      </c>
      <c r="K1867">
        <v>10456</v>
      </c>
      <c r="N1867" t="s">
        <v>7237</v>
      </c>
      <c r="O1867" t="s">
        <v>8442</v>
      </c>
      <c r="P1867">
        <v>2</v>
      </c>
      <c r="Q1867">
        <v>0</v>
      </c>
      <c r="R1867">
        <v>186.72</v>
      </c>
      <c r="U1867">
        <v>30734.8</v>
      </c>
      <c r="W1867">
        <v>0</v>
      </c>
      <c r="Y1867" t="s">
        <v>216</v>
      </c>
      <c r="AA1867" t="s">
        <v>10974</v>
      </c>
      <c r="AB1867" t="s">
        <v>662</v>
      </c>
      <c r="AD1867" t="s">
        <v>11098</v>
      </c>
      <c r="AF1867" t="s">
        <v>11120</v>
      </c>
      <c r="AH1867" t="s">
        <v>10974</v>
      </c>
      <c r="AJ1867" t="s">
        <v>11141</v>
      </c>
      <c r="AK1867" t="s">
        <v>7225</v>
      </c>
      <c r="AM1867">
        <v>1047</v>
      </c>
      <c r="AO1867">
        <v>131</v>
      </c>
      <c r="AQ1867" t="s">
        <v>11157</v>
      </c>
      <c r="AS1867" t="s">
        <v>11173</v>
      </c>
      <c r="AU1867">
        <v>13</v>
      </c>
      <c r="AW1867" t="s">
        <v>11189</v>
      </c>
      <c r="AZ1867" t="s">
        <v>11221</v>
      </c>
      <c r="BE1867" t="s">
        <v>12726</v>
      </c>
      <c r="BG1867" t="s">
        <v>14803</v>
      </c>
      <c r="BM1867" t="s">
        <v>15650</v>
      </c>
    </row>
    <row r="1868" spans="1:65">
      <c r="A1868" s="1">
        <f>HYPERLINK("https://lsnyc.legalserver.org/matter/dynamic-profile/view/1876718","18-1876718")</f>
        <v>0</v>
      </c>
      <c r="B1868" t="s">
        <v>134</v>
      </c>
      <c r="C1868" t="s">
        <v>246</v>
      </c>
      <c r="D1868" t="s">
        <v>662</v>
      </c>
      <c r="F1868" t="s">
        <v>1928</v>
      </c>
      <c r="G1868" t="s">
        <v>3504</v>
      </c>
      <c r="H1868" t="s">
        <v>5373</v>
      </c>
      <c r="I1868" t="s">
        <v>6448</v>
      </c>
      <c r="J1868" t="s">
        <v>7170</v>
      </c>
      <c r="K1868">
        <v>10456</v>
      </c>
      <c r="N1868" t="s">
        <v>7237</v>
      </c>
      <c r="O1868" t="s">
        <v>8442</v>
      </c>
      <c r="P1868">
        <v>2</v>
      </c>
      <c r="Q1868">
        <v>0</v>
      </c>
      <c r="R1868">
        <v>186.72</v>
      </c>
      <c r="U1868">
        <v>30734.8</v>
      </c>
      <c r="W1868">
        <v>0</v>
      </c>
      <c r="Y1868" t="s">
        <v>216</v>
      </c>
      <c r="AA1868" t="s">
        <v>10974</v>
      </c>
      <c r="AB1868" t="s">
        <v>662</v>
      </c>
      <c r="AD1868" t="s">
        <v>11101</v>
      </c>
      <c r="AF1868" t="s">
        <v>11118</v>
      </c>
      <c r="AH1868" t="s">
        <v>10974</v>
      </c>
      <c r="AJ1868" t="s">
        <v>11141</v>
      </c>
      <c r="AK1868" t="s">
        <v>7225</v>
      </c>
      <c r="AM1868">
        <v>1047</v>
      </c>
      <c r="AO1868">
        <v>131</v>
      </c>
      <c r="AQ1868" t="s">
        <v>11157</v>
      </c>
      <c r="AS1868" t="s">
        <v>11173</v>
      </c>
      <c r="AU1868">
        <v>13</v>
      </c>
      <c r="AW1868" t="s">
        <v>11189</v>
      </c>
      <c r="AZ1868" t="s">
        <v>11221</v>
      </c>
      <c r="BE1868" t="s">
        <v>12726</v>
      </c>
      <c r="BG1868" t="s">
        <v>14808</v>
      </c>
      <c r="BM1868" t="s">
        <v>15650</v>
      </c>
    </row>
    <row r="1869" spans="1:65">
      <c r="A1869" s="1">
        <f>HYPERLINK("https://lsnyc.legalserver.org/matter/dynamic-profile/view/1886133","18-1886133")</f>
        <v>0</v>
      </c>
      <c r="B1869" t="s">
        <v>134</v>
      </c>
      <c r="C1869" t="s">
        <v>246</v>
      </c>
      <c r="D1869" t="s">
        <v>405</v>
      </c>
      <c r="F1869" t="s">
        <v>1920</v>
      </c>
      <c r="G1869" t="s">
        <v>3714</v>
      </c>
      <c r="H1869" t="s">
        <v>5373</v>
      </c>
      <c r="I1869" t="s">
        <v>6467</v>
      </c>
      <c r="J1869" t="s">
        <v>7170</v>
      </c>
      <c r="K1869">
        <v>10456</v>
      </c>
      <c r="N1869" t="s">
        <v>7237</v>
      </c>
      <c r="O1869" t="s">
        <v>8427</v>
      </c>
      <c r="P1869">
        <v>1</v>
      </c>
      <c r="Q1869">
        <v>0</v>
      </c>
      <c r="R1869">
        <v>263.59</v>
      </c>
      <c r="U1869">
        <v>32000</v>
      </c>
      <c r="W1869">
        <v>0</v>
      </c>
      <c r="Y1869" t="s">
        <v>216</v>
      </c>
      <c r="AA1869" t="s">
        <v>10974</v>
      </c>
      <c r="AB1869" t="s">
        <v>597</v>
      </c>
      <c r="AD1869" t="s">
        <v>11098</v>
      </c>
      <c r="AF1869" t="s">
        <v>11122</v>
      </c>
      <c r="AH1869" t="s">
        <v>10974</v>
      </c>
      <c r="AJ1869" t="s">
        <v>11141</v>
      </c>
      <c r="AK1869" t="s">
        <v>7225</v>
      </c>
      <c r="AM1869">
        <v>889.6</v>
      </c>
      <c r="AO1869">
        <v>131</v>
      </c>
      <c r="AQ1869" t="s">
        <v>11157</v>
      </c>
      <c r="AS1869" t="s">
        <v>11173</v>
      </c>
      <c r="AU1869">
        <v>26</v>
      </c>
      <c r="AW1869" t="s">
        <v>11187</v>
      </c>
      <c r="AZ1869" t="s">
        <v>11221</v>
      </c>
      <c r="BE1869" t="s">
        <v>12713</v>
      </c>
      <c r="BG1869" t="s">
        <v>14805</v>
      </c>
      <c r="BM1869" t="s">
        <v>15650</v>
      </c>
    </row>
    <row r="1870" spans="1:65">
      <c r="A1870" s="1">
        <f>HYPERLINK("https://lsnyc.legalserver.org/matter/dynamic-profile/view/1915046","19-1915046")</f>
        <v>0</v>
      </c>
      <c r="B1870" t="s">
        <v>134</v>
      </c>
      <c r="C1870" t="s">
        <v>246</v>
      </c>
      <c r="D1870" t="s">
        <v>264</v>
      </c>
      <c r="F1870" t="s">
        <v>1317</v>
      </c>
      <c r="G1870" t="s">
        <v>2988</v>
      </c>
      <c r="H1870" t="s">
        <v>5373</v>
      </c>
      <c r="I1870" t="s">
        <v>6501</v>
      </c>
      <c r="J1870" t="s">
        <v>7170</v>
      </c>
      <c r="K1870">
        <v>10456</v>
      </c>
      <c r="N1870" t="s">
        <v>7237</v>
      </c>
      <c r="O1870" t="s">
        <v>8411</v>
      </c>
      <c r="P1870">
        <v>1</v>
      </c>
      <c r="Q1870">
        <v>2</v>
      </c>
      <c r="R1870">
        <v>121.89</v>
      </c>
      <c r="U1870">
        <v>26000</v>
      </c>
      <c r="W1870">
        <v>0</v>
      </c>
      <c r="Y1870" t="s">
        <v>10897</v>
      </c>
      <c r="Z1870" t="s">
        <v>10972</v>
      </c>
      <c r="AA1870" t="s">
        <v>10976</v>
      </c>
      <c r="AD1870" t="s">
        <v>11098</v>
      </c>
      <c r="AF1870" t="s">
        <v>11120</v>
      </c>
      <c r="AH1870" t="s">
        <v>10974</v>
      </c>
      <c r="AJ1870" t="s">
        <v>11141</v>
      </c>
      <c r="AK1870" t="s">
        <v>7225</v>
      </c>
      <c r="AM1870">
        <v>1330.07</v>
      </c>
      <c r="AO1870">
        <v>131</v>
      </c>
      <c r="AQ1870" t="s">
        <v>11157</v>
      </c>
      <c r="AR1870" t="s">
        <v>11172</v>
      </c>
      <c r="AU1870">
        <v>4</v>
      </c>
      <c r="AW1870" t="s">
        <v>11189</v>
      </c>
      <c r="AX1870" t="s">
        <v>11212</v>
      </c>
      <c r="AZ1870" t="s">
        <v>11221</v>
      </c>
      <c r="BE1870" t="s">
        <v>12699</v>
      </c>
      <c r="BF1870" t="s">
        <v>14364</v>
      </c>
      <c r="BM1870" t="s">
        <v>15650</v>
      </c>
    </row>
    <row r="1871" spans="1:65">
      <c r="A1871" s="1">
        <f>HYPERLINK("https://lsnyc.legalserver.org/matter/dynamic-profile/view/1871307","18-1871307")</f>
        <v>0</v>
      </c>
      <c r="B1871" t="s">
        <v>134</v>
      </c>
      <c r="C1871" t="s">
        <v>246</v>
      </c>
      <c r="D1871" t="s">
        <v>780</v>
      </c>
      <c r="F1871" t="s">
        <v>1920</v>
      </c>
      <c r="G1871" t="s">
        <v>3714</v>
      </c>
      <c r="H1871" t="s">
        <v>5373</v>
      </c>
      <c r="I1871" t="s">
        <v>6467</v>
      </c>
      <c r="J1871" t="s">
        <v>7170</v>
      </c>
      <c r="K1871">
        <v>10456</v>
      </c>
      <c r="N1871" t="s">
        <v>7237</v>
      </c>
      <c r="O1871" t="s">
        <v>8427</v>
      </c>
      <c r="P1871">
        <v>1</v>
      </c>
      <c r="Q1871">
        <v>0</v>
      </c>
      <c r="R1871">
        <v>263.59</v>
      </c>
      <c r="U1871">
        <v>32000</v>
      </c>
      <c r="V1871" t="s">
        <v>10475</v>
      </c>
      <c r="W1871">
        <v>19.55</v>
      </c>
      <c r="X1871" t="s">
        <v>529</v>
      </c>
      <c r="Y1871" t="s">
        <v>216</v>
      </c>
      <c r="AA1871" t="s">
        <v>10974</v>
      </c>
      <c r="AB1871" t="s">
        <v>939</v>
      </c>
      <c r="AD1871" t="s">
        <v>11096</v>
      </c>
      <c r="AF1871" t="s">
        <v>11122</v>
      </c>
      <c r="AH1871" t="s">
        <v>10974</v>
      </c>
      <c r="AJ1871" t="s">
        <v>11141</v>
      </c>
      <c r="AK1871" t="s">
        <v>7225</v>
      </c>
      <c r="AM1871">
        <v>889.6</v>
      </c>
      <c r="AO1871">
        <v>131</v>
      </c>
      <c r="AQ1871" t="s">
        <v>11157</v>
      </c>
      <c r="AS1871" t="s">
        <v>11173</v>
      </c>
      <c r="AU1871">
        <v>26</v>
      </c>
      <c r="AW1871" t="s">
        <v>11187</v>
      </c>
      <c r="AZ1871" t="s">
        <v>11221</v>
      </c>
      <c r="BE1871" t="s">
        <v>12713</v>
      </c>
      <c r="BF1871" t="s">
        <v>14364</v>
      </c>
      <c r="BM1871" t="s">
        <v>15650</v>
      </c>
    </row>
    <row r="1872" spans="1:65">
      <c r="A1872" s="1">
        <f>HYPERLINK("https://lsnyc.legalserver.org/matter/dynamic-profile/view/1870528","18-1870528")</f>
        <v>0</v>
      </c>
      <c r="B1872" t="s">
        <v>134</v>
      </c>
      <c r="C1872" t="s">
        <v>246</v>
      </c>
      <c r="D1872" t="s">
        <v>641</v>
      </c>
      <c r="F1872" t="s">
        <v>1213</v>
      </c>
      <c r="G1872" t="s">
        <v>3720</v>
      </c>
      <c r="H1872" t="s">
        <v>5373</v>
      </c>
      <c r="I1872" t="s">
        <v>6595</v>
      </c>
      <c r="J1872" t="s">
        <v>7170</v>
      </c>
      <c r="K1872">
        <v>10456</v>
      </c>
      <c r="N1872" t="s">
        <v>7237</v>
      </c>
      <c r="O1872" t="s">
        <v>8439</v>
      </c>
      <c r="P1872">
        <v>3</v>
      </c>
      <c r="Q1872">
        <v>0</v>
      </c>
      <c r="R1872">
        <v>346.49</v>
      </c>
      <c r="U1872">
        <v>72000</v>
      </c>
      <c r="W1872">
        <v>0</v>
      </c>
      <c r="Y1872" t="s">
        <v>216</v>
      </c>
      <c r="AA1872" t="s">
        <v>10974</v>
      </c>
      <c r="AB1872" t="s">
        <v>939</v>
      </c>
      <c r="AD1872" t="s">
        <v>11101</v>
      </c>
      <c r="AF1872" t="s">
        <v>11118</v>
      </c>
      <c r="AH1872" t="s">
        <v>10974</v>
      </c>
      <c r="AJ1872" t="s">
        <v>11141</v>
      </c>
      <c r="AK1872" t="s">
        <v>7225</v>
      </c>
      <c r="AM1872">
        <v>1035</v>
      </c>
      <c r="AO1872">
        <v>131</v>
      </c>
      <c r="AQ1872" t="s">
        <v>11157</v>
      </c>
      <c r="AS1872" t="s">
        <v>11173</v>
      </c>
      <c r="AU1872">
        <v>20</v>
      </c>
      <c r="AW1872" t="s">
        <v>11187</v>
      </c>
      <c r="AZ1872" t="s">
        <v>11221</v>
      </c>
      <c r="BE1872" t="s">
        <v>12723</v>
      </c>
      <c r="BF1872" t="s">
        <v>14364</v>
      </c>
      <c r="BG1872" t="s">
        <v>14813</v>
      </c>
      <c r="BM1872" t="s">
        <v>15650</v>
      </c>
    </row>
    <row r="1873" spans="1:65">
      <c r="A1873" s="1">
        <f>HYPERLINK("https://lsnyc.legalserver.org/matter/dynamic-profile/view/0806149","16-0806149")</f>
        <v>0</v>
      </c>
      <c r="B1873" t="s">
        <v>134</v>
      </c>
      <c r="C1873" t="s">
        <v>246</v>
      </c>
      <c r="D1873" t="s">
        <v>715</v>
      </c>
      <c r="F1873" t="s">
        <v>1763</v>
      </c>
      <c r="G1873" t="s">
        <v>3552</v>
      </c>
      <c r="H1873" t="s">
        <v>4844</v>
      </c>
      <c r="I1873" t="s">
        <v>6543</v>
      </c>
      <c r="J1873" t="s">
        <v>7170</v>
      </c>
      <c r="K1873">
        <v>10452</v>
      </c>
      <c r="N1873" t="s">
        <v>7237</v>
      </c>
      <c r="O1873" t="s">
        <v>8178</v>
      </c>
      <c r="P1873">
        <v>1</v>
      </c>
      <c r="Q1873">
        <v>2</v>
      </c>
      <c r="R1873">
        <v>0</v>
      </c>
      <c r="U1873">
        <v>0</v>
      </c>
      <c r="V1873" t="s">
        <v>10357</v>
      </c>
      <c r="W1873">
        <v>0.1</v>
      </c>
      <c r="X1873" t="s">
        <v>10828</v>
      </c>
      <c r="Y1873" t="s">
        <v>138</v>
      </c>
      <c r="AA1873" t="s">
        <v>10974</v>
      </c>
      <c r="AB1873" t="s">
        <v>10817</v>
      </c>
      <c r="AD1873" t="s">
        <v>11085</v>
      </c>
      <c r="AF1873" t="s">
        <v>11118</v>
      </c>
      <c r="AH1873" t="s">
        <v>10974</v>
      </c>
      <c r="AJ1873" t="s">
        <v>11141</v>
      </c>
      <c r="AK1873" t="s">
        <v>7225</v>
      </c>
      <c r="AM1873">
        <v>652</v>
      </c>
      <c r="AO1873">
        <v>122</v>
      </c>
      <c r="AQ1873" t="s">
        <v>11157</v>
      </c>
      <c r="AR1873" t="s">
        <v>11172</v>
      </c>
      <c r="AU1873">
        <v>15</v>
      </c>
      <c r="AW1873" t="s">
        <v>11187</v>
      </c>
      <c r="AZ1873" t="s">
        <v>11221</v>
      </c>
      <c r="BE1873" t="s">
        <v>12478</v>
      </c>
      <c r="BF1873" t="s">
        <v>14364</v>
      </c>
      <c r="BG1873" t="s">
        <v>14716</v>
      </c>
      <c r="BM1873" t="s">
        <v>15650</v>
      </c>
    </row>
    <row r="1874" spans="1:65">
      <c r="A1874" s="1">
        <f>HYPERLINK("https://lsnyc.legalserver.org/matter/dynamic-profile/view/1876708","18-1876708")</f>
        <v>0</v>
      </c>
      <c r="B1874" t="s">
        <v>134</v>
      </c>
      <c r="C1874" t="s">
        <v>246</v>
      </c>
      <c r="D1874" t="s">
        <v>662</v>
      </c>
      <c r="F1874" t="s">
        <v>1899</v>
      </c>
      <c r="G1874" t="s">
        <v>3035</v>
      </c>
      <c r="H1874" t="s">
        <v>5373</v>
      </c>
      <c r="J1874" t="s">
        <v>7170</v>
      </c>
      <c r="K1874">
        <v>10456</v>
      </c>
      <c r="N1874" t="s">
        <v>7237</v>
      </c>
      <c r="O1874" t="s">
        <v>8395</v>
      </c>
      <c r="P1874">
        <v>1</v>
      </c>
      <c r="Q1874">
        <v>1</v>
      </c>
      <c r="R1874">
        <v>78.98</v>
      </c>
      <c r="U1874">
        <v>13000</v>
      </c>
      <c r="W1874">
        <v>0</v>
      </c>
      <c r="Y1874" t="s">
        <v>216</v>
      </c>
      <c r="AA1874" t="s">
        <v>10974</v>
      </c>
      <c r="AB1874" t="s">
        <v>662</v>
      </c>
      <c r="AD1874" t="s">
        <v>11101</v>
      </c>
      <c r="AF1874" t="s">
        <v>11118</v>
      </c>
      <c r="AH1874" t="s">
        <v>10974</v>
      </c>
      <c r="AJ1874" t="s">
        <v>11141</v>
      </c>
      <c r="AK1874" t="s">
        <v>7225</v>
      </c>
      <c r="AM1874">
        <v>1238.23</v>
      </c>
      <c r="AO1874">
        <v>131</v>
      </c>
      <c r="AQ1874" t="s">
        <v>11157</v>
      </c>
      <c r="AS1874" t="s">
        <v>11173</v>
      </c>
      <c r="AU1874">
        <v>10</v>
      </c>
      <c r="AW1874" t="s">
        <v>11187</v>
      </c>
      <c r="AZ1874" t="s">
        <v>11221</v>
      </c>
      <c r="BE1874" t="s">
        <v>12683</v>
      </c>
      <c r="BG1874" t="s">
        <v>14808</v>
      </c>
      <c r="BM1874" t="s">
        <v>15650</v>
      </c>
    </row>
    <row r="1875" spans="1:65">
      <c r="A1875" s="1">
        <f>HYPERLINK("https://lsnyc.legalserver.org/matter/dynamic-profile/view/1886347","18-1886347")</f>
        <v>0</v>
      </c>
      <c r="B1875" t="s">
        <v>134</v>
      </c>
      <c r="C1875" t="s">
        <v>246</v>
      </c>
      <c r="D1875" t="s">
        <v>794</v>
      </c>
      <c r="F1875" t="s">
        <v>1899</v>
      </c>
      <c r="G1875" t="s">
        <v>3035</v>
      </c>
      <c r="H1875" t="s">
        <v>5373</v>
      </c>
      <c r="J1875" t="s">
        <v>7170</v>
      </c>
      <c r="K1875">
        <v>10456</v>
      </c>
      <c r="N1875" t="s">
        <v>7237</v>
      </c>
      <c r="O1875" t="s">
        <v>8395</v>
      </c>
      <c r="P1875">
        <v>1</v>
      </c>
      <c r="Q1875">
        <v>1</v>
      </c>
      <c r="R1875">
        <v>78.98</v>
      </c>
      <c r="U1875">
        <v>13000</v>
      </c>
      <c r="W1875">
        <v>0</v>
      </c>
      <c r="Y1875" t="s">
        <v>216</v>
      </c>
      <c r="AA1875" t="s">
        <v>10974</v>
      </c>
      <c r="AB1875" t="s">
        <v>597</v>
      </c>
      <c r="AD1875" t="s">
        <v>11098</v>
      </c>
      <c r="AF1875" t="s">
        <v>11122</v>
      </c>
      <c r="AH1875" t="s">
        <v>10974</v>
      </c>
      <c r="AJ1875" t="s">
        <v>11141</v>
      </c>
      <c r="AK1875" t="s">
        <v>7225</v>
      </c>
      <c r="AM1875">
        <v>1238.23</v>
      </c>
      <c r="AO1875">
        <v>131</v>
      </c>
      <c r="AQ1875" t="s">
        <v>11157</v>
      </c>
      <c r="AS1875" t="s">
        <v>11173</v>
      </c>
      <c r="AU1875">
        <v>10</v>
      </c>
      <c r="AW1875" t="s">
        <v>11187</v>
      </c>
      <c r="AZ1875" t="s">
        <v>11221</v>
      </c>
      <c r="BE1875" t="s">
        <v>12683</v>
      </c>
      <c r="BG1875" t="s">
        <v>14805</v>
      </c>
      <c r="BM1875" t="s">
        <v>15650</v>
      </c>
    </row>
    <row r="1876" spans="1:65">
      <c r="A1876" s="1">
        <f>HYPERLINK("https://lsnyc.legalserver.org/matter/dynamic-profile/view/1868228","18-1868228")</f>
        <v>0</v>
      </c>
      <c r="B1876" t="s">
        <v>134</v>
      </c>
      <c r="C1876" t="s">
        <v>246</v>
      </c>
      <c r="D1876" t="s">
        <v>452</v>
      </c>
      <c r="F1876" t="s">
        <v>1920</v>
      </c>
      <c r="G1876" t="s">
        <v>3714</v>
      </c>
      <c r="H1876" t="s">
        <v>5373</v>
      </c>
      <c r="I1876" t="s">
        <v>6467</v>
      </c>
      <c r="J1876" t="s">
        <v>7170</v>
      </c>
      <c r="K1876">
        <v>10456</v>
      </c>
      <c r="N1876" t="s">
        <v>7237</v>
      </c>
      <c r="O1876" t="s">
        <v>8427</v>
      </c>
      <c r="P1876">
        <v>1</v>
      </c>
      <c r="Q1876">
        <v>0</v>
      </c>
      <c r="R1876">
        <v>263.59</v>
      </c>
      <c r="U1876">
        <v>32000</v>
      </c>
      <c r="V1876" t="s">
        <v>10475</v>
      </c>
      <c r="W1876">
        <v>304.65</v>
      </c>
      <c r="X1876" t="s">
        <v>264</v>
      </c>
      <c r="Y1876" t="s">
        <v>216</v>
      </c>
      <c r="AA1876" t="s">
        <v>10974</v>
      </c>
      <c r="AB1876" t="s">
        <v>939</v>
      </c>
      <c r="AD1876" t="s">
        <v>11101</v>
      </c>
      <c r="AF1876" t="s">
        <v>11118</v>
      </c>
      <c r="AH1876" t="s">
        <v>10974</v>
      </c>
      <c r="AJ1876" t="s">
        <v>11141</v>
      </c>
      <c r="AK1876" t="s">
        <v>7225</v>
      </c>
      <c r="AM1876">
        <v>889.6</v>
      </c>
      <c r="AO1876">
        <v>131</v>
      </c>
      <c r="AQ1876" t="s">
        <v>11157</v>
      </c>
      <c r="AS1876" t="s">
        <v>11173</v>
      </c>
      <c r="AU1876">
        <v>26</v>
      </c>
      <c r="AW1876" t="s">
        <v>11187</v>
      </c>
      <c r="AZ1876" t="s">
        <v>11221</v>
      </c>
      <c r="BE1876" t="s">
        <v>12713</v>
      </c>
      <c r="BF1876" t="s">
        <v>14364</v>
      </c>
      <c r="BG1876" t="s">
        <v>14813</v>
      </c>
      <c r="BM1876" t="s">
        <v>15650</v>
      </c>
    </row>
    <row r="1877" spans="1:65">
      <c r="A1877" s="1">
        <f>HYPERLINK("https://lsnyc.legalserver.org/matter/dynamic-profile/view/1894159","19-1894159")</f>
        <v>0</v>
      </c>
      <c r="B1877" t="s">
        <v>134</v>
      </c>
      <c r="C1877" t="s">
        <v>246</v>
      </c>
      <c r="D1877" t="s">
        <v>505</v>
      </c>
      <c r="F1877" t="s">
        <v>1741</v>
      </c>
      <c r="G1877" t="s">
        <v>3140</v>
      </c>
      <c r="H1877" t="s">
        <v>5373</v>
      </c>
      <c r="I1877" t="s">
        <v>6424</v>
      </c>
      <c r="J1877" t="s">
        <v>7170</v>
      </c>
      <c r="K1877">
        <v>10456</v>
      </c>
      <c r="N1877" t="s">
        <v>7237</v>
      </c>
      <c r="O1877" t="s">
        <v>8443</v>
      </c>
      <c r="P1877">
        <v>1</v>
      </c>
      <c r="Q1877">
        <v>1</v>
      </c>
      <c r="R1877">
        <v>167.9</v>
      </c>
      <c r="U1877">
        <v>28392</v>
      </c>
      <c r="W1877">
        <v>0</v>
      </c>
      <c r="Y1877" t="s">
        <v>10897</v>
      </c>
      <c r="AA1877" t="s">
        <v>10974</v>
      </c>
      <c r="AB1877" t="s">
        <v>370</v>
      </c>
      <c r="AD1877" t="s">
        <v>11098</v>
      </c>
      <c r="AF1877" t="s">
        <v>11122</v>
      </c>
      <c r="AH1877" t="s">
        <v>10974</v>
      </c>
      <c r="AJ1877" t="s">
        <v>11141</v>
      </c>
      <c r="AK1877" t="s">
        <v>7225</v>
      </c>
      <c r="AM1877">
        <v>1404.38</v>
      </c>
      <c r="AO1877">
        <v>131</v>
      </c>
      <c r="AQ1877" t="s">
        <v>11157</v>
      </c>
      <c r="AS1877" t="s">
        <v>11173</v>
      </c>
      <c r="AU1877">
        <v>4</v>
      </c>
      <c r="AW1877" t="s">
        <v>11189</v>
      </c>
      <c r="AZ1877" t="s">
        <v>11221</v>
      </c>
      <c r="BE1877" t="s">
        <v>12727</v>
      </c>
      <c r="BF1877" t="s">
        <v>14364</v>
      </c>
      <c r="BM1877" t="s">
        <v>15650</v>
      </c>
    </row>
    <row r="1878" spans="1:65">
      <c r="A1878" s="1">
        <f>HYPERLINK("https://lsnyc.legalserver.org/matter/dynamic-profile/view/1876713","18-1876713")</f>
        <v>0</v>
      </c>
      <c r="B1878" t="s">
        <v>134</v>
      </c>
      <c r="C1878" t="s">
        <v>246</v>
      </c>
      <c r="D1878" t="s">
        <v>662</v>
      </c>
      <c r="F1878" t="s">
        <v>1899</v>
      </c>
      <c r="G1878" t="s">
        <v>3035</v>
      </c>
      <c r="H1878" t="s">
        <v>5373</v>
      </c>
      <c r="J1878" t="s">
        <v>7170</v>
      </c>
      <c r="K1878">
        <v>10456</v>
      </c>
      <c r="N1878" t="s">
        <v>7237</v>
      </c>
      <c r="O1878" t="s">
        <v>8395</v>
      </c>
      <c r="P1878">
        <v>1</v>
      </c>
      <c r="Q1878">
        <v>1</v>
      </c>
      <c r="R1878">
        <v>78.98</v>
      </c>
      <c r="U1878">
        <v>13000</v>
      </c>
      <c r="W1878">
        <v>0</v>
      </c>
      <c r="Y1878" t="s">
        <v>216</v>
      </c>
      <c r="AA1878" t="s">
        <v>10974</v>
      </c>
      <c r="AB1878" t="s">
        <v>662</v>
      </c>
      <c r="AD1878" t="s">
        <v>11098</v>
      </c>
      <c r="AF1878" t="s">
        <v>11122</v>
      </c>
      <c r="AH1878" t="s">
        <v>10974</v>
      </c>
      <c r="AJ1878" t="s">
        <v>11141</v>
      </c>
      <c r="AK1878" t="s">
        <v>7225</v>
      </c>
      <c r="AM1878">
        <v>1238.23</v>
      </c>
      <c r="AO1878">
        <v>131</v>
      </c>
      <c r="AQ1878" t="s">
        <v>11157</v>
      </c>
      <c r="AS1878" t="s">
        <v>11173</v>
      </c>
      <c r="AU1878">
        <v>10</v>
      </c>
      <c r="AW1878" t="s">
        <v>11187</v>
      </c>
      <c r="AZ1878" t="s">
        <v>11221</v>
      </c>
      <c r="BE1878" t="s">
        <v>12683</v>
      </c>
      <c r="BG1878" t="s">
        <v>14803</v>
      </c>
      <c r="BM1878" t="s">
        <v>15650</v>
      </c>
    </row>
    <row r="1879" spans="1:65">
      <c r="A1879" s="1">
        <f>HYPERLINK("https://lsnyc.legalserver.org/matter/dynamic-profile/view/1884912","18-1884912")</f>
        <v>0</v>
      </c>
      <c r="B1879" t="s">
        <v>134</v>
      </c>
      <c r="C1879" t="s">
        <v>246</v>
      </c>
      <c r="D1879" t="s">
        <v>706</v>
      </c>
      <c r="E1879" t="s">
        <v>312</v>
      </c>
      <c r="F1879" t="s">
        <v>1929</v>
      </c>
      <c r="G1879" t="s">
        <v>3722</v>
      </c>
      <c r="H1879" t="s">
        <v>5399</v>
      </c>
      <c r="I1879" t="s">
        <v>6800</v>
      </c>
      <c r="J1879" t="s">
        <v>7170</v>
      </c>
      <c r="K1879">
        <v>10453</v>
      </c>
      <c r="L1879" t="s">
        <v>7219</v>
      </c>
      <c r="N1879" t="s">
        <v>7237</v>
      </c>
      <c r="O1879" t="s">
        <v>8444</v>
      </c>
      <c r="P1879">
        <v>1</v>
      </c>
      <c r="Q1879">
        <v>1</v>
      </c>
      <c r="R1879">
        <v>56.65</v>
      </c>
      <c r="U1879">
        <v>9324</v>
      </c>
      <c r="W1879">
        <v>5.75</v>
      </c>
      <c r="X1879" t="s">
        <v>334</v>
      </c>
      <c r="Y1879" t="s">
        <v>216</v>
      </c>
      <c r="AA1879" t="s">
        <v>10974</v>
      </c>
      <c r="AB1879" t="s">
        <v>706</v>
      </c>
      <c r="AD1879" t="s">
        <v>11082</v>
      </c>
      <c r="AF1879" t="s">
        <v>11118</v>
      </c>
      <c r="AH1879" t="s">
        <v>10975</v>
      </c>
      <c r="AJ1879" t="s">
        <v>11138</v>
      </c>
      <c r="AK1879" t="s">
        <v>7225</v>
      </c>
      <c r="AM1879">
        <v>185.34</v>
      </c>
      <c r="AO1879">
        <v>110</v>
      </c>
      <c r="AQ1879" t="s">
        <v>11157</v>
      </c>
      <c r="AS1879" t="s">
        <v>11173</v>
      </c>
      <c r="AU1879">
        <v>3</v>
      </c>
      <c r="AW1879" t="s">
        <v>11187</v>
      </c>
      <c r="AY1879" t="s">
        <v>11214</v>
      </c>
      <c r="AZ1879" t="s">
        <v>11221</v>
      </c>
      <c r="BC1879" t="s">
        <v>11390</v>
      </c>
      <c r="BE1879" t="s">
        <v>12728</v>
      </c>
      <c r="BG1879" t="s">
        <v>14824</v>
      </c>
      <c r="BH1879" t="s">
        <v>15605</v>
      </c>
      <c r="BJ1879" t="s">
        <v>15615</v>
      </c>
      <c r="BL1879" t="s">
        <v>15648</v>
      </c>
      <c r="BM1879" t="s">
        <v>15651</v>
      </c>
    </row>
    <row r="1880" spans="1:65">
      <c r="A1880" s="1">
        <f>HYPERLINK("https://lsnyc.legalserver.org/matter/dynamic-profile/view/1915011","19-1915011")</f>
        <v>0</v>
      </c>
      <c r="B1880" t="s">
        <v>134</v>
      </c>
      <c r="C1880" t="s">
        <v>246</v>
      </c>
      <c r="D1880" t="s">
        <v>264</v>
      </c>
      <c r="F1880" t="s">
        <v>1895</v>
      </c>
      <c r="G1880" t="s">
        <v>3692</v>
      </c>
      <c r="H1880" t="s">
        <v>5373</v>
      </c>
      <c r="I1880" t="s">
        <v>6569</v>
      </c>
      <c r="J1880" t="s">
        <v>7170</v>
      </c>
      <c r="K1880">
        <v>10456</v>
      </c>
      <c r="N1880" t="s">
        <v>7237</v>
      </c>
      <c r="O1880" t="s">
        <v>7659</v>
      </c>
      <c r="P1880">
        <v>3</v>
      </c>
      <c r="Q1880">
        <v>0</v>
      </c>
      <c r="R1880">
        <v>164.09</v>
      </c>
      <c r="U1880">
        <v>35000</v>
      </c>
      <c r="W1880">
        <v>0</v>
      </c>
      <c r="Y1880" t="s">
        <v>93</v>
      </c>
      <c r="AA1880" t="s">
        <v>10974</v>
      </c>
      <c r="AD1880" t="s">
        <v>11098</v>
      </c>
      <c r="AF1880" t="s">
        <v>11122</v>
      </c>
      <c r="AH1880" t="s">
        <v>10974</v>
      </c>
      <c r="AJ1880" t="s">
        <v>11141</v>
      </c>
      <c r="AK1880" t="s">
        <v>7225</v>
      </c>
      <c r="AM1880">
        <v>1268.04</v>
      </c>
      <c r="AO1880">
        <v>131</v>
      </c>
      <c r="AQ1880" t="s">
        <v>11157</v>
      </c>
      <c r="AS1880" t="s">
        <v>11173</v>
      </c>
      <c r="AU1880">
        <v>22</v>
      </c>
      <c r="AW1880" t="s">
        <v>11189</v>
      </c>
      <c r="AX1880" t="s">
        <v>11212</v>
      </c>
      <c r="AZ1880" t="s">
        <v>11221</v>
      </c>
      <c r="BE1880" t="s">
        <v>12678</v>
      </c>
      <c r="BG1880" t="s">
        <v>14803</v>
      </c>
      <c r="BM1880" t="s">
        <v>15650</v>
      </c>
    </row>
    <row r="1881" spans="1:65">
      <c r="A1881" s="1">
        <f>HYPERLINK("https://lsnyc.legalserver.org/matter/dynamic-profile/view/1889700","19-1889700")</f>
        <v>0</v>
      </c>
      <c r="B1881" t="s">
        <v>134</v>
      </c>
      <c r="C1881" t="s">
        <v>246</v>
      </c>
      <c r="D1881" t="s">
        <v>339</v>
      </c>
      <c r="F1881" t="s">
        <v>1903</v>
      </c>
      <c r="G1881" t="s">
        <v>3697</v>
      </c>
      <c r="H1881" t="s">
        <v>5373</v>
      </c>
      <c r="I1881" t="s">
        <v>6596</v>
      </c>
      <c r="J1881" t="s">
        <v>7170</v>
      </c>
      <c r="K1881">
        <v>10456</v>
      </c>
      <c r="N1881" t="s">
        <v>7237</v>
      </c>
      <c r="O1881" t="s">
        <v>8313</v>
      </c>
      <c r="P1881">
        <v>3</v>
      </c>
      <c r="Q1881">
        <v>1</v>
      </c>
      <c r="R1881">
        <v>127.58</v>
      </c>
      <c r="U1881">
        <v>32852</v>
      </c>
      <c r="W1881">
        <v>0</v>
      </c>
      <c r="Y1881" t="s">
        <v>216</v>
      </c>
      <c r="AA1881" t="s">
        <v>10974</v>
      </c>
      <c r="AB1881" t="s">
        <v>370</v>
      </c>
      <c r="AD1881" t="s">
        <v>11098</v>
      </c>
      <c r="AF1881" t="s">
        <v>11122</v>
      </c>
      <c r="AH1881" t="s">
        <v>10974</v>
      </c>
      <c r="AJ1881" t="s">
        <v>11141</v>
      </c>
      <c r="AK1881" t="s">
        <v>7225</v>
      </c>
      <c r="AM1881">
        <v>1200.58</v>
      </c>
      <c r="AO1881">
        <v>131</v>
      </c>
      <c r="AQ1881" t="s">
        <v>11157</v>
      </c>
      <c r="AS1881" t="s">
        <v>11173</v>
      </c>
      <c r="AU1881">
        <v>7</v>
      </c>
      <c r="AW1881" t="s">
        <v>11189</v>
      </c>
      <c r="AZ1881" t="s">
        <v>11221</v>
      </c>
      <c r="BE1881" t="s">
        <v>12688</v>
      </c>
      <c r="BF1881" t="s">
        <v>14364</v>
      </c>
      <c r="BM1881" t="s">
        <v>15650</v>
      </c>
    </row>
    <row r="1882" spans="1:65">
      <c r="A1882" s="1">
        <f>HYPERLINK("https://lsnyc.legalserver.org/matter/dynamic-profile/view/1884294","18-1884294")</f>
        <v>0</v>
      </c>
      <c r="B1882" t="s">
        <v>134</v>
      </c>
      <c r="C1882" t="s">
        <v>246</v>
      </c>
      <c r="D1882" t="s">
        <v>795</v>
      </c>
      <c r="E1882" t="s">
        <v>312</v>
      </c>
      <c r="F1882" t="s">
        <v>1169</v>
      </c>
      <c r="G1882" t="s">
        <v>3166</v>
      </c>
      <c r="H1882" t="s">
        <v>5400</v>
      </c>
      <c r="I1882" t="s">
        <v>6801</v>
      </c>
      <c r="J1882" t="s">
        <v>7170</v>
      </c>
      <c r="K1882">
        <v>10452</v>
      </c>
      <c r="L1882" t="s">
        <v>7219</v>
      </c>
      <c r="N1882" t="s">
        <v>7237</v>
      </c>
      <c r="O1882" t="s">
        <v>8445</v>
      </c>
      <c r="P1882">
        <v>2</v>
      </c>
      <c r="Q1882">
        <v>2</v>
      </c>
      <c r="R1882">
        <v>186.45</v>
      </c>
      <c r="U1882">
        <v>46800</v>
      </c>
      <c r="W1882">
        <v>49.6</v>
      </c>
      <c r="X1882" t="s">
        <v>801</v>
      </c>
      <c r="Y1882" t="s">
        <v>216</v>
      </c>
      <c r="AA1882" t="s">
        <v>10974</v>
      </c>
      <c r="AB1882" t="s">
        <v>10979</v>
      </c>
      <c r="AD1882" t="s">
        <v>11082</v>
      </c>
      <c r="AF1882" t="s">
        <v>11118</v>
      </c>
      <c r="AH1882" t="s">
        <v>10975</v>
      </c>
      <c r="AJ1882" t="s">
        <v>11135</v>
      </c>
      <c r="AK1882" t="s">
        <v>7225</v>
      </c>
      <c r="AM1882">
        <v>1031</v>
      </c>
      <c r="AO1882">
        <v>49</v>
      </c>
      <c r="AQ1882" t="s">
        <v>11157</v>
      </c>
      <c r="AS1882" t="s">
        <v>11173</v>
      </c>
      <c r="AU1882">
        <v>5</v>
      </c>
      <c r="AW1882" t="s">
        <v>11187</v>
      </c>
      <c r="BA1882" t="s">
        <v>11222</v>
      </c>
      <c r="BE1882" t="s">
        <v>12729</v>
      </c>
      <c r="BF1882" t="s">
        <v>14364</v>
      </c>
      <c r="BH1882" t="s">
        <v>15605</v>
      </c>
      <c r="BJ1882" t="s">
        <v>15615</v>
      </c>
      <c r="BL1882" t="s">
        <v>15648</v>
      </c>
      <c r="BM1882" t="s">
        <v>15651</v>
      </c>
    </row>
    <row r="1883" spans="1:65">
      <c r="A1883" s="1">
        <f>HYPERLINK("https://lsnyc.legalserver.org/matter/dynamic-profile/view/0821038","16-0821038")</f>
        <v>0</v>
      </c>
      <c r="B1883" t="s">
        <v>134</v>
      </c>
      <c r="C1883" t="s">
        <v>246</v>
      </c>
      <c r="D1883" t="s">
        <v>514</v>
      </c>
      <c r="F1883" t="s">
        <v>1440</v>
      </c>
      <c r="G1883" t="s">
        <v>3716</v>
      </c>
      <c r="H1883" t="s">
        <v>4844</v>
      </c>
      <c r="I1883" t="s">
        <v>6797</v>
      </c>
      <c r="J1883" t="s">
        <v>7170</v>
      </c>
      <c r="K1883">
        <v>10452</v>
      </c>
      <c r="N1883" t="s">
        <v>7237</v>
      </c>
      <c r="O1883" t="s">
        <v>8431</v>
      </c>
      <c r="P1883">
        <v>3</v>
      </c>
      <c r="Q1883">
        <v>0</v>
      </c>
      <c r="R1883">
        <v>53.57</v>
      </c>
      <c r="U1883">
        <v>10800</v>
      </c>
      <c r="W1883">
        <v>102.85</v>
      </c>
      <c r="X1883" t="s">
        <v>826</v>
      </c>
      <c r="Y1883" t="s">
        <v>10897</v>
      </c>
      <c r="AA1883" t="s">
        <v>10974</v>
      </c>
      <c r="AB1883" t="s">
        <v>514</v>
      </c>
      <c r="AD1883" t="s">
        <v>11096</v>
      </c>
      <c r="AF1883" t="s">
        <v>11118</v>
      </c>
      <c r="AH1883" t="s">
        <v>10974</v>
      </c>
      <c r="AJ1883" t="s">
        <v>11129</v>
      </c>
      <c r="AK1883" t="s">
        <v>7225</v>
      </c>
      <c r="AM1883">
        <v>706.95</v>
      </c>
      <c r="AO1883">
        <v>122</v>
      </c>
      <c r="AQ1883" t="s">
        <v>11157</v>
      </c>
      <c r="AR1883" t="s">
        <v>11172</v>
      </c>
      <c r="AU1883">
        <v>25</v>
      </c>
      <c r="AW1883" t="s">
        <v>11187</v>
      </c>
      <c r="AZ1883" t="s">
        <v>11221</v>
      </c>
      <c r="BE1883" t="s">
        <v>12716</v>
      </c>
      <c r="BG1883" t="s">
        <v>14719</v>
      </c>
      <c r="BM1883" t="s">
        <v>15650</v>
      </c>
    </row>
    <row r="1884" spans="1:65">
      <c r="A1884" s="1">
        <f>HYPERLINK("https://lsnyc.legalserver.org/matter/dynamic-profile/view/1890779","19-1890779")</f>
        <v>0</v>
      </c>
      <c r="B1884" t="s">
        <v>134</v>
      </c>
      <c r="C1884" t="s">
        <v>246</v>
      </c>
      <c r="D1884" t="s">
        <v>367</v>
      </c>
      <c r="F1884" t="s">
        <v>1880</v>
      </c>
      <c r="G1884" t="s">
        <v>3139</v>
      </c>
      <c r="H1884" t="s">
        <v>5372</v>
      </c>
      <c r="I1884" t="s">
        <v>6419</v>
      </c>
      <c r="J1884" t="s">
        <v>7170</v>
      </c>
      <c r="K1884">
        <v>10456</v>
      </c>
      <c r="N1884" t="s">
        <v>7237</v>
      </c>
      <c r="O1884" t="s">
        <v>8446</v>
      </c>
      <c r="P1884">
        <v>3</v>
      </c>
      <c r="Q1884">
        <v>0</v>
      </c>
      <c r="R1884">
        <v>344.96</v>
      </c>
      <c r="U1884">
        <v>73580</v>
      </c>
      <c r="W1884">
        <v>0</v>
      </c>
      <c r="Y1884" t="s">
        <v>210</v>
      </c>
      <c r="AA1884" t="s">
        <v>10974</v>
      </c>
      <c r="AB1884" t="s">
        <v>10979</v>
      </c>
      <c r="AD1884" t="s">
        <v>11086</v>
      </c>
      <c r="AF1884" t="s">
        <v>11119</v>
      </c>
      <c r="AH1884" t="s">
        <v>10974</v>
      </c>
      <c r="AJ1884" t="s">
        <v>11132</v>
      </c>
      <c r="AK1884" t="s">
        <v>7225</v>
      </c>
      <c r="AM1884">
        <v>1800</v>
      </c>
      <c r="AN1884" t="s">
        <v>11151</v>
      </c>
      <c r="AO1884" t="s">
        <v>11153</v>
      </c>
      <c r="AQ1884" t="s">
        <v>11157</v>
      </c>
      <c r="AS1884" t="s">
        <v>11173</v>
      </c>
      <c r="AU1884">
        <v>28</v>
      </c>
      <c r="AW1884" t="s">
        <v>11189</v>
      </c>
      <c r="BA1884" t="s">
        <v>11222</v>
      </c>
      <c r="BD1884" t="s">
        <v>11667</v>
      </c>
      <c r="BF1884" t="s">
        <v>14364</v>
      </c>
      <c r="BM1884" t="s">
        <v>15650</v>
      </c>
    </row>
    <row r="1885" spans="1:65">
      <c r="A1885" s="1">
        <f>HYPERLINK("https://lsnyc.legalserver.org/matter/dynamic-profile/view/0789450","15-0789450")</f>
        <v>0</v>
      </c>
      <c r="B1885" t="s">
        <v>134</v>
      </c>
      <c r="C1885" t="s">
        <v>246</v>
      </c>
      <c r="D1885" t="s">
        <v>697</v>
      </c>
      <c r="F1885" t="s">
        <v>1912</v>
      </c>
      <c r="G1885" t="s">
        <v>3706</v>
      </c>
      <c r="H1885" t="s">
        <v>4844</v>
      </c>
      <c r="I1885" t="s">
        <v>6794</v>
      </c>
      <c r="J1885" t="s">
        <v>7170</v>
      </c>
      <c r="K1885">
        <v>10452</v>
      </c>
      <c r="N1885" t="s">
        <v>7237</v>
      </c>
      <c r="O1885" t="s">
        <v>8416</v>
      </c>
      <c r="P1885">
        <v>2</v>
      </c>
      <c r="Q1885">
        <v>4</v>
      </c>
      <c r="R1885">
        <v>119.74</v>
      </c>
      <c r="U1885">
        <v>39000</v>
      </c>
      <c r="W1885">
        <v>0.1</v>
      </c>
      <c r="X1885" t="s">
        <v>698</v>
      </c>
      <c r="Y1885" t="s">
        <v>138</v>
      </c>
      <c r="AA1885" t="s">
        <v>10974</v>
      </c>
      <c r="AB1885" t="s">
        <v>697</v>
      </c>
      <c r="AD1885" t="s">
        <v>11085</v>
      </c>
      <c r="AF1885" t="s">
        <v>11118</v>
      </c>
      <c r="AH1885" t="s">
        <v>10974</v>
      </c>
      <c r="AJ1885" t="s">
        <v>11132</v>
      </c>
      <c r="AK1885" t="s">
        <v>7225</v>
      </c>
      <c r="AM1885">
        <v>766.61</v>
      </c>
      <c r="AN1885" t="s">
        <v>11151</v>
      </c>
      <c r="AO1885" t="s">
        <v>11153</v>
      </c>
      <c r="AP1885" t="s">
        <v>11155</v>
      </c>
      <c r="AR1885" t="s">
        <v>11172</v>
      </c>
      <c r="AU1885">
        <v>22</v>
      </c>
      <c r="AW1885" t="s">
        <v>11187</v>
      </c>
      <c r="AZ1885" t="s">
        <v>11221</v>
      </c>
      <c r="BE1885" t="s">
        <v>12703</v>
      </c>
      <c r="BF1885" t="s">
        <v>14364</v>
      </c>
      <c r="BG1885" t="s">
        <v>14716</v>
      </c>
      <c r="BM1885" t="s">
        <v>15650</v>
      </c>
    </row>
    <row r="1886" spans="1:65">
      <c r="A1886" s="1">
        <f>HYPERLINK("https://lsnyc.legalserver.org/matter/dynamic-profile/view/1904752","19-1904752")</f>
        <v>0</v>
      </c>
      <c r="B1886" t="s">
        <v>134</v>
      </c>
      <c r="C1886" t="s">
        <v>246</v>
      </c>
      <c r="D1886" t="s">
        <v>373</v>
      </c>
      <c r="F1886" t="s">
        <v>1930</v>
      </c>
      <c r="G1886" t="s">
        <v>2962</v>
      </c>
      <c r="H1886" t="s">
        <v>5372</v>
      </c>
      <c r="I1886" t="s">
        <v>6436</v>
      </c>
      <c r="J1886" t="s">
        <v>7170</v>
      </c>
      <c r="K1886">
        <v>10456</v>
      </c>
      <c r="N1886" t="s">
        <v>7237</v>
      </c>
      <c r="O1886" t="s">
        <v>8447</v>
      </c>
      <c r="P1886">
        <v>1</v>
      </c>
      <c r="Q1886">
        <v>0</v>
      </c>
      <c r="R1886">
        <v>82.34</v>
      </c>
      <c r="U1886">
        <v>10284</v>
      </c>
      <c r="W1886">
        <v>0.5</v>
      </c>
      <c r="X1886" t="s">
        <v>373</v>
      </c>
      <c r="Y1886" t="s">
        <v>210</v>
      </c>
      <c r="AA1886" t="s">
        <v>10974</v>
      </c>
      <c r="AB1886" t="s">
        <v>10987</v>
      </c>
      <c r="AD1886" t="s">
        <v>11098</v>
      </c>
      <c r="AF1886" t="s">
        <v>11122</v>
      </c>
      <c r="AH1886" t="s">
        <v>10974</v>
      </c>
      <c r="AI1886" t="s">
        <v>11126</v>
      </c>
      <c r="AK1886" t="s">
        <v>7225</v>
      </c>
      <c r="AM1886">
        <v>608.72</v>
      </c>
      <c r="AO1886">
        <v>17</v>
      </c>
      <c r="AQ1886" t="s">
        <v>11157</v>
      </c>
      <c r="AS1886" t="s">
        <v>11175</v>
      </c>
      <c r="AU1886">
        <v>43</v>
      </c>
      <c r="AW1886" t="s">
        <v>11189</v>
      </c>
      <c r="BA1886" t="s">
        <v>11222</v>
      </c>
      <c r="BE1886" t="s">
        <v>12730</v>
      </c>
      <c r="BF1886" t="s">
        <v>14364</v>
      </c>
      <c r="BM1886" t="s">
        <v>15650</v>
      </c>
    </row>
    <row r="1887" spans="1:65">
      <c r="A1887" s="1">
        <f>HYPERLINK("https://lsnyc.legalserver.org/matter/dynamic-profile/view/1914996","19-1914996")</f>
        <v>0</v>
      </c>
      <c r="B1887" t="s">
        <v>134</v>
      </c>
      <c r="C1887" t="s">
        <v>246</v>
      </c>
      <c r="D1887" t="s">
        <v>264</v>
      </c>
      <c r="F1887" t="s">
        <v>1680</v>
      </c>
      <c r="G1887" t="s">
        <v>3723</v>
      </c>
      <c r="H1887" t="s">
        <v>5373</v>
      </c>
      <c r="I1887" t="s">
        <v>6480</v>
      </c>
      <c r="J1887" t="s">
        <v>7170</v>
      </c>
      <c r="K1887">
        <v>10456</v>
      </c>
      <c r="N1887" t="s">
        <v>7237</v>
      </c>
      <c r="O1887" t="s">
        <v>8448</v>
      </c>
      <c r="P1887">
        <v>1</v>
      </c>
      <c r="Q1887">
        <v>0</v>
      </c>
      <c r="R1887">
        <v>80.42</v>
      </c>
      <c r="U1887">
        <v>10044</v>
      </c>
      <c r="W1887">
        <v>0</v>
      </c>
      <c r="Y1887" t="s">
        <v>10865</v>
      </c>
      <c r="AA1887" t="s">
        <v>10974</v>
      </c>
      <c r="AD1887" t="s">
        <v>11098</v>
      </c>
      <c r="AF1887" t="s">
        <v>11122</v>
      </c>
      <c r="AG1887" t="s">
        <v>11124</v>
      </c>
      <c r="AJ1887" t="s">
        <v>11129</v>
      </c>
      <c r="AK1887" t="s">
        <v>7225</v>
      </c>
      <c r="AM1887">
        <v>942</v>
      </c>
      <c r="AO1887">
        <v>131</v>
      </c>
      <c r="AQ1887" t="s">
        <v>11157</v>
      </c>
      <c r="AS1887" t="s">
        <v>11173</v>
      </c>
      <c r="AU1887">
        <v>28</v>
      </c>
      <c r="AW1887" t="s">
        <v>11189</v>
      </c>
      <c r="AX1887" t="s">
        <v>11212</v>
      </c>
      <c r="BA1887" t="s">
        <v>11222</v>
      </c>
      <c r="BE1887" t="s">
        <v>12731</v>
      </c>
      <c r="BF1887" t="s">
        <v>14364</v>
      </c>
      <c r="BM1887" t="s">
        <v>15650</v>
      </c>
    </row>
    <row r="1888" spans="1:65">
      <c r="A1888" s="1">
        <f>HYPERLINK("https://lsnyc.legalserver.org/matter/dynamic-profile/view/1910783","19-1910783")</f>
        <v>0</v>
      </c>
      <c r="B1888" t="s">
        <v>134</v>
      </c>
      <c r="C1888" t="s">
        <v>246</v>
      </c>
      <c r="D1888" t="s">
        <v>554</v>
      </c>
      <c r="F1888" t="s">
        <v>1931</v>
      </c>
      <c r="G1888" t="s">
        <v>3021</v>
      </c>
      <c r="H1888" t="s">
        <v>5401</v>
      </c>
      <c r="I1888" t="s">
        <v>6501</v>
      </c>
      <c r="J1888" t="s">
        <v>7170</v>
      </c>
      <c r="K1888">
        <v>10456</v>
      </c>
      <c r="N1888" t="s">
        <v>7237</v>
      </c>
      <c r="O1888" t="s">
        <v>8449</v>
      </c>
      <c r="P1888">
        <v>1</v>
      </c>
      <c r="Q1888">
        <v>0</v>
      </c>
      <c r="R1888">
        <v>80.42</v>
      </c>
      <c r="U1888">
        <v>10044</v>
      </c>
      <c r="W1888">
        <v>15.25</v>
      </c>
      <c r="X1888" t="s">
        <v>528</v>
      </c>
      <c r="Y1888" t="s">
        <v>200</v>
      </c>
      <c r="AA1888" t="s">
        <v>10974</v>
      </c>
      <c r="AD1888" t="s">
        <v>11086</v>
      </c>
      <c r="AF1888" t="s">
        <v>11119</v>
      </c>
      <c r="AH1888" t="s">
        <v>10975</v>
      </c>
      <c r="AJ1888" t="s">
        <v>11129</v>
      </c>
      <c r="AK1888" t="s">
        <v>7225</v>
      </c>
      <c r="AM1888">
        <v>441.73</v>
      </c>
      <c r="AN1888" t="s">
        <v>11151</v>
      </c>
      <c r="AO1888" t="s">
        <v>11153</v>
      </c>
      <c r="AQ1888" t="s">
        <v>11157</v>
      </c>
      <c r="AS1888" t="s">
        <v>11174</v>
      </c>
      <c r="AU1888">
        <v>47</v>
      </c>
      <c r="AW1888" t="s">
        <v>11187</v>
      </c>
      <c r="AX1888" t="s">
        <v>11212</v>
      </c>
      <c r="BA1888" t="s">
        <v>11222</v>
      </c>
      <c r="BD1888" t="s">
        <v>11667</v>
      </c>
      <c r="BF1888" t="s">
        <v>14364</v>
      </c>
      <c r="BM1888" t="s">
        <v>15650</v>
      </c>
    </row>
    <row r="1889" spans="1:65">
      <c r="A1889" s="1">
        <f>HYPERLINK("https://lsnyc.legalserver.org/matter/dynamic-profile/view/1876802","18-1876802")</f>
        <v>0</v>
      </c>
      <c r="B1889" t="s">
        <v>134</v>
      </c>
      <c r="C1889" t="s">
        <v>246</v>
      </c>
      <c r="D1889" t="s">
        <v>628</v>
      </c>
      <c r="F1889" t="s">
        <v>1932</v>
      </c>
      <c r="G1889" t="s">
        <v>3724</v>
      </c>
      <c r="H1889" t="s">
        <v>5373</v>
      </c>
      <c r="I1889" t="s">
        <v>6482</v>
      </c>
      <c r="J1889" t="s">
        <v>7170</v>
      </c>
      <c r="K1889">
        <v>10456</v>
      </c>
      <c r="N1889" t="s">
        <v>7237</v>
      </c>
      <c r="O1889" t="s">
        <v>8450</v>
      </c>
      <c r="P1889">
        <v>1</v>
      </c>
      <c r="Q1889">
        <v>0</v>
      </c>
      <c r="R1889">
        <v>82.37</v>
      </c>
      <c r="U1889">
        <v>10000</v>
      </c>
      <c r="W1889">
        <v>0</v>
      </c>
      <c r="Y1889" t="s">
        <v>216</v>
      </c>
      <c r="AA1889" t="s">
        <v>10974</v>
      </c>
      <c r="AB1889" t="s">
        <v>730</v>
      </c>
      <c r="AD1889" t="s">
        <v>11101</v>
      </c>
      <c r="AF1889" t="s">
        <v>11118</v>
      </c>
      <c r="AH1889" t="s">
        <v>10974</v>
      </c>
      <c r="AJ1889" t="s">
        <v>11141</v>
      </c>
      <c r="AK1889" t="s">
        <v>7225</v>
      </c>
      <c r="AM1889">
        <v>525</v>
      </c>
      <c r="AO1889">
        <v>131</v>
      </c>
      <c r="AQ1889" t="s">
        <v>11157</v>
      </c>
      <c r="AS1889" t="s">
        <v>11173</v>
      </c>
      <c r="AU1889">
        <v>12</v>
      </c>
      <c r="AW1889" t="s">
        <v>11187</v>
      </c>
      <c r="AZ1889" t="s">
        <v>11221</v>
      </c>
      <c r="BD1889" t="s">
        <v>11667</v>
      </c>
      <c r="BG1889" t="s">
        <v>14808</v>
      </c>
      <c r="BM1889" t="s">
        <v>15650</v>
      </c>
    </row>
    <row r="1890" spans="1:65">
      <c r="A1890" s="1">
        <f>HYPERLINK("https://lsnyc.legalserver.org/matter/dynamic-profile/view/1911923","19-1911923")</f>
        <v>0</v>
      </c>
      <c r="B1890" t="s">
        <v>134</v>
      </c>
      <c r="C1890" t="s">
        <v>246</v>
      </c>
      <c r="D1890" t="s">
        <v>341</v>
      </c>
      <c r="E1890" t="s">
        <v>426</v>
      </c>
      <c r="F1890" t="s">
        <v>1933</v>
      </c>
      <c r="G1890" t="s">
        <v>3079</v>
      </c>
      <c r="H1890" t="s">
        <v>5264</v>
      </c>
      <c r="I1890" t="s">
        <v>6802</v>
      </c>
      <c r="J1890" t="s">
        <v>7170</v>
      </c>
      <c r="K1890">
        <v>10453</v>
      </c>
      <c r="L1890" t="s">
        <v>7217</v>
      </c>
      <c r="N1890" t="s">
        <v>7237</v>
      </c>
      <c r="O1890" t="s">
        <v>8451</v>
      </c>
      <c r="P1890">
        <v>1</v>
      </c>
      <c r="Q1890">
        <v>0</v>
      </c>
      <c r="R1890">
        <v>58.49</v>
      </c>
      <c r="U1890">
        <v>7306</v>
      </c>
      <c r="W1890">
        <v>2</v>
      </c>
      <c r="X1890" t="s">
        <v>426</v>
      </c>
      <c r="Y1890" t="s">
        <v>10877</v>
      </c>
      <c r="AA1890" t="s">
        <v>10974</v>
      </c>
      <c r="AD1890" t="s">
        <v>11110</v>
      </c>
      <c r="AF1890" t="s">
        <v>10384</v>
      </c>
      <c r="AG1890" t="s">
        <v>11124</v>
      </c>
      <c r="AJ1890" t="s">
        <v>11134</v>
      </c>
      <c r="AK1890" t="s">
        <v>7225</v>
      </c>
      <c r="AM1890">
        <v>1347</v>
      </c>
      <c r="AO1890">
        <v>38</v>
      </c>
      <c r="AP1890" t="s">
        <v>11155</v>
      </c>
      <c r="AS1890" t="s">
        <v>11174</v>
      </c>
      <c r="AU1890">
        <v>35</v>
      </c>
      <c r="AW1890" t="s">
        <v>11187</v>
      </c>
      <c r="AX1890" t="s">
        <v>11212</v>
      </c>
      <c r="BA1890" t="s">
        <v>11222</v>
      </c>
      <c r="BE1890" t="s">
        <v>12732</v>
      </c>
      <c r="BF1890" t="s">
        <v>14364</v>
      </c>
      <c r="BM1890" t="s">
        <v>15651</v>
      </c>
    </row>
    <row r="1891" spans="1:65">
      <c r="A1891" s="1">
        <f>HYPERLINK("https://lsnyc.legalserver.org/matter/dynamic-profile/view/1886112","18-1886112")</f>
        <v>0</v>
      </c>
      <c r="B1891" t="s">
        <v>134</v>
      </c>
      <c r="C1891" t="s">
        <v>246</v>
      </c>
      <c r="D1891" t="s">
        <v>405</v>
      </c>
      <c r="F1891" t="s">
        <v>1934</v>
      </c>
      <c r="G1891" t="s">
        <v>3725</v>
      </c>
      <c r="H1891" t="s">
        <v>5373</v>
      </c>
      <c r="I1891" t="s">
        <v>6503</v>
      </c>
      <c r="J1891" t="s">
        <v>7170</v>
      </c>
      <c r="K1891">
        <v>10456</v>
      </c>
      <c r="N1891" t="s">
        <v>7237</v>
      </c>
      <c r="O1891" t="s">
        <v>8452</v>
      </c>
      <c r="P1891">
        <v>2</v>
      </c>
      <c r="Q1891">
        <v>3</v>
      </c>
      <c r="R1891">
        <v>42.18</v>
      </c>
      <c r="U1891">
        <v>12408</v>
      </c>
      <c r="W1891">
        <v>0</v>
      </c>
      <c r="Y1891" t="s">
        <v>216</v>
      </c>
      <c r="AA1891" t="s">
        <v>10974</v>
      </c>
      <c r="AB1891" t="s">
        <v>597</v>
      </c>
      <c r="AD1891" t="s">
        <v>11098</v>
      </c>
      <c r="AF1891" t="s">
        <v>11122</v>
      </c>
      <c r="AH1891" t="s">
        <v>10974</v>
      </c>
      <c r="AJ1891" t="s">
        <v>11141</v>
      </c>
      <c r="AK1891" t="s">
        <v>7225</v>
      </c>
      <c r="AM1891">
        <v>1227</v>
      </c>
      <c r="AO1891">
        <v>131</v>
      </c>
      <c r="AQ1891" t="s">
        <v>11157</v>
      </c>
      <c r="AS1891" t="s">
        <v>11174</v>
      </c>
      <c r="AU1891">
        <v>9</v>
      </c>
      <c r="AW1891" t="s">
        <v>11189</v>
      </c>
      <c r="AZ1891" t="s">
        <v>11221</v>
      </c>
      <c r="BE1891" t="s">
        <v>12733</v>
      </c>
      <c r="BG1891" t="s">
        <v>14805</v>
      </c>
      <c r="BM1891" t="s">
        <v>15650</v>
      </c>
    </row>
    <row r="1892" spans="1:65">
      <c r="A1892" s="1">
        <f>HYPERLINK("https://lsnyc.legalserver.org/matter/dynamic-profile/view/1876670","18-1876670")</f>
        <v>0</v>
      </c>
      <c r="B1892" t="s">
        <v>134</v>
      </c>
      <c r="C1892" t="s">
        <v>246</v>
      </c>
      <c r="D1892" t="s">
        <v>662</v>
      </c>
      <c r="F1892" t="s">
        <v>1934</v>
      </c>
      <c r="G1892" t="s">
        <v>3725</v>
      </c>
      <c r="H1892" t="s">
        <v>5373</v>
      </c>
      <c r="I1892" t="s">
        <v>6503</v>
      </c>
      <c r="J1892" t="s">
        <v>7170</v>
      </c>
      <c r="K1892">
        <v>10456</v>
      </c>
      <c r="N1892" t="s">
        <v>7237</v>
      </c>
      <c r="O1892" t="s">
        <v>8452</v>
      </c>
      <c r="P1892">
        <v>2</v>
      </c>
      <c r="Q1892">
        <v>3</v>
      </c>
      <c r="R1892">
        <v>42.18</v>
      </c>
      <c r="U1892">
        <v>12408</v>
      </c>
      <c r="W1892">
        <v>0</v>
      </c>
      <c r="Y1892" t="s">
        <v>216</v>
      </c>
      <c r="AA1892" t="s">
        <v>10974</v>
      </c>
      <c r="AB1892" t="s">
        <v>662</v>
      </c>
      <c r="AD1892" t="s">
        <v>11101</v>
      </c>
      <c r="AF1892" t="s">
        <v>11118</v>
      </c>
      <c r="AH1892" t="s">
        <v>10974</v>
      </c>
      <c r="AJ1892" t="s">
        <v>11141</v>
      </c>
      <c r="AK1892" t="s">
        <v>7225</v>
      </c>
      <c r="AM1892">
        <v>1227</v>
      </c>
      <c r="AO1892">
        <v>131</v>
      </c>
      <c r="AQ1892" t="s">
        <v>11157</v>
      </c>
      <c r="AS1892" t="s">
        <v>11174</v>
      </c>
      <c r="AU1892">
        <v>9</v>
      </c>
      <c r="AW1892" t="s">
        <v>11189</v>
      </c>
      <c r="AZ1892" t="s">
        <v>11221</v>
      </c>
      <c r="BE1892" t="s">
        <v>12733</v>
      </c>
      <c r="BG1892" t="s">
        <v>14808</v>
      </c>
      <c r="BM1892" t="s">
        <v>15650</v>
      </c>
    </row>
    <row r="1893" spans="1:65">
      <c r="A1893" s="1">
        <f>HYPERLINK("https://lsnyc.legalserver.org/matter/dynamic-profile/view/1841101","17-1841101")</f>
        <v>0</v>
      </c>
      <c r="B1893" t="s">
        <v>134</v>
      </c>
      <c r="C1893" t="s">
        <v>246</v>
      </c>
      <c r="D1893" t="s">
        <v>694</v>
      </c>
      <c r="F1893" t="s">
        <v>1763</v>
      </c>
      <c r="G1893" t="s">
        <v>3552</v>
      </c>
      <c r="H1893" t="s">
        <v>4844</v>
      </c>
      <c r="I1893" t="s">
        <v>6543</v>
      </c>
      <c r="J1893" t="s">
        <v>7170</v>
      </c>
      <c r="K1893">
        <v>10452</v>
      </c>
      <c r="N1893" t="s">
        <v>7237</v>
      </c>
      <c r="O1893" t="s">
        <v>8178</v>
      </c>
      <c r="P1893">
        <v>1</v>
      </c>
      <c r="Q1893">
        <v>2</v>
      </c>
      <c r="R1893">
        <v>58.77</v>
      </c>
      <c r="U1893">
        <v>12000</v>
      </c>
      <c r="W1893">
        <v>0</v>
      </c>
      <c r="Y1893" t="s">
        <v>10897</v>
      </c>
      <c r="AA1893" t="s">
        <v>10974</v>
      </c>
      <c r="AB1893" t="s">
        <v>694</v>
      </c>
      <c r="AD1893" t="s">
        <v>11096</v>
      </c>
      <c r="AF1893" t="s">
        <v>11122</v>
      </c>
      <c r="AH1893" t="s">
        <v>10974</v>
      </c>
      <c r="AJ1893" t="s">
        <v>11141</v>
      </c>
      <c r="AK1893" t="s">
        <v>7225</v>
      </c>
      <c r="AM1893">
        <v>652</v>
      </c>
      <c r="AO1893">
        <v>122</v>
      </c>
      <c r="AQ1893" t="s">
        <v>11157</v>
      </c>
      <c r="AR1893" t="s">
        <v>11172</v>
      </c>
      <c r="AU1893">
        <v>15</v>
      </c>
      <c r="AW1893" t="s">
        <v>11187</v>
      </c>
      <c r="AZ1893" t="s">
        <v>11221</v>
      </c>
      <c r="BE1893" t="s">
        <v>12478</v>
      </c>
      <c r="BF1893" t="s">
        <v>14364</v>
      </c>
      <c r="BM1893" t="s">
        <v>15650</v>
      </c>
    </row>
    <row r="1894" spans="1:65">
      <c r="A1894" s="1">
        <f>HYPERLINK("https://lsnyc.legalserver.org/matter/dynamic-profile/view/1876678","18-1876678")</f>
        <v>0</v>
      </c>
      <c r="B1894" t="s">
        <v>134</v>
      </c>
      <c r="C1894" t="s">
        <v>246</v>
      </c>
      <c r="D1894" t="s">
        <v>662</v>
      </c>
      <c r="F1894" t="s">
        <v>1934</v>
      </c>
      <c r="G1894" t="s">
        <v>3725</v>
      </c>
      <c r="H1894" t="s">
        <v>5373</v>
      </c>
      <c r="I1894" t="s">
        <v>6503</v>
      </c>
      <c r="J1894" t="s">
        <v>7170</v>
      </c>
      <c r="K1894">
        <v>10456</v>
      </c>
      <c r="N1894" t="s">
        <v>7237</v>
      </c>
      <c r="O1894" t="s">
        <v>8452</v>
      </c>
      <c r="P1894">
        <v>2</v>
      </c>
      <c r="Q1894">
        <v>3</v>
      </c>
      <c r="R1894">
        <v>42.18</v>
      </c>
      <c r="U1894">
        <v>12408</v>
      </c>
      <c r="W1894">
        <v>0</v>
      </c>
      <c r="Y1894" t="s">
        <v>216</v>
      </c>
      <c r="AA1894" t="s">
        <v>10974</v>
      </c>
      <c r="AB1894" t="s">
        <v>662</v>
      </c>
      <c r="AD1894" t="s">
        <v>11098</v>
      </c>
      <c r="AF1894" t="s">
        <v>11120</v>
      </c>
      <c r="AH1894" t="s">
        <v>10974</v>
      </c>
      <c r="AJ1894" t="s">
        <v>11141</v>
      </c>
      <c r="AK1894" t="s">
        <v>7225</v>
      </c>
      <c r="AM1894">
        <v>1227</v>
      </c>
      <c r="AO1894">
        <v>131</v>
      </c>
      <c r="AQ1894" t="s">
        <v>11157</v>
      </c>
      <c r="AS1894" t="s">
        <v>11174</v>
      </c>
      <c r="AU1894">
        <v>9</v>
      </c>
      <c r="AW1894" t="s">
        <v>11189</v>
      </c>
      <c r="AZ1894" t="s">
        <v>11221</v>
      </c>
      <c r="BE1894" t="s">
        <v>12733</v>
      </c>
      <c r="BG1894" t="s">
        <v>14803</v>
      </c>
      <c r="BM1894" t="s">
        <v>15650</v>
      </c>
    </row>
    <row r="1895" spans="1:65">
      <c r="A1895" s="1">
        <f>HYPERLINK("https://lsnyc.legalserver.org/matter/dynamic-profile/view/1889697","19-1889697")</f>
        <v>0</v>
      </c>
      <c r="B1895" t="s">
        <v>134</v>
      </c>
      <c r="C1895" t="s">
        <v>246</v>
      </c>
      <c r="D1895" t="s">
        <v>339</v>
      </c>
      <c r="F1895" t="s">
        <v>1895</v>
      </c>
      <c r="G1895" t="s">
        <v>3692</v>
      </c>
      <c r="H1895" t="s">
        <v>5373</v>
      </c>
      <c r="I1895" t="s">
        <v>6569</v>
      </c>
      <c r="J1895" t="s">
        <v>7170</v>
      </c>
      <c r="K1895">
        <v>10456</v>
      </c>
      <c r="N1895" t="s">
        <v>7237</v>
      </c>
      <c r="O1895" t="s">
        <v>7659</v>
      </c>
      <c r="P1895">
        <v>3</v>
      </c>
      <c r="Q1895">
        <v>0</v>
      </c>
      <c r="R1895">
        <v>164.09</v>
      </c>
      <c r="U1895">
        <v>35000</v>
      </c>
      <c r="W1895">
        <v>0</v>
      </c>
      <c r="Y1895" t="s">
        <v>216</v>
      </c>
      <c r="AA1895" t="s">
        <v>10974</v>
      </c>
      <c r="AB1895" t="s">
        <v>370</v>
      </c>
      <c r="AD1895" t="s">
        <v>11098</v>
      </c>
      <c r="AF1895" t="s">
        <v>11122</v>
      </c>
      <c r="AH1895" t="s">
        <v>10974</v>
      </c>
      <c r="AJ1895" t="s">
        <v>11141</v>
      </c>
      <c r="AK1895" t="s">
        <v>7225</v>
      </c>
      <c r="AM1895">
        <v>1268.04</v>
      </c>
      <c r="AO1895">
        <v>131</v>
      </c>
      <c r="AQ1895" t="s">
        <v>11157</v>
      </c>
      <c r="AS1895" t="s">
        <v>11173</v>
      </c>
      <c r="AU1895">
        <v>21</v>
      </c>
      <c r="AW1895" t="s">
        <v>11189</v>
      </c>
      <c r="AZ1895" t="s">
        <v>11221</v>
      </c>
      <c r="BE1895" t="s">
        <v>12678</v>
      </c>
      <c r="BF1895" t="s">
        <v>14364</v>
      </c>
      <c r="BM1895" t="s">
        <v>15650</v>
      </c>
    </row>
    <row r="1896" spans="1:65">
      <c r="A1896" s="1">
        <f>HYPERLINK("https://lsnyc.legalserver.org/matter/dynamic-profile/view/1857032","18-1857032")</f>
        <v>0</v>
      </c>
      <c r="B1896" t="s">
        <v>134</v>
      </c>
      <c r="C1896" t="s">
        <v>246</v>
      </c>
      <c r="D1896" t="s">
        <v>359</v>
      </c>
      <c r="F1896" t="s">
        <v>1919</v>
      </c>
      <c r="G1896" t="s">
        <v>3394</v>
      </c>
      <c r="H1896" t="s">
        <v>4844</v>
      </c>
      <c r="I1896" t="s">
        <v>6796</v>
      </c>
      <c r="J1896" t="s">
        <v>7170</v>
      </c>
      <c r="K1896">
        <v>10452</v>
      </c>
      <c r="N1896" t="s">
        <v>7237</v>
      </c>
      <c r="O1896" t="s">
        <v>8426</v>
      </c>
      <c r="P1896">
        <v>1</v>
      </c>
      <c r="Q1896">
        <v>0</v>
      </c>
      <c r="R1896">
        <v>271.64</v>
      </c>
      <c r="U1896">
        <v>32760</v>
      </c>
      <c r="W1896">
        <v>0</v>
      </c>
      <c r="Y1896" t="s">
        <v>10897</v>
      </c>
      <c r="Z1896" t="s">
        <v>10972</v>
      </c>
      <c r="AA1896" t="s">
        <v>10976</v>
      </c>
      <c r="AD1896" t="s">
        <v>11096</v>
      </c>
      <c r="AF1896" t="s">
        <v>11122</v>
      </c>
      <c r="AH1896" t="s">
        <v>10974</v>
      </c>
      <c r="AJ1896" t="s">
        <v>11141</v>
      </c>
      <c r="AK1896" t="s">
        <v>7225</v>
      </c>
      <c r="AM1896">
        <v>1050</v>
      </c>
      <c r="AO1896">
        <v>122</v>
      </c>
      <c r="AQ1896" t="s">
        <v>11157</v>
      </c>
      <c r="AS1896" t="s">
        <v>11173</v>
      </c>
      <c r="AU1896">
        <v>2</v>
      </c>
      <c r="AW1896" t="s">
        <v>11187</v>
      </c>
      <c r="AX1896" t="s">
        <v>11212</v>
      </c>
      <c r="AZ1896" t="s">
        <v>11221</v>
      </c>
      <c r="BE1896" t="s">
        <v>12712</v>
      </c>
      <c r="BF1896" t="s">
        <v>14364</v>
      </c>
      <c r="BM1896" t="s">
        <v>15650</v>
      </c>
    </row>
    <row r="1897" spans="1:65">
      <c r="A1897" s="1">
        <f>HYPERLINK("https://lsnyc.legalserver.org/matter/dynamic-profile/view/1857478","18-1857478")</f>
        <v>0</v>
      </c>
      <c r="B1897" t="s">
        <v>134</v>
      </c>
      <c r="C1897" t="s">
        <v>246</v>
      </c>
      <c r="D1897" t="s">
        <v>691</v>
      </c>
      <c r="F1897" t="s">
        <v>1919</v>
      </c>
      <c r="G1897" t="s">
        <v>3394</v>
      </c>
      <c r="H1897" t="s">
        <v>4844</v>
      </c>
      <c r="I1897" t="s">
        <v>6796</v>
      </c>
      <c r="J1897" t="s">
        <v>7170</v>
      </c>
      <c r="K1897">
        <v>10452</v>
      </c>
      <c r="N1897" t="s">
        <v>7237</v>
      </c>
      <c r="O1897" t="s">
        <v>8426</v>
      </c>
      <c r="P1897">
        <v>1</v>
      </c>
      <c r="Q1897">
        <v>0</v>
      </c>
      <c r="R1897">
        <v>271.64</v>
      </c>
      <c r="U1897">
        <v>32760</v>
      </c>
      <c r="W1897">
        <v>0.1</v>
      </c>
      <c r="X1897" t="s">
        <v>920</v>
      </c>
      <c r="Y1897" t="s">
        <v>10897</v>
      </c>
      <c r="Z1897" t="s">
        <v>10972</v>
      </c>
      <c r="AA1897" t="s">
        <v>10976</v>
      </c>
      <c r="AD1897" t="s">
        <v>11096</v>
      </c>
      <c r="AF1897" t="s">
        <v>11122</v>
      </c>
      <c r="AH1897" t="s">
        <v>10974</v>
      </c>
      <c r="AJ1897" t="s">
        <v>11141</v>
      </c>
      <c r="AK1897" t="s">
        <v>7225</v>
      </c>
      <c r="AM1897">
        <v>1050</v>
      </c>
      <c r="AO1897">
        <v>122</v>
      </c>
      <c r="AQ1897" t="s">
        <v>11157</v>
      </c>
      <c r="AS1897" t="s">
        <v>11173</v>
      </c>
      <c r="AU1897">
        <v>2</v>
      </c>
      <c r="AW1897" t="s">
        <v>11187</v>
      </c>
      <c r="AX1897" t="s">
        <v>11212</v>
      </c>
      <c r="AZ1897" t="s">
        <v>11221</v>
      </c>
      <c r="BE1897" t="s">
        <v>12712</v>
      </c>
      <c r="BG1897" t="s">
        <v>14717</v>
      </c>
      <c r="BM1897" t="s">
        <v>15650</v>
      </c>
    </row>
    <row r="1898" spans="1:65">
      <c r="A1898" s="1">
        <f>HYPERLINK("https://lsnyc.legalserver.org/matter/dynamic-profile/view/1904741","19-1904741")</f>
        <v>0</v>
      </c>
      <c r="B1898" t="s">
        <v>134</v>
      </c>
      <c r="C1898" t="s">
        <v>246</v>
      </c>
      <c r="D1898" t="s">
        <v>373</v>
      </c>
      <c r="F1898" t="s">
        <v>1920</v>
      </c>
      <c r="G1898" t="s">
        <v>3714</v>
      </c>
      <c r="H1898" t="s">
        <v>5373</v>
      </c>
      <c r="I1898" t="s">
        <v>6467</v>
      </c>
      <c r="J1898" t="s">
        <v>7170</v>
      </c>
      <c r="K1898">
        <v>10456</v>
      </c>
      <c r="N1898" t="s">
        <v>7237</v>
      </c>
      <c r="O1898" t="s">
        <v>8427</v>
      </c>
      <c r="P1898">
        <v>1</v>
      </c>
      <c r="Q1898">
        <v>0</v>
      </c>
      <c r="R1898">
        <v>256.21</v>
      </c>
      <c r="U1898">
        <v>32000.04</v>
      </c>
      <c r="W1898">
        <v>2</v>
      </c>
      <c r="X1898" t="s">
        <v>423</v>
      </c>
      <c r="Y1898" t="s">
        <v>216</v>
      </c>
      <c r="AA1898" t="s">
        <v>10974</v>
      </c>
      <c r="AB1898" t="s">
        <v>10979</v>
      </c>
      <c r="AD1898" t="s">
        <v>11098</v>
      </c>
      <c r="AF1898" t="s">
        <v>11122</v>
      </c>
      <c r="AH1898" t="s">
        <v>10974</v>
      </c>
      <c r="AI1898" t="s">
        <v>11126</v>
      </c>
      <c r="AK1898" t="s">
        <v>7225</v>
      </c>
      <c r="AM1898">
        <v>889.6</v>
      </c>
      <c r="AO1898">
        <v>131</v>
      </c>
      <c r="AQ1898" t="s">
        <v>11157</v>
      </c>
      <c r="AS1898" t="s">
        <v>11173</v>
      </c>
      <c r="AU1898">
        <v>26</v>
      </c>
      <c r="AW1898" t="s">
        <v>11187</v>
      </c>
      <c r="BA1898" t="s">
        <v>11222</v>
      </c>
      <c r="BE1898" t="s">
        <v>12713</v>
      </c>
      <c r="BG1898" t="s">
        <v>14805</v>
      </c>
      <c r="BM1898" t="s">
        <v>15650</v>
      </c>
    </row>
    <row r="1899" spans="1:65">
      <c r="A1899" s="1">
        <f>HYPERLINK("https://lsnyc.legalserver.org/matter/dynamic-profile/view/1857037","18-1857037")</f>
        <v>0</v>
      </c>
      <c r="B1899" t="s">
        <v>134</v>
      </c>
      <c r="C1899" t="s">
        <v>246</v>
      </c>
      <c r="D1899" t="s">
        <v>359</v>
      </c>
      <c r="F1899" t="s">
        <v>1912</v>
      </c>
      <c r="G1899" t="s">
        <v>3706</v>
      </c>
      <c r="H1899" t="s">
        <v>4844</v>
      </c>
      <c r="I1899" t="s">
        <v>6794</v>
      </c>
      <c r="J1899" t="s">
        <v>7170</v>
      </c>
      <c r="K1899">
        <v>10452</v>
      </c>
      <c r="N1899" t="s">
        <v>7237</v>
      </c>
      <c r="O1899" t="s">
        <v>8416</v>
      </c>
      <c r="P1899">
        <v>2</v>
      </c>
      <c r="Q1899">
        <v>4</v>
      </c>
      <c r="R1899">
        <v>118.33</v>
      </c>
      <c r="U1899">
        <v>78000</v>
      </c>
      <c r="V1899" t="s">
        <v>10476</v>
      </c>
      <c r="W1899">
        <v>0.1</v>
      </c>
      <c r="X1899" t="s">
        <v>920</v>
      </c>
      <c r="Y1899" t="s">
        <v>10897</v>
      </c>
      <c r="AA1899" t="s">
        <v>10974</v>
      </c>
      <c r="AB1899" t="s">
        <v>849</v>
      </c>
      <c r="AD1899" t="s">
        <v>11096</v>
      </c>
      <c r="AF1899" t="s">
        <v>11122</v>
      </c>
      <c r="AH1899" t="s">
        <v>10974</v>
      </c>
      <c r="AJ1899" t="s">
        <v>11141</v>
      </c>
      <c r="AK1899" t="s">
        <v>7225</v>
      </c>
      <c r="AM1899">
        <v>766.61</v>
      </c>
      <c r="AO1899">
        <v>122</v>
      </c>
      <c r="AQ1899" t="s">
        <v>11157</v>
      </c>
      <c r="AS1899" t="s">
        <v>11173</v>
      </c>
      <c r="AU1899">
        <v>23</v>
      </c>
      <c r="AW1899" t="s">
        <v>11187</v>
      </c>
      <c r="AZ1899" t="s">
        <v>11221</v>
      </c>
      <c r="BE1899" t="s">
        <v>12703</v>
      </c>
      <c r="BG1899" t="s">
        <v>14719</v>
      </c>
      <c r="BM1899" t="s">
        <v>15650</v>
      </c>
    </row>
    <row r="1900" spans="1:65">
      <c r="A1900" s="1">
        <f>HYPERLINK("https://lsnyc.legalserver.org/matter/dynamic-profile/view/1876704","18-1876704")</f>
        <v>0</v>
      </c>
      <c r="B1900" t="s">
        <v>134</v>
      </c>
      <c r="C1900" t="s">
        <v>246</v>
      </c>
      <c r="D1900" t="s">
        <v>662</v>
      </c>
      <c r="F1900" t="s">
        <v>1680</v>
      </c>
      <c r="G1900" t="s">
        <v>3723</v>
      </c>
      <c r="H1900" t="s">
        <v>5373</v>
      </c>
      <c r="I1900" t="s">
        <v>6480</v>
      </c>
      <c r="J1900" t="s">
        <v>7170</v>
      </c>
      <c r="K1900">
        <v>10456</v>
      </c>
      <c r="N1900" t="s">
        <v>7237</v>
      </c>
      <c r="O1900" t="s">
        <v>8448</v>
      </c>
      <c r="P1900">
        <v>1</v>
      </c>
      <c r="Q1900">
        <v>0</v>
      </c>
      <c r="R1900">
        <v>82.73</v>
      </c>
      <c r="U1900">
        <v>10044</v>
      </c>
      <c r="W1900">
        <v>0</v>
      </c>
      <c r="Y1900" t="s">
        <v>216</v>
      </c>
      <c r="AA1900" t="s">
        <v>10974</v>
      </c>
      <c r="AB1900" t="s">
        <v>662</v>
      </c>
      <c r="AD1900" t="s">
        <v>11098</v>
      </c>
      <c r="AF1900" t="s">
        <v>11122</v>
      </c>
      <c r="AH1900" t="s">
        <v>10974</v>
      </c>
      <c r="AJ1900" t="s">
        <v>11141</v>
      </c>
      <c r="AK1900" t="s">
        <v>7225</v>
      </c>
      <c r="AM1900">
        <v>942</v>
      </c>
      <c r="AO1900">
        <v>131</v>
      </c>
      <c r="AQ1900" t="s">
        <v>11157</v>
      </c>
      <c r="AS1900" t="s">
        <v>11173</v>
      </c>
      <c r="AU1900">
        <v>27</v>
      </c>
      <c r="AW1900" t="s">
        <v>11189</v>
      </c>
      <c r="AZ1900" t="s">
        <v>11221</v>
      </c>
      <c r="BE1900" t="s">
        <v>12731</v>
      </c>
      <c r="BG1900" t="s">
        <v>14803</v>
      </c>
      <c r="BM1900" t="s">
        <v>15650</v>
      </c>
    </row>
    <row r="1901" spans="1:65">
      <c r="A1901" s="1">
        <f>HYPERLINK("https://lsnyc.legalserver.org/matter/dynamic-profile/view/1886350","18-1886350")</f>
        <v>0</v>
      </c>
      <c r="B1901" t="s">
        <v>134</v>
      </c>
      <c r="C1901" t="s">
        <v>246</v>
      </c>
      <c r="D1901" t="s">
        <v>794</v>
      </c>
      <c r="F1901" t="s">
        <v>1680</v>
      </c>
      <c r="G1901" t="s">
        <v>3723</v>
      </c>
      <c r="H1901" t="s">
        <v>5373</v>
      </c>
      <c r="I1901" t="s">
        <v>6480</v>
      </c>
      <c r="J1901" t="s">
        <v>7170</v>
      </c>
      <c r="K1901">
        <v>10456</v>
      </c>
      <c r="N1901" t="s">
        <v>7237</v>
      </c>
      <c r="O1901" t="s">
        <v>8448</v>
      </c>
      <c r="P1901">
        <v>1</v>
      </c>
      <c r="Q1901">
        <v>0</v>
      </c>
      <c r="R1901">
        <v>82.73</v>
      </c>
      <c r="U1901">
        <v>10044</v>
      </c>
      <c r="W1901">
        <v>0</v>
      </c>
      <c r="Y1901" t="s">
        <v>216</v>
      </c>
      <c r="AA1901" t="s">
        <v>10974</v>
      </c>
      <c r="AB1901" t="s">
        <v>370</v>
      </c>
      <c r="AD1901" t="s">
        <v>11098</v>
      </c>
      <c r="AF1901" t="s">
        <v>11122</v>
      </c>
      <c r="AH1901" t="s">
        <v>10974</v>
      </c>
      <c r="AJ1901" t="s">
        <v>11141</v>
      </c>
      <c r="AK1901" t="s">
        <v>7225</v>
      </c>
      <c r="AM1901">
        <v>942</v>
      </c>
      <c r="AO1901">
        <v>131</v>
      </c>
      <c r="AQ1901" t="s">
        <v>11157</v>
      </c>
      <c r="AS1901" t="s">
        <v>11173</v>
      </c>
      <c r="AU1901">
        <v>27</v>
      </c>
      <c r="AW1901" t="s">
        <v>11189</v>
      </c>
      <c r="AZ1901" t="s">
        <v>11221</v>
      </c>
      <c r="BE1901" t="s">
        <v>12731</v>
      </c>
      <c r="BG1901" t="s">
        <v>14805</v>
      </c>
      <c r="BM1901" t="s">
        <v>15650</v>
      </c>
    </row>
    <row r="1902" spans="1:65">
      <c r="A1902" s="1">
        <f>HYPERLINK("https://lsnyc.legalserver.org/matter/dynamic-profile/view/1915004","19-1915004")</f>
        <v>0</v>
      </c>
      <c r="B1902" t="s">
        <v>134</v>
      </c>
      <c r="C1902" t="s">
        <v>246</v>
      </c>
      <c r="D1902" t="s">
        <v>316</v>
      </c>
      <c r="E1902" t="s">
        <v>426</v>
      </c>
      <c r="F1902" t="s">
        <v>1935</v>
      </c>
      <c r="G1902" t="s">
        <v>3726</v>
      </c>
      <c r="H1902" t="s">
        <v>5402</v>
      </c>
      <c r="I1902" t="s">
        <v>6410</v>
      </c>
      <c r="J1902" t="s">
        <v>7170</v>
      </c>
      <c r="K1902">
        <v>10456</v>
      </c>
      <c r="L1902" t="s">
        <v>7217</v>
      </c>
      <c r="N1902" t="s">
        <v>7237</v>
      </c>
      <c r="P1902">
        <v>1</v>
      </c>
      <c r="Q1902">
        <v>0</v>
      </c>
      <c r="R1902">
        <v>152.12</v>
      </c>
      <c r="U1902">
        <v>19000</v>
      </c>
      <c r="W1902">
        <v>2.75</v>
      </c>
      <c r="X1902" t="s">
        <v>426</v>
      </c>
      <c r="Y1902" t="s">
        <v>216</v>
      </c>
      <c r="AA1902" t="s">
        <v>10974</v>
      </c>
      <c r="AD1902" t="s">
        <v>11098</v>
      </c>
      <c r="AF1902" t="s">
        <v>10384</v>
      </c>
      <c r="AH1902" t="s">
        <v>10975</v>
      </c>
      <c r="AJ1902" t="s">
        <v>11141</v>
      </c>
      <c r="AK1902" t="s">
        <v>7225</v>
      </c>
      <c r="AM1902">
        <v>939.4400000000001</v>
      </c>
      <c r="AO1902">
        <v>55</v>
      </c>
      <c r="AQ1902" t="s">
        <v>11157</v>
      </c>
      <c r="AS1902" t="s">
        <v>11173</v>
      </c>
      <c r="AU1902">
        <v>24</v>
      </c>
      <c r="AW1902" t="s">
        <v>11187</v>
      </c>
      <c r="AX1902" t="s">
        <v>11212</v>
      </c>
      <c r="BA1902" t="s">
        <v>11222</v>
      </c>
      <c r="BD1902" t="s">
        <v>11667</v>
      </c>
      <c r="BF1902" t="s">
        <v>14364</v>
      </c>
      <c r="BM1902" t="s">
        <v>15651</v>
      </c>
    </row>
    <row r="1903" spans="1:65">
      <c r="A1903" s="1">
        <f>HYPERLINK("https://lsnyc.legalserver.org/matter/dynamic-profile/view/1876697","18-1876697")</f>
        <v>0</v>
      </c>
      <c r="B1903" t="s">
        <v>134</v>
      </c>
      <c r="C1903" t="s">
        <v>246</v>
      </c>
      <c r="D1903" t="s">
        <v>662</v>
      </c>
      <c r="F1903" t="s">
        <v>1680</v>
      </c>
      <c r="G1903" t="s">
        <v>3723</v>
      </c>
      <c r="H1903" t="s">
        <v>5373</v>
      </c>
      <c r="I1903" t="s">
        <v>6480</v>
      </c>
      <c r="J1903" t="s">
        <v>7170</v>
      </c>
      <c r="K1903">
        <v>10456</v>
      </c>
      <c r="N1903" t="s">
        <v>7237</v>
      </c>
      <c r="O1903" t="s">
        <v>8448</v>
      </c>
      <c r="P1903">
        <v>1</v>
      </c>
      <c r="Q1903">
        <v>0</v>
      </c>
      <c r="R1903">
        <v>82.73</v>
      </c>
      <c r="U1903">
        <v>10044</v>
      </c>
      <c r="W1903">
        <v>0</v>
      </c>
      <c r="Y1903" t="s">
        <v>216</v>
      </c>
      <c r="AA1903" t="s">
        <v>10974</v>
      </c>
      <c r="AB1903" t="s">
        <v>662</v>
      </c>
      <c r="AD1903" t="s">
        <v>11101</v>
      </c>
      <c r="AF1903" t="s">
        <v>11118</v>
      </c>
      <c r="AH1903" t="s">
        <v>10974</v>
      </c>
      <c r="AJ1903" t="s">
        <v>11141</v>
      </c>
      <c r="AK1903" t="s">
        <v>7225</v>
      </c>
      <c r="AM1903">
        <v>942</v>
      </c>
      <c r="AO1903">
        <v>131</v>
      </c>
      <c r="AQ1903" t="s">
        <v>11157</v>
      </c>
      <c r="AS1903" t="s">
        <v>11173</v>
      </c>
      <c r="AU1903">
        <v>27</v>
      </c>
      <c r="AW1903" t="s">
        <v>11189</v>
      </c>
      <c r="AZ1903" t="s">
        <v>11221</v>
      </c>
      <c r="BE1903" t="s">
        <v>12731</v>
      </c>
      <c r="BG1903" t="s">
        <v>14808</v>
      </c>
      <c r="BM1903" t="s">
        <v>15650</v>
      </c>
    </row>
    <row r="1904" spans="1:65">
      <c r="A1904" s="1">
        <f>HYPERLINK("https://lsnyc.legalserver.org/matter/dynamic-profile/view/0806145","16-0806145")</f>
        <v>0</v>
      </c>
      <c r="B1904" t="s">
        <v>134</v>
      </c>
      <c r="C1904" t="s">
        <v>246</v>
      </c>
      <c r="D1904" t="s">
        <v>715</v>
      </c>
      <c r="F1904" t="s">
        <v>1090</v>
      </c>
      <c r="G1904" t="s">
        <v>2889</v>
      </c>
      <c r="H1904" t="s">
        <v>4844</v>
      </c>
      <c r="I1904" t="s">
        <v>6789</v>
      </c>
      <c r="J1904" t="s">
        <v>7170</v>
      </c>
      <c r="K1904">
        <v>10452</v>
      </c>
      <c r="N1904" t="s">
        <v>7237</v>
      </c>
      <c r="O1904" t="s">
        <v>8396</v>
      </c>
      <c r="P1904">
        <v>1</v>
      </c>
      <c r="Q1904">
        <v>0</v>
      </c>
      <c r="R1904">
        <v>0</v>
      </c>
      <c r="U1904">
        <v>0</v>
      </c>
      <c r="W1904">
        <v>0.1</v>
      </c>
      <c r="X1904" t="s">
        <v>10814</v>
      </c>
      <c r="Y1904" t="s">
        <v>138</v>
      </c>
      <c r="AA1904" t="s">
        <v>10974</v>
      </c>
      <c r="AB1904" t="s">
        <v>719</v>
      </c>
      <c r="AD1904" t="s">
        <v>11085</v>
      </c>
      <c r="AF1904" t="s">
        <v>11118</v>
      </c>
      <c r="AH1904" t="s">
        <v>10974</v>
      </c>
      <c r="AI1904" t="s">
        <v>11126</v>
      </c>
      <c r="AK1904" t="s">
        <v>7225</v>
      </c>
      <c r="AL1904" t="s">
        <v>11150</v>
      </c>
      <c r="AM1904">
        <v>0</v>
      </c>
      <c r="AO1904">
        <v>122</v>
      </c>
      <c r="AQ1904" t="s">
        <v>11157</v>
      </c>
      <c r="AR1904" t="s">
        <v>11172</v>
      </c>
      <c r="AT1904" t="s">
        <v>11184</v>
      </c>
      <c r="AU1904">
        <v>0</v>
      </c>
      <c r="AW1904" t="s">
        <v>11189</v>
      </c>
      <c r="AZ1904" t="s">
        <v>11221</v>
      </c>
      <c r="BE1904" t="s">
        <v>12684</v>
      </c>
      <c r="BF1904" t="s">
        <v>14364</v>
      </c>
      <c r="BG1904" t="s">
        <v>14716</v>
      </c>
      <c r="BM1904" t="s">
        <v>15650</v>
      </c>
    </row>
    <row r="1905" spans="1:65">
      <c r="A1905" s="1">
        <f>HYPERLINK("https://lsnyc.legalserver.org/matter/dynamic-profile/view/1834795","17-1834795")</f>
        <v>0</v>
      </c>
      <c r="B1905" t="s">
        <v>134</v>
      </c>
      <c r="C1905" t="s">
        <v>246</v>
      </c>
      <c r="D1905" t="s">
        <v>796</v>
      </c>
      <c r="F1905" t="s">
        <v>1936</v>
      </c>
      <c r="G1905" t="s">
        <v>3026</v>
      </c>
      <c r="H1905" t="s">
        <v>5290</v>
      </c>
      <c r="I1905" t="s">
        <v>6757</v>
      </c>
      <c r="J1905" t="s">
        <v>7170</v>
      </c>
      <c r="K1905">
        <v>10468</v>
      </c>
      <c r="N1905" t="s">
        <v>7237</v>
      </c>
      <c r="O1905" t="s">
        <v>8453</v>
      </c>
      <c r="P1905">
        <v>2</v>
      </c>
      <c r="Q1905">
        <v>0</v>
      </c>
      <c r="R1905">
        <v>54.16</v>
      </c>
      <c r="S1905" t="s">
        <v>250</v>
      </c>
      <c r="U1905">
        <v>8796</v>
      </c>
      <c r="W1905">
        <v>38</v>
      </c>
      <c r="X1905" t="s">
        <v>1020</v>
      </c>
      <c r="Y1905" t="s">
        <v>10906</v>
      </c>
      <c r="AA1905" t="s">
        <v>10974</v>
      </c>
      <c r="AB1905" t="s">
        <v>694</v>
      </c>
      <c r="AD1905" t="s">
        <v>11090</v>
      </c>
      <c r="AF1905" t="s">
        <v>11120</v>
      </c>
      <c r="AH1905" t="s">
        <v>10974</v>
      </c>
      <c r="AJ1905" t="s">
        <v>11138</v>
      </c>
      <c r="AK1905" t="s">
        <v>7225</v>
      </c>
      <c r="AM1905">
        <v>1100</v>
      </c>
      <c r="AN1905" t="s">
        <v>11151</v>
      </c>
      <c r="AO1905" t="s">
        <v>11153</v>
      </c>
      <c r="AQ1905" t="s">
        <v>11157</v>
      </c>
      <c r="AS1905" t="s">
        <v>11174</v>
      </c>
      <c r="AU1905">
        <v>26</v>
      </c>
      <c r="AW1905" t="s">
        <v>11187</v>
      </c>
      <c r="AZ1905" t="s">
        <v>11221</v>
      </c>
      <c r="BE1905" t="s">
        <v>12734</v>
      </c>
      <c r="BF1905" t="s">
        <v>14364</v>
      </c>
      <c r="BM1905" t="s">
        <v>15650</v>
      </c>
    </row>
    <row r="1906" spans="1:65">
      <c r="A1906" s="1">
        <f>HYPERLINK("https://lsnyc.legalserver.org/matter/dynamic-profile/view/1915076","19-1915076")</f>
        <v>0</v>
      </c>
      <c r="B1906" t="s">
        <v>134</v>
      </c>
      <c r="C1906" t="s">
        <v>246</v>
      </c>
      <c r="D1906" t="s">
        <v>264</v>
      </c>
      <c r="F1906" t="s">
        <v>1903</v>
      </c>
      <c r="G1906" t="s">
        <v>3697</v>
      </c>
      <c r="H1906" t="s">
        <v>5373</v>
      </c>
      <c r="I1906" t="s">
        <v>6596</v>
      </c>
      <c r="J1906" t="s">
        <v>7170</v>
      </c>
      <c r="K1906">
        <v>10456</v>
      </c>
      <c r="N1906" t="s">
        <v>7237</v>
      </c>
      <c r="O1906" t="s">
        <v>8313</v>
      </c>
      <c r="P1906">
        <v>4</v>
      </c>
      <c r="Q1906">
        <v>0</v>
      </c>
      <c r="R1906">
        <v>127.58</v>
      </c>
      <c r="U1906">
        <v>32852</v>
      </c>
      <c r="W1906">
        <v>0</v>
      </c>
      <c r="Y1906" t="s">
        <v>10897</v>
      </c>
      <c r="Z1906" t="s">
        <v>10972</v>
      </c>
      <c r="AA1906" t="s">
        <v>10975</v>
      </c>
      <c r="AD1906" t="s">
        <v>11098</v>
      </c>
      <c r="AF1906" t="s">
        <v>11120</v>
      </c>
      <c r="AH1906" t="s">
        <v>10974</v>
      </c>
      <c r="AJ1906" t="s">
        <v>11141</v>
      </c>
      <c r="AK1906" t="s">
        <v>7225</v>
      </c>
      <c r="AM1906">
        <v>1200.58</v>
      </c>
      <c r="AO1906">
        <v>131</v>
      </c>
      <c r="AQ1906" t="s">
        <v>11157</v>
      </c>
      <c r="AS1906" t="s">
        <v>11173</v>
      </c>
      <c r="AU1906">
        <v>8</v>
      </c>
      <c r="AW1906" t="s">
        <v>11189</v>
      </c>
      <c r="AX1906" t="s">
        <v>11212</v>
      </c>
      <c r="BA1906" t="s">
        <v>11222</v>
      </c>
      <c r="BE1906" t="s">
        <v>12688</v>
      </c>
      <c r="BF1906" t="s">
        <v>14364</v>
      </c>
      <c r="BM1906" t="s">
        <v>15650</v>
      </c>
    </row>
    <row r="1907" spans="1:65">
      <c r="A1907" s="1">
        <f>HYPERLINK("https://lsnyc.legalserver.org/matter/dynamic-profile/view/1907479","19-1907479")</f>
        <v>0</v>
      </c>
      <c r="B1907" t="s">
        <v>134</v>
      </c>
      <c r="C1907" t="s">
        <v>246</v>
      </c>
      <c r="D1907" t="s">
        <v>797</v>
      </c>
      <c r="F1907" t="s">
        <v>1937</v>
      </c>
      <c r="G1907" t="s">
        <v>3727</v>
      </c>
      <c r="H1907" t="s">
        <v>5403</v>
      </c>
      <c r="I1907" t="s">
        <v>6415</v>
      </c>
      <c r="J1907" t="s">
        <v>7170</v>
      </c>
      <c r="K1907">
        <v>10452</v>
      </c>
      <c r="N1907" t="s">
        <v>7237</v>
      </c>
      <c r="O1907" t="s">
        <v>8454</v>
      </c>
      <c r="P1907">
        <v>3</v>
      </c>
      <c r="Q1907">
        <v>0</v>
      </c>
      <c r="R1907">
        <v>301.23</v>
      </c>
      <c r="S1907" t="s">
        <v>10254</v>
      </c>
      <c r="T1907" t="s">
        <v>10275</v>
      </c>
      <c r="U1907">
        <v>64252</v>
      </c>
      <c r="W1907">
        <v>0</v>
      </c>
      <c r="Y1907" t="s">
        <v>10897</v>
      </c>
      <c r="AA1907" t="s">
        <v>10974</v>
      </c>
      <c r="AC1907" t="s">
        <v>11081</v>
      </c>
      <c r="AE1907" t="s">
        <v>11117</v>
      </c>
      <c r="AH1907" t="s">
        <v>10975</v>
      </c>
      <c r="AJ1907" t="s">
        <v>11133</v>
      </c>
      <c r="AK1907" t="s">
        <v>11149</v>
      </c>
      <c r="AM1907">
        <v>1400</v>
      </c>
      <c r="AN1907" t="s">
        <v>11151</v>
      </c>
      <c r="AO1907" t="s">
        <v>11153</v>
      </c>
      <c r="AQ1907" t="s">
        <v>11157</v>
      </c>
      <c r="AS1907" t="s">
        <v>11173</v>
      </c>
      <c r="AU1907">
        <v>9</v>
      </c>
      <c r="AW1907" t="s">
        <v>11187</v>
      </c>
      <c r="AX1907" t="s">
        <v>11212</v>
      </c>
      <c r="BA1907" t="s">
        <v>11222</v>
      </c>
      <c r="BE1907" t="s">
        <v>12735</v>
      </c>
      <c r="BF1907" t="s">
        <v>14364</v>
      </c>
      <c r="BM1907" t="s">
        <v>15650</v>
      </c>
    </row>
    <row r="1908" spans="1:65">
      <c r="A1908" s="1">
        <f>HYPERLINK("https://lsnyc.legalserver.org/matter/dynamic-profile/view/1879187","18-1879187")</f>
        <v>0</v>
      </c>
      <c r="B1908" t="s">
        <v>134</v>
      </c>
      <c r="C1908" t="s">
        <v>246</v>
      </c>
      <c r="D1908" t="s">
        <v>609</v>
      </c>
      <c r="E1908" t="s">
        <v>735</v>
      </c>
      <c r="F1908" t="s">
        <v>1938</v>
      </c>
      <c r="G1908" t="s">
        <v>3728</v>
      </c>
      <c r="H1908" t="s">
        <v>5404</v>
      </c>
      <c r="I1908" t="s">
        <v>6410</v>
      </c>
      <c r="J1908" t="s">
        <v>7170</v>
      </c>
      <c r="K1908">
        <v>10452</v>
      </c>
      <c r="L1908" t="s">
        <v>7216</v>
      </c>
      <c r="N1908" t="s">
        <v>7237</v>
      </c>
      <c r="O1908" t="s">
        <v>8455</v>
      </c>
      <c r="P1908">
        <v>1</v>
      </c>
      <c r="Q1908">
        <v>1</v>
      </c>
      <c r="R1908">
        <v>16.77</v>
      </c>
      <c r="U1908">
        <v>2760</v>
      </c>
      <c r="W1908">
        <v>3.75</v>
      </c>
      <c r="X1908" t="s">
        <v>365</v>
      </c>
      <c r="Y1908" t="s">
        <v>10888</v>
      </c>
      <c r="AA1908" t="s">
        <v>10974</v>
      </c>
      <c r="AB1908" t="s">
        <v>531</v>
      </c>
      <c r="AD1908" t="s">
        <v>11082</v>
      </c>
      <c r="AF1908" t="s">
        <v>11119</v>
      </c>
      <c r="AH1908" t="s">
        <v>10975</v>
      </c>
      <c r="AJ1908" t="s">
        <v>11147</v>
      </c>
      <c r="AK1908" t="s">
        <v>7225</v>
      </c>
      <c r="AM1908">
        <v>1342.11</v>
      </c>
      <c r="AO1908">
        <v>6</v>
      </c>
      <c r="AQ1908" t="s">
        <v>11157</v>
      </c>
      <c r="AS1908" t="s">
        <v>11173</v>
      </c>
      <c r="AU1908">
        <v>22</v>
      </c>
      <c r="AW1908" t="s">
        <v>11187</v>
      </c>
      <c r="AZ1908" t="s">
        <v>11221</v>
      </c>
      <c r="BC1908" t="s">
        <v>11391</v>
      </c>
      <c r="BE1908" t="s">
        <v>12736</v>
      </c>
      <c r="BG1908" t="s">
        <v>14825</v>
      </c>
      <c r="BM1908" t="s">
        <v>15651</v>
      </c>
    </row>
    <row r="1909" spans="1:65">
      <c r="A1909" s="1">
        <f>HYPERLINK("https://lsnyc.legalserver.org/matter/dynamic-profile/view/1887646","19-1887646")</f>
        <v>0</v>
      </c>
      <c r="B1909" t="s">
        <v>134</v>
      </c>
      <c r="C1909" t="s">
        <v>246</v>
      </c>
      <c r="D1909" t="s">
        <v>605</v>
      </c>
      <c r="F1909" t="s">
        <v>1927</v>
      </c>
      <c r="G1909" t="s">
        <v>3721</v>
      </c>
      <c r="H1909" t="s">
        <v>5398</v>
      </c>
      <c r="I1909" t="s">
        <v>6666</v>
      </c>
      <c r="J1909" t="s">
        <v>7170</v>
      </c>
      <c r="K1909">
        <v>10453</v>
      </c>
      <c r="N1909" t="s">
        <v>7237</v>
      </c>
      <c r="O1909" t="s">
        <v>8441</v>
      </c>
      <c r="P1909">
        <v>1</v>
      </c>
      <c r="Q1909">
        <v>0</v>
      </c>
      <c r="R1909">
        <v>79.08</v>
      </c>
      <c r="U1909">
        <v>9600</v>
      </c>
      <c r="W1909">
        <v>44.45</v>
      </c>
      <c r="X1909" t="s">
        <v>297</v>
      </c>
      <c r="Y1909" t="s">
        <v>216</v>
      </c>
      <c r="AA1909" t="s">
        <v>10974</v>
      </c>
      <c r="AB1909" t="s">
        <v>596</v>
      </c>
      <c r="AD1909" t="s">
        <v>11101</v>
      </c>
      <c r="AF1909" t="s">
        <v>11118</v>
      </c>
      <c r="AH1909" t="s">
        <v>10975</v>
      </c>
      <c r="AJ1909" t="s">
        <v>11141</v>
      </c>
      <c r="AK1909" t="s">
        <v>7225</v>
      </c>
      <c r="AM1909">
        <v>1039.51</v>
      </c>
      <c r="AO1909">
        <v>69</v>
      </c>
      <c r="AQ1909" t="s">
        <v>11157</v>
      </c>
      <c r="AS1909" t="s">
        <v>11173</v>
      </c>
      <c r="AU1909">
        <v>15</v>
      </c>
      <c r="AW1909" t="s">
        <v>3528</v>
      </c>
      <c r="AZ1909" t="s">
        <v>11221</v>
      </c>
      <c r="BE1909" t="s">
        <v>12725</v>
      </c>
      <c r="BF1909" t="s">
        <v>14364</v>
      </c>
      <c r="BM1909" t="s">
        <v>15650</v>
      </c>
    </row>
    <row r="1910" spans="1:65">
      <c r="A1910" s="1">
        <f>HYPERLINK("https://lsnyc.legalserver.org/matter/dynamic-profile/view/1886339","18-1886339")</f>
        <v>0</v>
      </c>
      <c r="B1910" t="s">
        <v>134</v>
      </c>
      <c r="C1910" t="s">
        <v>246</v>
      </c>
      <c r="D1910" t="s">
        <v>794</v>
      </c>
      <c r="F1910" t="s">
        <v>1928</v>
      </c>
      <c r="G1910" t="s">
        <v>3504</v>
      </c>
      <c r="H1910" t="s">
        <v>5373</v>
      </c>
      <c r="I1910" t="s">
        <v>6448</v>
      </c>
      <c r="J1910" t="s">
        <v>7170</v>
      </c>
      <c r="K1910">
        <v>10456</v>
      </c>
      <c r="N1910" t="s">
        <v>7237</v>
      </c>
      <c r="O1910" t="s">
        <v>8442</v>
      </c>
      <c r="P1910">
        <v>2</v>
      </c>
      <c r="Q1910">
        <v>0</v>
      </c>
      <c r="R1910">
        <v>61.02</v>
      </c>
      <c r="U1910">
        <v>10044</v>
      </c>
      <c r="W1910">
        <v>0</v>
      </c>
      <c r="Y1910" t="s">
        <v>216</v>
      </c>
      <c r="AA1910" t="s">
        <v>10974</v>
      </c>
      <c r="AB1910" t="s">
        <v>597</v>
      </c>
      <c r="AD1910" t="s">
        <v>11098</v>
      </c>
      <c r="AF1910" t="s">
        <v>11122</v>
      </c>
      <c r="AH1910" t="s">
        <v>10974</v>
      </c>
      <c r="AJ1910" t="s">
        <v>11141</v>
      </c>
      <c r="AK1910" t="s">
        <v>7225</v>
      </c>
      <c r="AM1910">
        <v>1047</v>
      </c>
      <c r="AO1910">
        <v>131</v>
      </c>
      <c r="AQ1910" t="s">
        <v>11157</v>
      </c>
      <c r="AS1910" t="s">
        <v>11173</v>
      </c>
      <c r="AU1910">
        <v>13</v>
      </c>
      <c r="AW1910" t="s">
        <v>11189</v>
      </c>
      <c r="AZ1910" t="s">
        <v>11221</v>
      </c>
      <c r="BE1910" t="s">
        <v>12726</v>
      </c>
      <c r="BG1910" t="s">
        <v>14805</v>
      </c>
      <c r="BM1910" t="s">
        <v>15650</v>
      </c>
    </row>
    <row r="1911" spans="1:65">
      <c r="A1911" s="1">
        <f>HYPERLINK("https://lsnyc.legalserver.org/matter/dynamic-profile/view/1904754","19-1904754")</f>
        <v>0</v>
      </c>
      <c r="B1911" t="s">
        <v>134</v>
      </c>
      <c r="C1911" t="s">
        <v>246</v>
      </c>
      <c r="D1911" t="s">
        <v>373</v>
      </c>
      <c r="F1911" t="s">
        <v>1090</v>
      </c>
      <c r="G1911" t="s">
        <v>3021</v>
      </c>
      <c r="H1911" t="s">
        <v>5372</v>
      </c>
      <c r="I1911" t="s">
        <v>6412</v>
      </c>
      <c r="J1911" t="s">
        <v>7170</v>
      </c>
      <c r="K1911">
        <v>10456</v>
      </c>
      <c r="N1911" t="s">
        <v>7237</v>
      </c>
      <c r="O1911" t="s">
        <v>8398</v>
      </c>
      <c r="P1911">
        <v>3</v>
      </c>
      <c r="Q1911">
        <v>0</v>
      </c>
      <c r="R1911">
        <v>43.38</v>
      </c>
      <c r="U1911">
        <v>9252</v>
      </c>
      <c r="W1911">
        <v>0.5</v>
      </c>
      <c r="X1911" t="s">
        <v>373</v>
      </c>
      <c r="Y1911" t="s">
        <v>210</v>
      </c>
      <c r="AA1911" t="s">
        <v>10974</v>
      </c>
      <c r="AD1911" t="s">
        <v>11098</v>
      </c>
      <c r="AF1911" t="s">
        <v>11122</v>
      </c>
      <c r="AH1911" t="s">
        <v>10974</v>
      </c>
      <c r="AJ1911" t="s">
        <v>11132</v>
      </c>
      <c r="AK1911" t="s">
        <v>7225</v>
      </c>
      <c r="AM1911">
        <v>380.89</v>
      </c>
      <c r="AO1911">
        <v>17</v>
      </c>
      <c r="AQ1911" t="s">
        <v>11160</v>
      </c>
      <c r="AS1911" t="s">
        <v>11175</v>
      </c>
      <c r="AU1911">
        <v>50</v>
      </c>
      <c r="AW1911" t="s">
        <v>11189</v>
      </c>
      <c r="AX1911" t="s">
        <v>11212</v>
      </c>
      <c r="BA1911" t="s">
        <v>11222</v>
      </c>
      <c r="BE1911" t="s">
        <v>12685</v>
      </c>
      <c r="BF1911" t="s">
        <v>14364</v>
      </c>
      <c r="BM1911" t="s">
        <v>15650</v>
      </c>
    </row>
    <row r="1912" spans="1:65">
      <c r="A1912" s="1">
        <f>HYPERLINK("https://lsnyc.legalserver.org/matter/dynamic-profile/view/1857132","18-1857132")</f>
        <v>0</v>
      </c>
      <c r="B1912" t="s">
        <v>134</v>
      </c>
      <c r="C1912" t="s">
        <v>246</v>
      </c>
      <c r="D1912" t="s">
        <v>692</v>
      </c>
      <c r="F1912" t="s">
        <v>1440</v>
      </c>
      <c r="G1912" t="s">
        <v>3716</v>
      </c>
      <c r="H1912" t="s">
        <v>4844</v>
      </c>
      <c r="I1912" t="s">
        <v>6797</v>
      </c>
      <c r="J1912" t="s">
        <v>7170</v>
      </c>
      <c r="K1912">
        <v>10452</v>
      </c>
      <c r="N1912" t="s">
        <v>7237</v>
      </c>
      <c r="O1912" t="s">
        <v>8431</v>
      </c>
      <c r="P1912">
        <v>3</v>
      </c>
      <c r="Q1912">
        <v>0</v>
      </c>
      <c r="R1912">
        <v>52.89</v>
      </c>
      <c r="U1912">
        <v>10800</v>
      </c>
      <c r="W1912">
        <v>71.75</v>
      </c>
      <c r="X1912" t="s">
        <v>974</v>
      </c>
      <c r="Y1912" t="s">
        <v>10897</v>
      </c>
      <c r="AA1912" t="s">
        <v>10974</v>
      </c>
      <c r="AB1912" t="s">
        <v>11013</v>
      </c>
      <c r="AD1912" t="s">
        <v>11096</v>
      </c>
      <c r="AF1912" t="s">
        <v>11122</v>
      </c>
      <c r="AH1912" t="s">
        <v>10974</v>
      </c>
      <c r="AJ1912" t="s">
        <v>11141</v>
      </c>
      <c r="AK1912" t="s">
        <v>7225</v>
      </c>
      <c r="AM1912">
        <v>706.95</v>
      </c>
      <c r="AO1912">
        <v>122</v>
      </c>
      <c r="AQ1912" t="s">
        <v>11157</v>
      </c>
      <c r="AS1912" t="s">
        <v>11173</v>
      </c>
      <c r="AU1912">
        <v>26</v>
      </c>
      <c r="AW1912" t="s">
        <v>11187</v>
      </c>
      <c r="AZ1912" t="s">
        <v>11221</v>
      </c>
      <c r="BE1912" t="s">
        <v>12716</v>
      </c>
      <c r="BG1912" t="s">
        <v>14717</v>
      </c>
      <c r="BM1912" t="s">
        <v>15650</v>
      </c>
    </row>
    <row r="1913" spans="1:65">
      <c r="A1913" s="1">
        <f>HYPERLINK("https://lsnyc.legalserver.org/matter/dynamic-profile/view/1872335","18-1872335")</f>
        <v>0</v>
      </c>
      <c r="B1913" t="s">
        <v>134</v>
      </c>
      <c r="C1913" t="s">
        <v>246</v>
      </c>
      <c r="D1913" t="s">
        <v>773</v>
      </c>
      <c r="F1913" t="s">
        <v>1939</v>
      </c>
      <c r="G1913" t="s">
        <v>3729</v>
      </c>
      <c r="H1913" t="s">
        <v>5405</v>
      </c>
      <c r="I1913" t="s">
        <v>6495</v>
      </c>
      <c r="J1913" t="s">
        <v>7170</v>
      </c>
      <c r="K1913">
        <v>10459</v>
      </c>
      <c r="N1913" t="s">
        <v>7237</v>
      </c>
      <c r="O1913" t="s">
        <v>8141</v>
      </c>
      <c r="P1913">
        <v>3</v>
      </c>
      <c r="Q1913">
        <v>0</v>
      </c>
      <c r="R1913">
        <v>60.87</v>
      </c>
      <c r="U1913">
        <v>12648</v>
      </c>
      <c r="V1913" t="s">
        <v>10306</v>
      </c>
      <c r="W1913">
        <v>150.3</v>
      </c>
      <c r="X1913" t="s">
        <v>548</v>
      </c>
      <c r="Y1913" t="s">
        <v>10888</v>
      </c>
      <c r="AA1913" t="s">
        <v>10974</v>
      </c>
      <c r="AB1913" t="s">
        <v>773</v>
      </c>
      <c r="AD1913" t="s">
        <v>11082</v>
      </c>
      <c r="AF1913" t="s">
        <v>11118</v>
      </c>
      <c r="AH1913" t="s">
        <v>10975</v>
      </c>
      <c r="AJ1913" t="s">
        <v>11136</v>
      </c>
      <c r="AK1913" t="s">
        <v>7225</v>
      </c>
      <c r="AM1913">
        <v>1032.47</v>
      </c>
      <c r="AO1913">
        <v>40</v>
      </c>
      <c r="AQ1913" t="s">
        <v>11157</v>
      </c>
      <c r="AS1913" t="s">
        <v>11173</v>
      </c>
      <c r="AU1913">
        <v>22</v>
      </c>
      <c r="AW1913" t="s">
        <v>11187</v>
      </c>
      <c r="AY1913" t="s">
        <v>11214</v>
      </c>
      <c r="AZ1913" t="s">
        <v>11221</v>
      </c>
      <c r="BC1913" t="s">
        <v>11392</v>
      </c>
      <c r="BE1913" t="s">
        <v>12737</v>
      </c>
      <c r="BG1913" t="s">
        <v>14826</v>
      </c>
      <c r="BM1913" t="s">
        <v>15650</v>
      </c>
    </row>
    <row r="1914" spans="1:65">
      <c r="A1914" s="1">
        <f>HYPERLINK("https://lsnyc.legalserver.org/matter/dynamic-profile/view/1876850","18-1876850")</f>
        <v>0</v>
      </c>
      <c r="B1914" t="s">
        <v>134</v>
      </c>
      <c r="C1914" t="s">
        <v>246</v>
      </c>
      <c r="D1914" t="s">
        <v>628</v>
      </c>
      <c r="F1914" t="s">
        <v>1903</v>
      </c>
      <c r="G1914" t="s">
        <v>3697</v>
      </c>
      <c r="H1914" t="s">
        <v>5373</v>
      </c>
      <c r="I1914" t="s">
        <v>6596</v>
      </c>
      <c r="J1914" t="s">
        <v>7170</v>
      </c>
      <c r="K1914">
        <v>10456</v>
      </c>
      <c r="N1914" t="s">
        <v>7237</v>
      </c>
      <c r="O1914" t="s">
        <v>8313</v>
      </c>
      <c r="P1914">
        <v>3</v>
      </c>
      <c r="Q1914">
        <v>1</v>
      </c>
      <c r="R1914">
        <v>130.88</v>
      </c>
      <c r="U1914">
        <v>32852</v>
      </c>
      <c r="W1914">
        <v>0</v>
      </c>
      <c r="Y1914" t="s">
        <v>216</v>
      </c>
      <c r="AA1914" t="s">
        <v>10974</v>
      </c>
      <c r="AB1914" t="s">
        <v>573</v>
      </c>
      <c r="AD1914" t="s">
        <v>11101</v>
      </c>
      <c r="AF1914" t="s">
        <v>11118</v>
      </c>
      <c r="AH1914" t="s">
        <v>10974</v>
      </c>
      <c r="AJ1914" t="s">
        <v>11141</v>
      </c>
      <c r="AK1914" t="s">
        <v>7225</v>
      </c>
      <c r="AM1914">
        <v>1200.58</v>
      </c>
      <c r="AO1914">
        <v>131</v>
      </c>
      <c r="AQ1914" t="s">
        <v>11157</v>
      </c>
      <c r="AS1914" t="s">
        <v>11173</v>
      </c>
      <c r="AU1914">
        <v>7</v>
      </c>
      <c r="AW1914" t="s">
        <v>11189</v>
      </c>
      <c r="AZ1914" t="s">
        <v>11221</v>
      </c>
      <c r="BE1914" t="s">
        <v>12688</v>
      </c>
      <c r="BG1914" t="s">
        <v>14808</v>
      </c>
      <c r="BM1914" t="s">
        <v>15650</v>
      </c>
    </row>
    <row r="1915" spans="1:65">
      <c r="A1915" s="1">
        <f>HYPERLINK("https://lsnyc.legalserver.org/matter/dynamic-profile/view/0789062","15-0789062")</f>
        <v>0</v>
      </c>
      <c r="B1915" t="s">
        <v>134</v>
      </c>
      <c r="C1915" t="s">
        <v>246</v>
      </c>
      <c r="D1915" t="s">
        <v>697</v>
      </c>
      <c r="F1915" t="s">
        <v>1940</v>
      </c>
      <c r="G1915" t="s">
        <v>2885</v>
      </c>
      <c r="H1915" t="s">
        <v>4844</v>
      </c>
      <c r="I1915" t="s">
        <v>6803</v>
      </c>
      <c r="J1915" t="s">
        <v>7170</v>
      </c>
      <c r="K1915">
        <v>10452</v>
      </c>
      <c r="N1915" t="s">
        <v>7237</v>
      </c>
      <c r="O1915" t="s">
        <v>8456</v>
      </c>
      <c r="P1915">
        <v>1</v>
      </c>
      <c r="Q1915">
        <v>0</v>
      </c>
      <c r="R1915">
        <v>17.72</v>
      </c>
      <c r="U1915">
        <v>2085.2</v>
      </c>
      <c r="W1915">
        <v>1.1</v>
      </c>
      <c r="X1915" t="s">
        <v>920</v>
      </c>
      <c r="Y1915" t="s">
        <v>138</v>
      </c>
      <c r="AA1915" t="s">
        <v>10974</v>
      </c>
      <c r="AB1915" t="s">
        <v>11034</v>
      </c>
      <c r="AD1915" t="s">
        <v>11085</v>
      </c>
      <c r="AF1915" t="s">
        <v>11118</v>
      </c>
      <c r="AH1915" t="s">
        <v>10974</v>
      </c>
      <c r="AJ1915" t="s">
        <v>11132</v>
      </c>
      <c r="AK1915" t="s">
        <v>7225</v>
      </c>
      <c r="AM1915">
        <v>1385.93</v>
      </c>
      <c r="AO1915">
        <v>122</v>
      </c>
      <c r="AQ1915" t="s">
        <v>11157</v>
      </c>
      <c r="AS1915" t="s">
        <v>11174</v>
      </c>
      <c r="AU1915">
        <v>24</v>
      </c>
      <c r="AW1915" t="s">
        <v>11187</v>
      </c>
      <c r="AZ1915" t="s">
        <v>11221</v>
      </c>
      <c r="BB1915" t="s">
        <v>11224</v>
      </c>
      <c r="BC1915" t="s">
        <v>11393</v>
      </c>
      <c r="BE1915" t="s">
        <v>12738</v>
      </c>
      <c r="BF1915" t="s">
        <v>14364</v>
      </c>
      <c r="BG1915" t="s">
        <v>14716</v>
      </c>
      <c r="BM1915" t="s">
        <v>15650</v>
      </c>
    </row>
    <row r="1916" spans="1:65">
      <c r="A1916" s="1">
        <f>HYPERLINK("https://lsnyc.legalserver.org/matter/dynamic-profile/view/1886340","18-1886340")</f>
        <v>0</v>
      </c>
      <c r="B1916" t="s">
        <v>134</v>
      </c>
      <c r="C1916" t="s">
        <v>246</v>
      </c>
      <c r="D1916" t="s">
        <v>794</v>
      </c>
      <c r="F1916" t="s">
        <v>1928</v>
      </c>
      <c r="G1916" t="s">
        <v>3504</v>
      </c>
      <c r="H1916" t="s">
        <v>5373</v>
      </c>
      <c r="I1916" t="s">
        <v>6448</v>
      </c>
      <c r="J1916" t="s">
        <v>7170</v>
      </c>
      <c r="K1916">
        <v>10456</v>
      </c>
      <c r="N1916" t="s">
        <v>7237</v>
      </c>
      <c r="O1916" t="s">
        <v>8442</v>
      </c>
      <c r="P1916">
        <v>2</v>
      </c>
      <c r="Q1916">
        <v>0</v>
      </c>
      <c r="R1916">
        <v>61.02</v>
      </c>
      <c r="U1916">
        <v>10044</v>
      </c>
      <c r="W1916">
        <v>0</v>
      </c>
      <c r="Y1916" t="s">
        <v>216</v>
      </c>
      <c r="AA1916" t="s">
        <v>10974</v>
      </c>
      <c r="AB1916" t="s">
        <v>370</v>
      </c>
      <c r="AD1916" t="s">
        <v>11098</v>
      </c>
      <c r="AF1916" t="s">
        <v>11122</v>
      </c>
      <c r="AH1916" t="s">
        <v>10974</v>
      </c>
      <c r="AJ1916" t="s">
        <v>11141</v>
      </c>
      <c r="AK1916" t="s">
        <v>7225</v>
      </c>
      <c r="AM1916">
        <v>1047</v>
      </c>
      <c r="AO1916">
        <v>131</v>
      </c>
      <c r="AQ1916" t="s">
        <v>11157</v>
      </c>
      <c r="AS1916" t="s">
        <v>11173</v>
      </c>
      <c r="AU1916">
        <v>13</v>
      </c>
      <c r="AW1916" t="s">
        <v>11189</v>
      </c>
      <c r="AZ1916" t="s">
        <v>11221</v>
      </c>
      <c r="BE1916" t="s">
        <v>12726</v>
      </c>
      <c r="BF1916" t="s">
        <v>14364</v>
      </c>
      <c r="BM1916" t="s">
        <v>15650</v>
      </c>
    </row>
    <row r="1917" spans="1:65">
      <c r="A1917" s="1">
        <f>HYPERLINK("https://lsnyc.legalserver.org/matter/dynamic-profile/view/1876836","18-1876836")</f>
        <v>0</v>
      </c>
      <c r="B1917" t="s">
        <v>134</v>
      </c>
      <c r="C1917" t="s">
        <v>246</v>
      </c>
      <c r="D1917" t="s">
        <v>656</v>
      </c>
      <c r="F1917" t="s">
        <v>1317</v>
      </c>
      <c r="G1917" t="s">
        <v>2988</v>
      </c>
      <c r="H1917" t="s">
        <v>5373</v>
      </c>
      <c r="I1917" t="s">
        <v>6501</v>
      </c>
      <c r="J1917" t="s">
        <v>7170</v>
      </c>
      <c r="K1917">
        <v>10456</v>
      </c>
      <c r="N1917" t="s">
        <v>7237</v>
      </c>
      <c r="O1917" t="s">
        <v>8411</v>
      </c>
      <c r="P1917">
        <v>1</v>
      </c>
      <c r="Q1917">
        <v>2</v>
      </c>
      <c r="R1917">
        <v>125.12</v>
      </c>
      <c r="U1917">
        <v>26000</v>
      </c>
      <c r="W1917">
        <v>0</v>
      </c>
      <c r="Y1917" t="s">
        <v>216</v>
      </c>
      <c r="AA1917" t="s">
        <v>10974</v>
      </c>
      <c r="AB1917" t="s">
        <v>656</v>
      </c>
      <c r="AD1917" t="s">
        <v>11101</v>
      </c>
      <c r="AF1917" t="s">
        <v>11118</v>
      </c>
      <c r="AH1917" t="s">
        <v>10974</v>
      </c>
      <c r="AJ1917" t="s">
        <v>11141</v>
      </c>
      <c r="AK1917" t="s">
        <v>7225</v>
      </c>
      <c r="AM1917">
        <v>1330.07</v>
      </c>
      <c r="AO1917">
        <v>131</v>
      </c>
      <c r="AQ1917" t="s">
        <v>11157</v>
      </c>
      <c r="AS1917" t="s">
        <v>11173</v>
      </c>
      <c r="AU1917">
        <v>3</v>
      </c>
      <c r="AW1917" t="s">
        <v>11189</v>
      </c>
      <c r="AZ1917" t="s">
        <v>11221</v>
      </c>
      <c r="BE1917" t="s">
        <v>12699</v>
      </c>
      <c r="BG1917" t="s">
        <v>14827</v>
      </c>
      <c r="BM1917" t="s">
        <v>15650</v>
      </c>
    </row>
    <row r="1918" spans="1:65">
      <c r="A1918" s="1">
        <f>HYPERLINK("https://lsnyc.legalserver.org/matter/dynamic-profile/view/1869966","18-1869966")</f>
        <v>0</v>
      </c>
      <c r="B1918" t="s">
        <v>134</v>
      </c>
      <c r="C1918" t="s">
        <v>246</v>
      </c>
      <c r="D1918" t="s">
        <v>522</v>
      </c>
      <c r="E1918" t="s">
        <v>735</v>
      </c>
      <c r="F1918" t="s">
        <v>1459</v>
      </c>
      <c r="G1918" t="s">
        <v>3730</v>
      </c>
      <c r="H1918" t="s">
        <v>5406</v>
      </c>
      <c r="I1918" t="s">
        <v>6596</v>
      </c>
      <c r="J1918" t="s">
        <v>7170</v>
      </c>
      <c r="K1918">
        <v>10453</v>
      </c>
      <c r="L1918" t="s">
        <v>7219</v>
      </c>
      <c r="N1918" t="s">
        <v>7237</v>
      </c>
      <c r="O1918" t="s">
        <v>8457</v>
      </c>
      <c r="P1918">
        <v>2</v>
      </c>
      <c r="Q1918">
        <v>0</v>
      </c>
      <c r="R1918">
        <v>130.13</v>
      </c>
      <c r="U1918">
        <v>21420</v>
      </c>
      <c r="W1918">
        <v>55.35</v>
      </c>
      <c r="X1918" t="s">
        <v>735</v>
      </c>
      <c r="Y1918" t="s">
        <v>10865</v>
      </c>
      <c r="AA1918" t="s">
        <v>10974</v>
      </c>
      <c r="AB1918" t="s">
        <v>939</v>
      </c>
      <c r="AD1918" t="s">
        <v>11082</v>
      </c>
      <c r="AF1918" t="s">
        <v>11118</v>
      </c>
      <c r="AG1918" t="s">
        <v>11124</v>
      </c>
      <c r="AI1918" t="s">
        <v>11126</v>
      </c>
      <c r="AK1918" t="s">
        <v>7225</v>
      </c>
      <c r="AM1918">
        <v>1488</v>
      </c>
      <c r="AN1918" t="s">
        <v>11151</v>
      </c>
      <c r="AO1918" t="s">
        <v>11153</v>
      </c>
      <c r="AQ1918" t="s">
        <v>11164</v>
      </c>
      <c r="AS1918" t="s">
        <v>11173</v>
      </c>
      <c r="AU1918">
        <v>15</v>
      </c>
      <c r="AV1918" t="s">
        <v>11186</v>
      </c>
      <c r="AZ1918" t="s">
        <v>11221</v>
      </c>
      <c r="BE1918" t="s">
        <v>12739</v>
      </c>
      <c r="BG1918" t="s">
        <v>14828</v>
      </c>
      <c r="BH1918" t="s">
        <v>15605</v>
      </c>
      <c r="BJ1918" t="s">
        <v>15615</v>
      </c>
      <c r="BL1918" t="s">
        <v>15648</v>
      </c>
      <c r="BM1918" t="s">
        <v>15651</v>
      </c>
    </row>
    <row r="1919" spans="1:65">
      <c r="A1919" s="1">
        <f>HYPERLINK("https://lsnyc.legalserver.org/matter/dynamic-profile/view/0826031","17-0826031")</f>
        <v>0</v>
      </c>
      <c r="B1919" t="s">
        <v>134</v>
      </c>
      <c r="C1919" t="s">
        <v>246</v>
      </c>
      <c r="D1919" t="s">
        <v>623</v>
      </c>
      <c r="F1919" t="s">
        <v>1940</v>
      </c>
      <c r="G1919" t="s">
        <v>2885</v>
      </c>
      <c r="H1919" t="s">
        <v>4844</v>
      </c>
      <c r="I1919" t="s">
        <v>6803</v>
      </c>
      <c r="J1919" t="s">
        <v>7170</v>
      </c>
      <c r="K1919">
        <v>10452</v>
      </c>
      <c r="N1919" t="s">
        <v>7237</v>
      </c>
      <c r="O1919" t="s">
        <v>8456</v>
      </c>
      <c r="P1919">
        <v>1</v>
      </c>
      <c r="Q1919">
        <v>0</v>
      </c>
      <c r="R1919">
        <v>17.55</v>
      </c>
      <c r="U1919">
        <v>2085.2</v>
      </c>
      <c r="W1919">
        <v>0.6</v>
      </c>
      <c r="X1919" t="s">
        <v>378</v>
      </c>
      <c r="Y1919" t="s">
        <v>10899</v>
      </c>
      <c r="AA1919" t="s">
        <v>10974</v>
      </c>
      <c r="AB1919" t="s">
        <v>378</v>
      </c>
      <c r="AD1919" t="s">
        <v>11096</v>
      </c>
      <c r="AF1919" t="s">
        <v>11122</v>
      </c>
      <c r="AH1919" t="s">
        <v>10974</v>
      </c>
      <c r="AJ1919" t="s">
        <v>11132</v>
      </c>
      <c r="AK1919" t="s">
        <v>7225</v>
      </c>
      <c r="AM1919">
        <v>1385.93</v>
      </c>
      <c r="AO1919">
        <v>122</v>
      </c>
      <c r="AQ1919" t="s">
        <v>11157</v>
      </c>
      <c r="AS1919" t="s">
        <v>11174</v>
      </c>
      <c r="AU1919">
        <v>24</v>
      </c>
      <c r="AW1919" t="s">
        <v>11187</v>
      </c>
      <c r="AZ1919" t="s">
        <v>11221</v>
      </c>
      <c r="BB1919" t="s">
        <v>11224</v>
      </c>
      <c r="BC1919" t="s">
        <v>11393</v>
      </c>
      <c r="BE1919" t="s">
        <v>12738</v>
      </c>
      <c r="BF1919" t="s">
        <v>14364</v>
      </c>
      <c r="BM1919" t="s">
        <v>15650</v>
      </c>
    </row>
    <row r="1920" spans="1:65">
      <c r="A1920" s="1">
        <f>HYPERLINK("https://lsnyc.legalserver.org/matter/dynamic-profile/view/0812519","16-0812519")</f>
        <v>0</v>
      </c>
      <c r="B1920" t="s">
        <v>134</v>
      </c>
      <c r="C1920" t="s">
        <v>246</v>
      </c>
      <c r="D1920" t="s">
        <v>703</v>
      </c>
      <c r="F1920" t="s">
        <v>1891</v>
      </c>
      <c r="G1920" t="s">
        <v>3689</v>
      </c>
      <c r="H1920" t="s">
        <v>4844</v>
      </c>
      <c r="I1920" t="s">
        <v>6785</v>
      </c>
      <c r="J1920" t="s">
        <v>7170</v>
      </c>
      <c r="K1920">
        <v>10452</v>
      </c>
      <c r="N1920" t="s">
        <v>7237</v>
      </c>
      <c r="O1920" t="s">
        <v>8386</v>
      </c>
      <c r="P1920">
        <v>1</v>
      </c>
      <c r="Q1920">
        <v>0</v>
      </c>
      <c r="R1920">
        <v>0</v>
      </c>
      <c r="U1920">
        <v>0</v>
      </c>
      <c r="V1920" t="s">
        <v>10477</v>
      </c>
      <c r="W1920">
        <v>0.1</v>
      </c>
      <c r="X1920" t="s">
        <v>698</v>
      </c>
      <c r="Y1920" t="s">
        <v>10868</v>
      </c>
      <c r="AA1920" t="s">
        <v>10974</v>
      </c>
      <c r="AB1920" t="s">
        <v>719</v>
      </c>
      <c r="AD1920" t="s">
        <v>11085</v>
      </c>
      <c r="AF1920" t="s">
        <v>11118</v>
      </c>
      <c r="AH1920" t="s">
        <v>10974</v>
      </c>
      <c r="AJ1920" t="s">
        <v>11141</v>
      </c>
      <c r="AK1920" t="s">
        <v>7225</v>
      </c>
      <c r="AL1920" t="s">
        <v>11150</v>
      </c>
      <c r="AM1920">
        <v>0</v>
      </c>
      <c r="AO1920">
        <v>122</v>
      </c>
      <c r="AQ1920" t="s">
        <v>11157</v>
      </c>
      <c r="AR1920" t="s">
        <v>11172</v>
      </c>
      <c r="AT1920" t="s">
        <v>11184</v>
      </c>
      <c r="AU1920">
        <v>0</v>
      </c>
      <c r="AW1920" t="s">
        <v>11187</v>
      </c>
      <c r="AZ1920" t="s">
        <v>11221</v>
      </c>
      <c r="BD1920" t="s">
        <v>11667</v>
      </c>
      <c r="BF1920" t="s">
        <v>14364</v>
      </c>
      <c r="BG1920" t="s">
        <v>14716</v>
      </c>
      <c r="BM1920" t="s">
        <v>15650</v>
      </c>
    </row>
    <row r="1921" spans="1:65">
      <c r="A1921" s="1">
        <f>HYPERLINK("https://lsnyc.legalserver.org/matter/dynamic-profile/view/1857239","18-1857239")</f>
        <v>0</v>
      </c>
      <c r="B1921" t="s">
        <v>134</v>
      </c>
      <c r="C1921" t="s">
        <v>246</v>
      </c>
      <c r="D1921" t="s">
        <v>386</v>
      </c>
      <c r="F1921" t="s">
        <v>1940</v>
      </c>
      <c r="G1921" t="s">
        <v>2885</v>
      </c>
      <c r="H1921" t="s">
        <v>4844</v>
      </c>
      <c r="I1921" t="s">
        <v>6803</v>
      </c>
      <c r="J1921" t="s">
        <v>7170</v>
      </c>
      <c r="K1921">
        <v>10452</v>
      </c>
      <c r="N1921" t="s">
        <v>7237</v>
      </c>
      <c r="O1921" t="s">
        <v>8456</v>
      </c>
      <c r="P1921">
        <v>1</v>
      </c>
      <c r="Q1921">
        <v>0</v>
      </c>
      <c r="R1921">
        <v>17.29</v>
      </c>
      <c r="U1921">
        <v>2085.2</v>
      </c>
      <c r="W1921">
        <v>0</v>
      </c>
      <c r="Y1921" t="s">
        <v>10897</v>
      </c>
      <c r="AA1921" t="s">
        <v>10974</v>
      </c>
      <c r="AB1921" t="s">
        <v>11013</v>
      </c>
      <c r="AD1921" t="s">
        <v>11096</v>
      </c>
      <c r="AF1921" t="s">
        <v>11122</v>
      </c>
      <c r="AH1921" t="s">
        <v>10974</v>
      </c>
      <c r="AJ1921" t="s">
        <v>11141</v>
      </c>
      <c r="AK1921" t="s">
        <v>7225</v>
      </c>
      <c r="AM1921">
        <v>1385.93</v>
      </c>
      <c r="AO1921">
        <v>122</v>
      </c>
      <c r="AQ1921" t="s">
        <v>11157</v>
      </c>
      <c r="AS1921" t="s">
        <v>11174</v>
      </c>
      <c r="AU1921">
        <v>25</v>
      </c>
      <c r="AW1921" t="s">
        <v>11187</v>
      </c>
      <c r="AZ1921" t="s">
        <v>11221</v>
      </c>
      <c r="BC1921" t="s">
        <v>11394</v>
      </c>
      <c r="BE1921" t="s">
        <v>12738</v>
      </c>
      <c r="BG1921" t="s">
        <v>14717</v>
      </c>
      <c r="BM1921" t="s">
        <v>15650</v>
      </c>
    </row>
    <row r="1922" spans="1:65">
      <c r="A1922" s="1">
        <f>HYPERLINK("https://lsnyc.legalserver.org/matter/dynamic-profile/view/1899475","19-1899475")</f>
        <v>0</v>
      </c>
      <c r="B1922" t="s">
        <v>134</v>
      </c>
      <c r="C1922" t="s">
        <v>246</v>
      </c>
      <c r="D1922" t="s">
        <v>585</v>
      </c>
      <c r="E1922" t="s">
        <v>312</v>
      </c>
      <c r="F1922" t="s">
        <v>1090</v>
      </c>
      <c r="G1922" t="s">
        <v>3731</v>
      </c>
      <c r="H1922" t="s">
        <v>5407</v>
      </c>
      <c r="I1922" t="s">
        <v>6405</v>
      </c>
      <c r="J1922" t="s">
        <v>7170</v>
      </c>
      <c r="K1922">
        <v>10458</v>
      </c>
      <c r="L1922" t="s">
        <v>7216</v>
      </c>
      <c r="N1922" t="s">
        <v>7237</v>
      </c>
      <c r="O1922" t="s">
        <v>8458</v>
      </c>
      <c r="P1922">
        <v>1</v>
      </c>
      <c r="Q1922">
        <v>0</v>
      </c>
      <c r="R1922">
        <v>52.84</v>
      </c>
      <c r="U1922">
        <v>6600</v>
      </c>
      <c r="W1922">
        <v>0.5</v>
      </c>
      <c r="X1922" t="s">
        <v>276</v>
      </c>
      <c r="Y1922" t="s">
        <v>216</v>
      </c>
      <c r="AA1922" t="s">
        <v>10974</v>
      </c>
      <c r="AB1922" t="s">
        <v>322</v>
      </c>
      <c r="AC1922" t="s">
        <v>11081</v>
      </c>
      <c r="AF1922" t="s">
        <v>11119</v>
      </c>
      <c r="AH1922" t="s">
        <v>10975</v>
      </c>
      <c r="AJ1922" t="s">
        <v>11141</v>
      </c>
      <c r="AK1922" t="s">
        <v>7225</v>
      </c>
      <c r="AM1922">
        <v>1360</v>
      </c>
      <c r="AO1922">
        <v>43</v>
      </c>
      <c r="AQ1922" t="s">
        <v>11164</v>
      </c>
      <c r="AS1922" t="s">
        <v>11173</v>
      </c>
      <c r="AU1922">
        <v>6</v>
      </c>
      <c r="AW1922" t="s">
        <v>11189</v>
      </c>
      <c r="BA1922" t="s">
        <v>11222</v>
      </c>
      <c r="BE1922" t="s">
        <v>12740</v>
      </c>
      <c r="BF1922" t="s">
        <v>14364</v>
      </c>
      <c r="BM1922" t="s">
        <v>15651</v>
      </c>
    </row>
    <row r="1923" spans="1:65">
      <c r="A1923" s="1">
        <f>HYPERLINK("https://lsnyc.legalserver.org/matter/dynamic-profile/view/0780738","15-0780738")</f>
        <v>0</v>
      </c>
      <c r="B1923" t="s">
        <v>134</v>
      </c>
      <c r="C1923" t="s">
        <v>246</v>
      </c>
      <c r="D1923" t="s">
        <v>792</v>
      </c>
      <c r="F1923" t="s">
        <v>1394</v>
      </c>
      <c r="G1923" t="s">
        <v>3544</v>
      </c>
      <c r="H1923" t="s">
        <v>4844</v>
      </c>
      <c r="I1923" t="s">
        <v>6416</v>
      </c>
      <c r="J1923" t="s">
        <v>7170</v>
      </c>
      <c r="K1923">
        <v>10452</v>
      </c>
      <c r="N1923" t="s">
        <v>7237</v>
      </c>
      <c r="O1923" t="s">
        <v>8166</v>
      </c>
      <c r="P1923">
        <v>2</v>
      </c>
      <c r="Q1923">
        <v>0</v>
      </c>
      <c r="R1923">
        <v>193.17</v>
      </c>
      <c r="U1923">
        <v>30771.88</v>
      </c>
      <c r="W1923">
        <v>0.95</v>
      </c>
      <c r="X1923" t="s">
        <v>920</v>
      </c>
      <c r="Y1923" t="s">
        <v>138</v>
      </c>
      <c r="AA1923" t="s">
        <v>10974</v>
      </c>
      <c r="AB1923" t="s">
        <v>10817</v>
      </c>
      <c r="AD1923" t="s">
        <v>11085</v>
      </c>
      <c r="AF1923" t="s">
        <v>11118</v>
      </c>
      <c r="AH1923" t="s">
        <v>10974</v>
      </c>
      <c r="AI1923" t="s">
        <v>11126</v>
      </c>
      <c r="AK1923" t="s">
        <v>7225</v>
      </c>
      <c r="AM1923">
        <v>705.09</v>
      </c>
      <c r="AO1923">
        <v>122</v>
      </c>
      <c r="AQ1923" t="s">
        <v>11157</v>
      </c>
      <c r="AR1923" t="s">
        <v>11172</v>
      </c>
      <c r="AU1923">
        <v>24</v>
      </c>
      <c r="AW1923" t="s">
        <v>11187</v>
      </c>
      <c r="AZ1923" t="s">
        <v>11221</v>
      </c>
      <c r="BE1923" t="s">
        <v>12464</v>
      </c>
      <c r="BG1923" t="s">
        <v>14821</v>
      </c>
      <c r="BM1923" t="s">
        <v>15650</v>
      </c>
    </row>
    <row r="1924" spans="1:65">
      <c r="A1924" s="1">
        <f>HYPERLINK("https://lsnyc.legalserver.org/matter/dynamic-profile/view/1857317","18-1857317")</f>
        <v>0</v>
      </c>
      <c r="B1924" t="s">
        <v>134</v>
      </c>
      <c r="C1924" t="s">
        <v>246</v>
      </c>
      <c r="D1924" t="s">
        <v>700</v>
      </c>
      <c r="F1924" t="s">
        <v>1897</v>
      </c>
      <c r="G1924" t="s">
        <v>3694</v>
      </c>
      <c r="H1924" t="s">
        <v>4844</v>
      </c>
      <c r="I1924" t="s">
        <v>6787</v>
      </c>
      <c r="J1924" t="s">
        <v>7170</v>
      </c>
      <c r="K1924">
        <v>10452</v>
      </c>
      <c r="N1924" t="s">
        <v>7237</v>
      </c>
      <c r="O1924" t="s">
        <v>8393</v>
      </c>
      <c r="P1924">
        <v>2</v>
      </c>
      <c r="Q1924">
        <v>1</v>
      </c>
      <c r="R1924">
        <v>221.36</v>
      </c>
      <c r="U1924">
        <v>45202.56</v>
      </c>
      <c r="W1924">
        <v>0</v>
      </c>
      <c r="Y1924" t="s">
        <v>10897</v>
      </c>
      <c r="AA1924" t="s">
        <v>10974</v>
      </c>
      <c r="AD1924" t="s">
        <v>11096</v>
      </c>
      <c r="AF1924" t="s">
        <v>11122</v>
      </c>
      <c r="AH1924" t="s">
        <v>10974</v>
      </c>
      <c r="AJ1924" t="s">
        <v>11141</v>
      </c>
      <c r="AK1924" t="s">
        <v>7225</v>
      </c>
      <c r="AM1924">
        <v>1038.43</v>
      </c>
      <c r="AO1924">
        <v>122</v>
      </c>
      <c r="AQ1924" t="s">
        <v>11157</v>
      </c>
      <c r="AR1924" t="s">
        <v>11172</v>
      </c>
      <c r="AU1924">
        <v>8</v>
      </c>
      <c r="AW1924" t="s">
        <v>11187</v>
      </c>
      <c r="AX1924" t="s">
        <v>11212</v>
      </c>
      <c r="AZ1924" t="s">
        <v>11221</v>
      </c>
      <c r="BE1924" t="s">
        <v>12681</v>
      </c>
      <c r="BG1924" t="s">
        <v>14717</v>
      </c>
      <c r="BM1924" t="s">
        <v>15650</v>
      </c>
    </row>
    <row r="1925" spans="1:65">
      <c r="A1925" s="1">
        <f>HYPERLINK("https://lsnyc.legalserver.org/matter/dynamic-profile/view/0806247","16-0806247")</f>
        <v>0</v>
      </c>
      <c r="B1925" t="s">
        <v>134</v>
      </c>
      <c r="C1925" t="s">
        <v>246</v>
      </c>
      <c r="D1925" t="s">
        <v>715</v>
      </c>
      <c r="F1925" t="s">
        <v>1915</v>
      </c>
      <c r="G1925" t="s">
        <v>3710</v>
      </c>
      <c r="H1925" t="s">
        <v>4844</v>
      </c>
      <c r="I1925" t="s">
        <v>6573</v>
      </c>
      <c r="J1925" t="s">
        <v>7170</v>
      </c>
      <c r="K1925">
        <v>10452</v>
      </c>
      <c r="N1925" t="s">
        <v>7237</v>
      </c>
      <c r="O1925" t="s">
        <v>8420</v>
      </c>
      <c r="P1925">
        <v>2</v>
      </c>
      <c r="Q1925">
        <v>0</v>
      </c>
      <c r="R1925">
        <v>0</v>
      </c>
      <c r="U1925">
        <v>0</v>
      </c>
      <c r="W1925">
        <v>0.1</v>
      </c>
      <c r="X1925" t="s">
        <v>10814</v>
      </c>
      <c r="Y1925" t="s">
        <v>138</v>
      </c>
      <c r="Z1925" t="s">
        <v>10972</v>
      </c>
      <c r="AA1925" t="s">
        <v>10975</v>
      </c>
      <c r="AD1925" t="s">
        <v>11085</v>
      </c>
      <c r="AF1925" t="s">
        <v>11118</v>
      </c>
      <c r="AH1925" t="s">
        <v>10974</v>
      </c>
      <c r="AJ1925" t="s">
        <v>11141</v>
      </c>
      <c r="AK1925" t="s">
        <v>7225</v>
      </c>
      <c r="AM1925">
        <v>855.3099999999999</v>
      </c>
      <c r="AO1925">
        <v>121</v>
      </c>
      <c r="AQ1925" t="s">
        <v>11157</v>
      </c>
      <c r="AS1925" t="s">
        <v>11173</v>
      </c>
      <c r="AU1925">
        <v>7</v>
      </c>
      <c r="AW1925" t="s">
        <v>11187</v>
      </c>
      <c r="AX1925" t="s">
        <v>11212</v>
      </c>
      <c r="AZ1925" t="s">
        <v>11221</v>
      </c>
      <c r="BD1925" t="s">
        <v>11667</v>
      </c>
      <c r="BF1925" t="s">
        <v>14364</v>
      </c>
      <c r="BG1925" t="s">
        <v>14716</v>
      </c>
      <c r="BM1925" t="s">
        <v>15650</v>
      </c>
    </row>
    <row r="1926" spans="1:65">
      <c r="A1926" s="1">
        <f>HYPERLINK("https://lsnyc.legalserver.org/matter/dynamic-profile/view/1912915","19-1912915")</f>
        <v>0</v>
      </c>
      <c r="B1926" t="s">
        <v>135</v>
      </c>
      <c r="C1926" t="s">
        <v>245</v>
      </c>
      <c r="D1926" t="s">
        <v>305</v>
      </c>
      <c r="F1926" t="s">
        <v>1187</v>
      </c>
      <c r="G1926" t="s">
        <v>3732</v>
      </c>
      <c r="H1926" t="s">
        <v>5183</v>
      </c>
      <c r="I1926" t="s">
        <v>6804</v>
      </c>
      <c r="J1926" t="s">
        <v>7169</v>
      </c>
      <c r="K1926">
        <v>10037</v>
      </c>
      <c r="N1926" t="s">
        <v>7237</v>
      </c>
      <c r="O1926" t="s">
        <v>8459</v>
      </c>
      <c r="P1926">
        <v>1</v>
      </c>
      <c r="Q1926">
        <v>0</v>
      </c>
      <c r="R1926">
        <v>39.14</v>
      </c>
      <c r="U1926">
        <v>4888</v>
      </c>
      <c r="W1926">
        <v>0</v>
      </c>
      <c r="Y1926" t="s">
        <v>10858</v>
      </c>
      <c r="AA1926" t="s">
        <v>10974</v>
      </c>
      <c r="AB1926" t="s">
        <v>305</v>
      </c>
      <c r="AD1926" t="s">
        <v>11086</v>
      </c>
      <c r="AF1926" t="s">
        <v>11121</v>
      </c>
      <c r="AH1926" t="s">
        <v>10975</v>
      </c>
      <c r="AJ1926" t="s">
        <v>11134</v>
      </c>
      <c r="AK1926" t="s">
        <v>7225</v>
      </c>
      <c r="AM1926">
        <v>2235</v>
      </c>
      <c r="AO1926">
        <v>259</v>
      </c>
      <c r="AQ1926" t="s">
        <v>11157</v>
      </c>
      <c r="AR1926" t="s">
        <v>11172</v>
      </c>
      <c r="AU1926">
        <v>4</v>
      </c>
      <c r="AW1926" t="s">
        <v>11187</v>
      </c>
      <c r="AY1926" t="s">
        <v>11213</v>
      </c>
      <c r="BA1926" t="s">
        <v>11223</v>
      </c>
      <c r="BE1926" t="s">
        <v>12741</v>
      </c>
      <c r="BF1926" t="s">
        <v>14364</v>
      </c>
      <c r="BM1926" t="s">
        <v>15650</v>
      </c>
    </row>
    <row r="1927" spans="1:65">
      <c r="A1927" s="1">
        <f>HYPERLINK("https://lsnyc.legalserver.org/matter/dynamic-profile/view/1912892","19-1912892")</f>
        <v>0</v>
      </c>
      <c r="B1927" t="s">
        <v>135</v>
      </c>
      <c r="C1927" t="s">
        <v>245</v>
      </c>
      <c r="D1927" t="s">
        <v>305</v>
      </c>
      <c r="F1927" t="s">
        <v>1941</v>
      </c>
      <c r="G1927" t="s">
        <v>3733</v>
      </c>
      <c r="H1927" t="s">
        <v>5408</v>
      </c>
      <c r="I1927" t="s">
        <v>6413</v>
      </c>
      <c r="J1927" t="s">
        <v>7169</v>
      </c>
      <c r="K1927">
        <v>10128</v>
      </c>
      <c r="N1927" t="s">
        <v>7237</v>
      </c>
      <c r="O1927" t="s">
        <v>8460</v>
      </c>
      <c r="P1927">
        <v>1</v>
      </c>
      <c r="Q1927">
        <v>0</v>
      </c>
      <c r="R1927">
        <v>112.09</v>
      </c>
      <c r="U1927">
        <v>14000</v>
      </c>
      <c r="W1927">
        <v>0.5</v>
      </c>
      <c r="X1927" t="s">
        <v>426</v>
      </c>
      <c r="Y1927" t="s">
        <v>10858</v>
      </c>
      <c r="AA1927" t="s">
        <v>10974</v>
      </c>
      <c r="AB1927" t="s">
        <v>305</v>
      </c>
      <c r="AD1927" t="s">
        <v>11086</v>
      </c>
      <c r="AF1927" t="s">
        <v>11121</v>
      </c>
      <c r="AH1927" t="s">
        <v>10975</v>
      </c>
      <c r="AJ1927" t="s">
        <v>11141</v>
      </c>
      <c r="AK1927" t="s">
        <v>7225</v>
      </c>
      <c r="AM1927">
        <v>1200</v>
      </c>
      <c r="AO1927">
        <v>11</v>
      </c>
      <c r="AQ1927" t="s">
        <v>11164</v>
      </c>
      <c r="AR1927" t="s">
        <v>11172</v>
      </c>
      <c r="AU1927">
        <v>5</v>
      </c>
      <c r="AW1927" t="s">
        <v>11187</v>
      </c>
      <c r="AY1927" t="s">
        <v>11213</v>
      </c>
      <c r="AZ1927" t="s">
        <v>11221</v>
      </c>
      <c r="BE1927" t="s">
        <v>12742</v>
      </c>
      <c r="BF1927" t="s">
        <v>14364</v>
      </c>
      <c r="BM1927" t="s">
        <v>15650</v>
      </c>
    </row>
    <row r="1928" spans="1:65">
      <c r="A1928" s="1">
        <f>HYPERLINK("https://lsnyc.legalserver.org/matter/dynamic-profile/view/1901446","19-1901446")</f>
        <v>0</v>
      </c>
      <c r="B1928" t="s">
        <v>136</v>
      </c>
      <c r="C1928" t="s">
        <v>245</v>
      </c>
      <c r="D1928" t="s">
        <v>701</v>
      </c>
      <c r="F1928" t="s">
        <v>1942</v>
      </c>
      <c r="G1928" t="s">
        <v>3173</v>
      </c>
      <c r="H1928" t="s">
        <v>5409</v>
      </c>
      <c r="I1928" t="s">
        <v>6495</v>
      </c>
      <c r="J1928" t="s">
        <v>7169</v>
      </c>
      <c r="K1928">
        <v>10040</v>
      </c>
      <c r="N1928" t="s">
        <v>7237</v>
      </c>
      <c r="O1928" t="s">
        <v>8461</v>
      </c>
      <c r="P1928">
        <v>1</v>
      </c>
      <c r="Q1928">
        <v>2</v>
      </c>
      <c r="R1928">
        <v>262.54</v>
      </c>
      <c r="U1928">
        <v>56000</v>
      </c>
      <c r="W1928">
        <v>42.95</v>
      </c>
      <c r="X1928" t="s">
        <v>436</v>
      </c>
      <c r="Y1928" t="s">
        <v>127</v>
      </c>
      <c r="AA1928" t="s">
        <v>10974</v>
      </c>
      <c r="AB1928" t="s">
        <v>701</v>
      </c>
      <c r="AD1928" t="s">
        <v>11090</v>
      </c>
      <c r="AF1928" t="s">
        <v>10384</v>
      </c>
      <c r="AH1928" t="s">
        <v>10975</v>
      </c>
      <c r="AJ1928" t="s">
        <v>11130</v>
      </c>
      <c r="AK1928" t="s">
        <v>7225</v>
      </c>
      <c r="AM1928">
        <v>1775</v>
      </c>
      <c r="AO1928">
        <v>41</v>
      </c>
      <c r="AQ1928" t="s">
        <v>11157</v>
      </c>
      <c r="AS1928" t="s">
        <v>11173</v>
      </c>
      <c r="AU1928">
        <v>4</v>
      </c>
      <c r="AW1928" t="s">
        <v>11187</v>
      </c>
      <c r="BA1928" t="s">
        <v>11222</v>
      </c>
      <c r="BD1928" t="s">
        <v>11667</v>
      </c>
      <c r="BF1928" t="s">
        <v>14364</v>
      </c>
      <c r="BM1928" t="s">
        <v>15650</v>
      </c>
    </row>
    <row r="1929" spans="1:65">
      <c r="A1929" s="1">
        <f>HYPERLINK("https://lsnyc.legalserver.org/matter/dynamic-profile/view/1911749","19-1911749")</f>
        <v>0</v>
      </c>
      <c r="B1929" t="s">
        <v>136</v>
      </c>
      <c r="C1929" t="s">
        <v>245</v>
      </c>
      <c r="D1929" t="s">
        <v>563</v>
      </c>
      <c r="F1929" t="s">
        <v>1943</v>
      </c>
      <c r="G1929" t="s">
        <v>3708</v>
      </c>
      <c r="H1929" t="s">
        <v>5410</v>
      </c>
      <c r="I1929">
        <v>23</v>
      </c>
      <c r="J1929" t="s">
        <v>7169</v>
      </c>
      <c r="K1929">
        <v>10032</v>
      </c>
      <c r="N1929" t="s">
        <v>7237</v>
      </c>
      <c r="O1929" t="s">
        <v>8462</v>
      </c>
      <c r="P1929">
        <v>2</v>
      </c>
      <c r="Q1929">
        <v>0</v>
      </c>
      <c r="R1929">
        <v>176.82</v>
      </c>
      <c r="U1929">
        <v>29900</v>
      </c>
      <c r="W1929">
        <v>37.1</v>
      </c>
      <c r="X1929" t="s">
        <v>528</v>
      </c>
      <c r="Y1929" t="s">
        <v>136</v>
      </c>
      <c r="AA1929" t="s">
        <v>10974</v>
      </c>
      <c r="AB1929" t="s">
        <v>563</v>
      </c>
      <c r="AD1929" t="s">
        <v>11101</v>
      </c>
      <c r="AF1929" t="s">
        <v>11118</v>
      </c>
      <c r="AH1929" t="s">
        <v>10975</v>
      </c>
      <c r="AJ1929" t="s">
        <v>11129</v>
      </c>
      <c r="AK1929" t="s">
        <v>7225</v>
      </c>
      <c r="AM1929">
        <v>1076</v>
      </c>
      <c r="AO1929">
        <v>28</v>
      </c>
      <c r="AQ1929" t="s">
        <v>11157</v>
      </c>
      <c r="AS1929" t="s">
        <v>11173</v>
      </c>
      <c r="AU1929">
        <v>30</v>
      </c>
      <c r="AW1929" t="s">
        <v>11187</v>
      </c>
      <c r="BA1929" t="s">
        <v>11222</v>
      </c>
      <c r="BE1929" t="s">
        <v>12743</v>
      </c>
      <c r="BF1929" t="s">
        <v>14364</v>
      </c>
      <c r="BM1929" t="s">
        <v>15650</v>
      </c>
    </row>
    <row r="1930" spans="1:65">
      <c r="A1930" s="1">
        <f>HYPERLINK("https://lsnyc.legalserver.org/matter/dynamic-profile/view/1912552","19-1912552")</f>
        <v>0</v>
      </c>
      <c r="B1930" t="s">
        <v>136</v>
      </c>
      <c r="C1930" t="s">
        <v>245</v>
      </c>
      <c r="D1930" t="s">
        <v>599</v>
      </c>
      <c r="F1930" t="s">
        <v>1944</v>
      </c>
      <c r="G1930" t="s">
        <v>3680</v>
      </c>
      <c r="H1930" t="s">
        <v>4888</v>
      </c>
      <c r="I1930">
        <v>6</v>
      </c>
      <c r="J1930" t="s">
        <v>7169</v>
      </c>
      <c r="K1930">
        <v>10034</v>
      </c>
      <c r="N1930" t="s">
        <v>7237</v>
      </c>
      <c r="O1930" t="s">
        <v>7807</v>
      </c>
      <c r="P1930">
        <v>1</v>
      </c>
      <c r="Q1930">
        <v>0</v>
      </c>
      <c r="R1930">
        <v>106.84</v>
      </c>
      <c r="U1930">
        <v>13344</v>
      </c>
      <c r="W1930">
        <v>1.4</v>
      </c>
      <c r="X1930" t="s">
        <v>316</v>
      </c>
      <c r="Y1930" t="s">
        <v>127</v>
      </c>
      <c r="AA1930" t="s">
        <v>10974</v>
      </c>
      <c r="AB1930" t="s">
        <v>599</v>
      </c>
      <c r="AD1930" t="s">
        <v>11098</v>
      </c>
      <c r="AF1930" t="s">
        <v>11121</v>
      </c>
      <c r="AH1930" t="s">
        <v>10975</v>
      </c>
      <c r="AJ1930" t="s">
        <v>11130</v>
      </c>
      <c r="AK1930" t="s">
        <v>7225</v>
      </c>
      <c r="AM1930">
        <v>902.13</v>
      </c>
      <c r="AO1930">
        <v>34</v>
      </c>
      <c r="AQ1930" t="s">
        <v>11157</v>
      </c>
      <c r="AS1930" t="s">
        <v>11175</v>
      </c>
      <c r="AU1930">
        <v>24</v>
      </c>
      <c r="AW1930" t="s">
        <v>11189</v>
      </c>
      <c r="BA1930" t="s">
        <v>11222</v>
      </c>
      <c r="BE1930" t="s">
        <v>12744</v>
      </c>
      <c r="BF1930" t="s">
        <v>14364</v>
      </c>
      <c r="BM1930" t="s">
        <v>15650</v>
      </c>
    </row>
    <row r="1931" spans="1:65">
      <c r="A1931" s="1">
        <f>HYPERLINK("https://lsnyc.legalserver.org/matter/dynamic-profile/view/1910905","19-1910905")</f>
        <v>0</v>
      </c>
      <c r="B1931" t="s">
        <v>136</v>
      </c>
      <c r="C1931" t="s">
        <v>245</v>
      </c>
      <c r="D1931" t="s">
        <v>384</v>
      </c>
      <c r="F1931" t="s">
        <v>1219</v>
      </c>
      <c r="G1931" t="s">
        <v>3226</v>
      </c>
      <c r="H1931" t="s">
        <v>5411</v>
      </c>
      <c r="I1931" t="s">
        <v>6448</v>
      </c>
      <c r="J1931" t="s">
        <v>7169</v>
      </c>
      <c r="K1931">
        <v>10034</v>
      </c>
      <c r="N1931" t="s">
        <v>7237</v>
      </c>
      <c r="O1931" t="s">
        <v>8463</v>
      </c>
      <c r="P1931">
        <v>1</v>
      </c>
      <c r="Q1931">
        <v>0</v>
      </c>
      <c r="R1931">
        <v>168.07</v>
      </c>
      <c r="U1931">
        <v>20991.6</v>
      </c>
      <c r="W1931">
        <v>0.5</v>
      </c>
      <c r="X1931" t="s">
        <v>384</v>
      </c>
      <c r="Y1931" t="s">
        <v>127</v>
      </c>
      <c r="AA1931" t="s">
        <v>10974</v>
      </c>
      <c r="AB1931" t="s">
        <v>384</v>
      </c>
      <c r="AD1931" t="s">
        <v>11090</v>
      </c>
      <c r="AF1931" t="s">
        <v>11121</v>
      </c>
      <c r="AH1931" t="s">
        <v>10975</v>
      </c>
      <c r="AJ1931" t="s">
        <v>11129</v>
      </c>
      <c r="AK1931" t="s">
        <v>7225</v>
      </c>
      <c r="AM1931">
        <v>1191.97</v>
      </c>
      <c r="AO1931">
        <v>48</v>
      </c>
      <c r="AQ1931" t="s">
        <v>11157</v>
      </c>
      <c r="AS1931" t="s">
        <v>11175</v>
      </c>
      <c r="AU1931">
        <v>24</v>
      </c>
      <c r="AW1931" t="s">
        <v>11189</v>
      </c>
      <c r="AZ1931" t="s">
        <v>11221</v>
      </c>
      <c r="BE1931" t="s">
        <v>12745</v>
      </c>
      <c r="BF1931" t="s">
        <v>14364</v>
      </c>
      <c r="BM1931" t="s">
        <v>15650</v>
      </c>
    </row>
    <row r="1932" spans="1:65">
      <c r="A1932" s="1">
        <f>HYPERLINK("https://lsnyc.legalserver.org/matter/dynamic-profile/view/1911660","19-1911660")</f>
        <v>0</v>
      </c>
      <c r="B1932" t="s">
        <v>136</v>
      </c>
      <c r="C1932" t="s">
        <v>245</v>
      </c>
      <c r="D1932" t="s">
        <v>798</v>
      </c>
      <c r="F1932" t="s">
        <v>1945</v>
      </c>
      <c r="G1932" t="s">
        <v>3734</v>
      </c>
      <c r="H1932" t="s">
        <v>5412</v>
      </c>
      <c r="I1932" t="s">
        <v>6423</v>
      </c>
      <c r="J1932" t="s">
        <v>7169</v>
      </c>
      <c r="K1932">
        <v>10040</v>
      </c>
      <c r="N1932" t="s">
        <v>7237</v>
      </c>
      <c r="O1932" t="s">
        <v>8464</v>
      </c>
      <c r="P1932">
        <v>2</v>
      </c>
      <c r="Q1932">
        <v>0</v>
      </c>
      <c r="R1932">
        <v>751.03</v>
      </c>
      <c r="U1932">
        <v>127000</v>
      </c>
      <c r="W1932">
        <v>2</v>
      </c>
      <c r="X1932" t="s">
        <v>265</v>
      </c>
      <c r="Y1932" t="s">
        <v>127</v>
      </c>
      <c r="AA1932" t="s">
        <v>10974</v>
      </c>
      <c r="AB1932" t="s">
        <v>798</v>
      </c>
      <c r="AC1932" t="s">
        <v>11081</v>
      </c>
      <c r="AF1932" t="s">
        <v>11121</v>
      </c>
      <c r="AH1932" t="s">
        <v>10975</v>
      </c>
      <c r="AJ1932" t="s">
        <v>11139</v>
      </c>
      <c r="AK1932" t="s">
        <v>7225</v>
      </c>
      <c r="AM1932">
        <v>1850</v>
      </c>
      <c r="AO1932">
        <v>33</v>
      </c>
      <c r="AQ1932" t="s">
        <v>11156</v>
      </c>
      <c r="AS1932" t="s">
        <v>11173</v>
      </c>
      <c r="AU1932">
        <v>4</v>
      </c>
      <c r="AW1932" t="s">
        <v>11187</v>
      </c>
      <c r="BA1932" t="s">
        <v>11222</v>
      </c>
      <c r="BE1932" t="s">
        <v>12746</v>
      </c>
      <c r="BF1932" t="s">
        <v>14364</v>
      </c>
      <c r="BM1932" t="s">
        <v>15650</v>
      </c>
    </row>
    <row r="1933" spans="1:65">
      <c r="A1933" s="1">
        <f>HYPERLINK("https://lsnyc.legalserver.org/matter/dynamic-profile/view/1910937","19-1910937")</f>
        <v>0</v>
      </c>
      <c r="B1933" t="s">
        <v>136</v>
      </c>
      <c r="C1933" t="s">
        <v>245</v>
      </c>
      <c r="D1933" t="s">
        <v>384</v>
      </c>
      <c r="F1933" t="s">
        <v>1943</v>
      </c>
      <c r="G1933" t="s">
        <v>3708</v>
      </c>
      <c r="H1933" t="s">
        <v>5410</v>
      </c>
      <c r="I1933">
        <v>23</v>
      </c>
      <c r="J1933" t="s">
        <v>7169</v>
      </c>
      <c r="K1933">
        <v>10032</v>
      </c>
      <c r="N1933" t="s">
        <v>7237</v>
      </c>
      <c r="O1933" t="s">
        <v>8462</v>
      </c>
      <c r="P1933">
        <v>2</v>
      </c>
      <c r="Q1933">
        <v>0</v>
      </c>
      <c r="R1933">
        <v>176.82</v>
      </c>
      <c r="U1933">
        <v>29900</v>
      </c>
      <c r="W1933">
        <v>64.25</v>
      </c>
      <c r="X1933" t="s">
        <v>312</v>
      </c>
      <c r="Y1933" t="s">
        <v>127</v>
      </c>
      <c r="AA1933" t="s">
        <v>10974</v>
      </c>
      <c r="AB1933" t="s">
        <v>384</v>
      </c>
      <c r="AC1933" t="s">
        <v>11081</v>
      </c>
      <c r="AF1933" t="s">
        <v>11121</v>
      </c>
      <c r="AH1933" t="s">
        <v>10975</v>
      </c>
      <c r="AJ1933" t="s">
        <v>11129</v>
      </c>
      <c r="AK1933" t="s">
        <v>7225</v>
      </c>
      <c r="AM1933">
        <v>1076</v>
      </c>
      <c r="AO1933">
        <v>28</v>
      </c>
      <c r="AQ1933" t="s">
        <v>11157</v>
      </c>
      <c r="AS1933" t="s">
        <v>11173</v>
      </c>
      <c r="AU1933">
        <v>30</v>
      </c>
      <c r="AW1933" t="s">
        <v>11187</v>
      </c>
      <c r="BA1933" t="s">
        <v>11222</v>
      </c>
      <c r="BE1933" t="s">
        <v>12743</v>
      </c>
      <c r="BF1933" t="s">
        <v>14364</v>
      </c>
      <c r="BM1933" t="s">
        <v>15650</v>
      </c>
    </row>
    <row r="1934" spans="1:65">
      <c r="A1934" s="1">
        <f>HYPERLINK("https://lsnyc.legalserver.org/matter/dynamic-profile/view/1911652","19-1911652")</f>
        <v>0</v>
      </c>
      <c r="B1934" t="s">
        <v>136</v>
      </c>
      <c r="C1934" t="s">
        <v>245</v>
      </c>
      <c r="D1934" t="s">
        <v>798</v>
      </c>
      <c r="F1934" t="s">
        <v>1095</v>
      </c>
      <c r="G1934" t="s">
        <v>2887</v>
      </c>
      <c r="H1934" t="s">
        <v>4766</v>
      </c>
      <c r="I1934" t="s">
        <v>6406</v>
      </c>
      <c r="J1934" t="s">
        <v>7169</v>
      </c>
      <c r="K1934">
        <v>10033</v>
      </c>
      <c r="N1934" t="s">
        <v>7237</v>
      </c>
      <c r="O1934" t="s">
        <v>7264</v>
      </c>
      <c r="P1934">
        <v>2</v>
      </c>
      <c r="Q1934">
        <v>0</v>
      </c>
      <c r="R1934">
        <v>255.47</v>
      </c>
      <c r="U1934">
        <v>43200</v>
      </c>
      <c r="W1934">
        <v>5.3</v>
      </c>
      <c r="X1934" t="s">
        <v>638</v>
      </c>
      <c r="Y1934" t="s">
        <v>127</v>
      </c>
      <c r="Z1934" t="s">
        <v>10973</v>
      </c>
      <c r="AA1934" t="s">
        <v>10975</v>
      </c>
      <c r="AB1934" t="s">
        <v>798</v>
      </c>
      <c r="AC1934" t="s">
        <v>11081</v>
      </c>
      <c r="AF1934" t="s">
        <v>11121</v>
      </c>
      <c r="AH1934" t="s">
        <v>10975</v>
      </c>
      <c r="AJ1934" t="s">
        <v>11130</v>
      </c>
      <c r="AK1934" t="s">
        <v>7225</v>
      </c>
      <c r="AM1934">
        <v>1319.95</v>
      </c>
      <c r="AO1934">
        <v>480</v>
      </c>
      <c r="AQ1934" t="s">
        <v>11157</v>
      </c>
      <c r="AS1934" t="s">
        <v>11173</v>
      </c>
      <c r="AU1934">
        <v>18</v>
      </c>
      <c r="AW1934" t="s">
        <v>11187</v>
      </c>
      <c r="BA1934" t="s">
        <v>11222</v>
      </c>
      <c r="BE1934" t="s">
        <v>11680</v>
      </c>
      <c r="BF1934" t="s">
        <v>14364</v>
      </c>
      <c r="BM1934" t="s">
        <v>15650</v>
      </c>
    </row>
    <row r="1935" spans="1:65">
      <c r="A1935" s="1">
        <f>HYPERLINK("https://lsnyc.legalserver.org/matter/dynamic-profile/view/1914931","19-1914931")</f>
        <v>0</v>
      </c>
      <c r="B1935" t="s">
        <v>136</v>
      </c>
      <c r="C1935" t="s">
        <v>245</v>
      </c>
      <c r="D1935" t="s">
        <v>262</v>
      </c>
      <c r="F1935" t="s">
        <v>1943</v>
      </c>
      <c r="G1935" t="s">
        <v>3708</v>
      </c>
      <c r="H1935" t="s">
        <v>5410</v>
      </c>
      <c r="I1935">
        <v>23</v>
      </c>
      <c r="J1935" t="s">
        <v>7169</v>
      </c>
      <c r="K1935">
        <v>10032</v>
      </c>
      <c r="N1935" t="s">
        <v>7237</v>
      </c>
      <c r="O1935" t="s">
        <v>8462</v>
      </c>
      <c r="P1935">
        <v>2</v>
      </c>
      <c r="Q1935">
        <v>0</v>
      </c>
      <c r="R1935">
        <v>176.82</v>
      </c>
      <c r="U1935">
        <v>29900</v>
      </c>
      <c r="W1935">
        <v>11.15</v>
      </c>
      <c r="X1935" t="s">
        <v>669</v>
      </c>
      <c r="Y1935" t="s">
        <v>127</v>
      </c>
      <c r="AA1935" t="s">
        <v>10974</v>
      </c>
      <c r="AB1935" t="s">
        <v>262</v>
      </c>
      <c r="AC1935" t="s">
        <v>11081</v>
      </c>
      <c r="AE1935" t="s">
        <v>11117</v>
      </c>
      <c r="AH1935" t="s">
        <v>10975</v>
      </c>
      <c r="AJ1935" t="s">
        <v>11129</v>
      </c>
      <c r="AK1935" t="s">
        <v>7225</v>
      </c>
      <c r="AM1935">
        <v>1076</v>
      </c>
      <c r="AO1935">
        <v>28</v>
      </c>
      <c r="AQ1935" t="s">
        <v>11157</v>
      </c>
      <c r="AS1935" t="s">
        <v>11173</v>
      </c>
      <c r="AU1935">
        <v>30</v>
      </c>
      <c r="AW1935" t="s">
        <v>11187</v>
      </c>
      <c r="BA1935" t="s">
        <v>11222</v>
      </c>
      <c r="BE1935" t="s">
        <v>12743</v>
      </c>
      <c r="BF1935" t="s">
        <v>14364</v>
      </c>
      <c r="BM1935" t="s">
        <v>15650</v>
      </c>
    </row>
    <row r="1936" spans="1:65">
      <c r="A1936" s="1">
        <f>HYPERLINK("https://lsnyc.legalserver.org/matter/dynamic-profile/view/1912602","19-1912602")</f>
        <v>0</v>
      </c>
      <c r="B1936" t="s">
        <v>136</v>
      </c>
      <c r="C1936" t="s">
        <v>245</v>
      </c>
      <c r="D1936" t="s">
        <v>599</v>
      </c>
      <c r="F1936" t="s">
        <v>1155</v>
      </c>
      <c r="G1936" t="s">
        <v>1636</v>
      </c>
      <c r="H1936" t="s">
        <v>5413</v>
      </c>
      <c r="I1936" t="s">
        <v>6423</v>
      </c>
      <c r="J1936" t="s">
        <v>7169</v>
      </c>
      <c r="K1936">
        <v>10040</v>
      </c>
      <c r="N1936" t="s">
        <v>7237</v>
      </c>
      <c r="O1936" t="s">
        <v>8465</v>
      </c>
      <c r="P1936">
        <v>3</v>
      </c>
      <c r="Q1936">
        <v>0</v>
      </c>
      <c r="R1936">
        <v>316.92</v>
      </c>
      <c r="U1936">
        <v>67600</v>
      </c>
      <c r="W1936">
        <v>14</v>
      </c>
      <c r="X1936" t="s">
        <v>436</v>
      </c>
      <c r="Y1936" t="s">
        <v>127</v>
      </c>
      <c r="AA1936" t="s">
        <v>10974</v>
      </c>
      <c r="AB1936" t="s">
        <v>599</v>
      </c>
      <c r="AD1936" t="s">
        <v>11083</v>
      </c>
      <c r="AF1936" t="s">
        <v>11121</v>
      </c>
      <c r="AH1936" t="s">
        <v>10975</v>
      </c>
      <c r="AJ1936" t="s">
        <v>11130</v>
      </c>
      <c r="AK1936" t="s">
        <v>7225</v>
      </c>
      <c r="AM1936">
        <v>1020</v>
      </c>
      <c r="AO1936">
        <v>186</v>
      </c>
      <c r="AQ1936" t="s">
        <v>11157</v>
      </c>
      <c r="AS1936" t="s">
        <v>11173</v>
      </c>
      <c r="AU1936">
        <v>34</v>
      </c>
      <c r="AW1936" t="s">
        <v>11189</v>
      </c>
      <c r="BA1936" t="s">
        <v>11222</v>
      </c>
      <c r="BE1936" t="s">
        <v>12747</v>
      </c>
      <c r="BF1936" t="s">
        <v>14364</v>
      </c>
      <c r="BM1936" t="s">
        <v>15650</v>
      </c>
    </row>
    <row r="1937" spans="1:65">
      <c r="A1937" s="1">
        <f>HYPERLINK("https://lsnyc.legalserver.org/matter/dynamic-profile/view/1892654","19-1892654")</f>
        <v>0</v>
      </c>
      <c r="B1937" t="s">
        <v>137</v>
      </c>
      <c r="C1937" t="s">
        <v>246</v>
      </c>
      <c r="D1937" t="s">
        <v>729</v>
      </c>
      <c r="F1937" t="s">
        <v>1122</v>
      </c>
      <c r="G1937" t="s">
        <v>3735</v>
      </c>
      <c r="H1937" t="s">
        <v>5414</v>
      </c>
      <c r="I1937" t="s">
        <v>6491</v>
      </c>
      <c r="J1937" t="s">
        <v>7170</v>
      </c>
      <c r="K1937">
        <v>10468</v>
      </c>
      <c r="N1937" t="s">
        <v>7241</v>
      </c>
      <c r="O1937" t="s">
        <v>8466</v>
      </c>
      <c r="P1937">
        <v>2</v>
      </c>
      <c r="Q1937">
        <v>0</v>
      </c>
      <c r="R1937">
        <v>212.89</v>
      </c>
      <c r="U1937">
        <v>36000</v>
      </c>
      <c r="W1937">
        <v>1.5</v>
      </c>
      <c r="X1937" t="s">
        <v>319</v>
      </c>
      <c r="Y1937" t="s">
        <v>10867</v>
      </c>
      <c r="AA1937" t="s">
        <v>10974</v>
      </c>
      <c r="AB1937" t="s">
        <v>729</v>
      </c>
      <c r="AD1937" t="s">
        <v>11110</v>
      </c>
      <c r="AF1937" t="s">
        <v>10384</v>
      </c>
      <c r="AG1937" t="s">
        <v>11124</v>
      </c>
      <c r="AJ1937" t="s">
        <v>11138</v>
      </c>
      <c r="AK1937" t="s">
        <v>7225</v>
      </c>
      <c r="AM1937">
        <v>1500</v>
      </c>
      <c r="AN1937" t="s">
        <v>11151</v>
      </c>
      <c r="AO1937" t="s">
        <v>11153</v>
      </c>
      <c r="AQ1937" t="s">
        <v>11157</v>
      </c>
      <c r="AS1937" t="s">
        <v>11174</v>
      </c>
      <c r="AU1937">
        <v>9</v>
      </c>
      <c r="AW1937" t="s">
        <v>11187</v>
      </c>
      <c r="AZ1937" t="s">
        <v>11221</v>
      </c>
      <c r="BE1937" t="s">
        <v>12748</v>
      </c>
      <c r="BF1937" t="s">
        <v>14364</v>
      </c>
      <c r="BM1937" t="s">
        <v>15650</v>
      </c>
    </row>
    <row r="1938" spans="1:65">
      <c r="A1938" s="1">
        <f>HYPERLINK("https://lsnyc.legalserver.org/matter/dynamic-profile/view/1913859","19-1913859")</f>
        <v>0</v>
      </c>
      <c r="B1938" t="s">
        <v>138</v>
      </c>
      <c r="C1938" t="s">
        <v>246</v>
      </c>
      <c r="D1938" t="s">
        <v>735</v>
      </c>
      <c r="F1938" t="s">
        <v>1252</v>
      </c>
      <c r="G1938" t="s">
        <v>2895</v>
      </c>
      <c r="H1938" t="s">
        <v>5415</v>
      </c>
      <c r="J1938" t="s">
        <v>7170</v>
      </c>
      <c r="K1938">
        <v>10466</v>
      </c>
      <c r="N1938" t="s">
        <v>7237</v>
      </c>
      <c r="O1938" t="s">
        <v>8467</v>
      </c>
      <c r="P1938">
        <v>1</v>
      </c>
      <c r="Q1938">
        <v>1</v>
      </c>
      <c r="R1938">
        <v>0</v>
      </c>
      <c r="U1938">
        <v>0</v>
      </c>
      <c r="W1938">
        <v>0.5</v>
      </c>
      <c r="X1938" t="s">
        <v>449</v>
      </c>
      <c r="Y1938" t="s">
        <v>138</v>
      </c>
      <c r="AA1938" t="s">
        <v>10974</v>
      </c>
      <c r="AC1938" t="s">
        <v>11081</v>
      </c>
      <c r="AF1938" t="s">
        <v>10384</v>
      </c>
      <c r="AG1938" t="s">
        <v>11124</v>
      </c>
      <c r="AJ1938" t="s">
        <v>11134</v>
      </c>
      <c r="AK1938" t="s">
        <v>7225</v>
      </c>
      <c r="AL1938" t="s">
        <v>11150</v>
      </c>
      <c r="AM1938">
        <v>0</v>
      </c>
      <c r="AO1938">
        <v>4</v>
      </c>
      <c r="AP1938" t="s">
        <v>11155</v>
      </c>
      <c r="AS1938" t="s">
        <v>11176</v>
      </c>
      <c r="AT1938" t="s">
        <v>11184</v>
      </c>
      <c r="AU1938">
        <v>0</v>
      </c>
      <c r="AW1938" t="s">
        <v>11187</v>
      </c>
      <c r="AX1938" t="s">
        <v>11212</v>
      </c>
      <c r="BA1938" t="s">
        <v>11222</v>
      </c>
      <c r="BB1938" t="s">
        <v>11224</v>
      </c>
      <c r="BC1938" t="s">
        <v>11395</v>
      </c>
      <c r="BE1938" t="s">
        <v>12749</v>
      </c>
      <c r="BF1938" t="s">
        <v>14364</v>
      </c>
      <c r="BM1938" t="s">
        <v>15650</v>
      </c>
    </row>
    <row r="1939" spans="1:65">
      <c r="A1939" s="1">
        <f>HYPERLINK("https://lsnyc.legalserver.org/matter/dynamic-profile/view/1907499","19-1907499")</f>
        <v>0</v>
      </c>
      <c r="B1939" t="s">
        <v>138</v>
      </c>
      <c r="C1939" t="s">
        <v>246</v>
      </c>
      <c r="D1939" t="s">
        <v>797</v>
      </c>
      <c r="F1939" t="s">
        <v>1370</v>
      </c>
      <c r="G1939" t="s">
        <v>3130</v>
      </c>
      <c r="H1939" t="s">
        <v>5416</v>
      </c>
      <c r="I1939">
        <v>2</v>
      </c>
      <c r="J1939" t="s">
        <v>7170</v>
      </c>
      <c r="K1939">
        <v>10464</v>
      </c>
      <c r="N1939" t="s">
        <v>7237</v>
      </c>
      <c r="O1939" t="s">
        <v>8468</v>
      </c>
      <c r="P1939">
        <v>1</v>
      </c>
      <c r="Q1939">
        <v>0</v>
      </c>
      <c r="R1939">
        <v>78.20999999999999</v>
      </c>
      <c r="U1939">
        <v>9768</v>
      </c>
      <c r="W1939">
        <v>0.5</v>
      </c>
      <c r="X1939" t="s">
        <v>437</v>
      </c>
      <c r="Y1939" t="s">
        <v>10897</v>
      </c>
      <c r="AA1939" t="s">
        <v>10974</v>
      </c>
      <c r="AC1939" t="s">
        <v>11081</v>
      </c>
      <c r="AE1939" t="s">
        <v>11117</v>
      </c>
      <c r="AH1939" t="s">
        <v>10974</v>
      </c>
      <c r="AJ1939" t="s">
        <v>11141</v>
      </c>
      <c r="AK1939" t="s">
        <v>7225</v>
      </c>
      <c r="AM1939">
        <v>2700</v>
      </c>
      <c r="AN1939" t="s">
        <v>11151</v>
      </c>
      <c r="AO1939" t="s">
        <v>11153</v>
      </c>
      <c r="AQ1939" t="s">
        <v>11164</v>
      </c>
      <c r="AS1939" t="s">
        <v>11180</v>
      </c>
      <c r="AU1939">
        <v>4</v>
      </c>
      <c r="AW1939" t="s">
        <v>11187</v>
      </c>
      <c r="AX1939" t="s">
        <v>11212</v>
      </c>
      <c r="BA1939" t="s">
        <v>11222</v>
      </c>
      <c r="BE1939" t="s">
        <v>12750</v>
      </c>
      <c r="BF1939" t="s">
        <v>14364</v>
      </c>
      <c r="BM1939" t="s">
        <v>15650</v>
      </c>
    </row>
    <row r="1940" spans="1:65">
      <c r="A1940" s="1">
        <f>HYPERLINK("https://lsnyc.legalserver.org/matter/dynamic-profile/view/1912069","19-1912069")</f>
        <v>0</v>
      </c>
      <c r="B1940" t="s">
        <v>138</v>
      </c>
      <c r="C1940" t="s">
        <v>246</v>
      </c>
      <c r="D1940" t="s">
        <v>271</v>
      </c>
      <c r="F1940" t="s">
        <v>1946</v>
      </c>
      <c r="G1940" t="s">
        <v>2877</v>
      </c>
      <c r="H1940" t="s">
        <v>5417</v>
      </c>
      <c r="I1940" t="s">
        <v>6448</v>
      </c>
      <c r="J1940" t="s">
        <v>7170</v>
      </c>
      <c r="K1940">
        <v>10459</v>
      </c>
      <c r="N1940" t="s">
        <v>7237</v>
      </c>
      <c r="O1940" t="s">
        <v>8469</v>
      </c>
      <c r="P1940">
        <v>2</v>
      </c>
      <c r="Q1940">
        <v>0</v>
      </c>
      <c r="R1940">
        <v>166.65</v>
      </c>
      <c r="U1940">
        <v>28179.96</v>
      </c>
      <c r="W1940">
        <v>2.36</v>
      </c>
      <c r="X1940" t="s">
        <v>735</v>
      </c>
      <c r="Y1940" t="s">
        <v>10877</v>
      </c>
      <c r="AA1940" t="s">
        <v>10974</v>
      </c>
      <c r="AC1940" t="s">
        <v>11081</v>
      </c>
      <c r="AF1940" t="s">
        <v>10384</v>
      </c>
      <c r="AG1940" t="s">
        <v>11124</v>
      </c>
      <c r="AJ1940" t="s">
        <v>11129</v>
      </c>
      <c r="AK1940" t="s">
        <v>7225</v>
      </c>
      <c r="AM1940">
        <v>738</v>
      </c>
      <c r="AO1940">
        <v>40</v>
      </c>
      <c r="AQ1940" t="s">
        <v>11157</v>
      </c>
      <c r="AS1940" t="s">
        <v>11174</v>
      </c>
      <c r="AU1940">
        <v>41</v>
      </c>
      <c r="AW1940" t="s">
        <v>11187</v>
      </c>
      <c r="AX1940" t="s">
        <v>11212</v>
      </c>
      <c r="BA1940" t="s">
        <v>11222</v>
      </c>
      <c r="BE1940" t="s">
        <v>12751</v>
      </c>
      <c r="BF1940" t="s">
        <v>14364</v>
      </c>
      <c r="BM1940" t="s">
        <v>15650</v>
      </c>
    </row>
    <row r="1941" spans="1:65">
      <c r="A1941" s="1">
        <f>HYPERLINK("https://lsnyc.legalserver.org/matter/dynamic-profile/view/1897806","19-1897806")</f>
        <v>0</v>
      </c>
      <c r="B1941" t="s">
        <v>139</v>
      </c>
      <c r="C1941" t="s">
        <v>246</v>
      </c>
      <c r="D1941" t="s">
        <v>633</v>
      </c>
      <c r="F1941" t="s">
        <v>1947</v>
      </c>
      <c r="G1941" t="s">
        <v>3125</v>
      </c>
      <c r="H1941" t="s">
        <v>5275</v>
      </c>
      <c r="I1941" t="s">
        <v>6420</v>
      </c>
      <c r="J1941" t="s">
        <v>7170</v>
      </c>
      <c r="K1941">
        <v>10453</v>
      </c>
      <c r="N1941" t="s">
        <v>7243</v>
      </c>
      <c r="O1941" t="s">
        <v>8470</v>
      </c>
      <c r="P1941">
        <v>1</v>
      </c>
      <c r="Q1941">
        <v>0</v>
      </c>
      <c r="R1941">
        <v>288.23</v>
      </c>
      <c r="S1941" t="s">
        <v>431</v>
      </c>
      <c r="T1941" t="s">
        <v>10276</v>
      </c>
      <c r="U1941">
        <v>36000</v>
      </c>
      <c r="W1941">
        <v>1</v>
      </c>
      <c r="X1941" t="s">
        <v>316</v>
      </c>
      <c r="Y1941" t="s">
        <v>10933</v>
      </c>
      <c r="AA1941" t="s">
        <v>10974</v>
      </c>
      <c r="AB1941" t="s">
        <v>431</v>
      </c>
      <c r="AD1941" t="s">
        <v>11082</v>
      </c>
      <c r="AF1941" t="s">
        <v>11118</v>
      </c>
      <c r="AH1941" t="s">
        <v>10975</v>
      </c>
      <c r="AI1941" t="s">
        <v>11126</v>
      </c>
      <c r="AK1941" t="s">
        <v>7225</v>
      </c>
      <c r="AM1941">
        <v>1235</v>
      </c>
      <c r="AO1941">
        <v>36</v>
      </c>
      <c r="AQ1941" t="s">
        <v>11160</v>
      </c>
      <c r="AS1941" t="s">
        <v>11173</v>
      </c>
      <c r="AU1941">
        <v>3</v>
      </c>
      <c r="AW1941" t="s">
        <v>11187</v>
      </c>
      <c r="BA1941" t="s">
        <v>11222</v>
      </c>
      <c r="BE1941" t="s">
        <v>12752</v>
      </c>
      <c r="BG1941" t="s">
        <v>14829</v>
      </c>
      <c r="BM1941" t="s">
        <v>15650</v>
      </c>
    </row>
    <row r="1942" spans="1:65">
      <c r="A1942" s="1">
        <f>HYPERLINK("https://lsnyc.legalserver.org/matter/dynamic-profile/view/1840635","17-1840635")</f>
        <v>0</v>
      </c>
      <c r="B1942" t="s">
        <v>139</v>
      </c>
      <c r="C1942" t="s">
        <v>246</v>
      </c>
      <c r="D1942" t="s">
        <v>799</v>
      </c>
      <c r="E1942" t="s">
        <v>426</v>
      </c>
      <c r="F1942" t="s">
        <v>1443</v>
      </c>
      <c r="G1942" t="s">
        <v>2902</v>
      </c>
      <c r="H1942" t="s">
        <v>5418</v>
      </c>
      <c r="I1942" t="s">
        <v>6466</v>
      </c>
      <c r="J1942" t="s">
        <v>7170</v>
      </c>
      <c r="K1942">
        <v>10463</v>
      </c>
      <c r="L1942" t="s">
        <v>7217</v>
      </c>
      <c r="N1942" t="s">
        <v>7243</v>
      </c>
      <c r="O1942" t="s">
        <v>8471</v>
      </c>
      <c r="P1942">
        <v>2</v>
      </c>
      <c r="Q1942">
        <v>2</v>
      </c>
      <c r="R1942">
        <v>49.85</v>
      </c>
      <c r="U1942">
        <v>12264</v>
      </c>
      <c r="V1942" t="s">
        <v>10478</v>
      </c>
      <c r="W1942">
        <v>10.2</v>
      </c>
      <c r="X1942" t="s">
        <v>426</v>
      </c>
      <c r="Y1942" t="s">
        <v>10864</v>
      </c>
      <c r="AA1942" t="s">
        <v>10974</v>
      </c>
      <c r="AB1942" t="s">
        <v>939</v>
      </c>
      <c r="AD1942" t="s">
        <v>11088</v>
      </c>
      <c r="AF1942" t="s">
        <v>10384</v>
      </c>
      <c r="AG1942" t="s">
        <v>11124</v>
      </c>
      <c r="AI1942" t="s">
        <v>11126</v>
      </c>
      <c r="AK1942" t="s">
        <v>7225</v>
      </c>
      <c r="AL1942" t="s">
        <v>11150</v>
      </c>
      <c r="AM1942">
        <v>0</v>
      </c>
      <c r="AN1942" t="s">
        <v>11151</v>
      </c>
      <c r="AO1942" t="s">
        <v>11153</v>
      </c>
      <c r="AP1942" t="s">
        <v>11155</v>
      </c>
      <c r="AR1942" t="s">
        <v>11172</v>
      </c>
      <c r="AT1942" t="s">
        <v>11184</v>
      </c>
      <c r="AU1942">
        <v>0</v>
      </c>
      <c r="AW1942" t="s">
        <v>11189</v>
      </c>
      <c r="BA1942" t="s">
        <v>11222</v>
      </c>
      <c r="BE1942" t="s">
        <v>12753</v>
      </c>
      <c r="BF1942" t="s">
        <v>14364</v>
      </c>
      <c r="BG1942" t="s">
        <v>11228</v>
      </c>
      <c r="BM1942" t="s">
        <v>15651</v>
      </c>
    </row>
    <row r="1943" spans="1:65">
      <c r="A1943" s="1">
        <f>HYPERLINK("https://lsnyc.legalserver.org/matter/dynamic-profile/view/1907851","19-1907851")</f>
        <v>0</v>
      </c>
      <c r="B1943" t="s">
        <v>140</v>
      </c>
      <c r="C1943" t="s">
        <v>247</v>
      </c>
      <c r="D1943" t="s">
        <v>637</v>
      </c>
      <c r="F1943" t="s">
        <v>1948</v>
      </c>
      <c r="G1943" t="s">
        <v>3231</v>
      </c>
      <c r="H1943" t="s">
        <v>5419</v>
      </c>
      <c r="I1943" t="s">
        <v>6751</v>
      </c>
      <c r="J1943" t="s">
        <v>7190</v>
      </c>
      <c r="K1943">
        <v>11377</v>
      </c>
      <c r="N1943" t="s">
        <v>7237</v>
      </c>
      <c r="O1943" t="s">
        <v>8472</v>
      </c>
      <c r="P1943">
        <v>2</v>
      </c>
      <c r="Q1943">
        <v>1</v>
      </c>
      <c r="R1943">
        <v>257.85</v>
      </c>
      <c r="U1943">
        <v>55000</v>
      </c>
      <c r="W1943">
        <v>0.4</v>
      </c>
      <c r="X1943" t="s">
        <v>637</v>
      </c>
      <c r="Y1943" t="s">
        <v>10870</v>
      </c>
      <c r="AA1943" t="s">
        <v>10974</v>
      </c>
      <c r="AB1943" t="s">
        <v>637</v>
      </c>
      <c r="AD1943" t="s">
        <v>11098</v>
      </c>
      <c r="AF1943" t="s">
        <v>11122</v>
      </c>
      <c r="AH1943" t="s">
        <v>10974</v>
      </c>
      <c r="AJ1943" t="s">
        <v>11141</v>
      </c>
      <c r="AK1943" t="s">
        <v>7225</v>
      </c>
      <c r="AM1943">
        <v>1291</v>
      </c>
      <c r="AO1943">
        <v>67</v>
      </c>
      <c r="AQ1943" t="s">
        <v>11157</v>
      </c>
      <c r="AS1943" t="s">
        <v>11173</v>
      </c>
      <c r="AU1943">
        <v>12</v>
      </c>
      <c r="AW1943" t="s">
        <v>11187</v>
      </c>
      <c r="AY1943" t="s">
        <v>11213</v>
      </c>
      <c r="BA1943" t="s">
        <v>11222</v>
      </c>
      <c r="BB1943" t="s">
        <v>11224</v>
      </c>
      <c r="BC1943" t="s">
        <v>11236</v>
      </c>
      <c r="BE1943" t="s">
        <v>12754</v>
      </c>
      <c r="BG1943" t="s">
        <v>14830</v>
      </c>
      <c r="BK1943" t="s">
        <v>11104</v>
      </c>
      <c r="BM1943" t="s">
        <v>15650</v>
      </c>
    </row>
    <row r="1944" spans="1:65">
      <c r="A1944" s="1">
        <f>HYPERLINK("https://lsnyc.legalserver.org/matter/dynamic-profile/view/1908218","19-1908218")</f>
        <v>0</v>
      </c>
      <c r="B1944" t="s">
        <v>140</v>
      </c>
      <c r="C1944" t="s">
        <v>247</v>
      </c>
      <c r="D1944" t="s">
        <v>660</v>
      </c>
      <c r="F1944" t="s">
        <v>1725</v>
      </c>
      <c r="G1944" t="s">
        <v>3736</v>
      </c>
      <c r="H1944" t="s">
        <v>5419</v>
      </c>
      <c r="I1944" t="s">
        <v>6421</v>
      </c>
      <c r="J1944" t="s">
        <v>7190</v>
      </c>
      <c r="K1944">
        <v>11377</v>
      </c>
      <c r="N1944" t="s">
        <v>7237</v>
      </c>
      <c r="O1944" t="s">
        <v>8473</v>
      </c>
      <c r="P1944">
        <v>4</v>
      </c>
      <c r="Q1944">
        <v>0</v>
      </c>
      <c r="R1944">
        <v>411.65</v>
      </c>
      <c r="U1944">
        <v>106000</v>
      </c>
      <c r="W1944">
        <v>0.45</v>
      </c>
      <c r="X1944" t="s">
        <v>375</v>
      </c>
      <c r="Y1944" t="s">
        <v>10870</v>
      </c>
      <c r="AA1944" t="s">
        <v>10974</v>
      </c>
      <c r="AB1944" t="s">
        <v>660</v>
      </c>
      <c r="AD1944" t="s">
        <v>11098</v>
      </c>
      <c r="AF1944" t="s">
        <v>11122</v>
      </c>
      <c r="AH1944" t="s">
        <v>10974</v>
      </c>
      <c r="AJ1944" t="s">
        <v>11141</v>
      </c>
      <c r="AK1944" t="s">
        <v>7225</v>
      </c>
      <c r="AM1944">
        <v>1277.9</v>
      </c>
      <c r="AO1944">
        <v>67</v>
      </c>
      <c r="AQ1944" t="s">
        <v>11157</v>
      </c>
      <c r="AS1944" t="s">
        <v>11173</v>
      </c>
      <c r="AT1944" t="s">
        <v>11184</v>
      </c>
      <c r="AU1944">
        <v>0</v>
      </c>
      <c r="AW1944" t="s">
        <v>11187</v>
      </c>
      <c r="AY1944" t="s">
        <v>11213</v>
      </c>
      <c r="BA1944" t="s">
        <v>11222</v>
      </c>
      <c r="BE1944" t="s">
        <v>12755</v>
      </c>
      <c r="BG1944" t="s">
        <v>14830</v>
      </c>
      <c r="BK1944" t="s">
        <v>11104</v>
      </c>
      <c r="BM1944" t="s">
        <v>15650</v>
      </c>
    </row>
    <row r="1945" spans="1:65">
      <c r="A1945" s="1">
        <f>HYPERLINK("https://lsnyc.legalserver.org/matter/dynamic-profile/view/1909552","19-1909552")</f>
        <v>0</v>
      </c>
      <c r="B1945" t="s">
        <v>140</v>
      </c>
      <c r="C1945" t="s">
        <v>247</v>
      </c>
      <c r="D1945" t="s">
        <v>269</v>
      </c>
      <c r="F1945" t="s">
        <v>1949</v>
      </c>
      <c r="G1945" t="s">
        <v>3737</v>
      </c>
      <c r="H1945" t="s">
        <v>5420</v>
      </c>
      <c r="I1945" t="s">
        <v>6805</v>
      </c>
      <c r="J1945" t="s">
        <v>7191</v>
      </c>
      <c r="K1945">
        <v>11420</v>
      </c>
      <c r="N1945" t="s">
        <v>7237</v>
      </c>
      <c r="O1945" t="s">
        <v>8474</v>
      </c>
      <c r="P1945">
        <v>2</v>
      </c>
      <c r="Q1945">
        <v>0</v>
      </c>
      <c r="R1945">
        <v>153.76</v>
      </c>
      <c r="U1945">
        <v>26000</v>
      </c>
      <c r="W1945">
        <v>1.5</v>
      </c>
      <c r="X1945" t="s">
        <v>269</v>
      </c>
      <c r="Y1945" t="s">
        <v>140</v>
      </c>
      <c r="Z1945" t="s">
        <v>10972</v>
      </c>
      <c r="AA1945" t="s">
        <v>10976</v>
      </c>
      <c r="AD1945" t="s">
        <v>11101</v>
      </c>
      <c r="AF1945" t="s">
        <v>11119</v>
      </c>
      <c r="AH1945" t="s">
        <v>10975</v>
      </c>
      <c r="AI1945" t="s">
        <v>11126</v>
      </c>
      <c r="AK1945" t="s">
        <v>7225</v>
      </c>
      <c r="AM1945">
        <v>1080</v>
      </c>
      <c r="AO1945">
        <v>3</v>
      </c>
      <c r="AP1945" t="s">
        <v>11155</v>
      </c>
      <c r="AR1945" t="s">
        <v>11172</v>
      </c>
      <c r="AT1945" t="s">
        <v>11184</v>
      </c>
      <c r="AU1945">
        <v>0</v>
      </c>
      <c r="AW1945" t="s">
        <v>11187</v>
      </c>
      <c r="AX1945" t="s">
        <v>11212</v>
      </c>
      <c r="AZ1945" t="s">
        <v>11221</v>
      </c>
      <c r="BE1945" t="s">
        <v>12756</v>
      </c>
      <c r="BG1945" t="s">
        <v>14831</v>
      </c>
      <c r="BM1945" t="s">
        <v>15650</v>
      </c>
    </row>
    <row r="1946" spans="1:65">
      <c r="A1946" s="1">
        <f>HYPERLINK("https://lsnyc.legalserver.org/matter/dynamic-profile/view/1898503","19-1898503")</f>
        <v>0</v>
      </c>
      <c r="B1946" t="s">
        <v>140</v>
      </c>
      <c r="C1946" t="s">
        <v>247</v>
      </c>
      <c r="D1946" t="s">
        <v>800</v>
      </c>
      <c r="F1946" t="s">
        <v>1177</v>
      </c>
      <c r="G1946" t="s">
        <v>3738</v>
      </c>
      <c r="H1946" t="s">
        <v>5421</v>
      </c>
      <c r="I1946" t="s">
        <v>6430</v>
      </c>
      <c r="J1946" t="s">
        <v>7182</v>
      </c>
      <c r="K1946">
        <v>11101</v>
      </c>
      <c r="N1946" t="s">
        <v>7237</v>
      </c>
      <c r="O1946" t="s">
        <v>8475</v>
      </c>
      <c r="P1946">
        <v>2</v>
      </c>
      <c r="Q1946">
        <v>0</v>
      </c>
      <c r="R1946">
        <v>378.47</v>
      </c>
      <c r="S1946" t="s">
        <v>582</v>
      </c>
      <c r="T1946" t="s">
        <v>10276</v>
      </c>
      <c r="U1946">
        <v>64000</v>
      </c>
      <c r="W1946">
        <v>18.95</v>
      </c>
      <c r="X1946" t="s">
        <v>634</v>
      </c>
      <c r="Y1946" t="s">
        <v>76</v>
      </c>
      <c r="AA1946" t="s">
        <v>10974</v>
      </c>
      <c r="AB1946" t="s">
        <v>800</v>
      </c>
      <c r="AD1946" t="s">
        <v>11082</v>
      </c>
      <c r="AF1946" t="s">
        <v>11118</v>
      </c>
      <c r="AH1946" t="s">
        <v>10975</v>
      </c>
      <c r="AJ1946" t="s">
        <v>11139</v>
      </c>
      <c r="AK1946" t="s">
        <v>7225</v>
      </c>
      <c r="AM1946">
        <v>2400</v>
      </c>
      <c r="AO1946">
        <v>6</v>
      </c>
      <c r="AQ1946" t="s">
        <v>11164</v>
      </c>
      <c r="AS1946" t="s">
        <v>11173</v>
      </c>
      <c r="AU1946">
        <v>3</v>
      </c>
      <c r="AW1946" t="s">
        <v>11187</v>
      </c>
      <c r="AY1946" t="s">
        <v>11213</v>
      </c>
      <c r="AZ1946" t="s">
        <v>11221</v>
      </c>
      <c r="BE1946" t="s">
        <v>12757</v>
      </c>
      <c r="BG1946" t="s">
        <v>14832</v>
      </c>
      <c r="BM1946" t="s">
        <v>15650</v>
      </c>
    </row>
    <row r="1947" spans="1:65">
      <c r="A1947" s="1">
        <f>HYPERLINK("https://lsnyc.legalserver.org/matter/dynamic-profile/view/1915193","19-1915193")</f>
        <v>0</v>
      </c>
      <c r="B1947" t="s">
        <v>140</v>
      </c>
      <c r="C1947" t="s">
        <v>247</v>
      </c>
      <c r="D1947" t="s">
        <v>449</v>
      </c>
      <c r="F1947" t="s">
        <v>1950</v>
      </c>
      <c r="G1947" t="s">
        <v>3548</v>
      </c>
      <c r="H1947" t="s">
        <v>5422</v>
      </c>
      <c r="J1947" t="s">
        <v>7177</v>
      </c>
      <c r="K1947">
        <v>11436</v>
      </c>
      <c r="N1947" t="s">
        <v>7237</v>
      </c>
      <c r="O1947" t="s">
        <v>8476</v>
      </c>
      <c r="P1947">
        <v>2</v>
      </c>
      <c r="Q1947">
        <v>1</v>
      </c>
      <c r="R1947">
        <v>0</v>
      </c>
      <c r="U1947">
        <v>0</v>
      </c>
      <c r="W1947">
        <v>1.6</v>
      </c>
      <c r="X1947" t="s">
        <v>426</v>
      </c>
      <c r="Y1947" t="s">
        <v>202</v>
      </c>
      <c r="AA1947" t="s">
        <v>10974</v>
      </c>
      <c r="AD1947" t="s">
        <v>11083</v>
      </c>
      <c r="AE1947" t="s">
        <v>11117</v>
      </c>
      <c r="AH1947" t="s">
        <v>10975</v>
      </c>
      <c r="AJ1947" t="s">
        <v>11138</v>
      </c>
      <c r="AK1947" t="s">
        <v>7225</v>
      </c>
      <c r="AM1947">
        <v>2000</v>
      </c>
      <c r="AO1947">
        <v>1</v>
      </c>
      <c r="AQ1947" t="s">
        <v>11156</v>
      </c>
      <c r="AR1947" t="s">
        <v>11172</v>
      </c>
      <c r="AU1947">
        <v>1</v>
      </c>
      <c r="AV1947" t="s">
        <v>11186</v>
      </c>
      <c r="AX1947" t="s">
        <v>11212</v>
      </c>
      <c r="AZ1947" t="s">
        <v>11221</v>
      </c>
      <c r="BE1947" t="s">
        <v>12758</v>
      </c>
      <c r="BG1947" t="s">
        <v>14833</v>
      </c>
      <c r="BM1947" t="s">
        <v>15650</v>
      </c>
    </row>
    <row r="1948" spans="1:65">
      <c r="A1948" s="1">
        <f>HYPERLINK("https://lsnyc.legalserver.org/matter/dynamic-profile/view/1908666","19-1908666")</f>
        <v>0</v>
      </c>
      <c r="B1948" t="s">
        <v>140</v>
      </c>
      <c r="C1948" t="s">
        <v>247</v>
      </c>
      <c r="D1948" t="s">
        <v>421</v>
      </c>
      <c r="F1948" t="s">
        <v>1951</v>
      </c>
      <c r="G1948" t="s">
        <v>3739</v>
      </c>
      <c r="H1948" t="s">
        <v>5419</v>
      </c>
      <c r="I1948" t="s">
        <v>6422</v>
      </c>
      <c r="J1948" t="s">
        <v>7190</v>
      </c>
      <c r="K1948">
        <v>11377</v>
      </c>
      <c r="N1948" t="s">
        <v>7237</v>
      </c>
      <c r="O1948" t="s">
        <v>8477</v>
      </c>
      <c r="P1948">
        <v>3</v>
      </c>
      <c r="Q1948">
        <v>1</v>
      </c>
      <c r="R1948">
        <v>100.97</v>
      </c>
      <c r="U1948">
        <v>26000</v>
      </c>
      <c r="W1948">
        <v>0.3</v>
      </c>
      <c r="X1948" t="s">
        <v>421</v>
      </c>
      <c r="Y1948" t="s">
        <v>10870</v>
      </c>
      <c r="AA1948" t="s">
        <v>10974</v>
      </c>
      <c r="AB1948" t="s">
        <v>421</v>
      </c>
      <c r="AD1948" t="s">
        <v>11098</v>
      </c>
      <c r="AF1948" t="s">
        <v>11122</v>
      </c>
      <c r="AH1948" t="s">
        <v>10974</v>
      </c>
      <c r="AJ1948" t="s">
        <v>11141</v>
      </c>
      <c r="AK1948" t="s">
        <v>7225</v>
      </c>
      <c r="AM1948">
        <v>1541.52</v>
      </c>
      <c r="AO1948">
        <v>67</v>
      </c>
      <c r="AQ1948" t="s">
        <v>11157</v>
      </c>
      <c r="AS1948" t="s">
        <v>11173</v>
      </c>
      <c r="AU1948">
        <v>14</v>
      </c>
      <c r="AW1948" t="s">
        <v>11189</v>
      </c>
      <c r="AY1948" t="s">
        <v>11213</v>
      </c>
      <c r="BA1948" t="s">
        <v>11222</v>
      </c>
      <c r="BB1948" t="s">
        <v>11224</v>
      </c>
      <c r="BC1948" t="s">
        <v>11236</v>
      </c>
      <c r="BE1948" t="s">
        <v>11236</v>
      </c>
      <c r="BG1948" t="s">
        <v>14830</v>
      </c>
      <c r="BK1948" t="s">
        <v>11104</v>
      </c>
      <c r="BM1948" t="s">
        <v>15650</v>
      </c>
    </row>
    <row r="1949" spans="1:65">
      <c r="A1949" s="1">
        <f>HYPERLINK("https://lsnyc.legalserver.org/matter/dynamic-profile/view/1900065","19-1900065")</f>
        <v>0</v>
      </c>
      <c r="B1949" t="s">
        <v>140</v>
      </c>
      <c r="C1949" t="s">
        <v>247</v>
      </c>
      <c r="D1949" t="s">
        <v>314</v>
      </c>
      <c r="F1949" t="s">
        <v>1473</v>
      </c>
      <c r="G1949" t="s">
        <v>2885</v>
      </c>
      <c r="H1949" t="s">
        <v>5423</v>
      </c>
      <c r="I1949" t="s">
        <v>6806</v>
      </c>
      <c r="J1949" t="s">
        <v>7184</v>
      </c>
      <c r="K1949">
        <v>11372</v>
      </c>
      <c r="N1949" t="s">
        <v>7237</v>
      </c>
      <c r="O1949" t="s">
        <v>8478</v>
      </c>
      <c r="P1949">
        <v>1</v>
      </c>
      <c r="Q1949">
        <v>0</v>
      </c>
      <c r="R1949">
        <v>0</v>
      </c>
      <c r="U1949">
        <v>0</v>
      </c>
      <c r="W1949">
        <v>23.98</v>
      </c>
      <c r="X1949" t="s">
        <v>561</v>
      </c>
      <c r="Y1949" t="s">
        <v>140</v>
      </c>
      <c r="AA1949" t="s">
        <v>10974</v>
      </c>
      <c r="AB1949" t="s">
        <v>314</v>
      </c>
      <c r="AD1949" t="s">
        <v>11082</v>
      </c>
      <c r="AF1949" t="s">
        <v>11118</v>
      </c>
      <c r="AH1949" t="s">
        <v>10975</v>
      </c>
      <c r="AJ1949" t="s">
        <v>11129</v>
      </c>
      <c r="AK1949" t="s">
        <v>7225</v>
      </c>
      <c r="AM1949">
        <v>750</v>
      </c>
      <c r="AO1949">
        <v>43</v>
      </c>
      <c r="AQ1949" t="s">
        <v>11157</v>
      </c>
      <c r="AS1949" t="s">
        <v>11180</v>
      </c>
      <c r="AU1949">
        <v>46</v>
      </c>
      <c r="AW1949" t="s">
        <v>11187</v>
      </c>
      <c r="AY1949" t="s">
        <v>11218</v>
      </c>
      <c r="BA1949" t="s">
        <v>11222</v>
      </c>
      <c r="BB1949" t="s">
        <v>11224</v>
      </c>
      <c r="BC1949" t="s">
        <v>11236</v>
      </c>
      <c r="BE1949" t="s">
        <v>12759</v>
      </c>
      <c r="BG1949" t="s">
        <v>14834</v>
      </c>
      <c r="BM1949" t="s">
        <v>15650</v>
      </c>
    </row>
    <row r="1950" spans="1:65">
      <c r="A1950" s="1">
        <f>HYPERLINK("https://lsnyc.legalserver.org/matter/dynamic-profile/view/1911690","19-1911690")</f>
        <v>0</v>
      </c>
      <c r="B1950" t="s">
        <v>140</v>
      </c>
      <c r="C1950" t="s">
        <v>247</v>
      </c>
      <c r="D1950" t="s">
        <v>563</v>
      </c>
      <c r="F1950" t="s">
        <v>1952</v>
      </c>
      <c r="G1950" t="s">
        <v>3286</v>
      </c>
      <c r="H1950" t="s">
        <v>5424</v>
      </c>
      <c r="I1950" t="s">
        <v>6807</v>
      </c>
      <c r="J1950" t="s">
        <v>7192</v>
      </c>
      <c r="K1950">
        <v>11379</v>
      </c>
      <c r="N1950" t="s">
        <v>7237</v>
      </c>
      <c r="O1950" t="s">
        <v>8479</v>
      </c>
      <c r="P1950">
        <v>2</v>
      </c>
      <c r="Q1950">
        <v>2</v>
      </c>
      <c r="R1950">
        <v>0</v>
      </c>
      <c r="U1950">
        <v>0</v>
      </c>
      <c r="W1950">
        <v>0.67</v>
      </c>
      <c r="X1950" t="s">
        <v>449</v>
      </c>
      <c r="Y1950" t="s">
        <v>10870</v>
      </c>
      <c r="AA1950" t="s">
        <v>10974</v>
      </c>
      <c r="AD1950" t="s">
        <v>11083</v>
      </c>
      <c r="AF1950" t="s">
        <v>11119</v>
      </c>
      <c r="AH1950" t="s">
        <v>10975</v>
      </c>
      <c r="AJ1950" t="s">
        <v>11138</v>
      </c>
      <c r="AK1950" t="s">
        <v>7225</v>
      </c>
      <c r="AM1950">
        <v>2250</v>
      </c>
      <c r="AO1950">
        <v>3</v>
      </c>
      <c r="AQ1950" t="s">
        <v>11164</v>
      </c>
      <c r="AS1950" t="s">
        <v>11173</v>
      </c>
      <c r="AU1950">
        <v>1</v>
      </c>
      <c r="AW1950" t="s">
        <v>11187</v>
      </c>
      <c r="AX1950" t="s">
        <v>11212</v>
      </c>
      <c r="BA1950" t="s">
        <v>11222</v>
      </c>
      <c r="BE1950" t="s">
        <v>12760</v>
      </c>
      <c r="BG1950" t="s">
        <v>14835</v>
      </c>
      <c r="BM1950" t="s">
        <v>15650</v>
      </c>
    </row>
    <row r="1951" spans="1:65">
      <c r="A1951" s="1">
        <f>HYPERLINK("https://lsnyc.legalserver.org/matter/dynamic-profile/view/1911885","19-1911885")</f>
        <v>0</v>
      </c>
      <c r="B1951" t="s">
        <v>140</v>
      </c>
      <c r="C1951" t="s">
        <v>247</v>
      </c>
      <c r="D1951" t="s">
        <v>345</v>
      </c>
      <c r="F1951" t="s">
        <v>1184</v>
      </c>
      <c r="G1951" t="s">
        <v>3740</v>
      </c>
      <c r="H1951" t="s">
        <v>5425</v>
      </c>
      <c r="I1951" t="s">
        <v>6808</v>
      </c>
      <c r="J1951" t="s">
        <v>7193</v>
      </c>
      <c r="K1951">
        <v>11694</v>
      </c>
      <c r="N1951" t="s">
        <v>7237</v>
      </c>
      <c r="O1951" t="s">
        <v>8480</v>
      </c>
      <c r="P1951">
        <v>1</v>
      </c>
      <c r="Q1951">
        <v>0</v>
      </c>
      <c r="R1951">
        <v>196.77</v>
      </c>
      <c r="U1951">
        <v>24576</v>
      </c>
      <c r="W1951">
        <v>7.88</v>
      </c>
      <c r="X1951" t="s">
        <v>426</v>
      </c>
      <c r="Y1951" t="s">
        <v>10875</v>
      </c>
      <c r="AA1951" t="s">
        <v>10974</v>
      </c>
      <c r="AB1951" t="s">
        <v>11035</v>
      </c>
      <c r="AD1951" t="s">
        <v>11082</v>
      </c>
      <c r="AF1951" t="s">
        <v>11118</v>
      </c>
      <c r="AH1951" t="s">
        <v>10975</v>
      </c>
      <c r="AJ1951" t="s">
        <v>11138</v>
      </c>
      <c r="AK1951" t="s">
        <v>7225</v>
      </c>
      <c r="AM1951">
        <v>1025</v>
      </c>
      <c r="AN1951" t="s">
        <v>11151</v>
      </c>
      <c r="AO1951" t="s">
        <v>11153</v>
      </c>
      <c r="AQ1951" t="s">
        <v>11164</v>
      </c>
      <c r="AS1951" t="s">
        <v>11173</v>
      </c>
      <c r="AU1951">
        <v>16</v>
      </c>
      <c r="AW1951" t="s">
        <v>11187</v>
      </c>
      <c r="AY1951" t="s">
        <v>11213</v>
      </c>
      <c r="BA1951" t="s">
        <v>11222</v>
      </c>
      <c r="BE1951" t="s">
        <v>12761</v>
      </c>
      <c r="BG1951" t="s">
        <v>14836</v>
      </c>
      <c r="BM1951" t="s">
        <v>15650</v>
      </c>
    </row>
    <row r="1952" spans="1:65">
      <c r="A1952" s="1">
        <f>HYPERLINK("https://lsnyc.legalserver.org/matter/dynamic-profile/view/1901785","19-1901785")</f>
        <v>0</v>
      </c>
      <c r="B1952" t="s">
        <v>140</v>
      </c>
      <c r="C1952" t="s">
        <v>247</v>
      </c>
      <c r="D1952" t="s">
        <v>280</v>
      </c>
      <c r="F1952" t="s">
        <v>1953</v>
      </c>
      <c r="G1952" t="s">
        <v>3741</v>
      </c>
      <c r="H1952" t="s">
        <v>5426</v>
      </c>
      <c r="I1952" t="s">
        <v>6436</v>
      </c>
      <c r="J1952" t="s">
        <v>7173</v>
      </c>
      <c r="K1952">
        <v>11354</v>
      </c>
      <c r="N1952" t="s">
        <v>7237</v>
      </c>
      <c r="O1952" t="s">
        <v>8481</v>
      </c>
      <c r="P1952">
        <v>1</v>
      </c>
      <c r="Q1952">
        <v>0</v>
      </c>
      <c r="R1952">
        <v>78.78</v>
      </c>
      <c r="U1952">
        <v>9840</v>
      </c>
      <c r="W1952">
        <v>2.9</v>
      </c>
      <c r="X1952" t="s">
        <v>10829</v>
      </c>
      <c r="Y1952" t="s">
        <v>10870</v>
      </c>
      <c r="AA1952" t="s">
        <v>10974</v>
      </c>
      <c r="AB1952" t="s">
        <v>280</v>
      </c>
      <c r="AD1952" t="s">
        <v>11082</v>
      </c>
      <c r="AF1952" t="s">
        <v>11118</v>
      </c>
      <c r="AH1952" t="s">
        <v>10975</v>
      </c>
      <c r="AJ1952" t="s">
        <v>11138</v>
      </c>
      <c r="AK1952" t="s">
        <v>7225</v>
      </c>
      <c r="AM1952">
        <v>939.65</v>
      </c>
      <c r="AO1952">
        <v>91</v>
      </c>
      <c r="AQ1952" t="s">
        <v>11168</v>
      </c>
      <c r="AS1952" t="s">
        <v>11173</v>
      </c>
      <c r="AU1952">
        <v>30</v>
      </c>
      <c r="AW1952" t="s">
        <v>11187</v>
      </c>
      <c r="AY1952" t="s">
        <v>11214</v>
      </c>
      <c r="BA1952" t="s">
        <v>11222</v>
      </c>
      <c r="BE1952" t="s">
        <v>12762</v>
      </c>
      <c r="BF1952" t="s">
        <v>14364</v>
      </c>
      <c r="BG1952" t="s">
        <v>14837</v>
      </c>
      <c r="BM1952" t="s">
        <v>15650</v>
      </c>
    </row>
    <row r="1953" spans="1:65">
      <c r="A1953" s="1">
        <f>HYPERLINK("https://lsnyc.legalserver.org/matter/dynamic-profile/view/1901139","19-1901139")</f>
        <v>0</v>
      </c>
      <c r="B1953" t="s">
        <v>140</v>
      </c>
      <c r="C1953" t="s">
        <v>247</v>
      </c>
      <c r="D1953" t="s">
        <v>343</v>
      </c>
      <c r="F1953" t="s">
        <v>1954</v>
      </c>
      <c r="G1953" t="s">
        <v>2221</v>
      </c>
      <c r="H1953" t="s">
        <v>5427</v>
      </c>
      <c r="I1953" t="s">
        <v>6609</v>
      </c>
      <c r="J1953" t="s">
        <v>7173</v>
      </c>
      <c r="K1953">
        <v>11354</v>
      </c>
      <c r="N1953" t="s">
        <v>7237</v>
      </c>
      <c r="O1953" t="s">
        <v>8482</v>
      </c>
      <c r="P1953">
        <v>3</v>
      </c>
      <c r="Q1953">
        <v>0</v>
      </c>
      <c r="R1953">
        <v>131.27</v>
      </c>
      <c r="U1953">
        <v>28000</v>
      </c>
      <c r="W1953">
        <v>12.35</v>
      </c>
      <c r="X1953" t="s">
        <v>426</v>
      </c>
      <c r="Y1953" t="s">
        <v>169</v>
      </c>
      <c r="AA1953" t="s">
        <v>10974</v>
      </c>
      <c r="AB1953" t="s">
        <v>426</v>
      </c>
      <c r="AD1953" t="s">
        <v>11082</v>
      </c>
      <c r="AF1953" t="s">
        <v>11118</v>
      </c>
      <c r="AH1953" t="s">
        <v>10974</v>
      </c>
      <c r="AJ1953" t="s">
        <v>11141</v>
      </c>
      <c r="AK1953" t="s">
        <v>7225</v>
      </c>
      <c r="AM1953">
        <v>1664.64</v>
      </c>
      <c r="AO1953">
        <v>72</v>
      </c>
      <c r="AQ1953" t="s">
        <v>11157</v>
      </c>
      <c r="AS1953" t="s">
        <v>11173</v>
      </c>
      <c r="AU1953">
        <v>11</v>
      </c>
      <c r="AW1953" t="s">
        <v>11203</v>
      </c>
      <c r="AY1953" t="s">
        <v>11213</v>
      </c>
      <c r="BA1953" t="s">
        <v>11222</v>
      </c>
      <c r="BB1953" t="s">
        <v>11224</v>
      </c>
      <c r="BC1953" t="s">
        <v>11396</v>
      </c>
      <c r="BE1953" t="s">
        <v>12763</v>
      </c>
      <c r="BG1953" t="s">
        <v>14838</v>
      </c>
      <c r="BM1953" t="s">
        <v>15650</v>
      </c>
    </row>
    <row r="1954" spans="1:65">
      <c r="A1954" s="1">
        <f>HYPERLINK("https://lsnyc.legalserver.org/matter/dynamic-profile/view/1907707","19-1907707")</f>
        <v>0</v>
      </c>
      <c r="B1954" t="s">
        <v>140</v>
      </c>
      <c r="C1954" t="s">
        <v>247</v>
      </c>
      <c r="D1954" t="s">
        <v>544</v>
      </c>
      <c r="F1954" t="s">
        <v>1122</v>
      </c>
      <c r="G1954" t="s">
        <v>1412</v>
      </c>
      <c r="H1954" t="s">
        <v>5428</v>
      </c>
      <c r="I1954" t="s">
        <v>6424</v>
      </c>
      <c r="J1954" t="s">
        <v>7190</v>
      </c>
      <c r="K1954">
        <v>11377</v>
      </c>
      <c r="N1954" t="s">
        <v>7237</v>
      </c>
      <c r="O1954" t="s">
        <v>8483</v>
      </c>
      <c r="P1954">
        <v>2</v>
      </c>
      <c r="Q1954">
        <v>0</v>
      </c>
      <c r="R1954">
        <v>83.52</v>
      </c>
      <c r="U1954">
        <v>14124</v>
      </c>
      <c r="W1954">
        <v>0.11</v>
      </c>
      <c r="X1954" t="s">
        <v>266</v>
      </c>
      <c r="Y1954" t="s">
        <v>10870</v>
      </c>
      <c r="AA1954" t="s">
        <v>10974</v>
      </c>
      <c r="AB1954" t="s">
        <v>544</v>
      </c>
      <c r="AD1954" t="s">
        <v>11098</v>
      </c>
      <c r="AF1954" t="s">
        <v>11122</v>
      </c>
      <c r="AH1954" t="s">
        <v>10974</v>
      </c>
      <c r="AJ1954" t="s">
        <v>11141</v>
      </c>
      <c r="AK1954" t="s">
        <v>7225</v>
      </c>
      <c r="AM1954">
        <v>1102</v>
      </c>
      <c r="AO1954">
        <v>234</v>
      </c>
      <c r="AQ1954" t="s">
        <v>11164</v>
      </c>
      <c r="AS1954" t="s">
        <v>11174</v>
      </c>
      <c r="AU1954">
        <v>40</v>
      </c>
      <c r="AW1954" t="s">
        <v>11189</v>
      </c>
      <c r="AY1954" t="s">
        <v>11213</v>
      </c>
      <c r="BA1954" t="s">
        <v>11222</v>
      </c>
      <c r="BE1954" t="s">
        <v>12764</v>
      </c>
      <c r="BF1954" t="s">
        <v>14364</v>
      </c>
      <c r="BK1954" t="s">
        <v>11104</v>
      </c>
      <c r="BM1954" t="s">
        <v>15650</v>
      </c>
    </row>
    <row r="1955" spans="1:65">
      <c r="A1955" s="1">
        <f>HYPERLINK("https://lsnyc.legalserver.org/matter/dynamic-profile/view/1903978","19-1903978")</f>
        <v>0</v>
      </c>
      <c r="B1955" t="s">
        <v>140</v>
      </c>
      <c r="C1955" t="s">
        <v>247</v>
      </c>
      <c r="D1955" t="s">
        <v>406</v>
      </c>
      <c r="F1955" t="s">
        <v>1955</v>
      </c>
      <c r="G1955" t="s">
        <v>3162</v>
      </c>
      <c r="H1955" t="s">
        <v>5429</v>
      </c>
      <c r="I1955" t="s">
        <v>6809</v>
      </c>
      <c r="J1955" t="s">
        <v>7194</v>
      </c>
      <c r="K1955">
        <v>11692</v>
      </c>
      <c r="N1955" t="s">
        <v>7237</v>
      </c>
      <c r="O1955" t="s">
        <v>8484</v>
      </c>
      <c r="P1955">
        <v>1</v>
      </c>
      <c r="Q1955">
        <v>3</v>
      </c>
      <c r="R1955">
        <v>35.14</v>
      </c>
      <c r="U1955">
        <v>9048</v>
      </c>
      <c r="W1955">
        <v>1.3</v>
      </c>
      <c r="X1955" t="s">
        <v>10829</v>
      </c>
      <c r="Y1955" t="s">
        <v>140</v>
      </c>
      <c r="AA1955" t="s">
        <v>10974</v>
      </c>
      <c r="AD1955" t="s">
        <v>11101</v>
      </c>
      <c r="AF1955" t="s">
        <v>10384</v>
      </c>
      <c r="AH1955" t="s">
        <v>10975</v>
      </c>
      <c r="AJ1955" t="s">
        <v>11138</v>
      </c>
      <c r="AK1955" t="s">
        <v>7225</v>
      </c>
      <c r="AM1955">
        <v>2206</v>
      </c>
      <c r="AO1955">
        <v>3</v>
      </c>
      <c r="AQ1955" t="s">
        <v>11156</v>
      </c>
      <c r="AR1955" t="s">
        <v>11172</v>
      </c>
      <c r="AU1955">
        <v>5</v>
      </c>
      <c r="AW1955" t="s">
        <v>11187</v>
      </c>
      <c r="AY1955" t="s">
        <v>11213</v>
      </c>
      <c r="BA1955" t="s">
        <v>11222</v>
      </c>
      <c r="BE1955" t="s">
        <v>12765</v>
      </c>
      <c r="BG1955" t="s">
        <v>14839</v>
      </c>
      <c r="BM1955" t="s">
        <v>15650</v>
      </c>
    </row>
    <row r="1956" spans="1:65">
      <c r="A1956" s="1">
        <f>HYPERLINK("https://lsnyc.legalserver.org/matter/dynamic-profile/view/1907712","19-1907712")</f>
        <v>0</v>
      </c>
      <c r="B1956" t="s">
        <v>140</v>
      </c>
      <c r="C1956" t="s">
        <v>247</v>
      </c>
      <c r="D1956" t="s">
        <v>544</v>
      </c>
      <c r="F1956" t="s">
        <v>1280</v>
      </c>
      <c r="G1956" t="s">
        <v>3742</v>
      </c>
      <c r="H1956" t="s">
        <v>5430</v>
      </c>
      <c r="I1956" t="s">
        <v>6451</v>
      </c>
      <c r="J1956" t="s">
        <v>7190</v>
      </c>
      <c r="K1956">
        <v>11377</v>
      </c>
      <c r="N1956" t="s">
        <v>7237</v>
      </c>
      <c r="O1956" t="s">
        <v>8485</v>
      </c>
      <c r="P1956">
        <v>4</v>
      </c>
      <c r="Q1956">
        <v>0</v>
      </c>
      <c r="R1956">
        <v>233.01</v>
      </c>
      <c r="S1956" t="s">
        <v>297</v>
      </c>
      <c r="T1956" t="s">
        <v>10276</v>
      </c>
      <c r="U1956">
        <v>60000</v>
      </c>
      <c r="W1956">
        <v>0.45</v>
      </c>
      <c r="X1956" t="s">
        <v>375</v>
      </c>
      <c r="Y1956" t="s">
        <v>10870</v>
      </c>
      <c r="AA1956" t="s">
        <v>10974</v>
      </c>
      <c r="AB1956" t="s">
        <v>544</v>
      </c>
      <c r="AD1956" t="s">
        <v>11098</v>
      </c>
      <c r="AF1956" t="s">
        <v>11122</v>
      </c>
      <c r="AH1956" t="s">
        <v>10974</v>
      </c>
      <c r="AJ1956" t="s">
        <v>11141</v>
      </c>
      <c r="AK1956" t="s">
        <v>7225</v>
      </c>
      <c r="AL1956" t="s">
        <v>11150</v>
      </c>
      <c r="AM1956">
        <v>0</v>
      </c>
      <c r="AO1956">
        <v>390</v>
      </c>
      <c r="AQ1956" t="s">
        <v>11157</v>
      </c>
      <c r="AS1956" t="s">
        <v>11173</v>
      </c>
      <c r="AU1956">
        <v>32</v>
      </c>
      <c r="AW1956" t="s">
        <v>11189</v>
      </c>
      <c r="AY1956" t="s">
        <v>11213</v>
      </c>
      <c r="BA1956" t="s">
        <v>11222</v>
      </c>
      <c r="BE1956" t="s">
        <v>12766</v>
      </c>
      <c r="BG1956" t="s">
        <v>14840</v>
      </c>
      <c r="BK1956" t="s">
        <v>11104</v>
      </c>
      <c r="BM1956" t="s">
        <v>15650</v>
      </c>
    </row>
    <row r="1957" spans="1:65">
      <c r="A1957" s="1">
        <f>HYPERLINK("https://lsnyc.legalserver.org/matter/dynamic-profile/view/1908223","19-1908223")</f>
        <v>0</v>
      </c>
      <c r="B1957" t="s">
        <v>140</v>
      </c>
      <c r="C1957" t="s">
        <v>247</v>
      </c>
      <c r="D1957" t="s">
        <v>660</v>
      </c>
      <c r="F1957" t="s">
        <v>1725</v>
      </c>
      <c r="G1957" t="s">
        <v>3736</v>
      </c>
      <c r="H1957" t="s">
        <v>5419</v>
      </c>
      <c r="I1957" t="s">
        <v>6421</v>
      </c>
      <c r="J1957" t="s">
        <v>7190</v>
      </c>
      <c r="K1957">
        <v>11377</v>
      </c>
      <c r="N1957" t="s">
        <v>7237</v>
      </c>
      <c r="O1957" t="s">
        <v>8473</v>
      </c>
      <c r="P1957">
        <v>4</v>
      </c>
      <c r="Q1957">
        <v>0</v>
      </c>
      <c r="R1957">
        <v>411.65</v>
      </c>
      <c r="U1957">
        <v>106000</v>
      </c>
      <c r="W1957">
        <v>0.3</v>
      </c>
      <c r="X1957" t="s">
        <v>660</v>
      </c>
      <c r="Y1957" t="s">
        <v>10870</v>
      </c>
      <c r="AA1957" t="s">
        <v>10974</v>
      </c>
      <c r="AB1957" t="s">
        <v>11036</v>
      </c>
      <c r="AD1957" t="s">
        <v>11098</v>
      </c>
      <c r="AF1957" t="s">
        <v>11122</v>
      </c>
      <c r="AH1957" t="s">
        <v>10974</v>
      </c>
      <c r="AJ1957" t="s">
        <v>11141</v>
      </c>
      <c r="AK1957" t="s">
        <v>7225</v>
      </c>
      <c r="AM1957">
        <v>1277</v>
      </c>
      <c r="AO1957">
        <v>66</v>
      </c>
      <c r="AQ1957" t="s">
        <v>11157</v>
      </c>
      <c r="AS1957" t="s">
        <v>11173</v>
      </c>
      <c r="AT1957" t="s">
        <v>11184</v>
      </c>
      <c r="AU1957">
        <v>0</v>
      </c>
      <c r="AW1957" t="s">
        <v>11187</v>
      </c>
      <c r="BA1957" t="s">
        <v>11222</v>
      </c>
      <c r="BE1957" t="s">
        <v>12755</v>
      </c>
      <c r="BG1957" t="s">
        <v>14841</v>
      </c>
      <c r="BM1957" t="s">
        <v>15650</v>
      </c>
    </row>
    <row r="1958" spans="1:65">
      <c r="A1958" s="1">
        <f>HYPERLINK("https://lsnyc.legalserver.org/matter/dynamic-profile/view/1907829","19-1907829")</f>
        <v>0</v>
      </c>
      <c r="B1958" t="s">
        <v>140</v>
      </c>
      <c r="C1958" t="s">
        <v>247</v>
      </c>
      <c r="D1958" t="s">
        <v>637</v>
      </c>
      <c r="F1958" t="s">
        <v>1956</v>
      </c>
      <c r="G1958" t="s">
        <v>2938</v>
      </c>
      <c r="H1958" t="s">
        <v>5419</v>
      </c>
      <c r="I1958" t="s">
        <v>6501</v>
      </c>
      <c r="J1958" t="s">
        <v>7190</v>
      </c>
      <c r="K1958">
        <v>11377</v>
      </c>
      <c r="N1958" t="s">
        <v>7237</v>
      </c>
      <c r="O1958" t="s">
        <v>8486</v>
      </c>
      <c r="P1958">
        <v>1</v>
      </c>
      <c r="Q1958">
        <v>0</v>
      </c>
      <c r="R1958">
        <v>133.23</v>
      </c>
      <c r="U1958">
        <v>16640</v>
      </c>
      <c r="W1958">
        <v>0.3</v>
      </c>
      <c r="X1958" t="s">
        <v>637</v>
      </c>
      <c r="Y1958" t="s">
        <v>10870</v>
      </c>
      <c r="AA1958" t="s">
        <v>10974</v>
      </c>
      <c r="AB1958" t="s">
        <v>11036</v>
      </c>
      <c r="AD1958" t="s">
        <v>11098</v>
      </c>
      <c r="AF1958" t="s">
        <v>11122</v>
      </c>
      <c r="AH1958" t="s">
        <v>10974</v>
      </c>
      <c r="AJ1958" t="s">
        <v>11141</v>
      </c>
      <c r="AK1958" t="s">
        <v>7225</v>
      </c>
      <c r="AL1958" t="s">
        <v>11150</v>
      </c>
      <c r="AM1958">
        <v>0</v>
      </c>
      <c r="AO1958">
        <v>66</v>
      </c>
      <c r="AQ1958" t="s">
        <v>11157</v>
      </c>
      <c r="AS1958" t="s">
        <v>11173</v>
      </c>
      <c r="AU1958">
        <v>8</v>
      </c>
      <c r="AW1958" t="s">
        <v>11189</v>
      </c>
      <c r="BA1958" t="s">
        <v>11222</v>
      </c>
      <c r="BE1958" t="s">
        <v>12767</v>
      </c>
      <c r="BG1958" t="s">
        <v>14841</v>
      </c>
      <c r="BM1958" t="s">
        <v>15650</v>
      </c>
    </row>
    <row r="1959" spans="1:65">
      <c r="A1959" s="1">
        <f>HYPERLINK("https://lsnyc.legalserver.org/matter/dynamic-profile/view/1907818","19-1907818")</f>
        <v>0</v>
      </c>
      <c r="B1959" t="s">
        <v>140</v>
      </c>
      <c r="C1959" t="s">
        <v>247</v>
      </c>
      <c r="D1959" t="s">
        <v>637</v>
      </c>
      <c r="F1959" t="s">
        <v>1956</v>
      </c>
      <c r="G1959" t="s">
        <v>2938</v>
      </c>
      <c r="H1959" t="s">
        <v>5419</v>
      </c>
      <c r="I1959" t="s">
        <v>6501</v>
      </c>
      <c r="J1959" t="s">
        <v>7190</v>
      </c>
      <c r="K1959">
        <v>11377</v>
      </c>
      <c r="N1959" t="s">
        <v>7237</v>
      </c>
      <c r="O1959" t="s">
        <v>8486</v>
      </c>
      <c r="P1959">
        <v>1</v>
      </c>
      <c r="Q1959">
        <v>0</v>
      </c>
      <c r="R1959">
        <v>133.23</v>
      </c>
      <c r="U1959">
        <v>16640</v>
      </c>
      <c r="W1959">
        <v>0.55</v>
      </c>
      <c r="X1959" t="s">
        <v>375</v>
      </c>
      <c r="Y1959" t="s">
        <v>10870</v>
      </c>
      <c r="AA1959" t="s">
        <v>10974</v>
      </c>
      <c r="AB1959" t="s">
        <v>637</v>
      </c>
      <c r="AD1959" t="s">
        <v>11098</v>
      </c>
      <c r="AF1959" t="s">
        <v>11122</v>
      </c>
      <c r="AH1959" t="s">
        <v>10974</v>
      </c>
      <c r="AJ1959" t="s">
        <v>11141</v>
      </c>
      <c r="AK1959" t="s">
        <v>7225</v>
      </c>
      <c r="AL1959" t="s">
        <v>11150</v>
      </c>
      <c r="AM1959">
        <v>0</v>
      </c>
      <c r="AO1959">
        <v>67</v>
      </c>
      <c r="AQ1959" t="s">
        <v>11157</v>
      </c>
      <c r="AS1959" t="s">
        <v>11173</v>
      </c>
      <c r="AU1959">
        <v>8</v>
      </c>
      <c r="AW1959" t="s">
        <v>11189</v>
      </c>
      <c r="AY1959" t="s">
        <v>11213</v>
      </c>
      <c r="BA1959" t="s">
        <v>11222</v>
      </c>
      <c r="BE1959" t="s">
        <v>12767</v>
      </c>
      <c r="BG1959" t="s">
        <v>14830</v>
      </c>
      <c r="BK1959" t="s">
        <v>11104</v>
      </c>
      <c r="BM1959" t="s">
        <v>15650</v>
      </c>
    </row>
    <row r="1960" spans="1:65">
      <c r="A1960" s="1">
        <f>HYPERLINK("https://lsnyc.legalserver.org/matter/dynamic-profile/view/1900472","19-1900472")</f>
        <v>0</v>
      </c>
      <c r="B1960" t="s">
        <v>140</v>
      </c>
      <c r="C1960" t="s">
        <v>247</v>
      </c>
      <c r="D1960" t="s">
        <v>275</v>
      </c>
      <c r="F1960" t="s">
        <v>1226</v>
      </c>
      <c r="G1960" t="s">
        <v>3408</v>
      </c>
      <c r="H1960" t="s">
        <v>5431</v>
      </c>
      <c r="I1960" t="s">
        <v>6810</v>
      </c>
      <c r="J1960" t="s">
        <v>7190</v>
      </c>
      <c r="K1960">
        <v>11377</v>
      </c>
      <c r="N1960" t="s">
        <v>7237</v>
      </c>
      <c r="O1960" t="s">
        <v>8487</v>
      </c>
      <c r="P1960">
        <v>1</v>
      </c>
      <c r="Q1960">
        <v>0</v>
      </c>
      <c r="R1960">
        <v>555.04</v>
      </c>
      <c r="U1960">
        <v>69324.60000000001</v>
      </c>
      <c r="W1960">
        <v>9.199999999999999</v>
      </c>
      <c r="X1960" t="s">
        <v>312</v>
      </c>
      <c r="Y1960" t="s">
        <v>140</v>
      </c>
      <c r="AA1960" t="s">
        <v>10974</v>
      </c>
      <c r="AB1960" t="s">
        <v>10987</v>
      </c>
      <c r="AD1960" t="s">
        <v>11083</v>
      </c>
      <c r="AF1960" t="s">
        <v>11118</v>
      </c>
      <c r="AH1960" t="s">
        <v>10975</v>
      </c>
      <c r="AJ1960" t="s">
        <v>11141</v>
      </c>
      <c r="AK1960" t="s">
        <v>7225</v>
      </c>
      <c r="AM1960">
        <v>864.95</v>
      </c>
      <c r="AO1960">
        <v>15</v>
      </c>
      <c r="AQ1960" t="s">
        <v>11157</v>
      </c>
      <c r="AS1960" t="s">
        <v>11173</v>
      </c>
      <c r="AU1960">
        <v>5</v>
      </c>
      <c r="AW1960" t="s">
        <v>11189</v>
      </c>
      <c r="AY1960" t="s">
        <v>11213</v>
      </c>
      <c r="BA1960" t="s">
        <v>11222</v>
      </c>
      <c r="BB1960" t="s">
        <v>11224</v>
      </c>
      <c r="BC1960" t="s">
        <v>11236</v>
      </c>
      <c r="BE1960" t="s">
        <v>12768</v>
      </c>
      <c r="BG1960" t="s">
        <v>14842</v>
      </c>
      <c r="BM1960" t="s">
        <v>15650</v>
      </c>
    </row>
    <row r="1961" spans="1:65">
      <c r="A1961" s="1">
        <f>HYPERLINK("https://lsnyc.legalserver.org/matter/dynamic-profile/view/1891669","19-1891669")</f>
        <v>0</v>
      </c>
      <c r="B1961" t="s">
        <v>140</v>
      </c>
      <c r="C1961" t="s">
        <v>247</v>
      </c>
      <c r="D1961" t="s">
        <v>515</v>
      </c>
      <c r="F1961" t="s">
        <v>1957</v>
      </c>
      <c r="G1961" t="s">
        <v>2921</v>
      </c>
      <c r="H1961" t="s">
        <v>5432</v>
      </c>
      <c r="I1961">
        <v>1</v>
      </c>
      <c r="J1961" t="s">
        <v>7172</v>
      </c>
      <c r="K1961">
        <v>11691</v>
      </c>
      <c r="N1961" t="s">
        <v>7237</v>
      </c>
      <c r="O1961" t="s">
        <v>8488</v>
      </c>
      <c r="P1961">
        <v>1</v>
      </c>
      <c r="Q1961">
        <v>0</v>
      </c>
      <c r="R1961">
        <v>199.84</v>
      </c>
      <c r="U1961">
        <v>24960</v>
      </c>
      <c r="W1961">
        <v>20.61</v>
      </c>
      <c r="X1961" t="s">
        <v>312</v>
      </c>
      <c r="Y1961" t="s">
        <v>10872</v>
      </c>
      <c r="AA1961" t="s">
        <v>10974</v>
      </c>
      <c r="AB1961" t="s">
        <v>10835</v>
      </c>
      <c r="AD1961" t="s">
        <v>11083</v>
      </c>
      <c r="AF1961" t="s">
        <v>11118</v>
      </c>
      <c r="AH1961" t="s">
        <v>10975</v>
      </c>
      <c r="AJ1961" t="s">
        <v>11147</v>
      </c>
      <c r="AK1961" t="s">
        <v>7225</v>
      </c>
      <c r="AM1961">
        <v>1475</v>
      </c>
      <c r="AO1961">
        <v>3</v>
      </c>
      <c r="AQ1961" t="s">
        <v>11157</v>
      </c>
      <c r="AS1961" t="s">
        <v>11174</v>
      </c>
      <c r="AU1961">
        <v>9</v>
      </c>
      <c r="AW1961" t="s">
        <v>11187</v>
      </c>
      <c r="AY1961" t="s">
        <v>11213</v>
      </c>
      <c r="BA1961" t="s">
        <v>11222</v>
      </c>
      <c r="BB1961" t="s">
        <v>11224</v>
      </c>
      <c r="BC1961" t="s">
        <v>11236</v>
      </c>
      <c r="BE1961" t="s">
        <v>12769</v>
      </c>
      <c r="BG1961" t="s">
        <v>14843</v>
      </c>
      <c r="BK1961" t="s">
        <v>11104</v>
      </c>
      <c r="BM1961" t="s">
        <v>15650</v>
      </c>
    </row>
    <row r="1962" spans="1:65">
      <c r="A1962" s="1">
        <f>HYPERLINK("https://lsnyc.legalserver.org/matter/dynamic-profile/view/1908355","19-1908355")</f>
        <v>0</v>
      </c>
      <c r="B1962" t="s">
        <v>140</v>
      </c>
      <c r="C1962" t="s">
        <v>247</v>
      </c>
      <c r="D1962" t="s">
        <v>565</v>
      </c>
      <c r="F1962" t="s">
        <v>1958</v>
      </c>
      <c r="G1962" t="s">
        <v>3743</v>
      </c>
      <c r="H1962" t="s">
        <v>5419</v>
      </c>
      <c r="I1962" t="s">
        <v>6408</v>
      </c>
      <c r="J1962" t="s">
        <v>7190</v>
      </c>
      <c r="K1962">
        <v>11377</v>
      </c>
      <c r="N1962" t="s">
        <v>7237</v>
      </c>
      <c r="O1962" t="s">
        <v>8489</v>
      </c>
      <c r="P1962">
        <v>4</v>
      </c>
      <c r="Q1962">
        <v>1</v>
      </c>
      <c r="R1962">
        <v>119.32</v>
      </c>
      <c r="U1962">
        <v>36000</v>
      </c>
      <c r="W1962">
        <v>0.2</v>
      </c>
      <c r="X1962" t="s">
        <v>565</v>
      </c>
      <c r="Y1962" t="s">
        <v>10870</v>
      </c>
      <c r="AA1962" t="s">
        <v>10974</v>
      </c>
      <c r="AB1962" t="s">
        <v>11036</v>
      </c>
      <c r="AD1962" t="s">
        <v>11098</v>
      </c>
      <c r="AF1962" t="s">
        <v>11122</v>
      </c>
      <c r="AH1962" t="s">
        <v>10974</v>
      </c>
      <c r="AJ1962" t="s">
        <v>11141</v>
      </c>
      <c r="AK1962" t="s">
        <v>7225</v>
      </c>
      <c r="AM1962">
        <v>1624.22</v>
      </c>
      <c r="AO1962">
        <v>66</v>
      </c>
      <c r="AQ1962" t="s">
        <v>11157</v>
      </c>
      <c r="AS1962" t="s">
        <v>11173</v>
      </c>
      <c r="AT1962" t="s">
        <v>11184</v>
      </c>
      <c r="AU1962">
        <v>0</v>
      </c>
      <c r="AW1962" t="s">
        <v>11187</v>
      </c>
      <c r="BA1962" t="s">
        <v>11222</v>
      </c>
      <c r="BE1962" t="s">
        <v>12770</v>
      </c>
      <c r="BG1962" t="s">
        <v>14841</v>
      </c>
      <c r="BM1962" t="s">
        <v>15650</v>
      </c>
    </row>
    <row r="1963" spans="1:65">
      <c r="A1963" s="1">
        <f>HYPERLINK("https://lsnyc.legalserver.org/matter/dynamic-profile/view/1908351","19-1908351")</f>
        <v>0</v>
      </c>
      <c r="B1963" t="s">
        <v>140</v>
      </c>
      <c r="C1963" t="s">
        <v>247</v>
      </c>
      <c r="D1963" t="s">
        <v>565</v>
      </c>
      <c r="F1963" t="s">
        <v>1958</v>
      </c>
      <c r="G1963" t="s">
        <v>3743</v>
      </c>
      <c r="H1963" t="s">
        <v>5419</v>
      </c>
      <c r="I1963" t="s">
        <v>6408</v>
      </c>
      <c r="J1963" t="s">
        <v>7190</v>
      </c>
      <c r="K1963">
        <v>11377</v>
      </c>
      <c r="N1963" t="s">
        <v>7237</v>
      </c>
      <c r="O1963" t="s">
        <v>8489</v>
      </c>
      <c r="P1963">
        <v>4</v>
      </c>
      <c r="Q1963">
        <v>1</v>
      </c>
      <c r="R1963">
        <v>119.32</v>
      </c>
      <c r="U1963">
        <v>36000</v>
      </c>
      <c r="W1963">
        <v>0.45</v>
      </c>
      <c r="X1963" t="s">
        <v>375</v>
      </c>
      <c r="Y1963" t="s">
        <v>10870</v>
      </c>
      <c r="AA1963" t="s">
        <v>10974</v>
      </c>
      <c r="AB1963" t="s">
        <v>565</v>
      </c>
      <c r="AD1963" t="s">
        <v>11098</v>
      </c>
      <c r="AF1963" t="s">
        <v>11122</v>
      </c>
      <c r="AH1963" t="s">
        <v>10974</v>
      </c>
      <c r="AJ1963" t="s">
        <v>11141</v>
      </c>
      <c r="AK1963" t="s">
        <v>7225</v>
      </c>
      <c r="AM1963">
        <v>1624.22</v>
      </c>
      <c r="AO1963">
        <v>67</v>
      </c>
      <c r="AQ1963" t="s">
        <v>11157</v>
      </c>
      <c r="AS1963" t="s">
        <v>11173</v>
      </c>
      <c r="AT1963" t="s">
        <v>11184</v>
      </c>
      <c r="AU1963">
        <v>0</v>
      </c>
      <c r="AW1963" t="s">
        <v>11187</v>
      </c>
      <c r="AY1963" t="s">
        <v>11213</v>
      </c>
      <c r="BA1963" t="s">
        <v>11222</v>
      </c>
      <c r="BE1963" t="s">
        <v>12770</v>
      </c>
      <c r="BG1963" t="s">
        <v>14830</v>
      </c>
      <c r="BK1963" t="s">
        <v>11104</v>
      </c>
      <c r="BM1963" t="s">
        <v>15650</v>
      </c>
    </row>
    <row r="1964" spans="1:65">
      <c r="A1964" s="1">
        <f>HYPERLINK("https://lsnyc.legalserver.org/matter/dynamic-profile/view/1895483","19-1895483")</f>
        <v>0</v>
      </c>
      <c r="B1964" t="s">
        <v>140</v>
      </c>
      <c r="C1964" t="s">
        <v>247</v>
      </c>
      <c r="D1964" t="s">
        <v>370</v>
      </c>
      <c r="F1964" t="s">
        <v>1664</v>
      </c>
      <c r="G1964" t="s">
        <v>3744</v>
      </c>
      <c r="H1964" t="s">
        <v>5433</v>
      </c>
      <c r="I1964" t="s">
        <v>6609</v>
      </c>
      <c r="J1964" t="s">
        <v>7173</v>
      </c>
      <c r="K1964">
        <v>11354</v>
      </c>
      <c r="N1964" t="s">
        <v>7237</v>
      </c>
      <c r="O1964" t="s">
        <v>8490</v>
      </c>
      <c r="P1964">
        <v>2</v>
      </c>
      <c r="Q1964">
        <v>1</v>
      </c>
      <c r="R1964">
        <v>51.57</v>
      </c>
      <c r="U1964">
        <v>11000</v>
      </c>
      <c r="W1964">
        <v>13.21</v>
      </c>
      <c r="X1964" t="s">
        <v>524</v>
      </c>
      <c r="Y1964" t="s">
        <v>10876</v>
      </c>
      <c r="AA1964" t="s">
        <v>10974</v>
      </c>
      <c r="AB1964" t="s">
        <v>594</v>
      </c>
      <c r="AD1964" t="s">
        <v>11082</v>
      </c>
      <c r="AF1964" t="s">
        <v>11118</v>
      </c>
      <c r="AH1964" t="s">
        <v>10975</v>
      </c>
      <c r="AJ1964" t="s">
        <v>11104</v>
      </c>
      <c r="AK1964" t="s">
        <v>7225</v>
      </c>
      <c r="AM1964">
        <v>1439</v>
      </c>
      <c r="AO1964">
        <v>61</v>
      </c>
      <c r="AQ1964" t="s">
        <v>11157</v>
      </c>
      <c r="AS1964" t="s">
        <v>11173</v>
      </c>
      <c r="AU1964">
        <v>25</v>
      </c>
      <c r="AW1964" t="s">
        <v>11187</v>
      </c>
      <c r="AY1964" t="s">
        <v>11213</v>
      </c>
      <c r="BA1964" t="s">
        <v>11222</v>
      </c>
      <c r="BB1964" t="s">
        <v>11224</v>
      </c>
      <c r="BC1964" t="s">
        <v>11236</v>
      </c>
      <c r="BE1964" t="s">
        <v>12771</v>
      </c>
      <c r="BG1964" t="s">
        <v>14844</v>
      </c>
      <c r="BM1964" t="s">
        <v>15650</v>
      </c>
    </row>
    <row r="1965" spans="1:65">
      <c r="A1965" s="1">
        <f>HYPERLINK("https://lsnyc.legalserver.org/matter/dynamic-profile/view/1896083","19-1896083")</f>
        <v>0</v>
      </c>
      <c r="B1965" t="s">
        <v>140</v>
      </c>
      <c r="C1965" t="s">
        <v>247</v>
      </c>
      <c r="D1965" t="s">
        <v>438</v>
      </c>
      <c r="F1965" t="s">
        <v>1959</v>
      </c>
      <c r="G1965" t="s">
        <v>3745</v>
      </c>
      <c r="H1965" t="s">
        <v>5434</v>
      </c>
      <c r="I1965" t="s">
        <v>6811</v>
      </c>
      <c r="J1965" t="s">
        <v>7173</v>
      </c>
      <c r="K1965">
        <v>11354</v>
      </c>
      <c r="N1965" t="s">
        <v>7237</v>
      </c>
      <c r="O1965" t="s">
        <v>8491</v>
      </c>
      <c r="P1965">
        <v>2</v>
      </c>
      <c r="Q1965">
        <v>0</v>
      </c>
      <c r="R1965">
        <v>276.76</v>
      </c>
      <c r="U1965">
        <v>46800</v>
      </c>
      <c r="W1965">
        <v>7.4</v>
      </c>
      <c r="X1965" t="s">
        <v>10829</v>
      </c>
      <c r="Y1965" t="s">
        <v>10888</v>
      </c>
      <c r="AA1965" t="s">
        <v>10974</v>
      </c>
      <c r="AD1965" t="s">
        <v>11083</v>
      </c>
      <c r="AF1965" t="s">
        <v>11118</v>
      </c>
      <c r="AH1965" t="s">
        <v>10975</v>
      </c>
      <c r="AJ1965" t="s">
        <v>11138</v>
      </c>
      <c r="AK1965" t="s">
        <v>7225</v>
      </c>
      <c r="AM1965">
        <v>774</v>
      </c>
      <c r="AO1965">
        <v>6</v>
      </c>
      <c r="AQ1965" t="s">
        <v>11157</v>
      </c>
      <c r="AS1965" t="s">
        <v>11173</v>
      </c>
      <c r="AU1965">
        <v>39</v>
      </c>
      <c r="AW1965" t="s">
        <v>11187</v>
      </c>
      <c r="AY1965" t="s">
        <v>11217</v>
      </c>
      <c r="BA1965" t="s">
        <v>11222</v>
      </c>
      <c r="BB1965" t="s">
        <v>11224</v>
      </c>
      <c r="BC1965" t="s">
        <v>11236</v>
      </c>
      <c r="BE1965" t="s">
        <v>12772</v>
      </c>
      <c r="BG1965" t="s">
        <v>14845</v>
      </c>
      <c r="BM1965" t="s">
        <v>15650</v>
      </c>
    </row>
    <row r="1966" spans="1:65">
      <c r="A1966" s="1">
        <f>HYPERLINK("https://lsnyc.legalserver.org/matter/dynamic-profile/view/1913181","19-1913181")</f>
        <v>0</v>
      </c>
      <c r="B1966" t="s">
        <v>140</v>
      </c>
      <c r="C1966" t="s">
        <v>247</v>
      </c>
      <c r="D1966" t="s">
        <v>801</v>
      </c>
      <c r="F1966" t="s">
        <v>1265</v>
      </c>
      <c r="G1966" t="s">
        <v>3414</v>
      </c>
      <c r="H1966" t="s">
        <v>5435</v>
      </c>
      <c r="I1966" t="s">
        <v>6812</v>
      </c>
      <c r="J1966" t="s">
        <v>7173</v>
      </c>
      <c r="K1966">
        <v>11354</v>
      </c>
      <c r="N1966" t="s">
        <v>7237</v>
      </c>
      <c r="O1966" t="s">
        <v>8492</v>
      </c>
      <c r="P1966">
        <v>2</v>
      </c>
      <c r="Q1966">
        <v>1</v>
      </c>
      <c r="R1966">
        <v>97.52</v>
      </c>
      <c r="U1966">
        <v>20800</v>
      </c>
      <c r="W1966">
        <v>0.11</v>
      </c>
      <c r="X1966" t="s">
        <v>312</v>
      </c>
      <c r="Y1966" t="s">
        <v>140</v>
      </c>
      <c r="AA1966" t="s">
        <v>10974</v>
      </c>
      <c r="AD1966" t="s">
        <v>11083</v>
      </c>
      <c r="AF1966" t="s">
        <v>11118</v>
      </c>
      <c r="AH1966" t="s">
        <v>10975</v>
      </c>
      <c r="AJ1966" t="s">
        <v>11129</v>
      </c>
      <c r="AK1966" t="s">
        <v>7225</v>
      </c>
      <c r="AM1966">
        <v>1525</v>
      </c>
      <c r="AO1966">
        <v>12</v>
      </c>
      <c r="AQ1966" t="s">
        <v>11157</v>
      </c>
      <c r="AR1966" t="s">
        <v>11172</v>
      </c>
      <c r="AU1966">
        <v>2</v>
      </c>
      <c r="AW1966" t="s">
        <v>11198</v>
      </c>
      <c r="AY1966" t="s">
        <v>11213</v>
      </c>
      <c r="AZ1966" t="s">
        <v>11221</v>
      </c>
      <c r="BE1966" t="s">
        <v>12773</v>
      </c>
      <c r="BG1966" t="s">
        <v>14846</v>
      </c>
      <c r="BM1966" t="s">
        <v>15650</v>
      </c>
    </row>
    <row r="1967" spans="1:65">
      <c r="A1967" s="1">
        <f>HYPERLINK("https://lsnyc.legalserver.org/matter/dynamic-profile/view/1902930","19-1902930")</f>
        <v>0</v>
      </c>
      <c r="B1967" t="s">
        <v>140</v>
      </c>
      <c r="C1967" t="s">
        <v>247</v>
      </c>
      <c r="D1967" t="s">
        <v>322</v>
      </c>
      <c r="F1967" t="s">
        <v>1960</v>
      </c>
      <c r="G1967" t="s">
        <v>3746</v>
      </c>
      <c r="H1967" t="s">
        <v>5436</v>
      </c>
      <c r="I1967" t="s">
        <v>6422</v>
      </c>
      <c r="J1967" t="s">
        <v>7195</v>
      </c>
      <c r="K1967">
        <v>11106</v>
      </c>
      <c r="N1967" t="s">
        <v>7237</v>
      </c>
      <c r="O1967" t="s">
        <v>8493</v>
      </c>
      <c r="P1967">
        <v>1</v>
      </c>
      <c r="Q1967">
        <v>0</v>
      </c>
      <c r="R1967">
        <v>128.1</v>
      </c>
      <c r="U1967">
        <v>16000</v>
      </c>
      <c r="W1967">
        <v>15.71</v>
      </c>
      <c r="X1967" t="s">
        <v>312</v>
      </c>
      <c r="Y1967" t="s">
        <v>10875</v>
      </c>
      <c r="AA1967" t="s">
        <v>10974</v>
      </c>
      <c r="AB1967" t="s">
        <v>322</v>
      </c>
      <c r="AD1967" t="s">
        <v>11083</v>
      </c>
      <c r="AF1967" t="s">
        <v>11118</v>
      </c>
      <c r="AH1967" t="s">
        <v>10975</v>
      </c>
      <c r="AJ1967" t="s">
        <v>11138</v>
      </c>
      <c r="AK1967" t="s">
        <v>7225</v>
      </c>
      <c r="AM1967">
        <v>1015</v>
      </c>
      <c r="AO1967">
        <v>31</v>
      </c>
      <c r="AQ1967" t="s">
        <v>11160</v>
      </c>
      <c r="AS1967" t="s">
        <v>11173</v>
      </c>
      <c r="AU1967">
        <v>53</v>
      </c>
      <c r="AW1967" t="s">
        <v>11187</v>
      </c>
      <c r="AY1967" t="s">
        <v>11215</v>
      </c>
      <c r="BA1967" t="s">
        <v>11222</v>
      </c>
      <c r="BB1967" t="s">
        <v>11224</v>
      </c>
      <c r="BC1967" t="s">
        <v>11236</v>
      </c>
      <c r="BE1967" t="s">
        <v>12774</v>
      </c>
      <c r="BG1967" t="s">
        <v>14847</v>
      </c>
      <c r="BM1967" t="s">
        <v>15650</v>
      </c>
    </row>
    <row r="1968" spans="1:65">
      <c r="A1968" s="1">
        <f>HYPERLINK("https://lsnyc.legalserver.org/matter/dynamic-profile/view/1908612","19-1908612")</f>
        <v>0</v>
      </c>
      <c r="B1968" t="s">
        <v>140</v>
      </c>
      <c r="C1968" t="s">
        <v>247</v>
      </c>
      <c r="D1968" t="s">
        <v>302</v>
      </c>
      <c r="F1968" t="s">
        <v>1961</v>
      </c>
      <c r="G1968" t="s">
        <v>2956</v>
      </c>
      <c r="H1968" t="s">
        <v>5437</v>
      </c>
      <c r="J1968" t="s">
        <v>7196</v>
      </c>
      <c r="K1968">
        <v>11362</v>
      </c>
      <c r="N1968" t="s">
        <v>7237</v>
      </c>
      <c r="O1968" t="s">
        <v>8494</v>
      </c>
      <c r="P1968">
        <v>4</v>
      </c>
      <c r="Q1968">
        <v>0</v>
      </c>
      <c r="R1968">
        <v>121.17</v>
      </c>
      <c r="U1968">
        <v>31200</v>
      </c>
      <c r="W1968">
        <v>0.51</v>
      </c>
      <c r="X1968" t="s">
        <v>421</v>
      </c>
      <c r="Y1968" t="s">
        <v>10870</v>
      </c>
      <c r="AA1968" t="s">
        <v>10974</v>
      </c>
      <c r="AB1968" t="s">
        <v>302</v>
      </c>
      <c r="AD1968" t="s">
        <v>11083</v>
      </c>
      <c r="AF1968" t="s">
        <v>11119</v>
      </c>
      <c r="AH1968" t="s">
        <v>10975</v>
      </c>
      <c r="AJ1968" t="s">
        <v>11138</v>
      </c>
      <c r="AK1968" t="s">
        <v>7225</v>
      </c>
      <c r="AL1968" t="s">
        <v>11150</v>
      </c>
      <c r="AM1968">
        <v>0</v>
      </c>
      <c r="AO1968">
        <v>1</v>
      </c>
      <c r="AQ1968" t="s">
        <v>11164</v>
      </c>
      <c r="AS1968" t="s">
        <v>11173</v>
      </c>
      <c r="AU1968">
        <v>1</v>
      </c>
      <c r="AW1968" t="s">
        <v>11187</v>
      </c>
      <c r="BA1968" t="s">
        <v>11222</v>
      </c>
      <c r="BE1968" t="s">
        <v>12775</v>
      </c>
      <c r="BG1968" t="s">
        <v>14848</v>
      </c>
      <c r="BM1968" t="s">
        <v>15650</v>
      </c>
    </row>
    <row r="1969" spans="1:65">
      <c r="A1969" s="1">
        <f>HYPERLINK("https://lsnyc.legalserver.org/matter/dynamic-profile/view/1904274","19-1904274")</f>
        <v>0</v>
      </c>
      <c r="B1969" t="s">
        <v>141</v>
      </c>
      <c r="C1969" t="s">
        <v>245</v>
      </c>
      <c r="D1969" t="s">
        <v>512</v>
      </c>
      <c r="F1969" t="s">
        <v>1962</v>
      </c>
      <c r="G1969" t="s">
        <v>3747</v>
      </c>
      <c r="H1969" t="s">
        <v>5438</v>
      </c>
      <c r="I1969" t="s">
        <v>6414</v>
      </c>
      <c r="J1969" t="s">
        <v>7169</v>
      </c>
      <c r="K1969">
        <v>10013</v>
      </c>
      <c r="N1969" t="s">
        <v>7237</v>
      </c>
      <c r="O1969" t="s">
        <v>8495</v>
      </c>
      <c r="P1969">
        <v>2</v>
      </c>
      <c r="Q1969">
        <v>0</v>
      </c>
      <c r="R1969">
        <v>119.93</v>
      </c>
      <c r="U1969">
        <v>20280</v>
      </c>
      <c r="W1969">
        <v>1</v>
      </c>
      <c r="X1969" t="s">
        <v>560</v>
      </c>
      <c r="Y1969" t="s">
        <v>10862</v>
      </c>
      <c r="AA1969" t="s">
        <v>10974</v>
      </c>
      <c r="AD1969" t="s">
        <v>11083</v>
      </c>
      <c r="AF1969" t="s">
        <v>11121</v>
      </c>
      <c r="AH1969" t="s">
        <v>10975</v>
      </c>
      <c r="AI1969" t="s">
        <v>11126</v>
      </c>
      <c r="AK1969" t="s">
        <v>7225</v>
      </c>
      <c r="AL1969" t="s">
        <v>11150</v>
      </c>
      <c r="AM1969">
        <v>0</v>
      </c>
      <c r="AN1969" t="s">
        <v>11151</v>
      </c>
      <c r="AO1969" t="s">
        <v>11153</v>
      </c>
      <c r="AQ1969" t="s">
        <v>11159</v>
      </c>
      <c r="AS1969" t="s">
        <v>11173</v>
      </c>
      <c r="AT1969" t="s">
        <v>11184</v>
      </c>
      <c r="AU1969">
        <v>0</v>
      </c>
      <c r="AW1969" t="s">
        <v>11192</v>
      </c>
      <c r="AX1969" t="s">
        <v>11212</v>
      </c>
      <c r="BA1969" t="s">
        <v>11222</v>
      </c>
      <c r="BE1969" t="s">
        <v>12776</v>
      </c>
      <c r="BG1969" t="s">
        <v>14849</v>
      </c>
      <c r="BM1969" t="s">
        <v>15650</v>
      </c>
    </row>
    <row r="1970" spans="1:65">
      <c r="A1970" s="1">
        <f>HYPERLINK("https://lsnyc.legalserver.org/matter/dynamic-profile/view/1878345","18-1878345")</f>
        <v>0</v>
      </c>
      <c r="B1970" t="s">
        <v>141</v>
      </c>
      <c r="C1970" t="s">
        <v>245</v>
      </c>
      <c r="D1970" t="s">
        <v>573</v>
      </c>
      <c r="F1970" t="s">
        <v>1199</v>
      </c>
      <c r="G1970" t="s">
        <v>3748</v>
      </c>
      <c r="H1970" t="s">
        <v>5439</v>
      </c>
      <c r="I1970" t="s">
        <v>6618</v>
      </c>
      <c r="J1970" t="s">
        <v>7169</v>
      </c>
      <c r="K1970">
        <v>10024</v>
      </c>
      <c r="N1970" t="s">
        <v>7237</v>
      </c>
      <c r="O1970" t="s">
        <v>8496</v>
      </c>
      <c r="P1970">
        <v>1</v>
      </c>
      <c r="Q1970">
        <v>0</v>
      </c>
      <c r="R1970">
        <v>0</v>
      </c>
      <c r="U1970">
        <v>0</v>
      </c>
      <c r="W1970">
        <v>76.5</v>
      </c>
      <c r="X1970" t="s">
        <v>594</v>
      </c>
      <c r="Y1970" t="s">
        <v>10859</v>
      </c>
      <c r="AA1970" t="s">
        <v>10974</v>
      </c>
      <c r="AB1970" t="s">
        <v>573</v>
      </c>
      <c r="AD1970" t="s">
        <v>11082</v>
      </c>
      <c r="AF1970" t="s">
        <v>11118</v>
      </c>
      <c r="AH1970" t="s">
        <v>10975</v>
      </c>
      <c r="AJ1970" t="s">
        <v>11130</v>
      </c>
      <c r="AK1970" t="s">
        <v>7225</v>
      </c>
      <c r="AM1970">
        <v>1344</v>
      </c>
      <c r="AO1970">
        <v>64</v>
      </c>
      <c r="AQ1970" t="s">
        <v>11157</v>
      </c>
      <c r="AS1970" t="s">
        <v>11104</v>
      </c>
      <c r="AU1970">
        <v>38</v>
      </c>
      <c r="AW1970" t="s">
        <v>11187</v>
      </c>
      <c r="AZ1970" t="s">
        <v>11221</v>
      </c>
      <c r="BE1970" t="s">
        <v>12777</v>
      </c>
      <c r="BG1970" t="s">
        <v>14850</v>
      </c>
      <c r="BM1970" t="s">
        <v>15650</v>
      </c>
    </row>
    <row r="1971" spans="1:65">
      <c r="A1971" s="1">
        <f>HYPERLINK("https://lsnyc.legalserver.org/matter/dynamic-profile/view/1900546","19-1900546")</f>
        <v>0</v>
      </c>
      <c r="B1971" t="s">
        <v>141</v>
      </c>
      <c r="C1971" t="s">
        <v>245</v>
      </c>
      <c r="D1971" t="s">
        <v>549</v>
      </c>
      <c r="F1971" t="s">
        <v>1963</v>
      </c>
      <c r="G1971" t="s">
        <v>3749</v>
      </c>
      <c r="H1971" t="s">
        <v>5440</v>
      </c>
      <c r="J1971" t="s">
        <v>7174</v>
      </c>
      <c r="K1971">
        <v>11229</v>
      </c>
      <c r="N1971" t="s">
        <v>7237</v>
      </c>
      <c r="O1971" t="s">
        <v>7692</v>
      </c>
      <c r="P1971">
        <v>2</v>
      </c>
      <c r="Q1971">
        <v>0</v>
      </c>
      <c r="R1971">
        <v>49.67</v>
      </c>
      <c r="U1971">
        <v>8400</v>
      </c>
      <c r="W1971">
        <v>0</v>
      </c>
      <c r="Y1971" t="s">
        <v>10862</v>
      </c>
      <c r="AA1971" t="s">
        <v>10974</v>
      </c>
      <c r="AB1971" t="s">
        <v>549</v>
      </c>
      <c r="AD1971" t="s">
        <v>11086</v>
      </c>
      <c r="AF1971" t="s">
        <v>10384</v>
      </c>
      <c r="AH1971" t="s">
        <v>10975</v>
      </c>
      <c r="AJ1971" t="s">
        <v>11134</v>
      </c>
      <c r="AK1971" t="s">
        <v>7225</v>
      </c>
      <c r="AL1971" t="s">
        <v>11150</v>
      </c>
      <c r="AM1971">
        <v>0</v>
      </c>
      <c r="AN1971" t="s">
        <v>11151</v>
      </c>
      <c r="AO1971" t="s">
        <v>11153</v>
      </c>
      <c r="AQ1971" t="s">
        <v>11164</v>
      </c>
      <c r="AS1971" t="s">
        <v>11173</v>
      </c>
      <c r="AT1971" t="s">
        <v>11184</v>
      </c>
      <c r="AU1971">
        <v>0</v>
      </c>
      <c r="AW1971" t="s">
        <v>11192</v>
      </c>
      <c r="BA1971" t="s">
        <v>11222</v>
      </c>
      <c r="BD1971" t="s">
        <v>11667</v>
      </c>
      <c r="BF1971" t="s">
        <v>14364</v>
      </c>
      <c r="BM1971" t="s">
        <v>15650</v>
      </c>
    </row>
    <row r="1972" spans="1:65">
      <c r="A1972" s="1">
        <f>HYPERLINK("https://lsnyc.legalserver.org/matter/dynamic-profile/view/1873600","18-1873600")</f>
        <v>0</v>
      </c>
      <c r="B1972" t="s">
        <v>141</v>
      </c>
      <c r="C1972" t="s">
        <v>245</v>
      </c>
      <c r="D1972" t="s">
        <v>802</v>
      </c>
      <c r="F1972" t="s">
        <v>1964</v>
      </c>
      <c r="G1972" t="s">
        <v>3750</v>
      </c>
      <c r="H1972" t="s">
        <v>4776</v>
      </c>
      <c r="I1972">
        <v>402</v>
      </c>
      <c r="J1972" t="s">
        <v>7169</v>
      </c>
      <c r="K1972">
        <v>10029</v>
      </c>
      <c r="N1972" t="s">
        <v>7237</v>
      </c>
      <c r="O1972" t="s">
        <v>8497</v>
      </c>
      <c r="P1972">
        <v>1</v>
      </c>
      <c r="Q1972">
        <v>1</v>
      </c>
      <c r="R1972">
        <v>233.29</v>
      </c>
      <c r="S1972" t="s">
        <v>465</v>
      </c>
      <c r="T1972" t="s">
        <v>10276</v>
      </c>
      <c r="U1972">
        <v>38400</v>
      </c>
      <c r="W1972">
        <v>6.55</v>
      </c>
      <c r="X1972" t="s">
        <v>798</v>
      </c>
      <c r="Y1972" t="s">
        <v>10859</v>
      </c>
      <c r="AA1972" t="s">
        <v>10974</v>
      </c>
      <c r="AB1972" t="s">
        <v>802</v>
      </c>
      <c r="AD1972" t="s">
        <v>11082</v>
      </c>
      <c r="AF1972" t="s">
        <v>11118</v>
      </c>
      <c r="AH1972" t="s">
        <v>10975</v>
      </c>
      <c r="AJ1972" t="s">
        <v>11134</v>
      </c>
      <c r="AK1972" t="s">
        <v>7225</v>
      </c>
      <c r="AL1972" t="s">
        <v>11150</v>
      </c>
      <c r="AM1972">
        <v>0</v>
      </c>
      <c r="AO1972">
        <v>108</v>
      </c>
      <c r="AQ1972" t="s">
        <v>11161</v>
      </c>
      <c r="AS1972" t="s">
        <v>11174</v>
      </c>
      <c r="AU1972">
        <v>4</v>
      </c>
      <c r="AW1972" t="s">
        <v>11187</v>
      </c>
      <c r="AZ1972" t="s">
        <v>11221</v>
      </c>
      <c r="BD1972" t="s">
        <v>11667</v>
      </c>
      <c r="BG1972" t="s">
        <v>14851</v>
      </c>
      <c r="BM1972" t="s">
        <v>15650</v>
      </c>
    </row>
    <row r="1973" spans="1:65">
      <c r="A1973" s="1">
        <f>HYPERLINK("https://lsnyc.legalserver.org/matter/dynamic-profile/view/1900587","19-1900587")</f>
        <v>0</v>
      </c>
      <c r="B1973" t="s">
        <v>141</v>
      </c>
      <c r="C1973" t="s">
        <v>245</v>
      </c>
      <c r="D1973" t="s">
        <v>549</v>
      </c>
      <c r="F1973" t="s">
        <v>1965</v>
      </c>
      <c r="G1973" t="s">
        <v>3751</v>
      </c>
      <c r="H1973" t="s">
        <v>5441</v>
      </c>
      <c r="J1973" t="s">
        <v>7174</v>
      </c>
      <c r="K1973">
        <v>11219</v>
      </c>
      <c r="N1973" t="s">
        <v>7237</v>
      </c>
      <c r="O1973" t="s">
        <v>8498</v>
      </c>
      <c r="P1973">
        <v>2</v>
      </c>
      <c r="Q1973">
        <v>0</v>
      </c>
      <c r="R1973">
        <v>88.63</v>
      </c>
      <c r="U1973">
        <v>14988</v>
      </c>
      <c r="W1973">
        <v>0</v>
      </c>
      <c r="Y1973" t="s">
        <v>10862</v>
      </c>
      <c r="AA1973" t="s">
        <v>10974</v>
      </c>
      <c r="AB1973" t="s">
        <v>549</v>
      </c>
      <c r="AD1973" t="s">
        <v>11086</v>
      </c>
      <c r="AF1973" t="s">
        <v>10384</v>
      </c>
      <c r="AH1973" t="s">
        <v>10975</v>
      </c>
      <c r="AJ1973" t="s">
        <v>11134</v>
      </c>
      <c r="AK1973" t="s">
        <v>7225</v>
      </c>
      <c r="AL1973" t="s">
        <v>11150</v>
      </c>
      <c r="AM1973">
        <v>0</v>
      </c>
      <c r="AN1973" t="s">
        <v>11151</v>
      </c>
      <c r="AO1973" t="s">
        <v>11153</v>
      </c>
      <c r="AQ1973" t="s">
        <v>11164</v>
      </c>
      <c r="AS1973" t="s">
        <v>11173</v>
      </c>
      <c r="AT1973" t="s">
        <v>11184</v>
      </c>
      <c r="AU1973">
        <v>0</v>
      </c>
      <c r="AW1973" t="s">
        <v>11192</v>
      </c>
      <c r="BA1973" t="s">
        <v>11222</v>
      </c>
      <c r="BD1973" t="s">
        <v>11667</v>
      </c>
      <c r="BF1973" t="s">
        <v>14364</v>
      </c>
      <c r="BM1973" t="s">
        <v>15650</v>
      </c>
    </row>
    <row r="1974" spans="1:65">
      <c r="A1974" s="1">
        <f>HYPERLINK("https://lsnyc.legalserver.org/matter/dynamic-profile/view/1905420","19-1905420")</f>
        <v>0</v>
      </c>
      <c r="B1974" t="s">
        <v>141</v>
      </c>
      <c r="C1974" t="s">
        <v>245</v>
      </c>
      <c r="D1974" t="s">
        <v>685</v>
      </c>
      <c r="F1974" t="s">
        <v>1966</v>
      </c>
      <c r="G1974" t="s">
        <v>3752</v>
      </c>
      <c r="H1974" t="s">
        <v>5442</v>
      </c>
      <c r="I1974">
        <v>9</v>
      </c>
      <c r="J1974" t="s">
        <v>7169</v>
      </c>
      <c r="K1974">
        <v>10002</v>
      </c>
      <c r="N1974" t="s">
        <v>7237</v>
      </c>
      <c r="O1974" t="s">
        <v>8499</v>
      </c>
      <c r="P1974">
        <v>4</v>
      </c>
      <c r="Q1974">
        <v>0</v>
      </c>
      <c r="R1974">
        <v>166.99</v>
      </c>
      <c r="U1974">
        <v>43000</v>
      </c>
      <c r="W1974">
        <v>0.5</v>
      </c>
      <c r="X1974" t="s">
        <v>685</v>
      </c>
      <c r="Y1974" t="s">
        <v>10862</v>
      </c>
      <c r="AA1974" t="s">
        <v>10974</v>
      </c>
      <c r="AD1974" t="s">
        <v>11083</v>
      </c>
      <c r="AF1974" t="s">
        <v>11121</v>
      </c>
      <c r="AH1974" t="s">
        <v>10975</v>
      </c>
      <c r="AJ1974" t="s">
        <v>11134</v>
      </c>
      <c r="AK1974" t="s">
        <v>7225</v>
      </c>
      <c r="AM1974">
        <v>1114</v>
      </c>
      <c r="AN1974" t="s">
        <v>11151</v>
      </c>
      <c r="AO1974" t="s">
        <v>11153</v>
      </c>
      <c r="AQ1974" t="s">
        <v>11164</v>
      </c>
      <c r="AS1974" t="s">
        <v>11173</v>
      </c>
      <c r="AU1974">
        <v>23</v>
      </c>
      <c r="AW1974" t="s">
        <v>11188</v>
      </c>
      <c r="AY1974" t="s">
        <v>11213</v>
      </c>
      <c r="BA1974" t="s">
        <v>11222</v>
      </c>
      <c r="BE1974" t="s">
        <v>12778</v>
      </c>
      <c r="BG1974" t="s">
        <v>14852</v>
      </c>
      <c r="BM1974" t="s">
        <v>15650</v>
      </c>
    </row>
    <row r="1975" spans="1:65">
      <c r="A1975" s="1">
        <f>HYPERLINK("https://lsnyc.legalserver.org/matter/dynamic-profile/view/1878325","18-1878325")</f>
        <v>0</v>
      </c>
      <c r="B1975" t="s">
        <v>141</v>
      </c>
      <c r="C1975" t="s">
        <v>245</v>
      </c>
      <c r="D1975" t="s">
        <v>573</v>
      </c>
      <c r="F1975" t="s">
        <v>1967</v>
      </c>
      <c r="G1975" t="s">
        <v>3753</v>
      </c>
      <c r="H1975" t="s">
        <v>5443</v>
      </c>
      <c r="I1975">
        <v>1</v>
      </c>
      <c r="J1975" t="s">
        <v>7169</v>
      </c>
      <c r="K1975">
        <v>10033</v>
      </c>
      <c r="N1975" t="s">
        <v>7237</v>
      </c>
      <c r="O1975" t="s">
        <v>8500</v>
      </c>
      <c r="P1975">
        <v>2</v>
      </c>
      <c r="Q1975">
        <v>1</v>
      </c>
      <c r="R1975">
        <v>87.58</v>
      </c>
      <c r="U1975">
        <v>18200</v>
      </c>
      <c r="W1975">
        <v>1.8</v>
      </c>
      <c r="X1975" t="s">
        <v>473</v>
      </c>
      <c r="Y1975" t="s">
        <v>10859</v>
      </c>
      <c r="AA1975" t="s">
        <v>10974</v>
      </c>
      <c r="AB1975" t="s">
        <v>279</v>
      </c>
      <c r="AD1975" t="s">
        <v>11082</v>
      </c>
      <c r="AF1975" t="s">
        <v>11119</v>
      </c>
      <c r="AH1975" t="s">
        <v>10975</v>
      </c>
      <c r="AJ1975" t="s">
        <v>11137</v>
      </c>
      <c r="AK1975" t="s">
        <v>7225</v>
      </c>
      <c r="AM1975">
        <v>1157.5</v>
      </c>
      <c r="AN1975" t="s">
        <v>11151</v>
      </c>
      <c r="AO1975" t="s">
        <v>11153</v>
      </c>
      <c r="AQ1975" t="s">
        <v>11157</v>
      </c>
      <c r="AS1975" t="s">
        <v>11173</v>
      </c>
      <c r="AU1975">
        <v>14</v>
      </c>
      <c r="AW1975" t="s">
        <v>11189</v>
      </c>
      <c r="AZ1975" t="s">
        <v>11221</v>
      </c>
      <c r="BD1975" t="s">
        <v>11667</v>
      </c>
      <c r="BG1975" t="s">
        <v>14853</v>
      </c>
      <c r="BM1975" t="s">
        <v>15650</v>
      </c>
    </row>
    <row r="1976" spans="1:65">
      <c r="A1976" s="1">
        <f>HYPERLINK("https://lsnyc.legalserver.org/matter/dynamic-profile/view/1891156","19-1891156")</f>
        <v>0</v>
      </c>
      <c r="B1976" t="s">
        <v>141</v>
      </c>
      <c r="C1976" t="s">
        <v>245</v>
      </c>
      <c r="D1976" t="s">
        <v>586</v>
      </c>
      <c r="F1976" t="s">
        <v>1968</v>
      </c>
      <c r="G1976" t="s">
        <v>3754</v>
      </c>
      <c r="H1976" t="s">
        <v>5444</v>
      </c>
      <c r="I1976">
        <v>5</v>
      </c>
      <c r="J1976" t="s">
        <v>7169</v>
      </c>
      <c r="K1976">
        <v>10013</v>
      </c>
      <c r="N1976" t="s">
        <v>7237</v>
      </c>
      <c r="O1976" t="s">
        <v>8501</v>
      </c>
      <c r="P1976">
        <v>1</v>
      </c>
      <c r="Q1976">
        <v>0</v>
      </c>
      <c r="R1976">
        <v>249.8</v>
      </c>
      <c r="U1976">
        <v>31200</v>
      </c>
      <c r="W1976">
        <v>0</v>
      </c>
      <c r="Y1976" t="s">
        <v>10862</v>
      </c>
      <c r="Z1976" t="s">
        <v>10972</v>
      </c>
      <c r="AA1976" t="s">
        <v>10975</v>
      </c>
      <c r="AD1976" t="s">
        <v>11086</v>
      </c>
      <c r="AF1976" t="s">
        <v>11121</v>
      </c>
      <c r="AH1976" t="s">
        <v>10975</v>
      </c>
      <c r="AJ1976" t="s">
        <v>11134</v>
      </c>
      <c r="AK1976" t="s">
        <v>7225</v>
      </c>
      <c r="AL1976" t="s">
        <v>11150</v>
      </c>
      <c r="AM1976">
        <v>0</v>
      </c>
      <c r="AN1976" t="s">
        <v>11151</v>
      </c>
      <c r="AO1976" t="s">
        <v>11153</v>
      </c>
      <c r="AQ1976" t="s">
        <v>11164</v>
      </c>
      <c r="AS1976" t="s">
        <v>11173</v>
      </c>
      <c r="AU1976">
        <v>3</v>
      </c>
      <c r="AW1976" t="s">
        <v>11192</v>
      </c>
      <c r="AX1976" t="s">
        <v>11212</v>
      </c>
      <c r="AZ1976" t="s">
        <v>11221</v>
      </c>
      <c r="BD1976" t="s">
        <v>11667</v>
      </c>
      <c r="BF1976" t="s">
        <v>14364</v>
      </c>
      <c r="BM1976" t="s">
        <v>15650</v>
      </c>
    </row>
    <row r="1977" spans="1:65">
      <c r="A1977" s="1">
        <f>HYPERLINK("https://lsnyc.legalserver.org/matter/dynamic-profile/view/1877019","18-1877019")</f>
        <v>0</v>
      </c>
      <c r="B1977" t="s">
        <v>141</v>
      </c>
      <c r="C1977" t="s">
        <v>245</v>
      </c>
      <c r="D1977" t="s">
        <v>516</v>
      </c>
      <c r="F1977" t="s">
        <v>1111</v>
      </c>
      <c r="G1977" t="s">
        <v>3755</v>
      </c>
      <c r="H1977" t="s">
        <v>5445</v>
      </c>
      <c r="I1977" t="s">
        <v>6440</v>
      </c>
      <c r="J1977" t="s">
        <v>7169</v>
      </c>
      <c r="K1977">
        <v>10030</v>
      </c>
      <c r="N1977" t="s">
        <v>7237</v>
      </c>
      <c r="O1977" t="s">
        <v>832</v>
      </c>
      <c r="P1977">
        <v>2</v>
      </c>
      <c r="Q1977">
        <v>4</v>
      </c>
      <c r="R1977">
        <v>14.95</v>
      </c>
      <c r="U1977">
        <v>5044</v>
      </c>
      <c r="W1977">
        <v>10.65</v>
      </c>
      <c r="X1977" t="s">
        <v>543</v>
      </c>
      <c r="Y1977" t="s">
        <v>10859</v>
      </c>
      <c r="AA1977" t="s">
        <v>10974</v>
      </c>
      <c r="AB1977" t="s">
        <v>516</v>
      </c>
      <c r="AD1977" t="s">
        <v>11082</v>
      </c>
      <c r="AF1977" t="s">
        <v>10384</v>
      </c>
      <c r="AH1977" t="s">
        <v>10975</v>
      </c>
      <c r="AJ1977" t="s">
        <v>11130</v>
      </c>
      <c r="AK1977" t="s">
        <v>7225</v>
      </c>
      <c r="AM1977">
        <v>1950</v>
      </c>
      <c r="AO1977">
        <v>30</v>
      </c>
      <c r="AQ1977" t="s">
        <v>11157</v>
      </c>
      <c r="AS1977" t="s">
        <v>11173</v>
      </c>
      <c r="AU1977">
        <v>13</v>
      </c>
      <c r="AW1977" t="s">
        <v>11187</v>
      </c>
      <c r="AZ1977" t="s">
        <v>11221</v>
      </c>
      <c r="BE1977" t="s">
        <v>12779</v>
      </c>
      <c r="BG1977" t="s">
        <v>14854</v>
      </c>
      <c r="BM1977" t="s">
        <v>15650</v>
      </c>
    </row>
    <row r="1978" spans="1:65">
      <c r="A1978" s="1">
        <f>HYPERLINK("https://lsnyc.legalserver.org/matter/dynamic-profile/view/1905734","19-1905734")</f>
        <v>0</v>
      </c>
      <c r="B1978" t="s">
        <v>142</v>
      </c>
      <c r="C1978" t="s">
        <v>248</v>
      </c>
      <c r="D1978" t="s">
        <v>511</v>
      </c>
      <c r="F1978" t="s">
        <v>1178</v>
      </c>
      <c r="G1978" t="s">
        <v>3346</v>
      </c>
      <c r="H1978" t="s">
        <v>5446</v>
      </c>
      <c r="I1978" t="s">
        <v>6482</v>
      </c>
      <c r="J1978" t="s">
        <v>7174</v>
      </c>
      <c r="K1978">
        <v>11233</v>
      </c>
      <c r="N1978" t="s">
        <v>7237</v>
      </c>
      <c r="O1978" t="s">
        <v>8502</v>
      </c>
      <c r="P1978">
        <v>1</v>
      </c>
      <c r="Q1978">
        <v>0</v>
      </c>
      <c r="R1978">
        <v>464.37</v>
      </c>
      <c r="U1978">
        <v>58000</v>
      </c>
      <c r="V1978" t="s">
        <v>10479</v>
      </c>
      <c r="W1978">
        <v>0.1</v>
      </c>
      <c r="X1978" t="s">
        <v>671</v>
      </c>
      <c r="Y1978" t="s">
        <v>225</v>
      </c>
      <c r="AA1978" t="s">
        <v>10974</v>
      </c>
      <c r="AD1978" t="s">
        <v>11100</v>
      </c>
      <c r="AF1978" t="s">
        <v>10384</v>
      </c>
      <c r="AH1978" t="s">
        <v>10974</v>
      </c>
      <c r="AJ1978" t="s">
        <v>11129</v>
      </c>
      <c r="AK1978" t="s">
        <v>7225</v>
      </c>
      <c r="AM1978">
        <v>1200</v>
      </c>
      <c r="AO1978">
        <v>6</v>
      </c>
      <c r="AQ1978" t="s">
        <v>11157</v>
      </c>
      <c r="AS1978" t="s">
        <v>11173</v>
      </c>
      <c r="AU1978">
        <v>6</v>
      </c>
      <c r="AW1978" t="s">
        <v>11187</v>
      </c>
      <c r="AY1978" t="s">
        <v>11213</v>
      </c>
      <c r="BA1978" t="s">
        <v>11222</v>
      </c>
      <c r="BC1978" t="s">
        <v>11228</v>
      </c>
      <c r="BE1978" t="s">
        <v>12780</v>
      </c>
      <c r="BF1978" t="s">
        <v>14364</v>
      </c>
      <c r="BG1978" t="s">
        <v>14410</v>
      </c>
      <c r="BM1978" t="s">
        <v>15650</v>
      </c>
    </row>
    <row r="1979" spans="1:65">
      <c r="A1979" s="1">
        <f>HYPERLINK("https://lsnyc.legalserver.org/matter/dynamic-profile/view/1905713","19-1905713")</f>
        <v>0</v>
      </c>
      <c r="B1979" t="s">
        <v>142</v>
      </c>
      <c r="C1979" t="s">
        <v>248</v>
      </c>
      <c r="D1979" t="s">
        <v>511</v>
      </c>
      <c r="F1979" t="s">
        <v>1969</v>
      </c>
      <c r="G1979" t="s">
        <v>3654</v>
      </c>
      <c r="H1979" t="s">
        <v>5446</v>
      </c>
      <c r="I1979" t="s">
        <v>6432</v>
      </c>
      <c r="J1979" t="s">
        <v>7174</v>
      </c>
      <c r="K1979">
        <v>11233</v>
      </c>
      <c r="N1979" t="s">
        <v>7237</v>
      </c>
      <c r="O1979" t="s">
        <v>8503</v>
      </c>
      <c r="P1979">
        <v>2</v>
      </c>
      <c r="Q1979">
        <v>1</v>
      </c>
      <c r="R1979">
        <v>52.77</v>
      </c>
      <c r="U1979">
        <v>11256</v>
      </c>
      <c r="W1979">
        <v>0</v>
      </c>
      <c r="Y1979" t="s">
        <v>225</v>
      </c>
      <c r="AA1979" t="s">
        <v>10974</v>
      </c>
      <c r="AB1979" t="s">
        <v>10984</v>
      </c>
      <c r="AD1979" t="s">
        <v>11100</v>
      </c>
      <c r="AF1979" t="s">
        <v>10384</v>
      </c>
      <c r="AH1979" t="s">
        <v>10974</v>
      </c>
      <c r="AJ1979" t="s">
        <v>11129</v>
      </c>
      <c r="AK1979" t="s">
        <v>7225</v>
      </c>
      <c r="AM1979">
        <v>867</v>
      </c>
      <c r="AO1979">
        <v>6</v>
      </c>
      <c r="AQ1979" t="s">
        <v>11157</v>
      </c>
      <c r="AS1979" t="s">
        <v>11173</v>
      </c>
      <c r="AU1979">
        <v>16</v>
      </c>
      <c r="AW1979" t="s">
        <v>11187</v>
      </c>
      <c r="AY1979" t="s">
        <v>11213</v>
      </c>
      <c r="BA1979" t="s">
        <v>11222</v>
      </c>
      <c r="BC1979" t="s">
        <v>11234</v>
      </c>
      <c r="BE1979" t="s">
        <v>12781</v>
      </c>
      <c r="BF1979" t="s">
        <v>14364</v>
      </c>
      <c r="BG1979" t="s">
        <v>11086</v>
      </c>
      <c r="BM1979" t="s">
        <v>15650</v>
      </c>
    </row>
    <row r="1980" spans="1:65">
      <c r="A1980" s="1">
        <f>HYPERLINK("https://lsnyc.legalserver.org/matter/dynamic-profile/view/1836206","17-1836206")</f>
        <v>0</v>
      </c>
      <c r="B1980" t="s">
        <v>142</v>
      </c>
      <c r="C1980" t="s">
        <v>248</v>
      </c>
      <c r="D1980" t="s">
        <v>455</v>
      </c>
      <c r="F1980" t="s">
        <v>1865</v>
      </c>
      <c r="G1980" t="s">
        <v>2921</v>
      </c>
      <c r="H1980" t="s">
        <v>5366</v>
      </c>
      <c r="I1980" t="s">
        <v>6425</v>
      </c>
      <c r="J1980" t="s">
        <v>7174</v>
      </c>
      <c r="K1980">
        <v>11212</v>
      </c>
      <c r="N1980" t="s">
        <v>7237</v>
      </c>
      <c r="O1980" t="s">
        <v>7405</v>
      </c>
      <c r="P1980">
        <v>2</v>
      </c>
      <c r="Q1980">
        <v>0</v>
      </c>
      <c r="R1980">
        <v>92.81</v>
      </c>
      <c r="U1980">
        <v>21672</v>
      </c>
      <c r="W1980">
        <v>1.85</v>
      </c>
      <c r="X1980" t="s">
        <v>354</v>
      </c>
      <c r="Y1980" t="s">
        <v>76</v>
      </c>
      <c r="AA1980" t="s">
        <v>10974</v>
      </c>
      <c r="AB1980" t="s">
        <v>455</v>
      </c>
      <c r="AD1980" t="s">
        <v>11096</v>
      </c>
      <c r="AF1980" t="s">
        <v>11122</v>
      </c>
      <c r="AH1980" t="s">
        <v>10974</v>
      </c>
      <c r="AJ1980" t="s">
        <v>11129</v>
      </c>
      <c r="AK1980" t="s">
        <v>7225</v>
      </c>
      <c r="AM1980">
        <v>755</v>
      </c>
      <c r="AO1980">
        <v>31</v>
      </c>
      <c r="AQ1980" t="s">
        <v>11157</v>
      </c>
      <c r="AR1980" t="s">
        <v>11172</v>
      </c>
      <c r="AU1980">
        <v>30</v>
      </c>
      <c r="AW1980" t="s">
        <v>11187</v>
      </c>
      <c r="AZ1980" t="s">
        <v>11221</v>
      </c>
      <c r="BE1980" t="s">
        <v>12635</v>
      </c>
      <c r="BF1980" t="s">
        <v>14364</v>
      </c>
      <c r="BM1980" t="s">
        <v>15650</v>
      </c>
    </row>
    <row r="1981" spans="1:65">
      <c r="A1981" s="1">
        <f>HYPERLINK("https://lsnyc.legalserver.org/matter/dynamic-profile/view/1895374","19-1895374")</f>
        <v>0</v>
      </c>
      <c r="B1981" t="s">
        <v>142</v>
      </c>
      <c r="C1981" t="s">
        <v>248</v>
      </c>
      <c r="D1981" t="s">
        <v>299</v>
      </c>
      <c r="F1981" t="s">
        <v>1844</v>
      </c>
      <c r="G1981" t="s">
        <v>3079</v>
      </c>
      <c r="H1981" t="s">
        <v>5053</v>
      </c>
      <c r="I1981" t="s">
        <v>6419</v>
      </c>
      <c r="J1981" t="s">
        <v>7174</v>
      </c>
      <c r="K1981">
        <v>11212</v>
      </c>
      <c r="N1981" t="s">
        <v>7237</v>
      </c>
      <c r="O1981" t="s">
        <v>8470</v>
      </c>
      <c r="P1981">
        <v>2</v>
      </c>
      <c r="Q1981">
        <v>0</v>
      </c>
      <c r="R1981">
        <v>336.72</v>
      </c>
      <c r="S1981" t="s">
        <v>512</v>
      </c>
      <c r="T1981" t="s">
        <v>10276</v>
      </c>
      <c r="U1981">
        <v>56940</v>
      </c>
      <c r="W1981">
        <v>0</v>
      </c>
      <c r="Y1981" t="s">
        <v>101</v>
      </c>
      <c r="AA1981" t="s">
        <v>10974</v>
      </c>
      <c r="AB1981" t="s">
        <v>299</v>
      </c>
      <c r="AD1981" t="s">
        <v>11097</v>
      </c>
      <c r="AF1981" t="s">
        <v>11123</v>
      </c>
      <c r="AH1981" t="s">
        <v>10974</v>
      </c>
      <c r="AJ1981" t="s">
        <v>11134</v>
      </c>
      <c r="AK1981" t="s">
        <v>7225</v>
      </c>
      <c r="AM1981">
        <v>1122</v>
      </c>
      <c r="AN1981" t="s">
        <v>11151</v>
      </c>
      <c r="AO1981" t="s">
        <v>11153</v>
      </c>
      <c r="AQ1981" t="s">
        <v>11157</v>
      </c>
      <c r="AR1981" t="s">
        <v>11172</v>
      </c>
      <c r="AU1981">
        <v>3</v>
      </c>
      <c r="AW1981" t="s">
        <v>11187</v>
      </c>
      <c r="AZ1981" t="s">
        <v>11221</v>
      </c>
      <c r="BD1981" t="s">
        <v>11667</v>
      </c>
      <c r="BG1981" t="s">
        <v>14393</v>
      </c>
      <c r="BM1981" t="s">
        <v>15650</v>
      </c>
    </row>
    <row r="1982" spans="1:65">
      <c r="A1982" s="1">
        <f>HYPERLINK("https://lsnyc.legalserver.org/matter/dynamic-profile/view/1836056","17-1836056")</f>
        <v>0</v>
      </c>
      <c r="B1982" t="s">
        <v>142</v>
      </c>
      <c r="C1982" t="s">
        <v>248</v>
      </c>
      <c r="D1982" t="s">
        <v>803</v>
      </c>
      <c r="F1982" t="s">
        <v>1860</v>
      </c>
      <c r="G1982" t="s">
        <v>3660</v>
      </c>
      <c r="H1982" t="s">
        <v>5366</v>
      </c>
      <c r="I1982" t="s">
        <v>6447</v>
      </c>
      <c r="J1982" t="s">
        <v>7174</v>
      </c>
      <c r="K1982">
        <v>11212</v>
      </c>
      <c r="N1982" t="s">
        <v>7237</v>
      </c>
      <c r="O1982" t="s">
        <v>7292</v>
      </c>
      <c r="P1982">
        <v>1</v>
      </c>
      <c r="Q1982">
        <v>0</v>
      </c>
      <c r="R1982">
        <v>199</v>
      </c>
      <c r="U1982">
        <v>24000</v>
      </c>
      <c r="W1982">
        <v>0.1</v>
      </c>
      <c r="X1982" t="s">
        <v>803</v>
      </c>
      <c r="Y1982" t="s">
        <v>76</v>
      </c>
      <c r="AA1982" t="s">
        <v>10974</v>
      </c>
      <c r="AB1982" t="s">
        <v>803</v>
      </c>
      <c r="AD1982" t="s">
        <v>11096</v>
      </c>
      <c r="AF1982" t="s">
        <v>10384</v>
      </c>
      <c r="AH1982" t="s">
        <v>10974</v>
      </c>
      <c r="AJ1982" t="s">
        <v>11129</v>
      </c>
      <c r="AK1982" t="s">
        <v>7225</v>
      </c>
      <c r="AM1982">
        <v>920.21</v>
      </c>
      <c r="AO1982">
        <v>31</v>
      </c>
      <c r="AQ1982" t="s">
        <v>11157</v>
      </c>
      <c r="AR1982" t="s">
        <v>11172</v>
      </c>
      <c r="AU1982">
        <v>18</v>
      </c>
      <c r="AW1982" t="s">
        <v>11187</v>
      </c>
      <c r="AZ1982" t="s">
        <v>11221</v>
      </c>
      <c r="BE1982" t="s">
        <v>12630</v>
      </c>
      <c r="BF1982" t="s">
        <v>14364</v>
      </c>
      <c r="BM1982" t="s">
        <v>15650</v>
      </c>
    </row>
    <row r="1983" spans="1:65">
      <c r="A1983" s="1">
        <f>HYPERLINK("https://lsnyc.legalserver.org/matter/dynamic-profile/view/1905780","19-1905780")</f>
        <v>0</v>
      </c>
      <c r="B1983" t="s">
        <v>142</v>
      </c>
      <c r="C1983" t="s">
        <v>248</v>
      </c>
      <c r="D1983" t="s">
        <v>511</v>
      </c>
      <c r="F1983" t="s">
        <v>1370</v>
      </c>
      <c r="G1983" t="s">
        <v>3125</v>
      </c>
      <c r="H1983" t="s">
        <v>5065</v>
      </c>
      <c r="I1983" t="s">
        <v>6419</v>
      </c>
      <c r="J1983" t="s">
        <v>7174</v>
      </c>
      <c r="K1983">
        <v>11212</v>
      </c>
      <c r="N1983" t="s">
        <v>7237</v>
      </c>
      <c r="O1983" t="s">
        <v>7807</v>
      </c>
      <c r="P1983">
        <v>1</v>
      </c>
      <c r="Q1983">
        <v>0</v>
      </c>
      <c r="R1983">
        <v>248.47</v>
      </c>
      <c r="U1983">
        <v>31033.6</v>
      </c>
      <c r="V1983" t="s">
        <v>10480</v>
      </c>
      <c r="W1983">
        <v>0</v>
      </c>
      <c r="Y1983" t="s">
        <v>225</v>
      </c>
      <c r="AA1983" t="s">
        <v>10974</v>
      </c>
      <c r="AB1983" t="s">
        <v>370</v>
      </c>
      <c r="AD1983" t="s">
        <v>11086</v>
      </c>
      <c r="AF1983" t="s">
        <v>10384</v>
      </c>
      <c r="AH1983" t="s">
        <v>10974</v>
      </c>
      <c r="AJ1983" t="s">
        <v>11129</v>
      </c>
      <c r="AK1983" t="s">
        <v>7225</v>
      </c>
      <c r="AM1983">
        <v>839.77</v>
      </c>
      <c r="AO1983">
        <v>8</v>
      </c>
      <c r="AQ1983" t="s">
        <v>11157</v>
      </c>
      <c r="AS1983" t="s">
        <v>11173</v>
      </c>
      <c r="AU1983">
        <v>24</v>
      </c>
      <c r="AW1983" t="s">
        <v>11187</v>
      </c>
      <c r="AY1983" t="s">
        <v>11213</v>
      </c>
      <c r="BA1983" t="s">
        <v>11222</v>
      </c>
      <c r="BC1983" t="s">
        <v>11228</v>
      </c>
      <c r="BE1983" t="s">
        <v>12149</v>
      </c>
      <c r="BF1983" t="s">
        <v>14364</v>
      </c>
      <c r="BG1983" t="s">
        <v>11228</v>
      </c>
      <c r="BM1983" t="s">
        <v>15650</v>
      </c>
    </row>
    <row r="1984" spans="1:65">
      <c r="A1984" s="1">
        <f>HYPERLINK("https://lsnyc.legalserver.org/matter/dynamic-profile/view/0813904","16-0813904")</f>
        <v>0</v>
      </c>
      <c r="B1984" t="s">
        <v>142</v>
      </c>
      <c r="C1984" t="s">
        <v>248</v>
      </c>
      <c r="D1984" t="s">
        <v>695</v>
      </c>
      <c r="F1984" t="s">
        <v>1970</v>
      </c>
      <c r="G1984" t="s">
        <v>3756</v>
      </c>
      <c r="H1984" t="s">
        <v>5090</v>
      </c>
      <c r="I1984" t="s">
        <v>6413</v>
      </c>
      <c r="J1984" t="s">
        <v>7174</v>
      </c>
      <c r="K1984">
        <v>11208</v>
      </c>
      <c r="N1984" t="s">
        <v>7237</v>
      </c>
      <c r="O1984" t="s">
        <v>8504</v>
      </c>
      <c r="P1984">
        <v>1</v>
      </c>
      <c r="Q1984">
        <v>1</v>
      </c>
      <c r="R1984">
        <v>67.75</v>
      </c>
      <c r="U1984">
        <v>10853.04</v>
      </c>
      <c r="W1984">
        <v>90.95</v>
      </c>
      <c r="X1984" t="s">
        <v>845</v>
      </c>
      <c r="Y1984" t="s">
        <v>158</v>
      </c>
      <c r="AA1984" t="s">
        <v>10974</v>
      </c>
      <c r="AB1984" t="s">
        <v>11037</v>
      </c>
      <c r="AD1984" t="s">
        <v>11082</v>
      </c>
      <c r="AF1984" t="s">
        <v>11118</v>
      </c>
      <c r="AH1984" t="s">
        <v>10975</v>
      </c>
      <c r="AJ1984" t="s">
        <v>11129</v>
      </c>
      <c r="AK1984" t="s">
        <v>7225</v>
      </c>
      <c r="AM1984">
        <v>984.01</v>
      </c>
      <c r="AO1984">
        <v>53</v>
      </c>
      <c r="AQ1984" t="s">
        <v>11157</v>
      </c>
      <c r="AS1984" t="s">
        <v>11173</v>
      </c>
      <c r="AU1984">
        <v>11</v>
      </c>
      <c r="AW1984" t="s">
        <v>11187</v>
      </c>
      <c r="AZ1984" t="s">
        <v>11221</v>
      </c>
      <c r="BC1984" t="s">
        <v>11397</v>
      </c>
      <c r="BE1984" t="s">
        <v>12782</v>
      </c>
      <c r="BG1984" t="s">
        <v>14855</v>
      </c>
      <c r="BM1984" t="s">
        <v>15650</v>
      </c>
    </row>
    <row r="1985" spans="1:65">
      <c r="A1985" s="1">
        <f>HYPERLINK("https://lsnyc.legalserver.org/matter/dynamic-profile/view/0826220","17-0826220")</f>
        <v>0</v>
      </c>
      <c r="B1985" t="s">
        <v>142</v>
      </c>
      <c r="C1985" t="s">
        <v>248</v>
      </c>
      <c r="D1985" t="s">
        <v>378</v>
      </c>
      <c r="F1985" t="s">
        <v>1873</v>
      </c>
      <c r="G1985" t="s">
        <v>3672</v>
      </c>
      <c r="H1985" t="s">
        <v>5366</v>
      </c>
      <c r="J1985" t="s">
        <v>7174</v>
      </c>
      <c r="K1985">
        <v>11212</v>
      </c>
      <c r="N1985" t="s">
        <v>7237</v>
      </c>
      <c r="O1985" t="s">
        <v>8363</v>
      </c>
      <c r="P1985">
        <v>1</v>
      </c>
      <c r="Q1985">
        <v>0</v>
      </c>
      <c r="R1985">
        <v>76.62</v>
      </c>
      <c r="U1985">
        <v>9240</v>
      </c>
      <c r="W1985">
        <v>194.7</v>
      </c>
      <c r="X1985" t="s">
        <v>354</v>
      </c>
      <c r="Y1985" t="s">
        <v>225</v>
      </c>
      <c r="AA1985" t="s">
        <v>10974</v>
      </c>
      <c r="AB1985" t="s">
        <v>772</v>
      </c>
      <c r="AD1985" t="s">
        <v>11086</v>
      </c>
      <c r="AF1985" t="s">
        <v>11122</v>
      </c>
      <c r="AH1985" t="s">
        <v>10974</v>
      </c>
      <c r="AJ1985" t="s">
        <v>11129</v>
      </c>
      <c r="AK1985" t="s">
        <v>7225</v>
      </c>
      <c r="AM1985">
        <v>932</v>
      </c>
      <c r="AO1985">
        <v>31</v>
      </c>
      <c r="AQ1985" t="s">
        <v>11157</v>
      </c>
      <c r="AS1985" t="s">
        <v>11173</v>
      </c>
      <c r="AU1985">
        <v>13</v>
      </c>
      <c r="AW1985" t="s">
        <v>11187</v>
      </c>
      <c r="AZ1985" t="s">
        <v>11221</v>
      </c>
      <c r="BE1985" t="s">
        <v>12651</v>
      </c>
      <c r="BG1985" t="s">
        <v>14789</v>
      </c>
      <c r="BM1985" t="s">
        <v>15650</v>
      </c>
    </row>
    <row r="1986" spans="1:65">
      <c r="A1986" s="1">
        <f>HYPERLINK("https://lsnyc.legalserver.org/matter/dynamic-profile/view/1905694","19-1905694")</f>
        <v>0</v>
      </c>
      <c r="B1986" t="s">
        <v>142</v>
      </c>
      <c r="C1986" t="s">
        <v>248</v>
      </c>
      <c r="D1986" t="s">
        <v>511</v>
      </c>
      <c r="F1986" t="s">
        <v>1773</v>
      </c>
      <c r="G1986" t="s">
        <v>3757</v>
      </c>
      <c r="H1986" t="s">
        <v>5446</v>
      </c>
      <c r="I1986" t="s">
        <v>6426</v>
      </c>
      <c r="J1986" t="s">
        <v>7174</v>
      </c>
      <c r="K1986">
        <v>11233</v>
      </c>
      <c r="N1986" t="s">
        <v>7237</v>
      </c>
      <c r="O1986" t="s">
        <v>8505</v>
      </c>
      <c r="P1986">
        <v>2</v>
      </c>
      <c r="Q1986">
        <v>0</v>
      </c>
      <c r="R1986">
        <v>75.65000000000001</v>
      </c>
      <c r="U1986">
        <v>12792</v>
      </c>
      <c r="W1986">
        <v>0</v>
      </c>
      <c r="Y1986" t="s">
        <v>225</v>
      </c>
      <c r="AA1986" t="s">
        <v>10974</v>
      </c>
      <c r="AB1986" t="s">
        <v>569</v>
      </c>
      <c r="AD1986" t="s">
        <v>11100</v>
      </c>
      <c r="AF1986" t="s">
        <v>10384</v>
      </c>
      <c r="AH1986" t="s">
        <v>10974</v>
      </c>
      <c r="AJ1986" t="s">
        <v>11129</v>
      </c>
      <c r="AK1986" t="s">
        <v>7225</v>
      </c>
      <c r="AM1986">
        <v>900</v>
      </c>
      <c r="AO1986">
        <v>6</v>
      </c>
      <c r="AQ1986" t="s">
        <v>11157</v>
      </c>
      <c r="AS1986" t="s">
        <v>11173</v>
      </c>
      <c r="AU1986">
        <v>16</v>
      </c>
      <c r="AW1986" t="s">
        <v>11187</v>
      </c>
      <c r="AY1986" t="s">
        <v>11213</v>
      </c>
      <c r="BA1986" t="s">
        <v>11222</v>
      </c>
      <c r="BC1986" t="s">
        <v>11234</v>
      </c>
      <c r="BE1986" t="s">
        <v>12783</v>
      </c>
      <c r="BF1986" t="s">
        <v>14364</v>
      </c>
      <c r="BM1986" t="s">
        <v>15650</v>
      </c>
    </row>
    <row r="1987" spans="1:65">
      <c r="A1987" s="1">
        <f>HYPERLINK("https://lsnyc.legalserver.org/matter/dynamic-profile/view/1905696","19-1905696")</f>
        <v>0</v>
      </c>
      <c r="B1987" t="s">
        <v>142</v>
      </c>
      <c r="C1987" t="s">
        <v>248</v>
      </c>
      <c r="D1987" t="s">
        <v>511</v>
      </c>
      <c r="F1987" t="s">
        <v>1773</v>
      </c>
      <c r="G1987" t="s">
        <v>3757</v>
      </c>
      <c r="H1987" t="s">
        <v>5446</v>
      </c>
      <c r="I1987" t="s">
        <v>6426</v>
      </c>
      <c r="J1987" t="s">
        <v>7174</v>
      </c>
      <c r="K1987">
        <v>11233</v>
      </c>
      <c r="N1987" t="s">
        <v>7237</v>
      </c>
      <c r="O1987" t="s">
        <v>8505</v>
      </c>
      <c r="P1987">
        <v>2</v>
      </c>
      <c r="Q1987">
        <v>0</v>
      </c>
      <c r="R1987">
        <v>75.65000000000001</v>
      </c>
      <c r="U1987">
        <v>12792</v>
      </c>
      <c r="W1987">
        <v>0</v>
      </c>
      <c r="Y1987" t="s">
        <v>225</v>
      </c>
      <c r="AA1987" t="s">
        <v>10974</v>
      </c>
      <c r="AB1987" t="s">
        <v>483</v>
      </c>
      <c r="AD1987" t="s">
        <v>11100</v>
      </c>
      <c r="AF1987" t="s">
        <v>10384</v>
      </c>
      <c r="AH1987" t="s">
        <v>10974</v>
      </c>
      <c r="AJ1987" t="s">
        <v>11129</v>
      </c>
      <c r="AK1987" t="s">
        <v>7225</v>
      </c>
      <c r="AM1987">
        <v>900</v>
      </c>
      <c r="AO1987">
        <v>6</v>
      </c>
      <c r="AQ1987" t="s">
        <v>11157</v>
      </c>
      <c r="AS1987" t="s">
        <v>11173</v>
      </c>
      <c r="AU1987">
        <v>16</v>
      </c>
      <c r="AW1987" t="s">
        <v>11187</v>
      </c>
      <c r="AY1987" t="s">
        <v>11213</v>
      </c>
      <c r="BA1987" t="s">
        <v>11222</v>
      </c>
      <c r="BC1987" t="s">
        <v>11230</v>
      </c>
      <c r="BE1987" t="s">
        <v>12783</v>
      </c>
      <c r="BF1987" t="s">
        <v>14364</v>
      </c>
      <c r="BG1987" t="s">
        <v>14410</v>
      </c>
      <c r="BM1987" t="s">
        <v>15650</v>
      </c>
    </row>
    <row r="1988" spans="1:65">
      <c r="A1988" s="1">
        <f>HYPERLINK("https://lsnyc.legalserver.org/matter/dynamic-profile/view/1868852","18-1868852")</f>
        <v>0</v>
      </c>
      <c r="B1988" t="s">
        <v>142</v>
      </c>
      <c r="C1988" t="s">
        <v>248</v>
      </c>
      <c r="D1988" t="s">
        <v>686</v>
      </c>
      <c r="F1988" t="s">
        <v>1773</v>
      </c>
      <c r="G1988" t="s">
        <v>3757</v>
      </c>
      <c r="H1988" t="s">
        <v>5446</v>
      </c>
      <c r="I1988" t="s">
        <v>6426</v>
      </c>
      <c r="J1988" t="s">
        <v>7174</v>
      </c>
      <c r="K1988">
        <v>11233</v>
      </c>
      <c r="N1988" t="s">
        <v>7237</v>
      </c>
      <c r="O1988" t="s">
        <v>8505</v>
      </c>
      <c r="P1988">
        <v>2</v>
      </c>
      <c r="Q1988">
        <v>0</v>
      </c>
      <c r="R1988">
        <v>73.95</v>
      </c>
      <c r="U1988">
        <v>12172</v>
      </c>
      <c r="W1988">
        <v>26.6</v>
      </c>
      <c r="X1988" t="s">
        <v>671</v>
      </c>
      <c r="Y1988" t="s">
        <v>10910</v>
      </c>
      <c r="AA1988" t="s">
        <v>10974</v>
      </c>
      <c r="AD1988" t="s">
        <v>11100</v>
      </c>
      <c r="AF1988" t="s">
        <v>10384</v>
      </c>
      <c r="AH1988" t="s">
        <v>10974</v>
      </c>
      <c r="AJ1988" t="s">
        <v>11129</v>
      </c>
      <c r="AK1988" t="s">
        <v>7225</v>
      </c>
      <c r="AM1988">
        <v>900</v>
      </c>
      <c r="AO1988">
        <v>6</v>
      </c>
      <c r="AQ1988" t="s">
        <v>11157</v>
      </c>
      <c r="AS1988" t="s">
        <v>11176</v>
      </c>
      <c r="AU1988">
        <v>15</v>
      </c>
      <c r="AW1988" t="s">
        <v>11187</v>
      </c>
      <c r="AX1988" t="s">
        <v>11212</v>
      </c>
      <c r="BA1988" t="s">
        <v>11222</v>
      </c>
      <c r="BE1988" t="s">
        <v>12783</v>
      </c>
      <c r="BF1988" t="s">
        <v>14364</v>
      </c>
      <c r="BG1988" t="s">
        <v>11086</v>
      </c>
      <c r="BM1988" t="s">
        <v>15650</v>
      </c>
    </row>
    <row r="1989" spans="1:65">
      <c r="A1989" s="1">
        <f>HYPERLINK("https://lsnyc.legalserver.org/matter/dynamic-profile/view/0813882","16-0813882")</f>
        <v>0</v>
      </c>
      <c r="B1989" t="s">
        <v>142</v>
      </c>
      <c r="C1989" t="s">
        <v>248</v>
      </c>
      <c r="D1989" t="s">
        <v>695</v>
      </c>
      <c r="F1989" t="s">
        <v>1971</v>
      </c>
      <c r="G1989" t="s">
        <v>3621</v>
      </c>
      <c r="H1989" t="s">
        <v>5447</v>
      </c>
      <c r="I1989" t="s">
        <v>6432</v>
      </c>
      <c r="J1989" t="s">
        <v>7174</v>
      </c>
      <c r="K1989">
        <v>11213</v>
      </c>
      <c r="N1989" t="s">
        <v>7237</v>
      </c>
      <c r="O1989" t="s">
        <v>8506</v>
      </c>
      <c r="P1989">
        <v>1</v>
      </c>
      <c r="Q1989">
        <v>0</v>
      </c>
      <c r="R1989">
        <v>242.42</v>
      </c>
      <c r="S1989" t="s">
        <v>10265</v>
      </c>
      <c r="U1989">
        <v>28800</v>
      </c>
      <c r="V1989" t="s">
        <v>10481</v>
      </c>
      <c r="W1989">
        <v>16.65</v>
      </c>
      <c r="X1989" t="s">
        <v>565</v>
      </c>
      <c r="Y1989" t="s">
        <v>158</v>
      </c>
      <c r="AA1989" t="s">
        <v>10974</v>
      </c>
      <c r="AB1989" t="s">
        <v>695</v>
      </c>
      <c r="AD1989" t="s">
        <v>11082</v>
      </c>
      <c r="AF1989" t="s">
        <v>11118</v>
      </c>
      <c r="AH1989" t="s">
        <v>10974</v>
      </c>
      <c r="AJ1989" t="s">
        <v>11134</v>
      </c>
      <c r="AK1989" t="s">
        <v>7225</v>
      </c>
      <c r="AM1989">
        <v>1125</v>
      </c>
      <c r="AO1989">
        <v>5</v>
      </c>
      <c r="AQ1989" t="s">
        <v>11156</v>
      </c>
      <c r="AS1989" t="s">
        <v>11173</v>
      </c>
      <c r="AU1989">
        <v>5</v>
      </c>
      <c r="AW1989" t="s">
        <v>11187</v>
      </c>
      <c r="AZ1989" t="s">
        <v>11221</v>
      </c>
      <c r="BE1989" t="s">
        <v>12784</v>
      </c>
      <c r="BG1989" t="s">
        <v>14856</v>
      </c>
      <c r="BM1989" t="s">
        <v>15650</v>
      </c>
    </row>
    <row r="1990" spans="1:65">
      <c r="A1990" s="1">
        <f>HYPERLINK("https://lsnyc.legalserver.org/matter/dynamic-profile/view/1836062","17-1836062")</f>
        <v>0</v>
      </c>
      <c r="B1990" t="s">
        <v>142</v>
      </c>
      <c r="C1990" t="s">
        <v>248</v>
      </c>
      <c r="D1990" t="s">
        <v>803</v>
      </c>
      <c r="F1990" t="s">
        <v>1260</v>
      </c>
      <c r="G1990" t="s">
        <v>3651</v>
      </c>
      <c r="H1990" t="s">
        <v>5366</v>
      </c>
      <c r="I1990" t="s">
        <v>6686</v>
      </c>
      <c r="J1990" t="s">
        <v>7174</v>
      </c>
      <c r="K1990">
        <v>11212</v>
      </c>
      <c r="N1990" t="s">
        <v>7237</v>
      </c>
      <c r="O1990" t="s">
        <v>8325</v>
      </c>
      <c r="P1990">
        <v>3</v>
      </c>
      <c r="Q1990">
        <v>0</v>
      </c>
      <c r="R1990">
        <v>235.55</v>
      </c>
      <c r="U1990">
        <v>48100</v>
      </c>
      <c r="V1990" t="s">
        <v>10482</v>
      </c>
      <c r="W1990">
        <v>0.1</v>
      </c>
      <c r="X1990" t="s">
        <v>803</v>
      </c>
      <c r="Y1990" t="s">
        <v>76</v>
      </c>
      <c r="AA1990" t="s">
        <v>10974</v>
      </c>
      <c r="AB1990" t="s">
        <v>803</v>
      </c>
      <c r="AD1990" t="s">
        <v>11096</v>
      </c>
      <c r="AF1990" t="s">
        <v>11122</v>
      </c>
      <c r="AH1990" t="s">
        <v>10974</v>
      </c>
      <c r="AJ1990" t="s">
        <v>11129</v>
      </c>
      <c r="AK1990" t="s">
        <v>7225</v>
      </c>
      <c r="AM1990">
        <v>893.61</v>
      </c>
      <c r="AO1990">
        <v>31</v>
      </c>
      <c r="AQ1990" t="s">
        <v>11157</v>
      </c>
      <c r="AR1990" t="s">
        <v>11172</v>
      </c>
      <c r="AU1990">
        <v>8</v>
      </c>
      <c r="AW1990" t="s">
        <v>11187</v>
      </c>
      <c r="AZ1990" t="s">
        <v>11221</v>
      </c>
      <c r="BE1990" t="s">
        <v>12616</v>
      </c>
      <c r="BF1990" t="s">
        <v>14364</v>
      </c>
      <c r="BM1990" t="s">
        <v>15650</v>
      </c>
    </row>
    <row r="1991" spans="1:65">
      <c r="A1991" s="1">
        <f>HYPERLINK("https://lsnyc.legalserver.org/matter/dynamic-profile/view/1835868","17-1835868")</f>
        <v>0</v>
      </c>
      <c r="B1991" t="s">
        <v>142</v>
      </c>
      <c r="C1991" t="s">
        <v>248</v>
      </c>
      <c r="D1991" t="s">
        <v>804</v>
      </c>
      <c r="F1991" t="s">
        <v>1873</v>
      </c>
      <c r="G1991" t="s">
        <v>3672</v>
      </c>
      <c r="H1991" t="s">
        <v>5366</v>
      </c>
      <c r="J1991" t="s">
        <v>7174</v>
      </c>
      <c r="K1991">
        <v>11212</v>
      </c>
      <c r="N1991" t="s">
        <v>7237</v>
      </c>
      <c r="O1991" t="s">
        <v>8363</v>
      </c>
      <c r="P1991">
        <v>1</v>
      </c>
      <c r="Q1991">
        <v>0</v>
      </c>
      <c r="R1991">
        <v>76.62</v>
      </c>
      <c r="U1991">
        <v>9240</v>
      </c>
      <c r="W1991">
        <v>58.1</v>
      </c>
      <c r="X1991" t="s">
        <v>1075</v>
      </c>
      <c r="Y1991" t="s">
        <v>76</v>
      </c>
      <c r="AA1991" t="s">
        <v>10974</v>
      </c>
      <c r="AB1991" t="s">
        <v>804</v>
      </c>
      <c r="AD1991" t="s">
        <v>11096</v>
      </c>
      <c r="AF1991" t="s">
        <v>11122</v>
      </c>
      <c r="AG1991" t="s">
        <v>11124</v>
      </c>
      <c r="AI1991" t="s">
        <v>11126</v>
      </c>
      <c r="AK1991" t="s">
        <v>7225</v>
      </c>
      <c r="AL1991" t="s">
        <v>11150</v>
      </c>
      <c r="AM1991">
        <v>0</v>
      </c>
      <c r="AO1991">
        <v>31</v>
      </c>
      <c r="AQ1991" t="s">
        <v>11157</v>
      </c>
      <c r="AR1991" t="s">
        <v>11172</v>
      </c>
      <c r="AT1991" t="s">
        <v>11184</v>
      </c>
      <c r="AU1991">
        <v>0</v>
      </c>
      <c r="AW1991" t="s">
        <v>11187</v>
      </c>
      <c r="AZ1991" t="s">
        <v>11221</v>
      </c>
      <c r="BE1991" t="s">
        <v>12651</v>
      </c>
      <c r="BF1991" t="s">
        <v>14364</v>
      </c>
      <c r="BM1991" t="s">
        <v>15650</v>
      </c>
    </row>
    <row r="1992" spans="1:65">
      <c r="A1992" s="1">
        <f>HYPERLINK("https://lsnyc.legalserver.org/matter/dynamic-profile/view/1887762","19-1887762")</f>
        <v>0</v>
      </c>
      <c r="B1992" t="s">
        <v>142</v>
      </c>
      <c r="C1992" t="s">
        <v>248</v>
      </c>
      <c r="D1992" t="s">
        <v>596</v>
      </c>
      <c r="F1992" t="s">
        <v>1970</v>
      </c>
      <c r="G1992" t="s">
        <v>3756</v>
      </c>
      <c r="H1992" t="s">
        <v>5090</v>
      </c>
      <c r="I1992" t="s">
        <v>6413</v>
      </c>
      <c r="J1992" t="s">
        <v>7174</v>
      </c>
      <c r="K1992">
        <v>11208</v>
      </c>
      <c r="N1992" t="s">
        <v>7237</v>
      </c>
      <c r="O1992" t="s">
        <v>8504</v>
      </c>
      <c r="P1992">
        <v>1</v>
      </c>
      <c r="Q1992">
        <v>1</v>
      </c>
      <c r="R1992">
        <v>58.32</v>
      </c>
      <c r="U1992">
        <v>9600</v>
      </c>
      <c r="W1992">
        <v>17</v>
      </c>
      <c r="X1992" t="s">
        <v>272</v>
      </c>
      <c r="Y1992" t="s">
        <v>142</v>
      </c>
      <c r="AA1992" t="s">
        <v>10974</v>
      </c>
      <c r="AB1992" t="s">
        <v>628</v>
      </c>
      <c r="AD1992" t="s">
        <v>11082</v>
      </c>
      <c r="AF1992" t="s">
        <v>11118</v>
      </c>
      <c r="AH1992" t="s">
        <v>10975</v>
      </c>
      <c r="AI1992" t="s">
        <v>11126</v>
      </c>
      <c r="AK1992" t="s">
        <v>7225</v>
      </c>
      <c r="AM1992">
        <v>984.01</v>
      </c>
      <c r="AO1992">
        <v>53</v>
      </c>
      <c r="AQ1992" t="s">
        <v>11157</v>
      </c>
      <c r="AS1992" t="s">
        <v>11176</v>
      </c>
      <c r="AT1992" t="s">
        <v>11184</v>
      </c>
      <c r="AU1992">
        <v>0</v>
      </c>
      <c r="AW1992" t="s">
        <v>11187</v>
      </c>
      <c r="AY1992" t="s">
        <v>11213</v>
      </c>
      <c r="BA1992" t="s">
        <v>11222</v>
      </c>
      <c r="BC1992" t="s">
        <v>11397</v>
      </c>
      <c r="BE1992" t="s">
        <v>12782</v>
      </c>
      <c r="BG1992" t="s">
        <v>14857</v>
      </c>
      <c r="BM1992" t="s">
        <v>15650</v>
      </c>
    </row>
    <row r="1993" spans="1:65">
      <c r="A1993" s="1">
        <f>HYPERLINK("https://lsnyc.legalserver.org/matter/dynamic-profile/view/1836079","17-1836079")</f>
        <v>0</v>
      </c>
      <c r="B1993" t="s">
        <v>142</v>
      </c>
      <c r="C1993" t="s">
        <v>248</v>
      </c>
      <c r="D1993" t="s">
        <v>805</v>
      </c>
      <c r="F1993" t="s">
        <v>1352</v>
      </c>
      <c r="G1993" t="s">
        <v>1656</v>
      </c>
      <c r="H1993" t="s">
        <v>5366</v>
      </c>
      <c r="I1993" t="s">
        <v>6770</v>
      </c>
      <c r="J1993" t="s">
        <v>7174</v>
      </c>
      <c r="K1993">
        <v>11212</v>
      </c>
      <c r="N1993" t="s">
        <v>7237</v>
      </c>
      <c r="O1993" t="s">
        <v>8334</v>
      </c>
      <c r="P1993">
        <v>1</v>
      </c>
      <c r="Q1993">
        <v>0</v>
      </c>
      <c r="R1993">
        <v>119.4</v>
      </c>
      <c r="U1993">
        <v>14400</v>
      </c>
      <c r="W1993">
        <v>0.1</v>
      </c>
      <c r="X1993" t="s">
        <v>805</v>
      </c>
      <c r="Y1993" t="s">
        <v>76</v>
      </c>
      <c r="AA1993" t="s">
        <v>10974</v>
      </c>
      <c r="AB1993" t="s">
        <v>805</v>
      </c>
      <c r="AD1993" t="s">
        <v>11096</v>
      </c>
      <c r="AF1993" t="s">
        <v>11122</v>
      </c>
      <c r="AH1993" t="s">
        <v>10974</v>
      </c>
      <c r="AJ1993" t="s">
        <v>11129</v>
      </c>
      <c r="AK1993" t="s">
        <v>7225</v>
      </c>
      <c r="AM1993">
        <v>900</v>
      </c>
      <c r="AO1993">
        <v>31</v>
      </c>
      <c r="AQ1993" t="s">
        <v>11157</v>
      </c>
      <c r="AR1993" t="s">
        <v>11172</v>
      </c>
      <c r="AU1993">
        <v>18</v>
      </c>
      <c r="AW1993" t="s">
        <v>11187</v>
      </c>
      <c r="AZ1993" t="s">
        <v>11221</v>
      </c>
      <c r="BE1993" t="s">
        <v>12625</v>
      </c>
      <c r="BF1993" t="s">
        <v>14364</v>
      </c>
      <c r="BM1993" t="s">
        <v>15650</v>
      </c>
    </row>
    <row r="1994" spans="1:65">
      <c r="A1994" s="1">
        <f>HYPERLINK("https://lsnyc.legalserver.org/matter/dynamic-profile/view/1861928","18-1861928")</f>
        <v>0</v>
      </c>
      <c r="B1994" t="s">
        <v>142</v>
      </c>
      <c r="C1994" t="s">
        <v>248</v>
      </c>
      <c r="D1994" t="s">
        <v>308</v>
      </c>
      <c r="F1994" t="s">
        <v>1871</v>
      </c>
      <c r="G1994" t="s">
        <v>3670</v>
      </c>
      <c r="H1994" t="s">
        <v>5369</v>
      </c>
      <c r="I1994" t="s">
        <v>6417</v>
      </c>
      <c r="J1994" t="s">
        <v>7174</v>
      </c>
      <c r="K1994">
        <v>11206</v>
      </c>
      <c r="N1994" t="s">
        <v>7237</v>
      </c>
      <c r="O1994" t="s">
        <v>8361</v>
      </c>
      <c r="P1994">
        <v>2</v>
      </c>
      <c r="Q1994">
        <v>0</v>
      </c>
      <c r="R1994">
        <v>48.23</v>
      </c>
      <c r="U1994">
        <v>7938</v>
      </c>
      <c r="W1994">
        <v>12.15</v>
      </c>
      <c r="X1994" t="s">
        <v>587</v>
      </c>
      <c r="Y1994" t="s">
        <v>133</v>
      </c>
      <c r="AA1994" t="s">
        <v>10974</v>
      </c>
      <c r="AB1994" t="s">
        <v>368</v>
      </c>
      <c r="AD1994" t="s">
        <v>11082</v>
      </c>
      <c r="AF1994" t="s">
        <v>11118</v>
      </c>
      <c r="AG1994" t="s">
        <v>11124</v>
      </c>
      <c r="AI1994" t="s">
        <v>11126</v>
      </c>
      <c r="AK1994" t="s">
        <v>7225</v>
      </c>
      <c r="AM1994">
        <v>1307.59</v>
      </c>
      <c r="AO1994">
        <v>11</v>
      </c>
      <c r="AQ1994" t="s">
        <v>11157</v>
      </c>
      <c r="AS1994" t="s">
        <v>11174</v>
      </c>
      <c r="AU1994">
        <v>23</v>
      </c>
      <c r="AW1994" t="s">
        <v>11187</v>
      </c>
      <c r="AZ1994" t="s">
        <v>11221</v>
      </c>
      <c r="BE1994" t="s">
        <v>12649</v>
      </c>
      <c r="BG1994" t="s">
        <v>14858</v>
      </c>
      <c r="BM1994" t="s">
        <v>15650</v>
      </c>
    </row>
    <row r="1995" spans="1:65">
      <c r="A1995" s="1">
        <f>HYPERLINK("https://lsnyc.legalserver.org/matter/dynamic-profile/view/1836085","17-1836085")</f>
        <v>0</v>
      </c>
      <c r="B1995" t="s">
        <v>142</v>
      </c>
      <c r="C1995" t="s">
        <v>248</v>
      </c>
      <c r="D1995" t="s">
        <v>805</v>
      </c>
      <c r="F1995" t="s">
        <v>1872</v>
      </c>
      <c r="G1995" t="s">
        <v>3671</v>
      </c>
      <c r="H1995" t="s">
        <v>5366</v>
      </c>
      <c r="I1995" t="s">
        <v>6609</v>
      </c>
      <c r="J1995" t="s">
        <v>7174</v>
      </c>
      <c r="K1995">
        <v>11212</v>
      </c>
      <c r="N1995" t="s">
        <v>7237</v>
      </c>
      <c r="O1995" t="s">
        <v>8362</v>
      </c>
      <c r="P1995">
        <v>1</v>
      </c>
      <c r="Q1995">
        <v>0</v>
      </c>
      <c r="R1995">
        <v>0</v>
      </c>
      <c r="U1995">
        <v>0</v>
      </c>
      <c r="W1995">
        <v>0.1</v>
      </c>
      <c r="X1995" t="s">
        <v>805</v>
      </c>
      <c r="Y1995" t="s">
        <v>76</v>
      </c>
      <c r="AA1995" t="s">
        <v>10974</v>
      </c>
      <c r="AB1995" t="s">
        <v>805</v>
      </c>
      <c r="AD1995" t="s">
        <v>11096</v>
      </c>
      <c r="AF1995" t="s">
        <v>11122</v>
      </c>
      <c r="AH1995" t="s">
        <v>10974</v>
      </c>
      <c r="AJ1995" t="s">
        <v>11129</v>
      </c>
      <c r="AK1995" t="s">
        <v>7225</v>
      </c>
      <c r="AM1995">
        <v>1180.14</v>
      </c>
      <c r="AO1995">
        <v>31</v>
      </c>
      <c r="AQ1995" t="s">
        <v>11157</v>
      </c>
      <c r="AR1995" t="s">
        <v>11172</v>
      </c>
      <c r="AU1995">
        <v>16</v>
      </c>
      <c r="AW1995" t="s">
        <v>11187</v>
      </c>
      <c r="AZ1995" t="s">
        <v>11221</v>
      </c>
      <c r="BE1995" t="s">
        <v>12650</v>
      </c>
      <c r="BF1995" t="s">
        <v>14364</v>
      </c>
      <c r="BM1995" t="s">
        <v>15650</v>
      </c>
    </row>
    <row r="1996" spans="1:65">
      <c r="A1996" s="1">
        <f>HYPERLINK("https://lsnyc.legalserver.org/matter/dynamic-profile/view/1861493","18-1861493")</f>
        <v>0</v>
      </c>
      <c r="B1996" t="s">
        <v>142</v>
      </c>
      <c r="C1996" t="s">
        <v>248</v>
      </c>
      <c r="D1996" t="s">
        <v>718</v>
      </c>
      <c r="F1996" t="s">
        <v>1969</v>
      </c>
      <c r="G1996" t="s">
        <v>3654</v>
      </c>
      <c r="H1996" t="s">
        <v>5446</v>
      </c>
      <c r="I1996" t="s">
        <v>6432</v>
      </c>
      <c r="J1996" t="s">
        <v>7174</v>
      </c>
      <c r="K1996">
        <v>11233</v>
      </c>
      <c r="N1996" t="s">
        <v>7237</v>
      </c>
      <c r="O1996" t="s">
        <v>8503</v>
      </c>
      <c r="P1996">
        <v>2</v>
      </c>
      <c r="Q1996">
        <v>1</v>
      </c>
      <c r="R1996">
        <v>52.95</v>
      </c>
      <c r="U1996">
        <v>11004</v>
      </c>
      <c r="W1996">
        <v>51.9</v>
      </c>
      <c r="X1996" t="s">
        <v>797</v>
      </c>
      <c r="Y1996" t="s">
        <v>158</v>
      </c>
      <c r="AA1996" t="s">
        <v>10974</v>
      </c>
      <c r="AB1996" t="s">
        <v>717</v>
      </c>
      <c r="AD1996" t="s">
        <v>11082</v>
      </c>
      <c r="AF1996" t="s">
        <v>11118</v>
      </c>
      <c r="AH1996" t="s">
        <v>10975</v>
      </c>
      <c r="AJ1996" t="s">
        <v>11129</v>
      </c>
      <c r="AK1996" t="s">
        <v>7225</v>
      </c>
      <c r="AM1996">
        <v>867</v>
      </c>
      <c r="AO1996">
        <v>6</v>
      </c>
      <c r="AQ1996" t="s">
        <v>11157</v>
      </c>
      <c r="AS1996" t="s">
        <v>11173</v>
      </c>
      <c r="AU1996">
        <v>16</v>
      </c>
      <c r="AW1996" t="s">
        <v>11187</v>
      </c>
      <c r="BA1996" t="s">
        <v>11222</v>
      </c>
      <c r="BE1996" t="s">
        <v>12781</v>
      </c>
      <c r="BF1996" t="s">
        <v>14364</v>
      </c>
      <c r="BM1996" t="s">
        <v>15650</v>
      </c>
    </row>
    <row r="1997" spans="1:65">
      <c r="A1997" s="1">
        <f>HYPERLINK("https://lsnyc.legalserver.org/matter/dynamic-profile/view/1895273","19-1895273")</f>
        <v>0</v>
      </c>
      <c r="B1997" t="s">
        <v>142</v>
      </c>
      <c r="C1997" t="s">
        <v>248</v>
      </c>
      <c r="D1997" t="s">
        <v>299</v>
      </c>
      <c r="F1997" t="s">
        <v>1142</v>
      </c>
      <c r="G1997" t="s">
        <v>3599</v>
      </c>
      <c r="H1997" t="s">
        <v>5065</v>
      </c>
      <c r="I1997" t="s">
        <v>6417</v>
      </c>
      <c r="J1997" t="s">
        <v>7174</v>
      </c>
      <c r="K1997">
        <v>11212</v>
      </c>
      <c r="N1997" t="s">
        <v>7237</v>
      </c>
      <c r="O1997" t="s">
        <v>8507</v>
      </c>
      <c r="P1997">
        <v>2</v>
      </c>
      <c r="Q1997">
        <v>0</v>
      </c>
      <c r="R1997">
        <v>0</v>
      </c>
      <c r="U1997">
        <v>0</v>
      </c>
      <c r="V1997" t="s">
        <v>10483</v>
      </c>
      <c r="W1997">
        <v>1</v>
      </c>
      <c r="X1997" t="s">
        <v>347</v>
      </c>
      <c r="Y1997" t="s">
        <v>225</v>
      </c>
      <c r="AA1997" t="s">
        <v>10974</v>
      </c>
      <c r="AB1997" t="s">
        <v>311</v>
      </c>
      <c r="AD1997" t="s">
        <v>11090</v>
      </c>
      <c r="AF1997" t="s">
        <v>11123</v>
      </c>
      <c r="AH1997" t="s">
        <v>10974</v>
      </c>
      <c r="AJ1997" t="s">
        <v>11144</v>
      </c>
      <c r="AK1997" t="s">
        <v>7225</v>
      </c>
      <c r="AM1997">
        <v>683</v>
      </c>
      <c r="AO1997">
        <v>10</v>
      </c>
      <c r="AQ1997" t="s">
        <v>11157</v>
      </c>
      <c r="AS1997" t="s">
        <v>11173</v>
      </c>
      <c r="AU1997">
        <v>30</v>
      </c>
      <c r="AW1997" t="s">
        <v>11187</v>
      </c>
      <c r="AY1997" t="s">
        <v>11213</v>
      </c>
      <c r="AZ1997" t="s">
        <v>11221</v>
      </c>
      <c r="BA1997" t="s">
        <v>11173</v>
      </c>
      <c r="BD1997" t="s">
        <v>11667</v>
      </c>
      <c r="BG1997" t="s">
        <v>14393</v>
      </c>
      <c r="BM1997" t="s">
        <v>15650</v>
      </c>
    </row>
    <row r="1998" spans="1:65">
      <c r="A1998" s="1">
        <f>HYPERLINK("https://lsnyc.legalserver.org/matter/dynamic-profile/view/1905717","19-1905717")</f>
        <v>0</v>
      </c>
      <c r="B1998" t="s">
        <v>142</v>
      </c>
      <c r="C1998" t="s">
        <v>248</v>
      </c>
      <c r="D1998" t="s">
        <v>511</v>
      </c>
      <c r="F1998" t="s">
        <v>1969</v>
      </c>
      <c r="G1998" t="s">
        <v>3654</v>
      </c>
      <c r="H1998" t="s">
        <v>5446</v>
      </c>
      <c r="I1998" t="s">
        <v>6432</v>
      </c>
      <c r="J1998" t="s">
        <v>7174</v>
      </c>
      <c r="K1998">
        <v>11233</v>
      </c>
      <c r="N1998" t="s">
        <v>7237</v>
      </c>
      <c r="O1998" t="s">
        <v>8503</v>
      </c>
      <c r="P1998">
        <v>2</v>
      </c>
      <c r="Q1998">
        <v>1</v>
      </c>
      <c r="R1998">
        <v>52.77</v>
      </c>
      <c r="U1998">
        <v>11256</v>
      </c>
      <c r="W1998">
        <v>0</v>
      </c>
      <c r="Y1998" t="s">
        <v>225</v>
      </c>
      <c r="AA1998" t="s">
        <v>10974</v>
      </c>
      <c r="AB1998" t="s">
        <v>569</v>
      </c>
      <c r="AD1998" t="s">
        <v>11100</v>
      </c>
      <c r="AF1998" t="s">
        <v>10384</v>
      </c>
      <c r="AH1998" t="s">
        <v>10974</v>
      </c>
      <c r="AJ1998" t="s">
        <v>11129</v>
      </c>
      <c r="AK1998" t="s">
        <v>7225</v>
      </c>
      <c r="AM1998">
        <v>867</v>
      </c>
      <c r="AO1998">
        <v>6</v>
      </c>
      <c r="AQ1998" t="s">
        <v>11157</v>
      </c>
      <c r="AS1998" t="s">
        <v>11173</v>
      </c>
      <c r="AU1998">
        <v>16</v>
      </c>
      <c r="AW1998" t="s">
        <v>11187</v>
      </c>
      <c r="AY1998" t="s">
        <v>11213</v>
      </c>
      <c r="BA1998" t="s">
        <v>11222</v>
      </c>
      <c r="BC1998" t="s">
        <v>11230</v>
      </c>
      <c r="BE1998" t="s">
        <v>12781</v>
      </c>
      <c r="BF1998" t="s">
        <v>14364</v>
      </c>
      <c r="BG1998" t="s">
        <v>14411</v>
      </c>
      <c r="BM1998" t="s">
        <v>15650</v>
      </c>
    </row>
    <row r="1999" spans="1:65">
      <c r="A1999" s="1">
        <f>HYPERLINK("https://lsnyc.legalserver.org/matter/dynamic-profile/view/0806286","16-0806286")</f>
        <v>0</v>
      </c>
      <c r="B1999" t="s">
        <v>142</v>
      </c>
      <c r="C1999" t="s">
        <v>248</v>
      </c>
      <c r="D1999" t="s">
        <v>738</v>
      </c>
      <c r="F1999" t="s">
        <v>1884</v>
      </c>
      <c r="G1999" t="s">
        <v>3628</v>
      </c>
      <c r="H1999" t="s">
        <v>5448</v>
      </c>
      <c r="I1999" t="s">
        <v>6432</v>
      </c>
      <c r="J1999" t="s">
        <v>7174</v>
      </c>
      <c r="K1999">
        <v>11213</v>
      </c>
      <c r="N1999" t="s">
        <v>7237</v>
      </c>
      <c r="O1999" t="s">
        <v>8508</v>
      </c>
      <c r="P1999">
        <v>1</v>
      </c>
      <c r="Q1999">
        <v>0</v>
      </c>
      <c r="R1999">
        <v>309.01</v>
      </c>
      <c r="S1999" t="s">
        <v>10265</v>
      </c>
      <c r="U1999">
        <v>36710</v>
      </c>
      <c r="W1999">
        <v>254.25</v>
      </c>
      <c r="X1999" t="s">
        <v>272</v>
      </c>
      <c r="Y1999" t="s">
        <v>10934</v>
      </c>
      <c r="AA1999" t="s">
        <v>10974</v>
      </c>
      <c r="AB1999" t="s">
        <v>738</v>
      </c>
      <c r="AD1999" t="s">
        <v>11083</v>
      </c>
      <c r="AF1999" t="s">
        <v>11118</v>
      </c>
      <c r="AH1999" t="s">
        <v>10974</v>
      </c>
      <c r="AJ1999" t="s">
        <v>11134</v>
      </c>
      <c r="AK1999" t="s">
        <v>7225</v>
      </c>
      <c r="AM1999">
        <v>850</v>
      </c>
      <c r="AO1999">
        <v>5</v>
      </c>
      <c r="AQ1999" t="s">
        <v>11156</v>
      </c>
      <c r="AS1999" t="s">
        <v>11173</v>
      </c>
      <c r="AU1999">
        <v>32</v>
      </c>
      <c r="AW1999" t="s">
        <v>11187</v>
      </c>
      <c r="AZ1999" t="s">
        <v>11221</v>
      </c>
      <c r="BE1999" t="s">
        <v>12785</v>
      </c>
      <c r="BG1999" t="s">
        <v>14859</v>
      </c>
      <c r="BM1999" t="s">
        <v>15650</v>
      </c>
    </row>
    <row r="2000" spans="1:65">
      <c r="A2000" s="1">
        <f>HYPERLINK("https://lsnyc.legalserver.org/matter/dynamic-profile/view/1905723","19-1905723")</f>
        <v>0</v>
      </c>
      <c r="B2000" t="s">
        <v>142</v>
      </c>
      <c r="C2000" t="s">
        <v>248</v>
      </c>
      <c r="D2000" t="s">
        <v>511</v>
      </c>
      <c r="F2000" t="s">
        <v>1969</v>
      </c>
      <c r="G2000" t="s">
        <v>3654</v>
      </c>
      <c r="H2000" t="s">
        <v>5446</v>
      </c>
      <c r="I2000" t="s">
        <v>6432</v>
      </c>
      <c r="J2000" t="s">
        <v>7174</v>
      </c>
      <c r="K2000">
        <v>11233</v>
      </c>
      <c r="N2000" t="s">
        <v>7237</v>
      </c>
      <c r="O2000" t="s">
        <v>8503</v>
      </c>
      <c r="P2000">
        <v>2</v>
      </c>
      <c r="Q2000">
        <v>1</v>
      </c>
      <c r="R2000">
        <v>52.77</v>
      </c>
      <c r="U2000">
        <v>11256</v>
      </c>
      <c r="W2000">
        <v>0</v>
      </c>
      <c r="Y2000" t="s">
        <v>225</v>
      </c>
      <c r="AA2000" t="s">
        <v>10974</v>
      </c>
      <c r="AB2000" t="s">
        <v>483</v>
      </c>
      <c r="AD2000" t="s">
        <v>11100</v>
      </c>
      <c r="AF2000" t="s">
        <v>10384</v>
      </c>
      <c r="AH2000" t="s">
        <v>10974</v>
      </c>
      <c r="AJ2000" t="s">
        <v>11129</v>
      </c>
      <c r="AK2000" t="s">
        <v>7225</v>
      </c>
      <c r="AM2000">
        <v>867</v>
      </c>
      <c r="AO2000">
        <v>6</v>
      </c>
      <c r="AQ2000" t="s">
        <v>11157</v>
      </c>
      <c r="AS2000" t="s">
        <v>11173</v>
      </c>
      <c r="AU2000">
        <v>16</v>
      </c>
      <c r="AW2000" t="s">
        <v>11187</v>
      </c>
      <c r="AY2000" t="s">
        <v>11213</v>
      </c>
      <c r="BA2000" t="s">
        <v>11222</v>
      </c>
      <c r="BC2000" t="s">
        <v>11230</v>
      </c>
      <c r="BE2000" t="s">
        <v>12781</v>
      </c>
      <c r="BF2000" t="s">
        <v>14364</v>
      </c>
      <c r="BG2000" t="s">
        <v>11086</v>
      </c>
      <c r="BM2000" t="s">
        <v>15650</v>
      </c>
    </row>
    <row r="2001" spans="1:65">
      <c r="A2001" s="1">
        <f>HYPERLINK("https://lsnyc.legalserver.org/matter/dynamic-profile/view/1843178","17-1843178")</f>
        <v>0</v>
      </c>
      <c r="B2001" t="s">
        <v>142</v>
      </c>
      <c r="C2001" t="s">
        <v>248</v>
      </c>
      <c r="D2001" t="s">
        <v>806</v>
      </c>
      <c r="F2001" t="s">
        <v>1971</v>
      </c>
      <c r="G2001" t="s">
        <v>3758</v>
      </c>
      <c r="H2001" t="s">
        <v>5449</v>
      </c>
      <c r="J2001" t="s">
        <v>7174</v>
      </c>
      <c r="K2001">
        <v>11206</v>
      </c>
      <c r="N2001" t="s">
        <v>7237</v>
      </c>
      <c r="O2001" t="s">
        <v>8509</v>
      </c>
      <c r="P2001">
        <v>1</v>
      </c>
      <c r="Q2001">
        <v>1</v>
      </c>
      <c r="R2001">
        <v>189.66</v>
      </c>
      <c r="U2001">
        <v>30800</v>
      </c>
      <c r="V2001" t="s">
        <v>10334</v>
      </c>
      <c r="W2001">
        <v>42.25</v>
      </c>
      <c r="X2001" t="s">
        <v>733</v>
      </c>
      <c r="Y2001" t="s">
        <v>10901</v>
      </c>
      <c r="AA2001" t="s">
        <v>10974</v>
      </c>
      <c r="AB2001" t="s">
        <v>489</v>
      </c>
      <c r="AD2001" t="s">
        <v>11085</v>
      </c>
      <c r="AF2001" t="s">
        <v>11118</v>
      </c>
      <c r="AH2001" t="s">
        <v>10975</v>
      </c>
      <c r="AJ2001" t="s">
        <v>11141</v>
      </c>
      <c r="AK2001" t="s">
        <v>7225</v>
      </c>
      <c r="AM2001">
        <v>588</v>
      </c>
      <c r="AO2001">
        <v>8</v>
      </c>
      <c r="AQ2001" t="s">
        <v>11157</v>
      </c>
      <c r="AR2001" t="s">
        <v>11172</v>
      </c>
      <c r="AU2001">
        <v>4</v>
      </c>
      <c r="AW2001" t="s">
        <v>11187</v>
      </c>
      <c r="AZ2001" t="s">
        <v>11221</v>
      </c>
      <c r="BE2001" t="s">
        <v>12786</v>
      </c>
      <c r="BF2001" t="s">
        <v>14364</v>
      </c>
      <c r="BG2001" t="s">
        <v>14860</v>
      </c>
      <c r="BM2001" t="s">
        <v>15650</v>
      </c>
    </row>
    <row r="2002" spans="1:65">
      <c r="A2002" s="1">
        <f>HYPERLINK("https://lsnyc.legalserver.org/matter/dynamic-profile/view/1914511","19-1914511")</f>
        <v>0</v>
      </c>
      <c r="B2002" t="s">
        <v>142</v>
      </c>
      <c r="C2002" t="s">
        <v>248</v>
      </c>
      <c r="D2002" t="s">
        <v>312</v>
      </c>
      <c r="F2002" t="s">
        <v>1972</v>
      </c>
      <c r="G2002" t="s">
        <v>3692</v>
      </c>
      <c r="H2002" t="s">
        <v>5450</v>
      </c>
      <c r="I2002">
        <v>3</v>
      </c>
      <c r="J2002" t="s">
        <v>7174</v>
      </c>
      <c r="K2002">
        <v>11208</v>
      </c>
      <c r="N2002" t="s">
        <v>7237</v>
      </c>
      <c r="O2002" t="s">
        <v>8510</v>
      </c>
      <c r="P2002">
        <v>2</v>
      </c>
      <c r="Q2002">
        <v>1</v>
      </c>
      <c r="R2002">
        <v>90.01000000000001</v>
      </c>
      <c r="U2002">
        <v>19200</v>
      </c>
      <c r="V2002" t="s">
        <v>10484</v>
      </c>
      <c r="W2002">
        <v>1</v>
      </c>
      <c r="X2002" t="s">
        <v>301</v>
      </c>
      <c r="Y2002" t="s">
        <v>225</v>
      </c>
      <c r="AA2002" t="s">
        <v>10974</v>
      </c>
      <c r="AB2002" t="s">
        <v>301</v>
      </c>
      <c r="AD2002" t="s">
        <v>11086</v>
      </c>
      <c r="AE2002" t="s">
        <v>11117</v>
      </c>
      <c r="AH2002" t="s">
        <v>10975</v>
      </c>
      <c r="AI2002" t="s">
        <v>11126</v>
      </c>
      <c r="AK2002" t="s">
        <v>7225</v>
      </c>
      <c r="AL2002" t="s">
        <v>11150</v>
      </c>
      <c r="AM2002">
        <v>0</v>
      </c>
      <c r="AO2002">
        <v>3</v>
      </c>
      <c r="AQ2002" t="s">
        <v>11156</v>
      </c>
      <c r="AS2002" t="s">
        <v>11173</v>
      </c>
      <c r="AT2002" t="s">
        <v>11184</v>
      </c>
      <c r="AU2002">
        <v>0</v>
      </c>
      <c r="AW2002" t="s">
        <v>11189</v>
      </c>
      <c r="AY2002" t="s">
        <v>11213</v>
      </c>
      <c r="BA2002" t="s">
        <v>11222</v>
      </c>
      <c r="BC2002" t="s">
        <v>11228</v>
      </c>
      <c r="BD2002" t="s">
        <v>11667</v>
      </c>
      <c r="BF2002" t="s">
        <v>14364</v>
      </c>
      <c r="BG2002" t="s">
        <v>11228</v>
      </c>
      <c r="BM2002" t="s">
        <v>15650</v>
      </c>
    </row>
    <row r="2003" spans="1:65">
      <c r="A2003" s="1">
        <f>HYPERLINK("https://lsnyc.legalserver.org/matter/dynamic-profile/view/1895370","19-1895370")</f>
        <v>0</v>
      </c>
      <c r="B2003" t="s">
        <v>142</v>
      </c>
      <c r="C2003" t="s">
        <v>248</v>
      </c>
      <c r="D2003" t="s">
        <v>299</v>
      </c>
      <c r="F2003" t="s">
        <v>1822</v>
      </c>
      <c r="G2003" t="s">
        <v>2308</v>
      </c>
      <c r="H2003" t="s">
        <v>5053</v>
      </c>
      <c r="I2003" t="s">
        <v>6573</v>
      </c>
      <c r="J2003" t="s">
        <v>7174</v>
      </c>
      <c r="K2003">
        <v>11212</v>
      </c>
      <c r="N2003" t="s">
        <v>7237</v>
      </c>
      <c r="O2003" t="s">
        <v>8511</v>
      </c>
      <c r="P2003">
        <v>1</v>
      </c>
      <c r="Q2003">
        <v>0</v>
      </c>
      <c r="R2003">
        <v>16.24</v>
      </c>
      <c r="U2003">
        <v>2028</v>
      </c>
      <c r="W2003">
        <v>0</v>
      </c>
      <c r="Y2003" t="s">
        <v>101</v>
      </c>
      <c r="AA2003" t="s">
        <v>10974</v>
      </c>
      <c r="AB2003" t="s">
        <v>299</v>
      </c>
      <c r="AD2003" t="s">
        <v>11097</v>
      </c>
      <c r="AF2003" t="s">
        <v>11123</v>
      </c>
      <c r="AH2003" t="s">
        <v>10974</v>
      </c>
      <c r="AJ2003" t="s">
        <v>11137</v>
      </c>
      <c r="AK2003" t="s">
        <v>7225</v>
      </c>
      <c r="AM2003">
        <v>8730</v>
      </c>
      <c r="AO2003">
        <v>10</v>
      </c>
      <c r="AQ2003" t="s">
        <v>11157</v>
      </c>
      <c r="AS2003" t="s">
        <v>11181</v>
      </c>
      <c r="AU2003">
        <v>1</v>
      </c>
      <c r="AW2003" t="s">
        <v>11187</v>
      </c>
      <c r="AZ2003" t="s">
        <v>11221</v>
      </c>
      <c r="BB2003" t="s">
        <v>11224</v>
      </c>
      <c r="BC2003" t="s">
        <v>11398</v>
      </c>
      <c r="BE2003" t="s">
        <v>12787</v>
      </c>
      <c r="BG2003" t="s">
        <v>14393</v>
      </c>
      <c r="BM2003" t="s">
        <v>15650</v>
      </c>
    </row>
    <row r="2004" spans="1:65">
      <c r="A2004" s="1">
        <f>HYPERLINK("https://lsnyc.legalserver.org/matter/dynamic-profile/view/1838614","17-1838614")</f>
        <v>0</v>
      </c>
      <c r="B2004" t="s">
        <v>142</v>
      </c>
      <c r="C2004" t="s">
        <v>248</v>
      </c>
      <c r="D2004" t="s">
        <v>807</v>
      </c>
      <c r="F2004" t="s">
        <v>1973</v>
      </c>
      <c r="G2004" t="s">
        <v>3759</v>
      </c>
      <c r="H2004" t="s">
        <v>5451</v>
      </c>
      <c r="J2004" t="s">
        <v>7174</v>
      </c>
      <c r="K2004">
        <v>11207</v>
      </c>
      <c r="N2004" t="s">
        <v>7237</v>
      </c>
      <c r="O2004" t="s">
        <v>8512</v>
      </c>
      <c r="P2004">
        <v>1</v>
      </c>
      <c r="Q2004">
        <v>0</v>
      </c>
      <c r="R2004">
        <v>0</v>
      </c>
      <c r="U2004">
        <v>0</v>
      </c>
      <c r="V2004" t="s">
        <v>10485</v>
      </c>
      <c r="W2004">
        <v>40.4</v>
      </c>
      <c r="X2004" t="s">
        <v>874</v>
      </c>
      <c r="Y2004" t="s">
        <v>142</v>
      </c>
      <c r="AA2004" t="s">
        <v>10974</v>
      </c>
      <c r="AB2004" t="s">
        <v>10804</v>
      </c>
      <c r="AD2004" t="s">
        <v>11083</v>
      </c>
      <c r="AF2004" t="s">
        <v>11118</v>
      </c>
      <c r="AH2004" t="s">
        <v>10974</v>
      </c>
      <c r="AI2004" t="s">
        <v>11126</v>
      </c>
      <c r="AK2004" t="s">
        <v>7225</v>
      </c>
      <c r="AM2004">
        <v>600</v>
      </c>
      <c r="AO2004">
        <v>7</v>
      </c>
      <c r="AQ2004" t="s">
        <v>11156</v>
      </c>
      <c r="AR2004" t="s">
        <v>11172</v>
      </c>
      <c r="AT2004" t="s">
        <v>11184</v>
      </c>
      <c r="AU2004">
        <v>0</v>
      </c>
      <c r="AW2004" t="s">
        <v>11187</v>
      </c>
      <c r="BA2004" t="s">
        <v>11222</v>
      </c>
      <c r="BE2004" t="s">
        <v>12788</v>
      </c>
      <c r="BG2004" t="s">
        <v>14861</v>
      </c>
      <c r="BM2004" t="s">
        <v>15650</v>
      </c>
    </row>
    <row r="2005" spans="1:65">
      <c r="A2005" s="1">
        <f>HYPERLINK("https://lsnyc.legalserver.org/matter/dynamic-profile/view/1836150","17-1836150")</f>
        <v>0</v>
      </c>
      <c r="B2005" t="s">
        <v>142</v>
      </c>
      <c r="C2005" t="s">
        <v>248</v>
      </c>
      <c r="D2005" t="s">
        <v>808</v>
      </c>
      <c r="F2005" t="s">
        <v>1108</v>
      </c>
      <c r="G2005" t="s">
        <v>3286</v>
      </c>
      <c r="H2005" t="s">
        <v>5366</v>
      </c>
      <c r="I2005" t="s">
        <v>6433</v>
      </c>
      <c r="J2005" t="s">
        <v>7174</v>
      </c>
      <c r="K2005">
        <v>11212</v>
      </c>
      <c r="N2005" t="s">
        <v>7237</v>
      </c>
      <c r="O2005" t="s">
        <v>8339</v>
      </c>
      <c r="P2005">
        <v>3</v>
      </c>
      <c r="Q2005">
        <v>0</v>
      </c>
      <c r="R2005">
        <v>101.86</v>
      </c>
      <c r="U2005">
        <v>20800</v>
      </c>
      <c r="W2005">
        <v>0.6</v>
      </c>
      <c r="X2005" t="s">
        <v>964</v>
      </c>
      <c r="Y2005" t="s">
        <v>76</v>
      </c>
      <c r="AA2005" t="s">
        <v>10974</v>
      </c>
      <c r="AB2005" t="s">
        <v>808</v>
      </c>
      <c r="AD2005" t="s">
        <v>11096</v>
      </c>
      <c r="AF2005" t="s">
        <v>11122</v>
      </c>
      <c r="AH2005" t="s">
        <v>10974</v>
      </c>
      <c r="AJ2005" t="s">
        <v>11129</v>
      </c>
      <c r="AK2005" t="s">
        <v>7225</v>
      </c>
      <c r="AM2005">
        <v>862.52</v>
      </c>
      <c r="AO2005">
        <v>31</v>
      </c>
      <c r="AQ2005" t="s">
        <v>11157</v>
      </c>
      <c r="AR2005" t="s">
        <v>11172</v>
      </c>
      <c r="AU2005">
        <v>6</v>
      </c>
      <c r="AW2005" t="s">
        <v>11187</v>
      </c>
      <c r="AZ2005" t="s">
        <v>11221</v>
      </c>
      <c r="BE2005" t="s">
        <v>12629</v>
      </c>
      <c r="BF2005" t="s">
        <v>14364</v>
      </c>
      <c r="BM2005" t="s">
        <v>15650</v>
      </c>
    </row>
    <row r="2006" spans="1:65">
      <c r="A2006" s="1">
        <f>HYPERLINK("https://lsnyc.legalserver.org/matter/dynamic-profile/view/1837044","17-1837044")</f>
        <v>0</v>
      </c>
      <c r="B2006" t="s">
        <v>142</v>
      </c>
      <c r="C2006" t="s">
        <v>248</v>
      </c>
      <c r="D2006" t="s">
        <v>809</v>
      </c>
      <c r="E2006" t="s">
        <v>309</v>
      </c>
      <c r="F2006" t="s">
        <v>1974</v>
      </c>
      <c r="G2006" t="s">
        <v>3760</v>
      </c>
      <c r="H2006" t="s">
        <v>5451</v>
      </c>
      <c r="I2006" t="s">
        <v>6415</v>
      </c>
      <c r="J2006" t="s">
        <v>7174</v>
      </c>
      <c r="K2006">
        <v>11207</v>
      </c>
      <c r="L2006" t="s">
        <v>7219</v>
      </c>
      <c r="N2006" t="s">
        <v>7237</v>
      </c>
      <c r="O2006" t="s">
        <v>7316</v>
      </c>
      <c r="P2006">
        <v>1</v>
      </c>
      <c r="Q2006">
        <v>0</v>
      </c>
      <c r="R2006">
        <v>129.35</v>
      </c>
      <c r="U2006">
        <v>15600</v>
      </c>
      <c r="W2006">
        <v>84.25</v>
      </c>
      <c r="X2006" t="s">
        <v>309</v>
      </c>
      <c r="Y2006" t="s">
        <v>225</v>
      </c>
      <c r="AA2006" t="s">
        <v>10974</v>
      </c>
      <c r="AB2006" t="s">
        <v>859</v>
      </c>
      <c r="AD2006" t="s">
        <v>11083</v>
      </c>
      <c r="AF2006" t="s">
        <v>11118</v>
      </c>
      <c r="AH2006" t="s">
        <v>10974</v>
      </c>
      <c r="AJ2006" t="s">
        <v>11134</v>
      </c>
      <c r="AK2006" t="s">
        <v>7225</v>
      </c>
      <c r="AM2006">
        <v>600</v>
      </c>
      <c r="AO2006">
        <v>2</v>
      </c>
      <c r="AQ2006" t="s">
        <v>11157</v>
      </c>
      <c r="AS2006" t="s">
        <v>11173</v>
      </c>
      <c r="AU2006">
        <v>3</v>
      </c>
      <c r="AW2006" t="s">
        <v>11187</v>
      </c>
      <c r="AZ2006" t="s">
        <v>11221</v>
      </c>
      <c r="BC2006" t="s">
        <v>11228</v>
      </c>
      <c r="BE2006" t="s">
        <v>12789</v>
      </c>
      <c r="BF2006" t="s">
        <v>14364</v>
      </c>
      <c r="BG2006" t="s">
        <v>11228</v>
      </c>
      <c r="BH2006" t="s">
        <v>15605</v>
      </c>
      <c r="BJ2006" t="s">
        <v>15615</v>
      </c>
      <c r="BL2006" t="s">
        <v>15648</v>
      </c>
      <c r="BM2006" t="s">
        <v>15651</v>
      </c>
    </row>
    <row r="2007" spans="1:65">
      <c r="A2007" s="1">
        <f>HYPERLINK("https://lsnyc.legalserver.org/matter/dynamic-profile/view/1906627","19-1906627")</f>
        <v>0</v>
      </c>
      <c r="B2007" t="s">
        <v>142</v>
      </c>
      <c r="C2007" t="s">
        <v>248</v>
      </c>
      <c r="D2007" t="s">
        <v>429</v>
      </c>
      <c r="F2007" t="s">
        <v>1971</v>
      </c>
      <c r="G2007" t="s">
        <v>3758</v>
      </c>
      <c r="H2007" t="s">
        <v>5449</v>
      </c>
      <c r="J2007" t="s">
        <v>7174</v>
      </c>
      <c r="K2007">
        <v>11206</v>
      </c>
      <c r="N2007" t="s">
        <v>7237</v>
      </c>
      <c r="O2007" t="s">
        <v>8509</v>
      </c>
      <c r="P2007">
        <v>1</v>
      </c>
      <c r="Q2007">
        <v>1</v>
      </c>
      <c r="R2007">
        <v>218.81</v>
      </c>
      <c r="S2007" t="s">
        <v>568</v>
      </c>
      <c r="T2007" t="s">
        <v>10276</v>
      </c>
      <c r="U2007">
        <v>37000</v>
      </c>
      <c r="W2007">
        <v>21.65</v>
      </c>
      <c r="X2007" t="s">
        <v>735</v>
      </c>
      <c r="Y2007" t="s">
        <v>144</v>
      </c>
      <c r="AA2007" t="s">
        <v>10974</v>
      </c>
      <c r="AB2007" t="s">
        <v>429</v>
      </c>
      <c r="AD2007" t="s">
        <v>11082</v>
      </c>
      <c r="AF2007" t="s">
        <v>11118</v>
      </c>
      <c r="AH2007" t="s">
        <v>10975</v>
      </c>
      <c r="AJ2007" t="s">
        <v>11129</v>
      </c>
      <c r="AK2007" t="s">
        <v>7225</v>
      </c>
      <c r="AM2007">
        <v>588</v>
      </c>
      <c r="AO2007">
        <v>8</v>
      </c>
      <c r="AQ2007" t="s">
        <v>11157</v>
      </c>
      <c r="AR2007" t="s">
        <v>11172</v>
      </c>
      <c r="AU2007">
        <v>4</v>
      </c>
      <c r="AW2007" t="s">
        <v>11187</v>
      </c>
      <c r="AY2007" t="s">
        <v>11213</v>
      </c>
      <c r="BA2007" t="s">
        <v>11222</v>
      </c>
      <c r="BE2007" t="s">
        <v>12786</v>
      </c>
      <c r="BG2007" t="s">
        <v>14862</v>
      </c>
      <c r="BM2007" t="s">
        <v>15650</v>
      </c>
    </row>
    <row r="2008" spans="1:65">
      <c r="A2008" s="1">
        <f>HYPERLINK("https://lsnyc.legalserver.org/matter/dynamic-profile/view/1876642","18-1876642")</f>
        <v>0</v>
      </c>
      <c r="B2008" t="s">
        <v>142</v>
      </c>
      <c r="C2008" t="s">
        <v>248</v>
      </c>
      <c r="D2008" t="s">
        <v>662</v>
      </c>
      <c r="F2008" t="s">
        <v>1975</v>
      </c>
      <c r="G2008" t="s">
        <v>3761</v>
      </c>
      <c r="H2008" t="s">
        <v>5053</v>
      </c>
      <c r="I2008" t="s">
        <v>6425</v>
      </c>
      <c r="J2008" t="s">
        <v>7174</v>
      </c>
      <c r="K2008">
        <v>11212</v>
      </c>
      <c r="N2008" t="s">
        <v>7237</v>
      </c>
      <c r="O2008" t="s">
        <v>8513</v>
      </c>
      <c r="P2008">
        <v>1</v>
      </c>
      <c r="Q2008">
        <v>0</v>
      </c>
      <c r="R2008">
        <v>74.95999999999999</v>
      </c>
      <c r="U2008">
        <v>9100</v>
      </c>
      <c r="W2008">
        <v>13.3</v>
      </c>
      <c r="X2008" t="s">
        <v>266</v>
      </c>
      <c r="Y2008" t="s">
        <v>144</v>
      </c>
      <c r="AA2008" t="s">
        <v>10974</v>
      </c>
      <c r="AB2008" t="s">
        <v>662</v>
      </c>
      <c r="AD2008" t="s">
        <v>11082</v>
      </c>
      <c r="AF2008" t="s">
        <v>11118</v>
      </c>
      <c r="AH2008" t="s">
        <v>10974</v>
      </c>
      <c r="AJ2008" t="s">
        <v>11134</v>
      </c>
      <c r="AK2008" t="s">
        <v>7225</v>
      </c>
      <c r="AM2008">
        <v>389.17</v>
      </c>
      <c r="AO2008">
        <v>10</v>
      </c>
      <c r="AQ2008" t="s">
        <v>11157</v>
      </c>
      <c r="AS2008" t="s">
        <v>11173</v>
      </c>
      <c r="AU2008">
        <v>6</v>
      </c>
      <c r="AW2008" t="s">
        <v>11187</v>
      </c>
      <c r="AY2008" t="s">
        <v>11213</v>
      </c>
      <c r="AZ2008" t="s">
        <v>11221</v>
      </c>
      <c r="BE2008" t="s">
        <v>12790</v>
      </c>
      <c r="BG2008" t="s">
        <v>14863</v>
      </c>
      <c r="BM2008" t="s">
        <v>15650</v>
      </c>
    </row>
    <row r="2009" spans="1:65">
      <c r="A2009" s="1">
        <f>HYPERLINK("https://lsnyc.legalserver.org/matter/dynamic-profile/view/0831520","17-0831520")</f>
        <v>0</v>
      </c>
      <c r="B2009" t="s">
        <v>142</v>
      </c>
      <c r="C2009" t="s">
        <v>248</v>
      </c>
      <c r="D2009" t="s">
        <v>810</v>
      </c>
      <c r="F2009" t="s">
        <v>1976</v>
      </c>
      <c r="G2009" t="s">
        <v>3762</v>
      </c>
      <c r="H2009" t="s">
        <v>5452</v>
      </c>
      <c r="I2009">
        <v>15</v>
      </c>
      <c r="J2009" t="s">
        <v>7174</v>
      </c>
      <c r="K2009">
        <v>11233</v>
      </c>
      <c r="N2009" t="s">
        <v>7237</v>
      </c>
      <c r="O2009" t="s">
        <v>8514</v>
      </c>
      <c r="P2009">
        <v>4</v>
      </c>
      <c r="Q2009">
        <v>0</v>
      </c>
      <c r="R2009">
        <v>34.15</v>
      </c>
      <c r="U2009">
        <v>8400</v>
      </c>
      <c r="W2009">
        <v>88.26000000000001</v>
      </c>
      <c r="X2009" t="s">
        <v>272</v>
      </c>
      <c r="Y2009" t="s">
        <v>10901</v>
      </c>
      <c r="AA2009" t="s">
        <v>10974</v>
      </c>
      <c r="AB2009" t="s">
        <v>496</v>
      </c>
      <c r="AD2009" t="s">
        <v>11083</v>
      </c>
      <c r="AF2009" t="s">
        <v>11118</v>
      </c>
      <c r="AG2009" t="s">
        <v>11124</v>
      </c>
      <c r="AI2009" t="s">
        <v>11126</v>
      </c>
      <c r="AK2009" t="s">
        <v>7225</v>
      </c>
      <c r="AM2009">
        <v>226.34</v>
      </c>
      <c r="AO2009">
        <v>16</v>
      </c>
      <c r="AQ2009" t="s">
        <v>11157</v>
      </c>
      <c r="AR2009" t="s">
        <v>11172</v>
      </c>
      <c r="AU2009">
        <v>48</v>
      </c>
      <c r="AW2009" t="s">
        <v>11187</v>
      </c>
      <c r="AZ2009" t="s">
        <v>11221</v>
      </c>
      <c r="BE2009" t="s">
        <v>12791</v>
      </c>
      <c r="BG2009" t="s">
        <v>14864</v>
      </c>
      <c r="BM2009" t="s">
        <v>15650</v>
      </c>
    </row>
    <row r="2010" spans="1:65">
      <c r="A2010" s="1">
        <f>HYPERLINK("https://lsnyc.legalserver.org/matter/dynamic-profile/view/0804346","16-0804346")</f>
        <v>0</v>
      </c>
      <c r="B2010" t="s">
        <v>142</v>
      </c>
      <c r="C2010" t="s">
        <v>248</v>
      </c>
      <c r="D2010" t="s">
        <v>811</v>
      </c>
      <c r="F2010" t="s">
        <v>1108</v>
      </c>
      <c r="G2010" t="s">
        <v>3763</v>
      </c>
      <c r="H2010" t="s">
        <v>5453</v>
      </c>
      <c r="I2010" t="s">
        <v>6426</v>
      </c>
      <c r="J2010" t="s">
        <v>7174</v>
      </c>
      <c r="K2010">
        <v>11213</v>
      </c>
      <c r="N2010" t="s">
        <v>7237</v>
      </c>
      <c r="O2010" t="s">
        <v>8515</v>
      </c>
      <c r="P2010">
        <v>1</v>
      </c>
      <c r="Q2010">
        <v>2</v>
      </c>
      <c r="R2010">
        <v>47.62</v>
      </c>
      <c r="S2010" t="s">
        <v>10265</v>
      </c>
      <c r="U2010">
        <v>9600</v>
      </c>
      <c r="W2010">
        <v>121.45</v>
      </c>
      <c r="X2010" t="s">
        <v>262</v>
      </c>
      <c r="Y2010" t="s">
        <v>158</v>
      </c>
      <c r="AA2010" t="s">
        <v>10974</v>
      </c>
      <c r="AB2010" t="s">
        <v>811</v>
      </c>
      <c r="AD2010" t="s">
        <v>11082</v>
      </c>
      <c r="AF2010" t="s">
        <v>11118</v>
      </c>
      <c r="AH2010" t="s">
        <v>10974</v>
      </c>
      <c r="AJ2010" t="s">
        <v>11132</v>
      </c>
      <c r="AK2010" t="s">
        <v>7225</v>
      </c>
      <c r="AM2010">
        <v>1300</v>
      </c>
      <c r="AO2010">
        <v>5</v>
      </c>
      <c r="AQ2010" t="s">
        <v>11156</v>
      </c>
      <c r="AS2010" t="s">
        <v>11173</v>
      </c>
      <c r="AU2010">
        <v>1</v>
      </c>
      <c r="AW2010" t="s">
        <v>11187</v>
      </c>
      <c r="AZ2010" t="s">
        <v>11221</v>
      </c>
      <c r="BE2010" t="s">
        <v>12792</v>
      </c>
      <c r="BG2010" t="s">
        <v>14865</v>
      </c>
      <c r="BM2010" t="s">
        <v>15650</v>
      </c>
    </row>
    <row r="2011" spans="1:65">
      <c r="A2011" s="1">
        <f>HYPERLINK("https://lsnyc.legalserver.org/matter/dynamic-profile/view/1905690","19-1905690")</f>
        <v>0</v>
      </c>
      <c r="B2011" t="s">
        <v>142</v>
      </c>
      <c r="C2011" t="s">
        <v>248</v>
      </c>
      <c r="D2011" t="s">
        <v>511</v>
      </c>
      <c r="F2011" t="s">
        <v>1773</v>
      </c>
      <c r="G2011" t="s">
        <v>3757</v>
      </c>
      <c r="H2011" t="s">
        <v>5446</v>
      </c>
      <c r="I2011" t="s">
        <v>6426</v>
      </c>
      <c r="J2011" t="s">
        <v>7174</v>
      </c>
      <c r="K2011">
        <v>11233</v>
      </c>
      <c r="N2011" t="s">
        <v>7237</v>
      </c>
      <c r="O2011" t="s">
        <v>8505</v>
      </c>
      <c r="P2011">
        <v>2</v>
      </c>
      <c r="Q2011">
        <v>0</v>
      </c>
      <c r="R2011">
        <v>75.65000000000001</v>
      </c>
      <c r="U2011">
        <v>12792</v>
      </c>
      <c r="W2011">
        <v>0</v>
      </c>
      <c r="Y2011" t="s">
        <v>225</v>
      </c>
      <c r="AA2011" t="s">
        <v>10974</v>
      </c>
      <c r="AB2011" t="s">
        <v>10984</v>
      </c>
      <c r="AD2011" t="s">
        <v>11100</v>
      </c>
      <c r="AF2011" t="s">
        <v>10384</v>
      </c>
      <c r="AG2011" t="s">
        <v>11124</v>
      </c>
      <c r="AJ2011" t="s">
        <v>11129</v>
      </c>
      <c r="AK2011" t="s">
        <v>7225</v>
      </c>
      <c r="AM2011">
        <v>900</v>
      </c>
      <c r="AO2011">
        <v>6</v>
      </c>
      <c r="AQ2011" t="s">
        <v>11157</v>
      </c>
      <c r="AS2011" t="s">
        <v>11173</v>
      </c>
      <c r="AU2011">
        <v>16</v>
      </c>
      <c r="AW2011" t="s">
        <v>11187</v>
      </c>
      <c r="AY2011" t="s">
        <v>11213</v>
      </c>
      <c r="BA2011" t="s">
        <v>11222</v>
      </c>
      <c r="BC2011" t="s">
        <v>11173</v>
      </c>
      <c r="BE2011" t="s">
        <v>12783</v>
      </c>
      <c r="BF2011" t="s">
        <v>14364</v>
      </c>
      <c r="BG2011" t="s">
        <v>14411</v>
      </c>
      <c r="BM2011" t="s">
        <v>15650</v>
      </c>
    </row>
    <row r="2012" spans="1:65">
      <c r="A2012" s="1">
        <f>HYPERLINK("https://lsnyc.legalserver.org/matter/dynamic-profile/view/1836082","17-1836082")</f>
        <v>0</v>
      </c>
      <c r="B2012" t="s">
        <v>142</v>
      </c>
      <c r="C2012" t="s">
        <v>248</v>
      </c>
      <c r="D2012" t="s">
        <v>805</v>
      </c>
      <c r="F2012" t="s">
        <v>1866</v>
      </c>
      <c r="G2012" t="s">
        <v>3664</v>
      </c>
      <c r="H2012" t="s">
        <v>5366</v>
      </c>
      <c r="I2012" t="s">
        <v>6772</v>
      </c>
      <c r="J2012" t="s">
        <v>7174</v>
      </c>
      <c r="K2012">
        <v>11212</v>
      </c>
      <c r="N2012" t="s">
        <v>7237</v>
      </c>
      <c r="O2012" t="s">
        <v>8349</v>
      </c>
      <c r="P2012">
        <v>1</v>
      </c>
      <c r="Q2012">
        <v>2</v>
      </c>
      <c r="R2012">
        <v>112.01</v>
      </c>
      <c r="U2012">
        <v>30696</v>
      </c>
      <c r="W2012">
        <v>0.85</v>
      </c>
      <c r="X2012" t="s">
        <v>764</v>
      </c>
      <c r="Y2012" t="s">
        <v>76</v>
      </c>
      <c r="AA2012" t="s">
        <v>10974</v>
      </c>
      <c r="AB2012" t="s">
        <v>805</v>
      </c>
      <c r="AD2012" t="s">
        <v>11101</v>
      </c>
      <c r="AF2012" t="s">
        <v>11118</v>
      </c>
      <c r="AH2012" t="s">
        <v>10974</v>
      </c>
      <c r="AJ2012" t="s">
        <v>11129</v>
      </c>
      <c r="AK2012" t="s">
        <v>7225</v>
      </c>
      <c r="AM2012">
        <v>939.42</v>
      </c>
      <c r="AO2012">
        <v>31</v>
      </c>
      <c r="AQ2012" t="s">
        <v>11157</v>
      </c>
      <c r="AR2012" t="s">
        <v>11172</v>
      </c>
      <c r="AU2012">
        <v>19</v>
      </c>
      <c r="AW2012" t="s">
        <v>11187</v>
      </c>
      <c r="AZ2012" t="s">
        <v>11221</v>
      </c>
      <c r="BE2012" t="s">
        <v>12638</v>
      </c>
      <c r="BF2012" t="s">
        <v>14364</v>
      </c>
      <c r="BM2012" t="s">
        <v>15650</v>
      </c>
    </row>
    <row r="2013" spans="1:65">
      <c r="A2013" s="1">
        <f>HYPERLINK("https://lsnyc.legalserver.org/matter/dynamic-profile/view/1837914","17-1837914")</f>
        <v>0</v>
      </c>
      <c r="B2013" t="s">
        <v>142</v>
      </c>
      <c r="C2013" t="s">
        <v>248</v>
      </c>
      <c r="D2013" t="s">
        <v>812</v>
      </c>
      <c r="F2013" t="s">
        <v>1322</v>
      </c>
      <c r="G2013" t="s">
        <v>3764</v>
      </c>
      <c r="H2013" t="s">
        <v>5454</v>
      </c>
      <c r="I2013">
        <v>15</v>
      </c>
      <c r="J2013" t="s">
        <v>7174</v>
      </c>
      <c r="K2013">
        <v>11233</v>
      </c>
      <c r="N2013" t="s">
        <v>7237</v>
      </c>
      <c r="O2013" t="s">
        <v>8516</v>
      </c>
      <c r="P2013">
        <v>4</v>
      </c>
      <c r="Q2013">
        <v>0</v>
      </c>
      <c r="R2013">
        <v>35.85</v>
      </c>
      <c r="U2013">
        <v>8820</v>
      </c>
      <c r="W2013">
        <v>0.35</v>
      </c>
      <c r="X2013" t="s">
        <v>360</v>
      </c>
      <c r="Y2013" t="s">
        <v>76</v>
      </c>
      <c r="AA2013" t="s">
        <v>10974</v>
      </c>
      <c r="AB2013" t="s">
        <v>477</v>
      </c>
      <c r="AD2013" t="s">
        <v>11083</v>
      </c>
      <c r="AF2013" t="s">
        <v>11118</v>
      </c>
      <c r="AH2013" t="s">
        <v>10974</v>
      </c>
      <c r="AJ2013" t="s">
        <v>11131</v>
      </c>
      <c r="AK2013" t="s">
        <v>7225</v>
      </c>
      <c r="AM2013">
        <v>226.34</v>
      </c>
      <c r="AO2013">
        <v>16</v>
      </c>
      <c r="AQ2013" t="s">
        <v>11157</v>
      </c>
      <c r="AR2013" t="s">
        <v>11172</v>
      </c>
      <c r="AU2013">
        <v>48</v>
      </c>
      <c r="AW2013" t="s">
        <v>11187</v>
      </c>
      <c r="AZ2013" t="s">
        <v>11221</v>
      </c>
      <c r="BE2013" t="s">
        <v>12793</v>
      </c>
      <c r="BG2013" t="s">
        <v>14864</v>
      </c>
      <c r="BM2013" t="s">
        <v>15650</v>
      </c>
    </row>
    <row r="2014" spans="1:65">
      <c r="A2014" s="1">
        <f>HYPERLINK("https://lsnyc.legalserver.org/matter/dynamic-profile/view/1850022","17-1850022")</f>
        <v>0</v>
      </c>
      <c r="B2014" t="s">
        <v>142</v>
      </c>
      <c r="C2014" t="s">
        <v>248</v>
      </c>
      <c r="D2014" t="s">
        <v>813</v>
      </c>
      <c r="F2014" t="s">
        <v>1872</v>
      </c>
      <c r="G2014" t="s">
        <v>3671</v>
      </c>
      <c r="H2014" t="s">
        <v>5366</v>
      </c>
      <c r="I2014" t="s">
        <v>6609</v>
      </c>
      <c r="J2014" t="s">
        <v>7174</v>
      </c>
      <c r="K2014">
        <v>11212</v>
      </c>
      <c r="N2014" t="s">
        <v>7237</v>
      </c>
      <c r="O2014" t="s">
        <v>8362</v>
      </c>
      <c r="P2014">
        <v>1</v>
      </c>
      <c r="Q2014">
        <v>0</v>
      </c>
      <c r="R2014">
        <v>42.26</v>
      </c>
      <c r="U2014">
        <v>5096</v>
      </c>
      <c r="V2014" t="s">
        <v>10486</v>
      </c>
      <c r="W2014">
        <v>56.2</v>
      </c>
      <c r="X2014" t="s">
        <v>595</v>
      </c>
      <c r="Y2014" t="s">
        <v>225</v>
      </c>
      <c r="AA2014" t="s">
        <v>10974</v>
      </c>
      <c r="AB2014" t="s">
        <v>813</v>
      </c>
      <c r="AD2014" t="s">
        <v>11083</v>
      </c>
      <c r="AF2014" t="s">
        <v>11118</v>
      </c>
      <c r="AG2014" t="s">
        <v>11124</v>
      </c>
      <c r="AJ2014" t="s">
        <v>11129</v>
      </c>
      <c r="AK2014" t="s">
        <v>7225</v>
      </c>
      <c r="AM2014">
        <v>1180.14</v>
      </c>
      <c r="AO2014">
        <v>32</v>
      </c>
      <c r="AQ2014" t="s">
        <v>11157</v>
      </c>
      <c r="AR2014" t="s">
        <v>11172</v>
      </c>
      <c r="AU2014">
        <v>16</v>
      </c>
      <c r="AW2014" t="s">
        <v>11187</v>
      </c>
      <c r="AZ2014" t="s">
        <v>11221</v>
      </c>
      <c r="BE2014" t="s">
        <v>12650</v>
      </c>
      <c r="BF2014" t="s">
        <v>14364</v>
      </c>
      <c r="BM2014" t="s">
        <v>15650</v>
      </c>
    </row>
    <row r="2015" spans="1:65">
      <c r="A2015" s="1">
        <f>HYPERLINK("https://lsnyc.legalserver.org/matter/dynamic-profile/view/1905731","19-1905731")</f>
        <v>0</v>
      </c>
      <c r="B2015" t="s">
        <v>142</v>
      </c>
      <c r="C2015" t="s">
        <v>248</v>
      </c>
      <c r="D2015" t="s">
        <v>511</v>
      </c>
      <c r="F2015" t="s">
        <v>1178</v>
      </c>
      <c r="G2015" t="s">
        <v>3346</v>
      </c>
      <c r="H2015" t="s">
        <v>5446</v>
      </c>
      <c r="I2015" t="s">
        <v>6482</v>
      </c>
      <c r="J2015" t="s">
        <v>7174</v>
      </c>
      <c r="K2015">
        <v>11233</v>
      </c>
      <c r="N2015" t="s">
        <v>7237</v>
      </c>
      <c r="O2015" t="s">
        <v>8502</v>
      </c>
      <c r="P2015">
        <v>1</v>
      </c>
      <c r="Q2015">
        <v>0</v>
      </c>
      <c r="R2015">
        <v>464.37</v>
      </c>
      <c r="U2015">
        <v>58000</v>
      </c>
      <c r="V2015" t="s">
        <v>10479</v>
      </c>
      <c r="W2015">
        <v>0.1</v>
      </c>
      <c r="X2015" t="s">
        <v>671</v>
      </c>
      <c r="Y2015" t="s">
        <v>225</v>
      </c>
      <c r="AA2015" t="s">
        <v>10974</v>
      </c>
      <c r="AD2015" t="s">
        <v>11100</v>
      </c>
      <c r="AF2015" t="s">
        <v>10384</v>
      </c>
      <c r="AH2015" t="s">
        <v>10974</v>
      </c>
      <c r="AJ2015" t="s">
        <v>11129</v>
      </c>
      <c r="AK2015" t="s">
        <v>7225</v>
      </c>
      <c r="AM2015">
        <v>1200</v>
      </c>
      <c r="AO2015">
        <v>6</v>
      </c>
      <c r="AQ2015" t="s">
        <v>11157</v>
      </c>
      <c r="AS2015" t="s">
        <v>11173</v>
      </c>
      <c r="AU2015">
        <v>6</v>
      </c>
      <c r="AW2015" t="s">
        <v>11187</v>
      </c>
      <c r="AY2015" t="s">
        <v>11213</v>
      </c>
      <c r="BA2015" t="s">
        <v>11222</v>
      </c>
      <c r="BC2015" t="s">
        <v>11228</v>
      </c>
      <c r="BE2015" t="s">
        <v>12780</v>
      </c>
      <c r="BF2015" t="s">
        <v>14364</v>
      </c>
      <c r="BG2015" t="s">
        <v>14410</v>
      </c>
      <c r="BM2015" t="s">
        <v>15650</v>
      </c>
    </row>
    <row r="2016" spans="1:65">
      <c r="A2016" s="1">
        <f>HYPERLINK("https://lsnyc.legalserver.org/matter/dynamic-profile/view/1895376","19-1895376")</f>
        <v>0</v>
      </c>
      <c r="B2016" t="s">
        <v>142</v>
      </c>
      <c r="C2016" t="s">
        <v>248</v>
      </c>
      <c r="D2016" t="s">
        <v>299</v>
      </c>
      <c r="F2016" t="s">
        <v>1975</v>
      </c>
      <c r="G2016" t="s">
        <v>3761</v>
      </c>
      <c r="H2016" t="s">
        <v>5053</v>
      </c>
      <c r="I2016" t="s">
        <v>6425</v>
      </c>
      <c r="J2016" t="s">
        <v>7174</v>
      </c>
      <c r="K2016">
        <v>11212</v>
      </c>
      <c r="N2016" t="s">
        <v>7237</v>
      </c>
      <c r="O2016" t="s">
        <v>8513</v>
      </c>
      <c r="P2016">
        <v>1</v>
      </c>
      <c r="Q2016">
        <v>0</v>
      </c>
      <c r="R2016">
        <v>72.86</v>
      </c>
      <c r="U2016">
        <v>9100</v>
      </c>
      <c r="W2016">
        <v>0</v>
      </c>
      <c r="Y2016" t="s">
        <v>101</v>
      </c>
      <c r="AA2016" t="s">
        <v>10974</v>
      </c>
      <c r="AB2016" t="s">
        <v>299</v>
      </c>
      <c r="AD2016" t="s">
        <v>11097</v>
      </c>
      <c r="AF2016" t="s">
        <v>11123</v>
      </c>
      <c r="AH2016" t="s">
        <v>10974</v>
      </c>
      <c r="AJ2016" t="s">
        <v>11134</v>
      </c>
      <c r="AK2016" t="s">
        <v>7225</v>
      </c>
      <c r="AM2016">
        <v>389.17</v>
      </c>
      <c r="AO2016">
        <v>10</v>
      </c>
      <c r="AQ2016" t="s">
        <v>11157</v>
      </c>
      <c r="AS2016" t="s">
        <v>11173</v>
      </c>
      <c r="AU2016">
        <v>6</v>
      </c>
      <c r="AW2016" t="s">
        <v>11187</v>
      </c>
      <c r="AZ2016" t="s">
        <v>11221</v>
      </c>
      <c r="BE2016" t="s">
        <v>12790</v>
      </c>
      <c r="BG2016" t="s">
        <v>14393</v>
      </c>
      <c r="BM2016" t="s">
        <v>15650</v>
      </c>
    </row>
    <row r="2017" spans="1:67">
      <c r="A2017" s="1">
        <f>HYPERLINK("https://lsnyc.legalserver.org/matter/dynamic-profile/view/1905728","19-1905728")</f>
        <v>0</v>
      </c>
      <c r="B2017" t="s">
        <v>142</v>
      </c>
      <c r="C2017" t="s">
        <v>248</v>
      </c>
      <c r="D2017" t="s">
        <v>511</v>
      </c>
      <c r="E2017" t="s">
        <v>497</v>
      </c>
      <c r="F2017" t="s">
        <v>1178</v>
      </c>
      <c r="G2017" t="s">
        <v>3346</v>
      </c>
      <c r="H2017" t="s">
        <v>5446</v>
      </c>
      <c r="I2017" t="s">
        <v>6482</v>
      </c>
      <c r="J2017" t="s">
        <v>7174</v>
      </c>
      <c r="K2017">
        <v>11233</v>
      </c>
      <c r="L2017" t="s">
        <v>7217</v>
      </c>
      <c r="N2017" t="s">
        <v>7237</v>
      </c>
      <c r="O2017" t="s">
        <v>8502</v>
      </c>
      <c r="P2017">
        <v>1</v>
      </c>
      <c r="Q2017">
        <v>0</v>
      </c>
      <c r="R2017">
        <v>464.37</v>
      </c>
      <c r="U2017">
        <v>58000</v>
      </c>
      <c r="V2017" t="s">
        <v>10479</v>
      </c>
      <c r="W2017">
        <v>0.1</v>
      </c>
      <c r="X2017" t="s">
        <v>671</v>
      </c>
      <c r="Y2017" t="s">
        <v>225</v>
      </c>
      <c r="AA2017" t="s">
        <v>10974</v>
      </c>
      <c r="AD2017" t="s">
        <v>11100</v>
      </c>
      <c r="AF2017" t="s">
        <v>10384</v>
      </c>
      <c r="AH2017" t="s">
        <v>10974</v>
      </c>
      <c r="AJ2017" t="s">
        <v>11129</v>
      </c>
      <c r="AK2017" t="s">
        <v>7225</v>
      </c>
      <c r="AM2017">
        <v>1200</v>
      </c>
      <c r="AO2017">
        <v>6</v>
      </c>
      <c r="AQ2017" t="s">
        <v>11157</v>
      </c>
      <c r="AS2017" t="s">
        <v>11173</v>
      </c>
      <c r="AU2017">
        <v>6</v>
      </c>
      <c r="AW2017" t="s">
        <v>11187</v>
      </c>
      <c r="AY2017" t="s">
        <v>11213</v>
      </c>
      <c r="BA2017" t="s">
        <v>11222</v>
      </c>
      <c r="BC2017" t="s">
        <v>11173</v>
      </c>
      <c r="BE2017" t="s">
        <v>12780</v>
      </c>
      <c r="BF2017" t="s">
        <v>14364</v>
      </c>
      <c r="BG2017" t="s">
        <v>14411</v>
      </c>
      <c r="BM2017" t="s">
        <v>15651</v>
      </c>
    </row>
    <row r="2018" spans="1:67">
      <c r="A2018" s="1">
        <f>HYPERLINK("https://lsnyc.legalserver.org/matter/dynamic-profile/view/1864843","18-1864843")</f>
        <v>0</v>
      </c>
      <c r="B2018" t="s">
        <v>142</v>
      </c>
      <c r="C2018" t="s">
        <v>248</v>
      </c>
      <c r="D2018" t="s">
        <v>388</v>
      </c>
      <c r="F2018" t="s">
        <v>1456</v>
      </c>
      <c r="G2018" t="s">
        <v>3667</v>
      </c>
      <c r="H2018" t="s">
        <v>5369</v>
      </c>
      <c r="I2018" t="s">
        <v>6774</v>
      </c>
      <c r="J2018" t="s">
        <v>7174</v>
      </c>
      <c r="K2018">
        <v>11206</v>
      </c>
      <c r="N2018" t="s">
        <v>7237</v>
      </c>
      <c r="O2018" t="s">
        <v>8358</v>
      </c>
      <c r="P2018">
        <v>2</v>
      </c>
      <c r="Q2018">
        <v>0</v>
      </c>
      <c r="R2018">
        <v>167.68</v>
      </c>
      <c r="U2018">
        <v>27600</v>
      </c>
      <c r="V2018" t="s">
        <v>10485</v>
      </c>
      <c r="W2018">
        <v>61.35</v>
      </c>
      <c r="X2018" t="s">
        <v>578</v>
      </c>
      <c r="Y2018" t="s">
        <v>133</v>
      </c>
      <c r="AA2018" t="s">
        <v>10974</v>
      </c>
      <c r="AB2018" t="s">
        <v>768</v>
      </c>
      <c r="AC2018" t="s">
        <v>11081</v>
      </c>
      <c r="AF2018" t="s">
        <v>11118</v>
      </c>
      <c r="AH2018" t="s">
        <v>10975</v>
      </c>
      <c r="AI2018" t="s">
        <v>11126</v>
      </c>
      <c r="AK2018" t="s">
        <v>7225</v>
      </c>
      <c r="AL2018" t="s">
        <v>11150</v>
      </c>
      <c r="AM2018">
        <v>0</v>
      </c>
      <c r="AO2018">
        <v>11</v>
      </c>
      <c r="AQ2018" t="s">
        <v>11157</v>
      </c>
      <c r="AR2018" t="s">
        <v>11172</v>
      </c>
      <c r="AU2018">
        <v>35</v>
      </c>
      <c r="AW2018" t="s">
        <v>11187</v>
      </c>
      <c r="BA2018" t="s">
        <v>11222</v>
      </c>
      <c r="BE2018" t="s">
        <v>12646</v>
      </c>
      <c r="BG2018" t="s">
        <v>14866</v>
      </c>
      <c r="BM2018" t="s">
        <v>15650</v>
      </c>
    </row>
    <row r="2019" spans="1:67">
      <c r="A2019" s="1">
        <f>HYPERLINK("https://lsnyc.legalserver.org/matter/dynamic-profile/view/1896730","19-1896730")</f>
        <v>0</v>
      </c>
      <c r="B2019" t="s">
        <v>142</v>
      </c>
      <c r="C2019" t="s">
        <v>248</v>
      </c>
      <c r="D2019" t="s">
        <v>585</v>
      </c>
      <c r="F2019" t="s">
        <v>1315</v>
      </c>
      <c r="G2019" t="s">
        <v>2877</v>
      </c>
      <c r="H2019" t="s">
        <v>5449</v>
      </c>
      <c r="I2019" t="s">
        <v>6436</v>
      </c>
      <c r="J2019" t="s">
        <v>7174</v>
      </c>
      <c r="K2019">
        <v>11206</v>
      </c>
      <c r="N2019" t="s">
        <v>7237</v>
      </c>
      <c r="O2019" t="s">
        <v>8517</v>
      </c>
      <c r="P2019">
        <v>2</v>
      </c>
      <c r="Q2019">
        <v>0</v>
      </c>
      <c r="R2019">
        <v>1.27</v>
      </c>
      <c r="U2019">
        <v>215</v>
      </c>
      <c r="V2019" t="s">
        <v>10487</v>
      </c>
      <c r="W2019">
        <v>54.8</v>
      </c>
      <c r="X2019" t="s">
        <v>976</v>
      </c>
      <c r="Y2019" t="s">
        <v>144</v>
      </c>
      <c r="AA2019" t="s">
        <v>10974</v>
      </c>
      <c r="AB2019" t="s">
        <v>557</v>
      </c>
      <c r="AD2019" t="s">
        <v>11082</v>
      </c>
      <c r="AF2019" t="s">
        <v>11118</v>
      </c>
      <c r="AH2019" t="s">
        <v>10975</v>
      </c>
      <c r="AJ2019" t="s">
        <v>11129</v>
      </c>
      <c r="AK2019" t="s">
        <v>7225</v>
      </c>
      <c r="AM2019">
        <v>1245</v>
      </c>
      <c r="AO2019">
        <v>8</v>
      </c>
      <c r="AQ2019" t="s">
        <v>11157</v>
      </c>
      <c r="AR2019" t="s">
        <v>11172</v>
      </c>
      <c r="AU2019">
        <v>2</v>
      </c>
      <c r="AW2019" t="s">
        <v>11187</v>
      </c>
      <c r="AY2019" t="s">
        <v>11213</v>
      </c>
      <c r="BA2019" t="s">
        <v>11222</v>
      </c>
      <c r="BC2019" t="s">
        <v>11399</v>
      </c>
      <c r="BD2019" t="s">
        <v>11667</v>
      </c>
      <c r="BG2019" t="s">
        <v>14867</v>
      </c>
      <c r="BM2019" t="s">
        <v>15650</v>
      </c>
    </row>
    <row r="2020" spans="1:67">
      <c r="A2020" s="1">
        <f>HYPERLINK("https://lsnyc.legalserver.org/matter/dynamic-profile/view/1875657","18-1875657")</f>
        <v>0</v>
      </c>
      <c r="B2020" t="s">
        <v>142</v>
      </c>
      <c r="C2020" t="s">
        <v>248</v>
      </c>
      <c r="D2020" t="s">
        <v>518</v>
      </c>
      <c r="F2020" t="s">
        <v>1139</v>
      </c>
      <c r="G2020" t="s">
        <v>3765</v>
      </c>
      <c r="H2020" t="s">
        <v>5446</v>
      </c>
      <c r="I2020" t="s">
        <v>6637</v>
      </c>
      <c r="J2020" t="s">
        <v>7174</v>
      </c>
      <c r="K2020">
        <v>11233</v>
      </c>
      <c r="N2020" t="s">
        <v>7237</v>
      </c>
      <c r="O2020" t="s">
        <v>8518</v>
      </c>
      <c r="P2020">
        <v>3</v>
      </c>
      <c r="Q2020">
        <v>1</v>
      </c>
      <c r="R2020">
        <v>2.39</v>
      </c>
      <c r="U2020">
        <v>600</v>
      </c>
      <c r="W2020">
        <v>0.25</v>
      </c>
      <c r="X2020" t="s">
        <v>593</v>
      </c>
      <c r="Y2020" t="s">
        <v>10925</v>
      </c>
      <c r="Z2020" t="s">
        <v>10972</v>
      </c>
      <c r="AA2020" t="s">
        <v>10975</v>
      </c>
      <c r="AC2020" t="s">
        <v>11081</v>
      </c>
      <c r="AF2020" t="s">
        <v>10384</v>
      </c>
      <c r="AG2020" t="s">
        <v>11124</v>
      </c>
      <c r="AI2020" t="s">
        <v>11126</v>
      </c>
      <c r="AK2020" t="s">
        <v>7225</v>
      </c>
      <c r="AL2020" t="s">
        <v>11150</v>
      </c>
      <c r="AM2020">
        <v>0</v>
      </c>
      <c r="AN2020" t="s">
        <v>11151</v>
      </c>
      <c r="AO2020" t="s">
        <v>11153</v>
      </c>
      <c r="AP2020" t="s">
        <v>11155</v>
      </c>
      <c r="AR2020" t="s">
        <v>11172</v>
      </c>
      <c r="AT2020" t="s">
        <v>11184</v>
      </c>
      <c r="AU2020">
        <v>0</v>
      </c>
      <c r="AW2020" t="s">
        <v>11187</v>
      </c>
      <c r="AX2020" t="s">
        <v>11212</v>
      </c>
      <c r="AZ2020" t="s">
        <v>11221</v>
      </c>
      <c r="BE2020" t="s">
        <v>12794</v>
      </c>
      <c r="BF2020" t="s">
        <v>14364</v>
      </c>
      <c r="BM2020" t="s">
        <v>15650</v>
      </c>
    </row>
    <row r="2021" spans="1:67">
      <c r="A2021" s="1">
        <f>HYPERLINK("https://lsnyc.legalserver.org/matter/dynamic-profile/view/1910942","19-1910942")</f>
        <v>0</v>
      </c>
      <c r="B2021" t="s">
        <v>143</v>
      </c>
      <c r="C2021" t="s">
        <v>245</v>
      </c>
      <c r="D2021" t="s">
        <v>384</v>
      </c>
      <c r="F2021" t="s">
        <v>1457</v>
      </c>
      <c r="G2021" t="s">
        <v>3114</v>
      </c>
      <c r="H2021" t="s">
        <v>5455</v>
      </c>
      <c r="I2021" t="s">
        <v>6409</v>
      </c>
      <c r="J2021" t="s">
        <v>7169</v>
      </c>
      <c r="K2021">
        <v>10034</v>
      </c>
      <c r="N2021" t="s">
        <v>7237</v>
      </c>
      <c r="O2021" t="s">
        <v>8519</v>
      </c>
      <c r="P2021">
        <v>2</v>
      </c>
      <c r="Q2021">
        <v>0</v>
      </c>
      <c r="R2021">
        <v>79.95</v>
      </c>
      <c r="U2021">
        <v>13520</v>
      </c>
      <c r="W2021">
        <v>23.1</v>
      </c>
      <c r="X2021" t="s">
        <v>528</v>
      </c>
      <c r="Y2021" t="s">
        <v>127</v>
      </c>
      <c r="AA2021" t="s">
        <v>10974</v>
      </c>
      <c r="AB2021" t="s">
        <v>384</v>
      </c>
      <c r="AC2021" t="s">
        <v>11081</v>
      </c>
      <c r="AF2021" t="s">
        <v>11118</v>
      </c>
      <c r="AH2021" t="s">
        <v>10975</v>
      </c>
      <c r="AJ2021" t="s">
        <v>11130</v>
      </c>
      <c r="AK2021" t="s">
        <v>7225</v>
      </c>
      <c r="AM2021">
        <v>919.16</v>
      </c>
      <c r="AO2021">
        <v>74</v>
      </c>
      <c r="AQ2021" t="s">
        <v>11157</v>
      </c>
      <c r="AS2021" t="s">
        <v>11173</v>
      </c>
      <c r="AU2021">
        <v>29</v>
      </c>
      <c r="AW2021" t="s">
        <v>11187</v>
      </c>
      <c r="BA2021" t="s">
        <v>11222</v>
      </c>
      <c r="BE2021" t="s">
        <v>12795</v>
      </c>
      <c r="BF2021" t="s">
        <v>14364</v>
      </c>
      <c r="BM2021" t="s">
        <v>15650</v>
      </c>
    </row>
    <row r="2022" spans="1:67">
      <c r="A2022" s="1">
        <f>HYPERLINK("https://lsnyc.legalserver.org/matter/dynamic-profile/view/0800574","16-0800574")</f>
        <v>0</v>
      </c>
      <c r="B2022" t="s">
        <v>144</v>
      </c>
      <c r="C2022" t="s">
        <v>248</v>
      </c>
      <c r="D2022" t="s">
        <v>814</v>
      </c>
      <c r="F2022" t="s">
        <v>1977</v>
      </c>
      <c r="G2022" t="s">
        <v>3125</v>
      </c>
      <c r="H2022" t="s">
        <v>5008</v>
      </c>
      <c r="I2022" t="s">
        <v>6437</v>
      </c>
      <c r="J2022" t="s">
        <v>7174</v>
      </c>
      <c r="K2022">
        <v>11212</v>
      </c>
      <c r="N2022" t="s">
        <v>7237</v>
      </c>
      <c r="O2022" t="s">
        <v>8520</v>
      </c>
      <c r="P2022">
        <v>1</v>
      </c>
      <c r="Q2022">
        <v>2</v>
      </c>
      <c r="R2022">
        <v>11.55</v>
      </c>
      <c r="U2022">
        <v>2328</v>
      </c>
      <c r="W2022">
        <v>192.3</v>
      </c>
      <c r="X2022" t="s">
        <v>653</v>
      </c>
      <c r="Y2022" t="s">
        <v>10912</v>
      </c>
      <c r="AA2022" t="s">
        <v>10974</v>
      </c>
      <c r="AB2022" t="s">
        <v>814</v>
      </c>
      <c r="AD2022" t="s">
        <v>11083</v>
      </c>
      <c r="AF2022" t="s">
        <v>11118</v>
      </c>
      <c r="AH2022" t="s">
        <v>10974</v>
      </c>
      <c r="AJ2022" t="s">
        <v>11145</v>
      </c>
      <c r="AK2022" t="s">
        <v>7225</v>
      </c>
      <c r="AL2022" t="s">
        <v>11150</v>
      </c>
      <c r="AM2022">
        <v>0</v>
      </c>
      <c r="AO2022">
        <v>12</v>
      </c>
      <c r="AQ2022" t="s">
        <v>11157</v>
      </c>
      <c r="AS2022" t="s">
        <v>11178</v>
      </c>
      <c r="AU2022">
        <v>1</v>
      </c>
      <c r="AW2022" t="s">
        <v>11187</v>
      </c>
      <c r="AZ2022" t="s">
        <v>11221</v>
      </c>
      <c r="BE2022" t="s">
        <v>12796</v>
      </c>
      <c r="BG2022" t="s">
        <v>14868</v>
      </c>
      <c r="BM2022" t="s">
        <v>15650</v>
      </c>
    </row>
    <row r="2023" spans="1:67">
      <c r="A2023" s="1">
        <f>HYPERLINK("https://lsnyc.legalserver.org/matter/dynamic-profile/view/0820320","16-0820320")</f>
        <v>0</v>
      </c>
      <c r="B2023" t="s">
        <v>144</v>
      </c>
      <c r="C2023" t="s">
        <v>248</v>
      </c>
      <c r="D2023" t="s">
        <v>530</v>
      </c>
      <c r="F2023" t="s">
        <v>1977</v>
      </c>
      <c r="G2023" t="s">
        <v>3125</v>
      </c>
      <c r="H2023" t="s">
        <v>5456</v>
      </c>
      <c r="I2023" t="s">
        <v>6437</v>
      </c>
      <c r="J2023" t="s">
        <v>7174</v>
      </c>
      <c r="K2023">
        <v>11212</v>
      </c>
      <c r="N2023" t="s">
        <v>7237</v>
      </c>
      <c r="O2023" t="s">
        <v>8520</v>
      </c>
      <c r="P2023">
        <v>1</v>
      </c>
      <c r="Q2023">
        <v>2</v>
      </c>
      <c r="R2023">
        <v>11.55</v>
      </c>
      <c r="U2023">
        <v>2328</v>
      </c>
      <c r="W2023">
        <v>0.1</v>
      </c>
      <c r="X2023" t="s">
        <v>890</v>
      </c>
      <c r="Y2023" t="s">
        <v>10901</v>
      </c>
      <c r="AA2023" t="s">
        <v>10974</v>
      </c>
      <c r="AB2023" t="s">
        <v>530</v>
      </c>
      <c r="AD2023" t="s">
        <v>11085</v>
      </c>
      <c r="AF2023" t="s">
        <v>11118</v>
      </c>
      <c r="AH2023" t="s">
        <v>10974</v>
      </c>
      <c r="AI2023" t="s">
        <v>11126</v>
      </c>
      <c r="AK2023" t="s">
        <v>7225</v>
      </c>
      <c r="AL2023" t="s">
        <v>11150</v>
      </c>
      <c r="AM2023">
        <v>0</v>
      </c>
      <c r="AO2023">
        <v>12</v>
      </c>
      <c r="AP2023" t="s">
        <v>11155</v>
      </c>
      <c r="AR2023" t="s">
        <v>11172</v>
      </c>
      <c r="AT2023" t="s">
        <v>11184</v>
      </c>
      <c r="AU2023">
        <v>0</v>
      </c>
      <c r="AW2023" t="s">
        <v>11187</v>
      </c>
      <c r="AZ2023" t="s">
        <v>11221</v>
      </c>
      <c r="BE2023" t="s">
        <v>12796</v>
      </c>
      <c r="BF2023" t="s">
        <v>14364</v>
      </c>
      <c r="BG2023" t="s">
        <v>14510</v>
      </c>
      <c r="BM2023" t="s">
        <v>15650</v>
      </c>
    </row>
    <row r="2024" spans="1:67">
      <c r="A2024" s="1">
        <f>HYPERLINK("https://lsnyc.legalserver.org/matter/dynamic-profile/view/0820308","16-0820308")</f>
        <v>0</v>
      </c>
      <c r="B2024" t="s">
        <v>144</v>
      </c>
      <c r="C2024" t="s">
        <v>248</v>
      </c>
      <c r="D2024" t="s">
        <v>530</v>
      </c>
      <c r="F2024" t="s">
        <v>1978</v>
      </c>
      <c r="G2024" t="s">
        <v>3094</v>
      </c>
      <c r="H2024" t="s">
        <v>5013</v>
      </c>
      <c r="I2024" t="s">
        <v>6491</v>
      </c>
      <c r="J2024" t="s">
        <v>7174</v>
      </c>
      <c r="K2024">
        <v>11212</v>
      </c>
      <c r="N2024" t="s">
        <v>7237</v>
      </c>
      <c r="O2024" t="s">
        <v>8521</v>
      </c>
      <c r="P2024">
        <v>1</v>
      </c>
      <c r="Q2024">
        <v>1</v>
      </c>
      <c r="R2024">
        <v>175.77</v>
      </c>
      <c r="U2024">
        <v>35635</v>
      </c>
      <c r="W2024">
        <v>0.2</v>
      </c>
      <c r="X2024" t="s">
        <v>793</v>
      </c>
      <c r="Y2024" t="s">
        <v>225</v>
      </c>
      <c r="AA2024" t="s">
        <v>10974</v>
      </c>
      <c r="AB2024" t="s">
        <v>10993</v>
      </c>
      <c r="AD2024" t="s">
        <v>11085</v>
      </c>
      <c r="AF2024" t="s">
        <v>11118</v>
      </c>
      <c r="AG2024" t="s">
        <v>11124</v>
      </c>
      <c r="AJ2024" t="s">
        <v>11141</v>
      </c>
      <c r="AK2024" t="s">
        <v>7225</v>
      </c>
      <c r="AL2024" t="s">
        <v>11150</v>
      </c>
      <c r="AM2024">
        <v>0</v>
      </c>
      <c r="AO2024">
        <v>21</v>
      </c>
      <c r="AQ2024" t="s">
        <v>11157</v>
      </c>
      <c r="AS2024" t="s">
        <v>11180</v>
      </c>
      <c r="AU2024">
        <v>2</v>
      </c>
      <c r="AW2024" t="s">
        <v>11187</v>
      </c>
      <c r="AZ2024" t="s">
        <v>11221</v>
      </c>
      <c r="BB2024" t="s">
        <v>11224</v>
      </c>
      <c r="BC2024" t="s">
        <v>11400</v>
      </c>
      <c r="BE2024" t="s">
        <v>12797</v>
      </c>
      <c r="BF2024" t="s">
        <v>14364</v>
      </c>
      <c r="BG2024" t="s">
        <v>14869</v>
      </c>
      <c r="BM2024" t="s">
        <v>15650</v>
      </c>
    </row>
    <row r="2025" spans="1:67">
      <c r="A2025" s="1">
        <f>HYPERLINK("https://lsnyc.legalserver.org/matter/dynamic-profile/view/0809425","16-0809425")</f>
        <v>0</v>
      </c>
      <c r="B2025" t="s">
        <v>144</v>
      </c>
      <c r="C2025" t="s">
        <v>248</v>
      </c>
      <c r="D2025" t="s">
        <v>815</v>
      </c>
      <c r="F2025" t="s">
        <v>1463</v>
      </c>
      <c r="G2025" t="s">
        <v>3237</v>
      </c>
      <c r="H2025" t="s">
        <v>5013</v>
      </c>
      <c r="I2025" t="s">
        <v>6433</v>
      </c>
      <c r="J2025" t="s">
        <v>7174</v>
      </c>
      <c r="K2025">
        <v>11212</v>
      </c>
      <c r="N2025" t="s">
        <v>7237</v>
      </c>
      <c r="O2025" t="s">
        <v>7723</v>
      </c>
      <c r="P2025">
        <v>1</v>
      </c>
      <c r="Q2025">
        <v>1</v>
      </c>
      <c r="R2025">
        <v>0</v>
      </c>
      <c r="U2025">
        <v>0</v>
      </c>
      <c r="V2025" t="s">
        <v>10413</v>
      </c>
      <c r="W2025">
        <v>7.35</v>
      </c>
      <c r="X2025" t="s">
        <v>10830</v>
      </c>
      <c r="Y2025" t="s">
        <v>225</v>
      </c>
      <c r="AA2025" t="s">
        <v>10974</v>
      </c>
      <c r="AB2025" t="s">
        <v>11038</v>
      </c>
      <c r="AD2025" t="s">
        <v>11083</v>
      </c>
      <c r="AF2025" t="s">
        <v>11118</v>
      </c>
      <c r="AH2025" t="s">
        <v>10974</v>
      </c>
      <c r="AJ2025" t="s">
        <v>11145</v>
      </c>
      <c r="AK2025" t="s">
        <v>7225</v>
      </c>
      <c r="AL2025" t="s">
        <v>11150</v>
      </c>
      <c r="AM2025">
        <v>0</v>
      </c>
      <c r="AO2025">
        <v>12</v>
      </c>
      <c r="AQ2025" t="s">
        <v>11157</v>
      </c>
      <c r="AR2025" t="s">
        <v>11172</v>
      </c>
      <c r="AU2025">
        <v>1</v>
      </c>
      <c r="AW2025" t="s">
        <v>11187</v>
      </c>
      <c r="AZ2025" t="s">
        <v>11221</v>
      </c>
      <c r="BE2025" t="s">
        <v>12080</v>
      </c>
      <c r="BG2025" t="s">
        <v>14870</v>
      </c>
      <c r="BM2025" t="s">
        <v>15650</v>
      </c>
    </row>
    <row r="2026" spans="1:67">
      <c r="A2026" s="1">
        <f>HYPERLINK("https://lsnyc.legalserver.org/matter/dynamic-profile/view/0800537","16-0800537")</f>
        <v>0</v>
      </c>
      <c r="B2026" t="s">
        <v>144</v>
      </c>
      <c r="C2026" t="s">
        <v>248</v>
      </c>
      <c r="D2026" t="s">
        <v>816</v>
      </c>
      <c r="F2026" t="s">
        <v>1978</v>
      </c>
      <c r="G2026" t="s">
        <v>3094</v>
      </c>
      <c r="H2026" t="s">
        <v>5013</v>
      </c>
      <c r="I2026" t="s">
        <v>6491</v>
      </c>
      <c r="J2026" t="s">
        <v>7174</v>
      </c>
      <c r="K2026">
        <v>11212</v>
      </c>
      <c r="N2026" t="s">
        <v>7237</v>
      </c>
      <c r="O2026" t="s">
        <v>8521</v>
      </c>
      <c r="P2026">
        <v>1</v>
      </c>
      <c r="Q2026">
        <v>1</v>
      </c>
      <c r="R2026">
        <v>118.97</v>
      </c>
      <c r="U2026">
        <v>19059</v>
      </c>
      <c r="W2026">
        <v>33.15</v>
      </c>
      <c r="X2026" t="s">
        <v>653</v>
      </c>
      <c r="Y2026" t="s">
        <v>178</v>
      </c>
      <c r="AA2026" t="s">
        <v>10974</v>
      </c>
      <c r="AB2026" t="s">
        <v>816</v>
      </c>
      <c r="AD2026" t="s">
        <v>11083</v>
      </c>
      <c r="AF2026" t="s">
        <v>11118</v>
      </c>
      <c r="AG2026" t="s">
        <v>11124</v>
      </c>
      <c r="AJ2026" t="s">
        <v>11141</v>
      </c>
      <c r="AK2026" t="s">
        <v>7225</v>
      </c>
      <c r="AL2026" t="s">
        <v>11150</v>
      </c>
      <c r="AM2026">
        <v>0</v>
      </c>
      <c r="AO2026">
        <v>21</v>
      </c>
      <c r="AP2026" t="s">
        <v>11155</v>
      </c>
      <c r="AS2026" t="s">
        <v>11180</v>
      </c>
      <c r="AU2026">
        <v>2</v>
      </c>
      <c r="AW2026" t="s">
        <v>11187</v>
      </c>
      <c r="AZ2026" t="s">
        <v>11221</v>
      </c>
      <c r="BB2026" t="s">
        <v>11224</v>
      </c>
      <c r="BC2026" t="s">
        <v>11400</v>
      </c>
      <c r="BE2026" t="s">
        <v>12797</v>
      </c>
      <c r="BG2026" t="s">
        <v>14871</v>
      </c>
      <c r="BM2026" t="s">
        <v>15650</v>
      </c>
    </row>
    <row r="2027" spans="1:67">
      <c r="A2027" s="1">
        <f>HYPERLINK("https://lsnyc.legalserver.org/matter/dynamic-profile/view/0820315","16-0820315")</f>
        <v>0</v>
      </c>
      <c r="B2027" t="s">
        <v>144</v>
      </c>
      <c r="C2027" t="s">
        <v>248</v>
      </c>
      <c r="D2027" t="s">
        <v>530</v>
      </c>
      <c r="F2027" t="s">
        <v>1459</v>
      </c>
      <c r="G2027" t="s">
        <v>3233</v>
      </c>
      <c r="H2027" t="s">
        <v>5008</v>
      </c>
      <c r="I2027" t="s">
        <v>6405</v>
      </c>
      <c r="J2027" t="s">
        <v>7174</v>
      </c>
      <c r="K2027">
        <v>11212</v>
      </c>
      <c r="N2027" t="s">
        <v>7237</v>
      </c>
      <c r="O2027" t="s">
        <v>7718</v>
      </c>
      <c r="P2027">
        <v>2</v>
      </c>
      <c r="Q2027">
        <v>2</v>
      </c>
      <c r="R2027">
        <v>58.91</v>
      </c>
      <c r="U2027">
        <v>23112</v>
      </c>
      <c r="W2027">
        <v>4.3</v>
      </c>
      <c r="X2027" t="s">
        <v>348</v>
      </c>
      <c r="Y2027" t="s">
        <v>10901</v>
      </c>
      <c r="AA2027" t="s">
        <v>10974</v>
      </c>
      <c r="AB2027" t="s">
        <v>530</v>
      </c>
      <c r="AD2027" t="s">
        <v>11085</v>
      </c>
      <c r="AF2027" t="s">
        <v>11118</v>
      </c>
      <c r="AH2027" t="s">
        <v>10974</v>
      </c>
      <c r="AI2027" t="s">
        <v>11126</v>
      </c>
      <c r="AK2027" t="s">
        <v>7225</v>
      </c>
      <c r="AL2027" t="s">
        <v>11150</v>
      </c>
      <c r="AM2027">
        <v>0</v>
      </c>
      <c r="AO2027">
        <v>12</v>
      </c>
      <c r="AP2027" t="s">
        <v>11155</v>
      </c>
      <c r="AR2027" t="s">
        <v>11172</v>
      </c>
      <c r="AT2027" t="s">
        <v>11184</v>
      </c>
      <c r="AU2027">
        <v>0</v>
      </c>
      <c r="AW2027" t="s">
        <v>11187</v>
      </c>
      <c r="AZ2027" t="s">
        <v>11221</v>
      </c>
      <c r="BE2027" t="s">
        <v>12077</v>
      </c>
      <c r="BF2027" t="s">
        <v>14364</v>
      </c>
      <c r="BG2027" t="s">
        <v>14510</v>
      </c>
      <c r="BM2027" t="s">
        <v>15650</v>
      </c>
    </row>
    <row r="2028" spans="1:67">
      <c r="A2028" s="1">
        <f>HYPERLINK("https://lsnyc.legalserver.org/matter/dynamic-profile/view/1864035","18-1864035")</f>
        <v>0</v>
      </c>
      <c r="B2028" t="s">
        <v>145</v>
      </c>
      <c r="C2028" t="s">
        <v>245</v>
      </c>
      <c r="D2028" t="s">
        <v>817</v>
      </c>
      <c r="F2028" t="s">
        <v>1964</v>
      </c>
      <c r="G2028" t="s">
        <v>3750</v>
      </c>
      <c r="H2028" t="s">
        <v>4776</v>
      </c>
      <c r="I2028">
        <v>402</v>
      </c>
      <c r="J2028" t="s">
        <v>7169</v>
      </c>
      <c r="K2028">
        <v>10029</v>
      </c>
      <c r="N2028" t="s">
        <v>7237</v>
      </c>
      <c r="O2028" t="s">
        <v>8497</v>
      </c>
      <c r="P2028">
        <v>1</v>
      </c>
      <c r="Q2028">
        <v>1</v>
      </c>
      <c r="R2028">
        <v>233.29</v>
      </c>
      <c r="U2028">
        <v>38400</v>
      </c>
      <c r="W2028">
        <v>3.1</v>
      </c>
      <c r="X2028" t="s">
        <v>335</v>
      </c>
      <c r="Y2028" t="s">
        <v>10859</v>
      </c>
      <c r="AA2028" t="s">
        <v>10974</v>
      </c>
      <c r="AB2028" t="s">
        <v>817</v>
      </c>
      <c r="AD2028" t="s">
        <v>11101</v>
      </c>
      <c r="AF2028" t="s">
        <v>11118</v>
      </c>
      <c r="AH2028" t="s">
        <v>10974</v>
      </c>
      <c r="AJ2028" t="s">
        <v>11134</v>
      </c>
      <c r="AK2028" t="s">
        <v>7225</v>
      </c>
      <c r="AL2028" t="s">
        <v>11150</v>
      </c>
      <c r="AM2028">
        <v>0</v>
      </c>
      <c r="AO2028">
        <v>108</v>
      </c>
      <c r="AQ2028" t="s">
        <v>11161</v>
      </c>
      <c r="AS2028" t="s">
        <v>11174</v>
      </c>
      <c r="AU2028">
        <v>4</v>
      </c>
      <c r="AW2028" t="s">
        <v>11187</v>
      </c>
      <c r="AY2028" t="s">
        <v>11213</v>
      </c>
      <c r="AZ2028" t="s">
        <v>11221</v>
      </c>
      <c r="BD2028" t="s">
        <v>11667</v>
      </c>
      <c r="BF2028" t="s">
        <v>14364</v>
      </c>
      <c r="BG2028" t="s">
        <v>14872</v>
      </c>
      <c r="BM2028" t="s">
        <v>15650</v>
      </c>
    </row>
    <row r="2029" spans="1:67">
      <c r="A2029" s="1">
        <f>HYPERLINK("https://lsnyc.legalserver.org/matter/dynamic-profile/view/1893067","19-1893067")</f>
        <v>0</v>
      </c>
      <c r="B2029" t="s">
        <v>145</v>
      </c>
      <c r="C2029" t="s">
        <v>245</v>
      </c>
      <c r="D2029" t="s">
        <v>693</v>
      </c>
      <c r="F2029" t="s">
        <v>1688</v>
      </c>
      <c r="G2029" t="s">
        <v>3021</v>
      </c>
      <c r="H2029" t="s">
        <v>5457</v>
      </c>
      <c r="I2029" t="s">
        <v>6611</v>
      </c>
      <c r="J2029" t="s">
        <v>7169</v>
      </c>
      <c r="K2029">
        <v>10029</v>
      </c>
      <c r="N2029" t="s">
        <v>7237</v>
      </c>
      <c r="O2029" t="s">
        <v>8522</v>
      </c>
      <c r="P2029">
        <v>1</v>
      </c>
      <c r="Q2029">
        <v>0</v>
      </c>
      <c r="R2029">
        <v>192.15</v>
      </c>
      <c r="U2029">
        <v>24000</v>
      </c>
      <c r="W2029">
        <v>73.09999999999999</v>
      </c>
      <c r="X2029" t="s">
        <v>421</v>
      </c>
      <c r="Y2029" t="s">
        <v>10872</v>
      </c>
      <c r="AA2029" t="s">
        <v>10974</v>
      </c>
      <c r="AB2029" t="s">
        <v>718</v>
      </c>
      <c r="AD2029" t="s">
        <v>11102</v>
      </c>
      <c r="AF2029" t="s">
        <v>11118</v>
      </c>
      <c r="AH2029" t="s">
        <v>10975</v>
      </c>
      <c r="AJ2029" t="s">
        <v>11147</v>
      </c>
      <c r="AK2029" t="s">
        <v>7225</v>
      </c>
      <c r="AM2029">
        <v>1255</v>
      </c>
      <c r="AO2029">
        <v>25</v>
      </c>
      <c r="AQ2029" t="s">
        <v>11157</v>
      </c>
      <c r="AS2029" t="s">
        <v>11174</v>
      </c>
      <c r="AU2029">
        <v>20</v>
      </c>
      <c r="AW2029" t="s">
        <v>11187</v>
      </c>
      <c r="AY2029" t="s">
        <v>11214</v>
      </c>
      <c r="AZ2029" t="s">
        <v>11221</v>
      </c>
      <c r="BE2029" t="s">
        <v>12798</v>
      </c>
      <c r="BG2029" t="s">
        <v>14873</v>
      </c>
      <c r="BI2029" t="s">
        <v>15611</v>
      </c>
      <c r="BK2029" t="s">
        <v>15630</v>
      </c>
      <c r="BM2029" t="s">
        <v>15650</v>
      </c>
      <c r="BN2029" t="s">
        <v>15652</v>
      </c>
      <c r="BO2029" t="s">
        <v>15689</v>
      </c>
    </row>
    <row r="2030" spans="1:67">
      <c r="A2030" s="1">
        <f>HYPERLINK("https://lsnyc.legalserver.org/matter/dynamic-profile/view/1915469","19-1915469")</f>
        <v>0</v>
      </c>
      <c r="B2030" t="s">
        <v>145</v>
      </c>
      <c r="C2030" t="s">
        <v>245</v>
      </c>
      <c r="D2030" t="s">
        <v>669</v>
      </c>
      <c r="F2030" t="s">
        <v>1979</v>
      </c>
      <c r="G2030" t="s">
        <v>3143</v>
      </c>
      <c r="H2030" t="s">
        <v>4872</v>
      </c>
      <c r="I2030" t="s">
        <v>6433</v>
      </c>
      <c r="J2030" t="s">
        <v>7169</v>
      </c>
      <c r="K2030">
        <v>10034</v>
      </c>
      <c r="N2030" t="s">
        <v>7237</v>
      </c>
      <c r="O2030" t="s">
        <v>8523</v>
      </c>
      <c r="P2030">
        <v>2</v>
      </c>
      <c r="Q2030">
        <v>0</v>
      </c>
      <c r="R2030">
        <v>37.85</v>
      </c>
      <c r="U2030">
        <v>6400</v>
      </c>
      <c r="W2030">
        <v>0.3</v>
      </c>
      <c r="X2030" t="s">
        <v>669</v>
      </c>
      <c r="Y2030" t="s">
        <v>145</v>
      </c>
      <c r="AA2030" t="s">
        <v>10974</v>
      </c>
      <c r="AB2030" t="s">
        <v>669</v>
      </c>
      <c r="AD2030" t="s">
        <v>11082</v>
      </c>
      <c r="AF2030" t="s">
        <v>11118</v>
      </c>
      <c r="AH2030" t="s">
        <v>10975</v>
      </c>
      <c r="AJ2030" t="s">
        <v>11129</v>
      </c>
      <c r="AK2030" t="s">
        <v>7225</v>
      </c>
      <c r="AM2030">
        <v>1300</v>
      </c>
      <c r="AO2030">
        <v>66</v>
      </c>
      <c r="AQ2030" t="s">
        <v>11157</v>
      </c>
      <c r="AS2030" t="s">
        <v>11173</v>
      </c>
      <c r="AU2030">
        <v>3</v>
      </c>
      <c r="AW2030" t="s">
        <v>11187</v>
      </c>
      <c r="AY2030" t="s">
        <v>11213</v>
      </c>
      <c r="BA2030" t="s">
        <v>11222</v>
      </c>
      <c r="BE2030" t="s">
        <v>12799</v>
      </c>
      <c r="BF2030" t="s">
        <v>14364</v>
      </c>
      <c r="BG2030" t="s">
        <v>14874</v>
      </c>
      <c r="BI2030" t="s">
        <v>15611</v>
      </c>
      <c r="BK2030" t="s">
        <v>15618</v>
      </c>
      <c r="BM2030" t="s">
        <v>15650</v>
      </c>
      <c r="BN2030" t="s">
        <v>15652</v>
      </c>
      <c r="BO2030" t="s">
        <v>15690</v>
      </c>
    </row>
    <row r="2031" spans="1:67">
      <c r="A2031" s="1">
        <f>HYPERLINK("https://lsnyc.legalserver.org/matter/dynamic-profile/view/0826190","17-0826190")</f>
        <v>0</v>
      </c>
      <c r="B2031" t="s">
        <v>145</v>
      </c>
      <c r="C2031" t="s">
        <v>245</v>
      </c>
      <c r="D2031" t="s">
        <v>378</v>
      </c>
      <c r="F2031" t="s">
        <v>1980</v>
      </c>
      <c r="G2031" t="s">
        <v>3766</v>
      </c>
      <c r="H2031" t="s">
        <v>5458</v>
      </c>
      <c r="I2031" t="s">
        <v>6419</v>
      </c>
      <c r="J2031" t="s">
        <v>7169</v>
      </c>
      <c r="K2031">
        <v>10034</v>
      </c>
      <c r="N2031" t="s">
        <v>7237</v>
      </c>
      <c r="O2031" t="s">
        <v>8524</v>
      </c>
      <c r="P2031">
        <v>1</v>
      </c>
      <c r="Q2031">
        <v>0</v>
      </c>
      <c r="R2031">
        <v>306.97</v>
      </c>
      <c r="S2031" t="s">
        <v>10255</v>
      </c>
      <c r="U2031">
        <v>36468</v>
      </c>
      <c r="W2031">
        <v>1</v>
      </c>
      <c r="X2031" t="s">
        <v>543</v>
      </c>
      <c r="Y2031" t="s">
        <v>10859</v>
      </c>
      <c r="AA2031" t="s">
        <v>10974</v>
      </c>
      <c r="AB2031" t="s">
        <v>277</v>
      </c>
      <c r="AD2031" t="s">
        <v>11096</v>
      </c>
      <c r="AF2031" t="s">
        <v>11122</v>
      </c>
      <c r="AH2031" t="s">
        <v>10974</v>
      </c>
      <c r="AJ2031" t="s">
        <v>11134</v>
      </c>
      <c r="AK2031" t="s">
        <v>7225</v>
      </c>
      <c r="AM2031">
        <v>769.23</v>
      </c>
      <c r="AO2031">
        <v>26</v>
      </c>
      <c r="AQ2031" t="s">
        <v>11157</v>
      </c>
      <c r="AS2031" t="s">
        <v>11173</v>
      </c>
      <c r="AU2031">
        <v>39</v>
      </c>
      <c r="AW2031" t="s">
        <v>11189</v>
      </c>
      <c r="AZ2031" t="s">
        <v>11221</v>
      </c>
      <c r="BE2031" t="s">
        <v>12800</v>
      </c>
      <c r="BF2031" t="s">
        <v>14364</v>
      </c>
      <c r="BM2031" t="s">
        <v>15650</v>
      </c>
    </row>
    <row r="2032" spans="1:67">
      <c r="A2032" s="1">
        <f>HYPERLINK("https://lsnyc.legalserver.org/matter/dynamic-profile/view/1863759","18-1863759")</f>
        <v>0</v>
      </c>
      <c r="B2032" t="s">
        <v>145</v>
      </c>
      <c r="C2032" t="s">
        <v>245</v>
      </c>
      <c r="D2032" t="s">
        <v>350</v>
      </c>
      <c r="F2032" t="s">
        <v>1981</v>
      </c>
      <c r="G2032" t="s">
        <v>3693</v>
      </c>
      <c r="H2032" t="s">
        <v>4776</v>
      </c>
      <c r="I2032">
        <v>711</v>
      </c>
      <c r="J2032" t="s">
        <v>7169</v>
      </c>
      <c r="K2032">
        <v>10029</v>
      </c>
      <c r="N2032" t="s">
        <v>7237</v>
      </c>
      <c r="O2032" t="s">
        <v>8525</v>
      </c>
      <c r="P2032">
        <v>2</v>
      </c>
      <c r="Q2032">
        <v>0</v>
      </c>
      <c r="R2032">
        <v>55.7</v>
      </c>
      <c r="U2032">
        <v>9168</v>
      </c>
      <c r="W2032">
        <v>97.34999999999999</v>
      </c>
      <c r="X2032" t="s">
        <v>449</v>
      </c>
      <c r="Y2032" t="s">
        <v>10859</v>
      </c>
      <c r="AA2032" t="s">
        <v>10974</v>
      </c>
      <c r="AB2032" t="s">
        <v>832</v>
      </c>
      <c r="AD2032" t="s">
        <v>11101</v>
      </c>
      <c r="AF2032" t="s">
        <v>11118</v>
      </c>
      <c r="AH2032" t="s">
        <v>10974</v>
      </c>
      <c r="AJ2032" t="s">
        <v>11134</v>
      </c>
      <c r="AK2032" t="s">
        <v>7225</v>
      </c>
      <c r="AM2032">
        <v>2760</v>
      </c>
      <c r="AO2032">
        <v>108</v>
      </c>
      <c r="AQ2032" t="s">
        <v>11161</v>
      </c>
      <c r="AS2032" t="s">
        <v>11174</v>
      </c>
      <c r="AU2032">
        <v>17</v>
      </c>
      <c r="AW2032" t="s">
        <v>11189</v>
      </c>
      <c r="AY2032" t="s">
        <v>11213</v>
      </c>
      <c r="AZ2032" t="s">
        <v>11221</v>
      </c>
      <c r="BE2032" t="s">
        <v>12801</v>
      </c>
      <c r="BF2032" t="s">
        <v>14364</v>
      </c>
      <c r="BG2032" t="s">
        <v>14872</v>
      </c>
      <c r="BM2032" t="s">
        <v>15650</v>
      </c>
    </row>
    <row r="2033" spans="1:65">
      <c r="A2033" s="1">
        <f>HYPERLINK("https://lsnyc.legalserver.org/matter/dynamic-profile/view/1881390","18-1881390")</f>
        <v>0</v>
      </c>
      <c r="B2033" t="s">
        <v>145</v>
      </c>
      <c r="C2033" t="s">
        <v>245</v>
      </c>
      <c r="D2033" t="s">
        <v>625</v>
      </c>
      <c r="F2033" t="s">
        <v>1122</v>
      </c>
      <c r="G2033" t="s">
        <v>2938</v>
      </c>
      <c r="H2033" t="s">
        <v>5459</v>
      </c>
      <c r="I2033" t="s">
        <v>6448</v>
      </c>
      <c r="J2033" t="s">
        <v>7169</v>
      </c>
      <c r="K2033">
        <v>10031</v>
      </c>
      <c r="N2033" t="s">
        <v>7237</v>
      </c>
      <c r="O2033" t="s">
        <v>8526</v>
      </c>
      <c r="P2033">
        <v>2</v>
      </c>
      <c r="Q2033">
        <v>0</v>
      </c>
      <c r="R2033">
        <v>114.68</v>
      </c>
      <c r="U2033">
        <v>18876</v>
      </c>
      <c r="W2033">
        <v>2.2</v>
      </c>
      <c r="X2033" t="s">
        <v>590</v>
      </c>
      <c r="Y2033" t="s">
        <v>10859</v>
      </c>
      <c r="AA2033" t="s">
        <v>10974</v>
      </c>
      <c r="AB2033" t="s">
        <v>323</v>
      </c>
      <c r="AD2033" t="s">
        <v>11101</v>
      </c>
      <c r="AF2033" t="s">
        <v>11118</v>
      </c>
      <c r="AH2033" t="s">
        <v>10974</v>
      </c>
      <c r="AJ2033" t="s">
        <v>11134</v>
      </c>
      <c r="AK2033" t="s">
        <v>7225</v>
      </c>
      <c r="AM2033">
        <v>2126</v>
      </c>
      <c r="AO2033">
        <v>42</v>
      </c>
      <c r="AQ2033" t="s">
        <v>11157</v>
      </c>
      <c r="AS2033" t="s">
        <v>11174</v>
      </c>
      <c r="AU2033">
        <v>20</v>
      </c>
      <c r="AW2033" t="s">
        <v>11189</v>
      </c>
      <c r="AY2033" t="s">
        <v>11213</v>
      </c>
      <c r="AZ2033" t="s">
        <v>11221</v>
      </c>
      <c r="BE2033" t="s">
        <v>12802</v>
      </c>
      <c r="BF2033" t="s">
        <v>14364</v>
      </c>
      <c r="BG2033" t="s">
        <v>14875</v>
      </c>
      <c r="BM2033" t="s">
        <v>15650</v>
      </c>
    </row>
    <row r="2034" spans="1:65">
      <c r="A2034" s="1">
        <f>HYPERLINK("https://lsnyc.legalserver.org/matter/dynamic-profile/view/1903020","19-1903020")</f>
        <v>0</v>
      </c>
      <c r="B2034" t="s">
        <v>145</v>
      </c>
      <c r="C2034" t="s">
        <v>245</v>
      </c>
      <c r="D2034" t="s">
        <v>611</v>
      </c>
      <c r="F2034" t="s">
        <v>1982</v>
      </c>
      <c r="G2034" t="s">
        <v>3488</v>
      </c>
      <c r="H2034" t="s">
        <v>4776</v>
      </c>
      <c r="I2034">
        <v>709</v>
      </c>
      <c r="J2034" t="s">
        <v>7169</v>
      </c>
      <c r="K2034">
        <v>10029</v>
      </c>
      <c r="N2034" t="s">
        <v>7237</v>
      </c>
      <c r="O2034" t="s">
        <v>8527</v>
      </c>
      <c r="P2034">
        <v>2</v>
      </c>
      <c r="Q2034">
        <v>0</v>
      </c>
      <c r="R2034">
        <v>132.42</v>
      </c>
      <c r="U2034">
        <v>22392</v>
      </c>
      <c r="W2034">
        <v>9.699999999999999</v>
      </c>
      <c r="X2034" t="s">
        <v>266</v>
      </c>
      <c r="Y2034" t="s">
        <v>10859</v>
      </c>
      <c r="AA2034" t="s">
        <v>10974</v>
      </c>
      <c r="AB2034" t="s">
        <v>322</v>
      </c>
      <c r="AD2034" t="s">
        <v>11101</v>
      </c>
      <c r="AF2034" t="s">
        <v>11118</v>
      </c>
      <c r="AH2034" t="s">
        <v>10974</v>
      </c>
      <c r="AJ2034" t="s">
        <v>11129</v>
      </c>
      <c r="AK2034" t="s">
        <v>7225</v>
      </c>
      <c r="AL2034" t="s">
        <v>11150</v>
      </c>
      <c r="AM2034">
        <v>0</v>
      </c>
      <c r="AO2034">
        <v>108</v>
      </c>
      <c r="AQ2034" t="s">
        <v>11161</v>
      </c>
      <c r="AS2034" t="s">
        <v>11174</v>
      </c>
      <c r="AU2034">
        <v>32</v>
      </c>
      <c r="AW2034" t="s">
        <v>11189</v>
      </c>
      <c r="AY2034" t="s">
        <v>11213</v>
      </c>
      <c r="BA2034" t="s">
        <v>11222</v>
      </c>
      <c r="BE2034" t="s">
        <v>12803</v>
      </c>
      <c r="BF2034" t="s">
        <v>14364</v>
      </c>
      <c r="BM2034" t="s">
        <v>15650</v>
      </c>
    </row>
    <row r="2035" spans="1:65">
      <c r="A2035" s="1">
        <f>HYPERLINK("https://lsnyc.legalserver.org/matter/dynamic-profile/view/1841984","17-1841984")</f>
        <v>0</v>
      </c>
      <c r="B2035" t="s">
        <v>145</v>
      </c>
      <c r="C2035" t="s">
        <v>245</v>
      </c>
      <c r="D2035" t="s">
        <v>351</v>
      </c>
      <c r="E2035" t="s">
        <v>262</v>
      </c>
      <c r="F2035" t="s">
        <v>1155</v>
      </c>
      <c r="G2035" t="s">
        <v>3139</v>
      </c>
      <c r="H2035" t="s">
        <v>5460</v>
      </c>
      <c r="I2035" t="s">
        <v>6593</v>
      </c>
      <c r="J2035" t="s">
        <v>7169</v>
      </c>
      <c r="K2035">
        <v>10029</v>
      </c>
      <c r="L2035" t="s">
        <v>7217</v>
      </c>
      <c r="N2035" t="s">
        <v>7237</v>
      </c>
      <c r="O2035" t="s">
        <v>8528</v>
      </c>
      <c r="P2035">
        <v>1</v>
      </c>
      <c r="Q2035">
        <v>0</v>
      </c>
      <c r="R2035">
        <v>99.5</v>
      </c>
      <c r="U2035">
        <v>12000</v>
      </c>
      <c r="W2035">
        <v>20.3</v>
      </c>
      <c r="X2035" t="s">
        <v>765</v>
      </c>
      <c r="Y2035" t="s">
        <v>10859</v>
      </c>
      <c r="AA2035" t="s">
        <v>10974</v>
      </c>
      <c r="AB2035" t="s">
        <v>348</v>
      </c>
      <c r="AD2035" t="s">
        <v>11086</v>
      </c>
      <c r="AF2035" t="s">
        <v>10384</v>
      </c>
      <c r="AH2035" t="s">
        <v>10974</v>
      </c>
      <c r="AJ2035" t="s">
        <v>11130</v>
      </c>
      <c r="AK2035" t="s">
        <v>7225</v>
      </c>
      <c r="AM2035">
        <v>1097</v>
      </c>
      <c r="AO2035">
        <v>13</v>
      </c>
      <c r="AQ2035" t="s">
        <v>11157</v>
      </c>
      <c r="AS2035" t="s">
        <v>11173</v>
      </c>
      <c r="AU2035">
        <v>27</v>
      </c>
      <c r="AW2035" t="s">
        <v>11187</v>
      </c>
      <c r="AY2035" t="s">
        <v>11213</v>
      </c>
      <c r="BA2035" t="s">
        <v>11222</v>
      </c>
      <c r="BE2035" t="s">
        <v>12804</v>
      </c>
      <c r="BF2035" t="s">
        <v>14364</v>
      </c>
      <c r="BM2035" t="s">
        <v>15651</v>
      </c>
    </row>
    <row r="2036" spans="1:65">
      <c r="A2036" s="1">
        <f>HYPERLINK("https://lsnyc.legalserver.org/matter/dynamic-profile/view/1864094","18-1864094")</f>
        <v>0</v>
      </c>
      <c r="B2036" t="s">
        <v>145</v>
      </c>
      <c r="C2036" t="s">
        <v>245</v>
      </c>
      <c r="D2036" t="s">
        <v>817</v>
      </c>
      <c r="F2036" t="s">
        <v>1280</v>
      </c>
      <c r="G2036" t="s">
        <v>3767</v>
      </c>
      <c r="H2036" t="s">
        <v>4776</v>
      </c>
      <c r="I2036">
        <v>206</v>
      </c>
      <c r="J2036" t="s">
        <v>7169</v>
      </c>
      <c r="K2036">
        <v>10029</v>
      </c>
      <c r="N2036" t="s">
        <v>7237</v>
      </c>
      <c r="O2036" t="s">
        <v>8529</v>
      </c>
      <c r="P2036">
        <v>1</v>
      </c>
      <c r="Q2036">
        <v>1</v>
      </c>
      <c r="R2036">
        <v>55.77</v>
      </c>
      <c r="U2036">
        <v>9180</v>
      </c>
      <c r="W2036">
        <v>0.5</v>
      </c>
      <c r="X2036" t="s">
        <v>666</v>
      </c>
      <c r="Y2036" t="s">
        <v>10859</v>
      </c>
      <c r="AA2036" t="s">
        <v>10974</v>
      </c>
      <c r="AB2036" t="s">
        <v>817</v>
      </c>
      <c r="AD2036" t="s">
        <v>11101</v>
      </c>
      <c r="AF2036" t="s">
        <v>11118</v>
      </c>
      <c r="AH2036" t="s">
        <v>10974</v>
      </c>
      <c r="AJ2036" t="s">
        <v>11134</v>
      </c>
      <c r="AK2036" t="s">
        <v>7225</v>
      </c>
      <c r="AL2036" t="s">
        <v>11150</v>
      </c>
      <c r="AM2036">
        <v>0</v>
      </c>
      <c r="AO2036">
        <v>108</v>
      </c>
      <c r="AQ2036" t="s">
        <v>11161</v>
      </c>
      <c r="AS2036" t="s">
        <v>11174</v>
      </c>
      <c r="AU2036">
        <v>26</v>
      </c>
      <c r="AW2036" t="s">
        <v>11189</v>
      </c>
      <c r="AY2036" t="s">
        <v>11213</v>
      </c>
      <c r="BA2036" t="s">
        <v>11222</v>
      </c>
      <c r="BD2036" t="s">
        <v>11667</v>
      </c>
      <c r="BF2036" t="s">
        <v>14364</v>
      </c>
      <c r="BG2036" t="s">
        <v>14872</v>
      </c>
      <c r="BM2036" t="s">
        <v>15650</v>
      </c>
    </row>
    <row r="2037" spans="1:65">
      <c r="A2037" s="1">
        <f>HYPERLINK("https://lsnyc.legalserver.org/matter/dynamic-profile/view/1864734","18-1864734")</f>
        <v>0</v>
      </c>
      <c r="B2037" t="s">
        <v>145</v>
      </c>
      <c r="C2037" t="s">
        <v>245</v>
      </c>
      <c r="D2037" t="s">
        <v>818</v>
      </c>
      <c r="F2037" t="s">
        <v>1538</v>
      </c>
      <c r="G2037" t="s">
        <v>3768</v>
      </c>
      <c r="H2037" t="s">
        <v>4776</v>
      </c>
      <c r="I2037">
        <v>201</v>
      </c>
      <c r="J2037" t="s">
        <v>7169</v>
      </c>
      <c r="K2037">
        <v>10029</v>
      </c>
      <c r="N2037" t="s">
        <v>7237</v>
      </c>
      <c r="O2037" t="s">
        <v>8530</v>
      </c>
      <c r="P2037">
        <v>1</v>
      </c>
      <c r="Q2037">
        <v>1</v>
      </c>
      <c r="R2037">
        <v>194.41</v>
      </c>
      <c r="U2037">
        <v>32000</v>
      </c>
      <c r="W2037">
        <v>0.25</v>
      </c>
      <c r="X2037" t="s">
        <v>801</v>
      </c>
      <c r="Y2037" t="s">
        <v>10859</v>
      </c>
      <c r="AA2037" t="s">
        <v>10974</v>
      </c>
      <c r="AB2037" t="s">
        <v>818</v>
      </c>
      <c r="AD2037" t="s">
        <v>11101</v>
      </c>
      <c r="AF2037" t="s">
        <v>11118</v>
      </c>
      <c r="AH2037" t="s">
        <v>10974</v>
      </c>
      <c r="AJ2037" t="s">
        <v>11134</v>
      </c>
      <c r="AK2037" t="s">
        <v>7225</v>
      </c>
      <c r="AL2037" t="s">
        <v>11150</v>
      </c>
      <c r="AM2037">
        <v>0</v>
      </c>
      <c r="AO2037">
        <v>108</v>
      </c>
      <c r="AQ2037" t="s">
        <v>11161</v>
      </c>
      <c r="AS2037" t="s">
        <v>11174</v>
      </c>
      <c r="AU2037">
        <v>9</v>
      </c>
      <c r="AW2037" t="s">
        <v>11187</v>
      </c>
      <c r="AY2037" t="s">
        <v>11213</v>
      </c>
      <c r="BA2037" t="s">
        <v>11222</v>
      </c>
      <c r="BD2037" t="s">
        <v>11667</v>
      </c>
      <c r="BF2037" t="s">
        <v>14364</v>
      </c>
      <c r="BG2037" t="s">
        <v>14872</v>
      </c>
      <c r="BM2037" t="s">
        <v>15650</v>
      </c>
    </row>
    <row r="2038" spans="1:65">
      <c r="A2038" s="1">
        <f>HYPERLINK("https://lsnyc.legalserver.org/matter/dynamic-profile/view/1846894","17-1846894")</f>
        <v>0</v>
      </c>
      <c r="B2038" t="s">
        <v>145</v>
      </c>
      <c r="C2038" t="s">
        <v>245</v>
      </c>
      <c r="D2038" t="s">
        <v>819</v>
      </c>
      <c r="E2038" t="s">
        <v>669</v>
      </c>
      <c r="F2038" t="s">
        <v>1090</v>
      </c>
      <c r="G2038" t="s">
        <v>3769</v>
      </c>
      <c r="H2038" t="s">
        <v>4922</v>
      </c>
      <c r="I2038" t="s">
        <v>6436</v>
      </c>
      <c r="J2038" t="s">
        <v>7169</v>
      </c>
      <c r="K2038">
        <v>10040</v>
      </c>
      <c r="L2038" t="s">
        <v>7220</v>
      </c>
      <c r="N2038" t="s">
        <v>7237</v>
      </c>
      <c r="O2038" t="s">
        <v>8531</v>
      </c>
      <c r="P2038">
        <v>2</v>
      </c>
      <c r="Q2038">
        <v>0</v>
      </c>
      <c r="R2038">
        <v>234.68</v>
      </c>
      <c r="S2038" t="s">
        <v>10266</v>
      </c>
      <c r="U2038">
        <v>76222.64</v>
      </c>
      <c r="W2038">
        <v>3.26</v>
      </c>
      <c r="X2038" t="s">
        <v>452</v>
      </c>
      <c r="Y2038" t="s">
        <v>127</v>
      </c>
      <c r="AA2038" t="s">
        <v>10974</v>
      </c>
      <c r="AB2038" t="s">
        <v>819</v>
      </c>
      <c r="AD2038" t="s">
        <v>11096</v>
      </c>
      <c r="AF2038" t="s">
        <v>11120</v>
      </c>
      <c r="AH2038" t="s">
        <v>10975</v>
      </c>
      <c r="AJ2038" t="s">
        <v>11130</v>
      </c>
      <c r="AK2038" t="s">
        <v>7225</v>
      </c>
      <c r="AM2038">
        <v>981.58</v>
      </c>
      <c r="AO2038">
        <v>43</v>
      </c>
      <c r="AQ2038" t="s">
        <v>11157</v>
      </c>
      <c r="AS2038" t="s">
        <v>11173</v>
      </c>
      <c r="AT2038" t="s">
        <v>11184</v>
      </c>
      <c r="AU2038">
        <v>0</v>
      </c>
      <c r="AW2038" t="s">
        <v>11189</v>
      </c>
      <c r="AZ2038" t="s">
        <v>11221</v>
      </c>
      <c r="BE2038" t="s">
        <v>12805</v>
      </c>
      <c r="BG2038" t="s">
        <v>14876</v>
      </c>
      <c r="BM2038" t="s">
        <v>15651</v>
      </c>
    </row>
    <row r="2039" spans="1:65">
      <c r="A2039" s="1">
        <f>HYPERLINK("https://lsnyc.legalserver.org/matter/dynamic-profile/view/1868674","18-1868674")</f>
        <v>0</v>
      </c>
      <c r="B2039" t="s">
        <v>145</v>
      </c>
      <c r="C2039" t="s">
        <v>245</v>
      </c>
      <c r="D2039" t="s">
        <v>820</v>
      </c>
      <c r="F2039" t="s">
        <v>1983</v>
      </c>
      <c r="G2039" t="s">
        <v>3515</v>
      </c>
      <c r="H2039" t="s">
        <v>5461</v>
      </c>
      <c r="I2039" t="s">
        <v>6813</v>
      </c>
      <c r="J2039" t="s">
        <v>7169</v>
      </c>
      <c r="K2039">
        <v>10029</v>
      </c>
      <c r="N2039" t="s">
        <v>7237</v>
      </c>
      <c r="O2039" t="s">
        <v>8532</v>
      </c>
      <c r="P2039">
        <v>2</v>
      </c>
      <c r="Q2039">
        <v>0</v>
      </c>
      <c r="R2039">
        <v>99.73</v>
      </c>
      <c r="U2039">
        <v>16416</v>
      </c>
      <c r="W2039">
        <v>27.55</v>
      </c>
      <c r="X2039" t="s">
        <v>433</v>
      </c>
      <c r="Y2039" t="s">
        <v>10859</v>
      </c>
      <c r="AA2039" t="s">
        <v>10974</v>
      </c>
      <c r="AB2039" t="s">
        <v>820</v>
      </c>
      <c r="AD2039" t="s">
        <v>11086</v>
      </c>
      <c r="AF2039" t="s">
        <v>11122</v>
      </c>
      <c r="AH2039" t="s">
        <v>10975</v>
      </c>
      <c r="AJ2039" t="s">
        <v>11130</v>
      </c>
      <c r="AK2039" t="s">
        <v>7225</v>
      </c>
      <c r="AM2039">
        <v>1127</v>
      </c>
      <c r="AO2039">
        <v>115</v>
      </c>
      <c r="AQ2039" t="s">
        <v>11158</v>
      </c>
      <c r="AS2039" t="s">
        <v>11174</v>
      </c>
      <c r="AU2039">
        <v>48</v>
      </c>
      <c r="AW2039" t="s">
        <v>11189</v>
      </c>
      <c r="AZ2039" t="s">
        <v>11221</v>
      </c>
      <c r="BE2039" t="s">
        <v>12806</v>
      </c>
      <c r="BF2039" t="s">
        <v>14364</v>
      </c>
      <c r="BM2039" t="s">
        <v>15650</v>
      </c>
    </row>
    <row r="2040" spans="1:65">
      <c r="A2040" s="1">
        <f>HYPERLINK("https://lsnyc.legalserver.org/matter/dynamic-profile/view/1863916","18-1863916")</f>
        <v>0</v>
      </c>
      <c r="B2040" t="s">
        <v>145</v>
      </c>
      <c r="C2040" t="s">
        <v>245</v>
      </c>
      <c r="D2040" t="s">
        <v>770</v>
      </c>
      <c r="F2040" t="s">
        <v>1106</v>
      </c>
      <c r="G2040" t="s">
        <v>2898</v>
      </c>
      <c r="H2040" t="s">
        <v>4776</v>
      </c>
      <c r="I2040">
        <v>801</v>
      </c>
      <c r="J2040" t="s">
        <v>7169</v>
      </c>
      <c r="K2040">
        <v>10029</v>
      </c>
      <c r="N2040" t="s">
        <v>7237</v>
      </c>
      <c r="O2040" t="s">
        <v>7275</v>
      </c>
      <c r="P2040">
        <v>1</v>
      </c>
      <c r="Q2040">
        <v>0</v>
      </c>
      <c r="R2040">
        <v>350.08</v>
      </c>
      <c r="U2040">
        <v>42500</v>
      </c>
      <c r="W2040">
        <v>8</v>
      </c>
      <c r="X2040" t="s">
        <v>268</v>
      </c>
      <c r="Y2040" t="s">
        <v>10859</v>
      </c>
      <c r="AA2040" t="s">
        <v>10974</v>
      </c>
      <c r="AB2040" t="s">
        <v>770</v>
      </c>
      <c r="AD2040" t="s">
        <v>11101</v>
      </c>
      <c r="AF2040" t="s">
        <v>11118</v>
      </c>
      <c r="AH2040" t="s">
        <v>10974</v>
      </c>
      <c r="AJ2040" t="s">
        <v>11134</v>
      </c>
      <c r="AK2040" t="s">
        <v>7225</v>
      </c>
      <c r="AL2040" t="s">
        <v>11150</v>
      </c>
      <c r="AM2040">
        <v>0</v>
      </c>
      <c r="AO2040">
        <v>108</v>
      </c>
      <c r="AQ2040" t="s">
        <v>11161</v>
      </c>
      <c r="AS2040" t="s">
        <v>11174</v>
      </c>
      <c r="AU2040">
        <v>20</v>
      </c>
      <c r="AW2040" t="s">
        <v>11187</v>
      </c>
      <c r="AY2040" t="s">
        <v>11213</v>
      </c>
      <c r="AZ2040" t="s">
        <v>11221</v>
      </c>
      <c r="BE2040" t="s">
        <v>11690</v>
      </c>
      <c r="BF2040" t="s">
        <v>14364</v>
      </c>
      <c r="BG2040" t="s">
        <v>14877</v>
      </c>
      <c r="BM2040" t="s">
        <v>15650</v>
      </c>
    </row>
    <row r="2041" spans="1:65">
      <c r="A2041" s="1">
        <f>HYPERLINK("https://lsnyc.legalserver.org/matter/dynamic-profile/view/1913372","19-1913372")</f>
        <v>0</v>
      </c>
      <c r="B2041" t="s">
        <v>145</v>
      </c>
      <c r="C2041" t="s">
        <v>245</v>
      </c>
      <c r="D2041" t="s">
        <v>273</v>
      </c>
      <c r="F2041" t="s">
        <v>1984</v>
      </c>
      <c r="G2041" t="s">
        <v>3030</v>
      </c>
      <c r="H2041" t="s">
        <v>4776</v>
      </c>
      <c r="I2041">
        <v>412</v>
      </c>
      <c r="J2041" t="s">
        <v>7169</v>
      </c>
      <c r="K2041">
        <v>10029</v>
      </c>
      <c r="N2041" t="s">
        <v>7237</v>
      </c>
      <c r="O2041" t="s">
        <v>8533</v>
      </c>
      <c r="P2041">
        <v>2</v>
      </c>
      <c r="Q2041">
        <v>1</v>
      </c>
      <c r="R2041">
        <v>52.26</v>
      </c>
      <c r="U2041">
        <v>11148</v>
      </c>
      <c r="W2041">
        <v>0</v>
      </c>
      <c r="Y2041" t="s">
        <v>10859</v>
      </c>
      <c r="AA2041" t="s">
        <v>10974</v>
      </c>
      <c r="AB2041" t="s">
        <v>925</v>
      </c>
      <c r="AD2041" t="s">
        <v>11101</v>
      </c>
      <c r="AF2041" t="s">
        <v>11119</v>
      </c>
      <c r="AH2041" t="s">
        <v>10974</v>
      </c>
      <c r="AJ2041" t="s">
        <v>11129</v>
      </c>
      <c r="AK2041" t="s">
        <v>7225</v>
      </c>
      <c r="AL2041" t="s">
        <v>11150</v>
      </c>
      <c r="AM2041">
        <v>0</v>
      </c>
      <c r="AO2041">
        <v>108</v>
      </c>
      <c r="AQ2041" t="s">
        <v>11161</v>
      </c>
      <c r="AS2041" t="s">
        <v>11174</v>
      </c>
      <c r="AU2041">
        <v>4</v>
      </c>
      <c r="AW2041" t="s">
        <v>11187</v>
      </c>
      <c r="AY2041" t="s">
        <v>11213</v>
      </c>
      <c r="BA2041" t="s">
        <v>11222</v>
      </c>
      <c r="BE2041" t="s">
        <v>12807</v>
      </c>
      <c r="BF2041" t="s">
        <v>14364</v>
      </c>
      <c r="BM2041" t="s">
        <v>15650</v>
      </c>
    </row>
    <row r="2042" spans="1:65">
      <c r="A2042" s="1">
        <f>HYPERLINK("https://lsnyc.legalserver.org/matter/dynamic-profile/view/1843079","17-1843079")</f>
        <v>0</v>
      </c>
      <c r="B2042" t="s">
        <v>145</v>
      </c>
      <c r="C2042" t="s">
        <v>245</v>
      </c>
      <c r="D2042" t="s">
        <v>821</v>
      </c>
      <c r="E2042" t="s">
        <v>262</v>
      </c>
      <c r="F2042" t="s">
        <v>1456</v>
      </c>
      <c r="G2042" t="s">
        <v>3336</v>
      </c>
      <c r="H2042" t="s">
        <v>5460</v>
      </c>
      <c r="I2042" t="s">
        <v>6497</v>
      </c>
      <c r="J2042" t="s">
        <v>7169</v>
      </c>
      <c r="K2042">
        <v>10029</v>
      </c>
      <c r="L2042" t="s">
        <v>7217</v>
      </c>
      <c r="N2042" t="s">
        <v>7237</v>
      </c>
      <c r="O2042" t="s">
        <v>8534</v>
      </c>
      <c r="P2042">
        <v>2</v>
      </c>
      <c r="Q2042">
        <v>2</v>
      </c>
      <c r="R2042">
        <v>54.39</v>
      </c>
      <c r="U2042">
        <v>13380</v>
      </c>
      <c r="W2042">
        <v>2.45</v>
      </c>
      <c r="X2042" t="s">
        <v>912</v>
      </c>
      <c r="Y2042" t="s">
        <v>10859</v>
      </c>
      <c r="AA2042" t="s">
        <v>10974</v>
      </c>
      <c r="AB2042" t="s">
        <v>821</v>
      </c>
      <c r="AD2042" t="s">
        <v>11086</v>
      </c>
      <c r="AF2042" t="s">
        <v>10384</v>
      </c>
      <c r="AH2042" t="s">
        <v>10974</v>
      </c>
      <c r="AJ2042" t="s">
        <v>11134</v>
      </c>
      <c r="AK2042" t="s">
        <v>7225</v>
      </c>
      <c r="AM2042">
        <v>835.3200000000001</v>
      </c>
      <c r="AO2042">
        <v>13</v>
      </c>
      <c r="AQ2042" t="s">
        <v>11157</v>
      </c>
      <c r="AS2042" t="s">
        <v>11173</v>
      </c>
      <c r="AU2042">
        <v>35</v>
      </c>
      <c r="AW2042" t="s">
        <v>11189</v>
      </c>
      <c r="AY2042" t="s">
        <v>11213</v>
      </c>
      <c r="BA2042" t="s">
        <v>11222</v>
      </c>
      <c r="BE2042" t="s">
        <v>12808</v>
      </c>
      <c r="BF2042" t="s">
        <v>14364</v>
      </c>
      <c r="BM2042" t="s">
        <v>15651</v>
      </c>
    </row>
    <row r="2043" spans="1:65">
      <c r="A2043" s="1">
        <f>HYPERLINK("https://lsnyc.legalserver.org/matter/dynamic-profile/view/1862226","18-1862226")</f>
        <v>0</v>
      </c>
      <c r="B2043" t="s">
        <v>145</v>
      </c>
      <c r="C2043" t="s">
        <v>245</v>
      </c>
      <c r="D2043" t="s">
        <v>368</v>
      </c>
      <c r="F2043" t="s">
        <v>1708</v>
      </c>
      <c r="G2043" t="s">
        <v>3770</v>
      </c>
      <c r="H2043" t="s">
        <v>5462</v>
      </c>
      <c r="I2043" t="s">
        <v>6448</v>
      </c>
      <c r="J2043" t="s">
        <v>7169</v>
      </c>
      <c r="K2043">
        <v>10034</v>
      </c>
      <c r="N2043" t="s">
        <v>7237</v>
      </c>
      <c r="O2043" t="s">
        <v>8535</v>
      </c>
      <c r="P2043">
        <v>2</v>
      </c>
      <c r="Q2043">
        <v>0</v>
      </c>
      <c r="R2043">
        <v>173.75</v>
      </c>
      <c r="U2043">
        <v>28600</v>
      </c>
      <c r="W2043">
        <v>0</v>
      </c>
      <c r="Y2043" t="s">
        <v>127</v>
      </c>
      <c r="AA2043" t="s">
        <v>10974</v>
      </c>
      <c r="AB2043" t="s">
        <v>368</v>
      </c>
      <c r="AD2043" t="s">
        <v>11101</v>
      </c>
      <c r="AF2043" t="s">
        <v>11118</v>
      </c>
      <c r="AH2043" t="s">
        <v>10974</v>
      </c>
      <c r="AJ2043" t="s">
        <v>11130</v>
      </c>
      <c r="AK2043" t="s">
        <v>7225</v>
      </c>
      <c r="AM2043">
        <v>1108.03</v>
      </c>
      <c r="AO2043">
        <v>60</v>
      </c>
      <c r="AQ2043" t="s">
        <v>11157</v>
      </c>
      <c r="AS2043" t="s">
        <v>11173</v>
      </c>
      <c r="AU2043">
        <v>23</v>
      </c>
      <c r="AW2043" t="s">
        <v>11189</v>
      </c>
      <c r="AZ2043" t="s">
        <v>11221</v>
      </c>
      <c r="BE2043" t="s">
        <v>12809</v>
      </c>
      <c r="BF2043" t="s">
        <v>14364</v>
      </c>
      <c r="BG2043" t="s">
        <v>14878</v>
      </c>
      <c r="BM2043" t="s">
        <v>15650</v>
      </c>
    </row>
    <row r="2044" spans="1:65">
      <c r="A2044" s="1">
        <f>HYPERLINK("https://lsnyc.legalserver.org/matter/dynamic-profile/view/1863839","18-1863839")</f>
        <v>0</v>
      </c>
      <c r="B2044" t="s">
        <v>145</v>
      </c>
      <c r="C2044" t="s">
        <v>245</v>
      </c>
      <c r="D2044" t="s">
        <v>350</v>
      </c>
      <c r="F2044" t="s">
        <v>1738</v>
      </c>
      <c r="G2044" t="s">
        <v>3480</v>
      </c>
      <c r="H2044" t="s">
        <v>4776</v>
      </c>
      <c r="I2044">
        <v>810</v>
      </c>
      <c r="J2044" t="s">
        <v>7169</v>
      </c>
      <c r="K2044">
        <v>10029</v>
      </c>
      <c r="N2044" t="s">
        <v>7237</v>
      </c>
      <c r="O2044" t="s">
        <v>8536</v>
      </c>
      <c r="P2044">
        <v>1</v>
      </c>
      <c r="Q2044">
        <v>1</v>
      </c>
      <c r="R2044">
        <v>110.52</v>
      </c>
      <c r="U2044">
        <v>18192</v>
      </c>
      <c r="V2044" t="s">
        <v>10488</v>
      </c>
      <c r="W2044">
        <v>0.35</v>
      </c>
      <c r="X2044" t="s">
        <v>314</v>
      </c>
      <c r="Y2044" t="s">
        <v>10859</v>
      </c>
      <c r="AA2044" t="s">
        <v>10974</v>
      </c>
      <c r="AB2044" t="s">
        <v>832</v>
      </c>
      <c r="AD2044" t="s">
        <v>11101</v>
      </c>
      <c r="AF2044" t="s">
        <v>11118</v>
      </c>
      <c r="AH2044" t="s">
        <v>10974</v>
      </c>
      <c r="AJ2044" t="s">
        <v>11134</v>
      </c>
      <c r="AK2044" t="s">
        <v>7225</v>
      </c>
      <c r="AL2044" t="s">
        <v>11150</v>
      </c>
      <c r="AM2044">
        <v>0</v>
      </c>
      <c r="AO2044">
        <v>108</v>
      </c>
      <c r="AQ2044" t="s">
        <v>11161</v>
      </c>
      <c r="AS2044" t="s">
        <v>11174</v>
      </c>
      <c r="AU2044">
        <v>6</v>
      </c>
      <c r="AW2044" t="s">
        <v>11187</v>
      </c>
      <c r="AY2044" t="s">
        <v>11213</v>
      </c>
      <c r="AZ2044" t="s">
        <v>11221</v>
      </c>
      <c r="BE2044" t="s">
        <v>12810</v>
      </c>
      <c r="BF2044" t="s">
        <v>14364</v>
      </c>
      <c r="BG2044" t="s">
        <v>14872</v>
      </c>
      <c r="BM2044" t="s">
        <v>15650</v>
      </c>
    </row>
    <row r="2045" spans="1:65">
      <c r="A2045" s="1">
        <f>HYPERLINK("https://lsnyc.legalserver.org/matter/dynamic-profile/view/1897816","19-1897816")</f>
        <v>0</v>
      </c>
      <c r="B2045" t="s">
        <v>145</v>
      </c>
      <c r="C2045" t="s">
        <v>245</v>
      </c>
      <c r="D2045" t="s">
        <v>822</v>
      </c>
      <c r="F2045" t="s">
        <v>1090</v>
      </c>
      <c r="G2045" t="s">
        <v>3385</v>
      </c>
      <c r="H2045" t="s">
        <v>4780</v>
      </c>
      <c r="I2045" t="s">
        <v>6525</v>
      </c>
      <c r="J2045" t="s">
        <v>7169</v>
      </c>
      <c r="K2045">
        <v>10035</v>
      </c>
      <c r="N2045" t="s">
        <v>7237</v>
      </c>
      <c r="O2045" t="s">
        <v>7945</v>
      </c>
      <c r="P2045">
        <v>1</v>
      </c>
      <c r="Q2045">
        <v>0</v>
      </c>
      <c r="R2045">
        <v>160.13</v>
      </c>
      <c r="U2045">
        <v>20000</v>
      </c>
      <c r="V2045" t="s">
        <v>10361</v>
      </c>
      <c r="W2045">
        <v>9.75</v>
      </c>
      <c r="X2045" t="s">
        <v>638</v>
      </c>
      <c r="Y2045" t="s">
        <v>10859</v>
      </c>
      <c r="AA2045" t="s">
        <v>10974</v>
      </c>
      <c r="AB2045" t="s">
        <v>822</v>
      </c>
      <c r="AD2045" t="s">
        <v>11086</v>
      </c>
      <c r="AF2045" t="s">
        <v>10384</v>
      </c>
      <c r="AH2045" t="s">
        <v>10974</v>
      </c>
      <c r="AJ2045" t="s">
        <v>11137</v>
      </c>
      <c r="AK2045" t="s">
        <v>7225</v>
      </c>
      <c r="AM2045">
        <v>552</v>
      </c>
      <c r="AO2045">
        <v>60</v>
      </c>
      <c r="AQ2045" t="s">
        <v>11157</v>
      </c>
      <c r="AS2045" t="s">
        <v>11174</v>
      </c>
      <c r="AU2045">
        <v>14</v>
      </c>
      <c r="AW2045" t="s">
        <v>11187</v>
      </c>
      <c r="AY2045" t="s">
        <v>11213</v>
      </c>
      <c r="BA2045" t="s">
        <v>11222</v>
      </c>
      <c r="BD2045" t="s">
        <v>11667</v>
      </c>
      <c r="BF2045" t="s">
        <v>14364</v>
      </c>
      <c r="BM2045" t="s">
        <v>15650</v>
      </c>
    </row>
    <row r="2046" spans="1:65">
      <c r="A2046" s="1">
        <f>HYPERLINK("https://lsnyc.legalserver.org/matter/dynamic-profile/view/1864750","18-1864750")</f>
        <v>0</v>
      </c>
      <c r="B2046" t="s">
        <v>145</v>
      </c>
      <c r="C2046" t="s">
        <v>245</v>
      </c>
      <c r="D2046" t="s">
        <v>818</v>
      </c>
      <c r="F2046" t="s">
        <v>1985</v>
      </c>
      <c r="G2046" t="s">
        <v>2992</v>
      </c>
      <c r="H2046" t="s">
        <v>4776</v>
      </c>
      <c r="I2046">
        <v>602</v>
      </c>
      <c r="J2046" t="s">
        <v>7169</v>
      </c>
      <c r="K2046">
        <v>10029</v>
      </c>
      <c r="N2046" t="s">
        <v>7237</v>
      </c>
      <c r="O2046" t="s">
        <v>8518</v>
      </c>
      <c r="P2046">
        <v>2</v>
      </c>
      <c r="Q2046">
        <v>1</v>
      </c>
      <c r="R2046">
        <v>52.15</v>
      </c>
      <c r="U2046">
        <v>10836</v>
      </c>
      <c r="W2046">
        <v>0.25</v>
      </c>
      <c r="X2046" t="s">
        <v>666</v>
      </c>
      <c r="Y2046" t="s">
        <v>10859</v>
      </c>
      <c r="AA2046" t="s">
        <v>10974</v>
      </c>
      <c r="AB2046" t="s">
        <v>818</v>
      </c>
      <c r="AD2046" t="s">
        <v>11101</v>
      </c>
      <c r="AF2046" t="s">
        <v>11118</v>
      </c>
      <c r="AH2046" t="s">
        <v>10974</v>
      </c>
      <c r="AJ2046" t="s">
        <v>11134</v>
      </c>
      <c r="AK2046" t="s">
        <v>7225</v>
      </c>
      <c r="AL2046" t="s">
        <v>11150</v>
      </c>
      <c r="AM2046">
        <v>0</v>
      </c>
      <c r="AO2046">
        <v>108</v>
      </c>
      <c r="AQ2046" t="s">
        <v>11161</v>
      </c>
      <c r="AS2046" t="s">
        <v>11174</v>
      </c>
      <c r="AU2046">
        <v>4</v>
      </c>
      <c r="AW2046" t="s">
        <v>11189</v>
      </c>
      <c r="AY2046" t="s">
        <v>11213</v>
      </c>
      <c r="AZ2046" t="s">
        <v>11221</v>
      </c>
      <c r="BE2046" t="s">
        <v>12811</v>
      </c>
      <c r="BF2046" t="s">
        <v>14364</v>
      </c>
      <c r="BG2046" t="s">
        <v>14872</v>
      </c>
      <c r="BM2046" t="s">
        <v>15650</v>
      </c>
    </row>
    <row r="2047" spans="1:65">
      <c r="A2047" s="1">
        <f>HYPERLINK("https://lsnyc.legalserver.org/matter/dynamic-profile/view/1860642","18-1860642")</f>
        <v>0</v>
      </c>
      <c r="B2047" t="s">
        <v>145</v>
      </c>
      <c r="C2047" t="s">
        <v>245</v>
      </c>
      <c r="D2047" t="s">
        <v>717</v>
      </c>
      <c r="F2047" t="s">
        <v>1986</v>
      </c>
      <c r="G2047" t="s">
        <v>3159</v>
      </c>
      <c r="H2047" t="s">
        <v>5463</v>
      </c>
      <c r="I2047" t="s">
        <v>6468</v>
      </c>
      <c r="J2047" t="s">
        <v>7169</v>
      </c>
      <c r="K2047">
        <v>10031</v>
      </c>
      <c r="N2047" t="s">
        <v>7237</v>
      </c>
      <c r="O2047" t="s">
        <v>8537</v>
      </c>
      <c r="P2047">
        <v>1</v>
      </c>
      <c r="Q2047">
        <v>1</v>
      </c>
      <c r="R2047">
        <v>52.13</v>
      </c>
      <c r="U2047">
        <v>8580</v>
      </c>
      <c r="W2047">
        <v>1.5</v>
      </c>
      <c r="X2047" t="s">
        <v>1008</v>
      </c>
      <c r="Y2047" t="s">
        <v>10859</v>
      </c>
      <c r="AA2047" t="s">
        <v>10974</v>
      </c>
      <c r="AB2047" t="s">
        <v>1051</v>
      </c>
      <c r="AD2047" t="s">
        <v>11101</v>
      </c>
      <c r="AF2047" t="s">
        <v>10384</v>
      </c>
      <c r="AH2047" t="s">
        <v>10974</v>
      </c>
      <c r="AJ2047" t="s">
        <v>11134</v>
      </c>
      <c r="AK2047" t="s">
        <v>7225</v>
      </c>
      <c r="AM2047">
        <v>2697</v>
      </c>
      <c r="AO2047">
        <v>44</v>
      </c>
      <c r="AQ2047" t="s">
        <v>11161</v>
      </c>
      <c r="AS2047" t="s">
        <v>11174</v>
      </c>
      <c r="AU2047">
        <v>13</v>
      </c>
      <c r="AW2047" t="s">
        <v>11187</v>
      </c>
      <c r="AY2047" t="s">
        <v>11213</v>
      </c>
      <c r="AZ2047" t="s">
        <v>11221</v>
      </c>
      <c r="BE2047" t="s">
        <v>12812</v>
      </c>
      <c r="BF2047" t="s">
        <v>14364</v>
      </c>
      <c r="BM2047" t="s">
        <v>15650</v>
      </c>
    </row>
    <row r="2048" spans="1:65">
      <c r="A2048" s="1">
        <f>HYPERLINK("https://lsnyc.legalserver.org/matter/dynamic-profile/view/1864874","18-1864874")</f>
        <v>0</v>
      </c>
      <c r="B2048" t="s">
        <v>145</v>
      </c>
      <c r="C2048" t="s">
        <v>245</v>
      </c>
      <c r="D2048" t="s">
        <v>716</v>
      </c>
      <c r="F2048" t="s">
        <v>1987</v>
      </c>
      <c r="G2048" t="s">
        <v>3771</v>
      </c>
      <c r="H2048" t="s">
        <v>5459</v>
      </c>
      <c r="I2048" t="s">
        <v>6479</v>
      </c>
      <c r="J2048" t="s">
        <v>7169</v>
      </c>
      <c r="K2048">
        <v>10031</v>
      </c>
      <c r="N2048" t="s">
        <v>7237</v>
      </c>
      <c r="O2048" t="s">
        <v>8538</v>
      </c>
      <c r="P2048">
        <v>1</v>
      </c>
      <c r="Q2048">
        <v>0</v>
      </c>
      <c r="R2048">
        <v>453.05</v>
      </c>
      <c r="U2048">
        <v>55000</v>
      </c>
      <c r="W2048">
        <v>2.75</v>
      </c>
      <c r="X2048" t="s">
        <v>600</v>
      </c>
      <c r="Y2048" t="s">
        <v>10859</v>
      </c>
      <c r="AA2048" t="s">
        <v>10974</v>
      </c>
      <c r="AB2048" t="s">
        <v>716</v>
      </c>
      <c r="AD2048" t="s">
        <v>11086</v>
      </c>
      <c r="AF2048" t="s">
        <v>10384</v>
      </c>
      <c r="AH2048" t="s">
        <v>10974</v>
      </c>
      <c r="AJ2048" t="s">
        <v>11134</v>
      </c>
      <c r="AK2048" t="s">
        <v>7225</v>
      </c>
      <c r="AM2048">
        <v>1600</v>
      </c>
      <c r="AO2048">
        <v>48</v>
      </c>
      <c r="AQ2048" t="s">
        <v>11164</v>
      </c>
      <c r="AS2048" t="s">
        <v>11173</v>
      </c>
      <c r="AU2048">
        <v>1</v>
      </c>
      <c r="AW2048" t="s">
        <v>11187</v>
      </c>
      <c r="BA2048" t="s">
        <v>11222</v>
      </c>
      <c r="BE2048" t="s">
        <v>12813</v>
      </c>
      <c r="BF2048" t="s">
        <v>14364</v>
      </c>
      <c r="BM2048" t="s">
        <v>15650</v>
      </c>
    </row>
    <row r="2049" spans="1:67">
      <c r="A2049" s="1">
        <f>HYPERLINK("https://lsnyc.legalserver.org/matter/dynamic-profile/view/1864498","18-1864498")</f>
        <v>0</v>
      </c>
      <c r="B2049" t="s">
        <v>145</v>
      </c>
      <c r="C2049" t="s">
        <v>245</v>
      </c>
      <c r="D2049" t="s">
        <v>823</v>
      </c>
      <c r="F2049" t="s">
        <v>1988</v>
      </c>
      <c r="G2049" t="s">
        <v>3315</v>
      </c>
      <c r="H2049" t="s">
        <v>4776</v>
      </c>
      <c r="I2049">
        <v>702</v>
      </c>
      <c r="J2049" t="s">
        <v>7169</v>
      </c>
      <c r="K2049">
        <v>10029</v>
      </c>
      <c r="N2049" t="s">
        <v>7237</v>
      </c>
      <c r="O2049" t="s">
        <v>8539</v>
      </c>
      <c r="P2049">
        <v>1</v>
      </c>
      <c r="Q2049">
        <v>0</v>
      </c>
      <c r="R2049">
        <v>271.83</v>
      </c>
      <c r="U2049">
        <v>33000</v>
      </c>
      <c r="W2049">
        <v>0.25</v>
      </c>
      <c r="X2049" t="s">
        <v>666</v>
      </c>
      <c r="Y2049" t="s">
        <v>10859</v>
      </c>
      <c r="AA2049" t="s">
        <v>10974</v>
      </c>
      <c r="AB2049" t="s">
        <v>823</v>
      </c>
      <c r="AD2049" t="s">
        <v>11101</v>
      </c>
      <c r="AF2049" t="s">
        <v>11118</v>
      </c>
      <c r="AH2049" t="s">
        <v>10974</v>
      </c>
      <c r="AJ2049" t="s">
        <v>11134</v>
      </c>
      <c r="AK2049" t="s">
        <v>7225</v>
      </c>
      <c r="AL2049" t="s">
        <v>11150</v>
      </c>
      <c r="AM2049">
        <v>0</v>
      </c>
      <c r="AO2049">
        <v>108</v>
      </c>
      <c r="AQ2049" t="s">
        <v>11161</v>
      </c>
      <c r="AS2049" t="s">
        <v>11174</v>
      </c>
      <c r="AU2049">
        <v>9</v>
      </c>
      <c r="AW2049" t="s">
        <v>11187</v>
      </c>
      <c r="AY2049" t="s">
        <v>11213</v>
      </c>
      <c r="AZ2049" t="s">
        <v>11221</v>
      </c>
      <c r="BE2049" t="s">
        <v>12814</v>
      </c>
      <c r="BF2049" t="s">
        <v>14364</v>
      </c>
      <c r="BG2049" t="s">
        <v>14872</v>
      </c>
      <c r="BM2049" t="s">
        <v>15650</v>
      </c>
    </row>
    <row r="2050" spans="1:67">
      <c r="A2050" s="1">
        <f>HYPERLINK("https://lsnyc.legalserver.org/matter/dynamic-profile/view/1885272","18-1885272")</f>
        <v>0</v>
      </c>
      <c r="B2050" t="s">
        <v>145</v>
      </c>
      <c r="C2050" t="s">
        <v>245</v>
      </c>
      <c r="D2050" t="s">
        <v>566</v>
      </c>
      <c r="F2050" t="s">
        <v>1989</v>
      </c>
      <c r="G2050" t="s">
        <v>3750</v>
      </c>
      <c r="H2050" t="s">
        <v>5464</v>
      </c>
      <c r="I2050">
        <v>62</v>
      </c>
      <c r="J2050" t="s">
        <v>7169</v>
      </c>
      <c r="K2050">
        <v>10039</v>
      </c>
      <c r="N2050" t="s">
        <v>7237</v>
      </c>
      <c r="O2050" t="s">
        <v>8540</v>
      </c>
      <c r="P2050">
        <v>1</v>
      </c>
      <c r="Q2050">
        <v>0</v>
      </c>
      <c r="R2050">
        <v>235.58</v>
      </c>
      <c r="U2050">
        <v>28600</v>
      </c>
      <c r="W2050">
        <v>0</v>
      </c>
      <c r="Y2050" t="s">
        <v>10859</v>
      </c>
      <c r="AA2050" t="s">
        <v>10974</v>
      </c>
      <c r="AB2050" t="s">
        <v>566</v>
      </c>
      <c r="AD2050" t="s">
        <v>11101</v>
      </c>
      <c r="AF2050" t="s">
        <v>11118</v>
      </c>
      <c r="AH2050" t="s">
        <v>10974</v>
      </c>
      <c r="AJ2050" t="s">
        <v>11134</v>
      </c>
      <c r="AK2050" t="s">
        <v>7225</v>
      </c>
      <c r="AM2050">
        <v>235</v>
      </c>
      <c r="AO2050">
        <v>24</v>
      </c>
      <c r="AQ2050" t="s">
        <v>11160</v>
      </c>
      <c r="AS2050" t="s">
        <v>11173</v>
      </c>
      <c r="AU2050">
        <v>49</v>
      </c>
      <c r="AW2050" t="s">
        <v>11187</v>
      </c>
      <c r="AY2050" t="s">
        <v>11213</v>
      </c>
      <c r="AZ2050" t="s">
        <v>11221</v>
      </c>
      <c r="BE2050" t="s">
        <v>12815</v>
      </c>
      <c r="BG2050" t="s">
        <v>14879</v>
      </c>
      <c r="BI2050" t="s">
        <v>15611</v>
      </c>
      <c r="BK2050" t="s">
        <v>15631</v>
      </c>
      <c r="BM2050" t="s">
        <v>15650</v>
      </c>
      <c r="BN2050" t="s">
        <v>15652</v>
      </c>
      <c r="BO2050" t="s">
        <v>15691</v>
      </c>
    </row>
    <row r="2051" spans="1:67">
      <c r="A2051" s="1">
        <f>HYPERLINK("https://lsnyc.legalserver.org/matter/dynamic-profile/view/1865962","18-1865962")</f>
        <v>0</v>
      </c>
      <c r="B2051" t="s">
        <v>145</v>
      </c>
      <c r="C2051" t="s">
        <v>245</v>
      </c>
      <c r="D2051" t="s">
        <v>824</v>
      </c>
      <c r="E2051" t="s">
        <v>548</v>
      </c>
      <c r="F2051" t="s">
        <v>1990</v>
      </c>
      <c r="G2051" t="s">
        <v>2992</v>
      </c>
      <c r="H2051" t="s">
        <v>5459</v>
      </c>
      <c r="I2051" t="s">
        <v>6628</v>
      </c>
      <c r="J2051" t="s">
        <v>7169</v>
      </c>
      <c r="K2051">
        <v>10031</v>
      </c>
      <c r="L2051" t="s">
        <v>7217</v>
      </c>
      <c r="N2051" t="s">
        <v>7237</v>
      </c>
      <c r="O2051" t="s">
        <v>8541</v>
      </c>
      <c r="P2051">
        <v>2</v>
      </c>
      <c r="Q2051">
        <v>0</v>
      </c>
      <c r="R2051">
        <v>111.98</v>
      </c>
      <c r="U2051">
        <v>18432</v>
      </c>
      <c r="W2051">
        <v>0.25</v>
      </c>
      <c r="X2051" t="s">
        <v>600</v>
      </c>
      <c r="Y2051" t="s">
        <v>10859</v>
      </c>
      <c r="AA2051" t="s">
        <v>10974</v>
      </c>
      <c r="AB2051" t="s">
        <v>824</v>
      </c>
      <c r="AD2051" t="s">
        <v>11101</v>
      </c>
      <c r="AF2051" t="s">
        <v>11118</v>
      </c>
      <c r="AH2051" t="s">
        <v>10974</v>
      </c>
      <c r="AJ2051" t="s">
        <v>11134</v>
      </c>
      <c r="AK2051" t="s">
        <v>7225</v>
      </c>
      <c r="AM2051">
        <v>1712</v>
      </c>
      <c r="AO2051">
        <v>42</v>
      </c>
      <c r="AQ2051" t="s">
        <v>11161</v>
      </c>
      <c r="AS2051" t="s">
        <v>11174</v>
      </c>
      <c r="AU2051">
        <v>21</v>
      </c>
      <c r="AW2051" t="s">
        <v>11189</v>
      </c>
      <c r="AY2051" t="s">
        <v>11213</v>
      </c>
      <c r="BA2051" t="s">
        <v>11222</v>
      </c>
      <c r="BE2051" t="s">
        <v>12816</v>
      </c>
      <c r="BF2051" t="s">
        <v>14364</v>
      </c>
      <c r="BJ2051" t="s">
        <v>15615</v>
      </c>
      <c r="BM2051" t="s">
        <v>15651</v>
      </c>
    </row>
    <row r="2052" spans="1:67">
      <c r="A2052" s="1">
        <f>HYPERLINK("https://lsnyc.legalserver.org/matter/dynamic-profile/view/1863845","18-1863845")</f>
        <v>0</v>
      </c>
      <c r="B2052" t="s">
        <v>145</v>
      </c>
      <c r="C2052" t="s">
        <v>245</v>
      </c>
      <c r="D2052" t="s">
        <v>350</v>
      </c>
      <c r="F2052" t="s">
        <v>1122</v>
      </c>
      <c r="G2052" t="s">
        <v>3091</v>
      </c>
      <c r="H2052" t="s">
        <v>4776</v>
      </c>
      <c r="I2052">
        <v>814</v>
      </c>
      <c r="J2052" t="s">
        <v>7169</v>
      </c>
      <c r="K2052">
        <v>10029</v>
      </c>
      <c r="N2052" t="s">
        <v>7237</v>
      </c>
      <c r="O2052" t="s">
        <v>8542</v>
      </c>
      <c r="P2052">
        <v>1</v>
      </c>
      <c r="Q2052">
        <v>2</v>
      </c>
      <c r="R2052">
        <v>115.5</v>
      </c>
      <c r="U2052">
        <v>24000</v>
      </c>
      <c r="W2052">
        <v>0.75</v>
      </c>
      <c r="X2052" t="s">
        <v>265</v>
      </c>
      <c r="Y2052" t="s">
        <v>10859</v>
      </c>
      <c r="AA2052" t="s">
        <v>10974</v>
      </c>
      <c r="AB2052" t="s">
        <v>832</v>
      </c>
      <c r="AD2052" t="s">
        <v>11101</v>
      </c>
      <c r="AF2052" t="s">
        <v>11118</v>
      </c>
      <c r="AH2052" t="s">
        <v>10974</v>
      </c>
      <c r="AJ2052" t="s">
        <v>11134</v>
      </c>
      <c r="AK2052" t="s">
        <v>7225</v>
      </c>
      <c r="AL2052" t="s">
        <v>11150</v>
      </c>
      <c r="AM2052">
        <v>0</v>
      </c>
      <c r="AO2052">
        <v>108</v>
      </c>
      <c r="AQ2052" t="s">
        <v>11161</v>
      </c>
      <c r="AS2052" t="s">
        <v>11174</v>
      </c>
      <c r="AU2052">
        <v>2</v>
      </c>
      <c r="AW2052" t="s">
        <v>11187</v>
      </c>
      <c r="AY2052" t="s">
        <v>11213</v>
      </c>
      <c r="BA2052" t="s">
        <v>11222</v>
      </c>
      <c r="BD2052" t="s">
        <v>11667</v>
      </c>
      <c r="BF2052" t="s">
        <v>14364</v>
      </c>
      <c r="BM2052" t="s">
        <v>15650</v>
      </c>
    </row>
    <row r="2053" spans="1:67">
      <c r="A2053" s="1">
        <f>HYPERLINK("https://lsnyc.legalserver.org/matter/dynamic-profile/view/1878781","18-1878781")</f>
        <v>0</v>
      </c>
      <c r="B2053" t="s">
        <v>145</v>
      </c>
      <c r="C2053" t="s">
        <v>245</v>
      </c>
      <c r="D2053" t="s">
        <v>617</v>
      </c>
      <c r="F2053" t="s">
        <v>1930</v>
      </c>
      <c r="G2053" t="s">
        <v>3162</v>
      </c>
      <c r="H2053" t="s">
        <v>5465</v>
      </c>
      <c r="I2053">
        <v>7</v>
      </c>
      <c r="J2053" t="s">
        <v>7169</v>
      </c>
      <c r="K2053">
        <v>10029</v>
      </c>
      <c r="N2053" t="s">
        <v>7237</v>
      </c>
      <c r="O2053" t="s">
        <v>8543</v>
      </c>
      <c r="P2053">
        <v>2</v>
      </c>
      <c r="Q2053">
        <v>0</v>
      </c>
      <c r="R2053">
        <v>157.96</v>
      </c>
      <c r="U2053">
        <v>26000</v>
      </c>
      <c r="W2053">
        <v>55.25</v>
      </c>
      <c r="X2053" t="s">
        <v>262</v>
      </c>
      <c r="Y2053" t="s">
        <v>10872</v>
      </c>
      <c r="AA2053" t="s">
        <v>10974</v>
      </c>
      <c r="AB2053" t="s">
        <v>11039</v>
      </c>
      <c r="AD2053" t="s">
        <v>11101</v>
      </c>
      <c r="AF2053" t="s">
        <v>11118</v>
      </c>
      <c r="AH2053" t="s">
        <v>10974</v>
      </c>
      <c r="AJ2053" t="s">
        <v>11143</v>
      </c>
      <c r="AK2053" t="s">
        <v>7225</v>
      </c>
      <c r="AM2053">
        <v>900</v>
      </c>
      <c r="AO2053">
        <v>8</v>
      </c>
      <c r="AQ2053" t="s">
        <v>11157</v>
      </c>
      <c r="AS2053" t="s">
        <v>11173</v>
      </c>
      <c r="AU2053">
        <v>20</v>
      </c>
      <c r="AW2053" t="s">
        <v>11189</v>
      </c>
      <c r="AY2053" t="s">
        <v>11213</v>
      </c>
      <c r="AZ2053" t="s">
        <v>11221</v>
      </c>
      <c r="BE2053" t="s">
        <v>12817</v>
      </c>
      <c r="BG2053" t="s">
        <v>14880</v>
      </c>
      <c r="BM2053" t="s">
        <v>15650</v>
      </c>
    </row>
    <row r="2054" spans="1:67">
      <c r="A2054" s="1">
        <f>HYPERLINK("https://lsnyc.legalserver.org/matter/dynamic-profile/view/1863923","18-1863923")</f>
        <v>0</v>
      </c>
      <c r="B2054" t="s">
        <v>145</v>
      </c>
      <c r="C2054" t="s">
        <v>245</v>
      </c>
      <c r="D2054" t="s">
        <v>770</v>
      </c>
      <c r="F2054" t="s">
        <v>1991</v>
      </c>
      <c r="G2054" t="s">
        <v>3772</v>
      </c>
      <c r="H2054" t="s">
        <v>4776</v>
      </c>
      <c r="I2054">
        <v>405</v>
      </c>
      <c r="J2054" t="s">
        <v>7169</v>
      </c>
      <c r="K2054">
        <v>10029</v>
      </c>
      <c r="N2054" t="s">
        <v>7237</v>
      </c>
      <c r="O2054" t="s">
        <v>8544</v>
      </c>
      <c r="P2054">
        <v>1</v>
      </c>
      <c r="Q2054">
        <v>1</v>
      </c>
      <c r="R2054">
        <v>194.41</v>
      </c>
      <c r="U2054">
        <v>32000</v>
      </c>
      <c r="W2054">
        <v>0.5</v>
      </c>
      <c r="X2054" t="s">
        <v>666</v>
      </c>
      <c r="Y2054" t="s">
        <v>10859</v>
      </c>
      <c r="AA2054" t="s">
        <v>10974</v>
      </c>
      <c r="AB2054" t="s">
        <v>770</v>
      </c>
      <c r="AD2054" t="s">
        <v>11101</v>
      </c>
      <c r="AF2054" t="s">
        <v>11118</v>
      </c>
      <c r="AH2054" t="s">
        <v>10974</v>
      </c>
      <c r="AJ2054" t="s">
        <v>11134</v>
      </c>
      <c r="AK2054" t="s">
        <v>7225</v>
      </c>
      <c r="AL2054" t="s">
        <v>11150</v>
      </c>
      <c r="AM2054">
        <v>0</v>
      </c>
      <c r="AO2054">
        <v>108</v>
      </c>
      <c r="AQ2054" t="s">
        <v>11161</v>
      </c>
      <c r="AS2054" t="s">
        <v>11174</v>
      </c>
      <c r="AU2054">
        <v>17</v>
      </c>
      <c r="AW2054" t="s">
        <v>11187</v>
      </c>
      <c r="AY2054" t="s">
        <v>11213</v>
      </c>
      <c r="AZ2054" t="s">
        <v>11221</v>
      </c>
      <c r="BD2054" t="s">
        <v>11667</v>
      </c>
      <c r="BF2054" t="s">
        <v>14364</v>
      </c>
      <c r="BG2054" t="s">
        <v>14872</v>
      </c>
      <c r="BM2054" t="s">
        <v>15650</v>
      </c>
    </row>
    <row r="2055" spans="1:67">
      <c r="A2055" s="1">
        <f>HYPERLINK("https://lsnyc.legalserver.org/matter/dynamic-profile/view/1860417","18-1860417")</f>
        <v>0</v>
      </c>
      <c r="B2055" t="s">
        <v>145</v>
      </c>
      <c r="C2055" t="s">
        <v>245</v>
      </c>
      <c r="D2055" t="s">
        <v>825</v>
      </c>
      <c r="F2055" t="s">
        <v>1738</v>
      </c>
      <c r="G2055" t="s">
        <v>3773</v>
      </c>
      <c r="H2055" t="s">
        <v>5459</v>
      </c>
      <c r="I2055" t="s">
        <v>6507</v>
      </c>
      <c r="J2055" t="s">
        <v>7169</v>
      </c>
      <c r="K2055">
        <v>10031</v>
      </c>
      <c r="N2055" t="s">
        <v>7237</v>
      </c>
      <c r="O2055" t="s">
        <v>8545</v>
      </c>
      <c r="P2055">
        <v>1</v>
      </c>
      <c r="Q2055">
        <v>0</v>
      </c>
      <c r="R2055">
        <v>130.88</v>
      </c>
      <c r="U2055">
        <v>15889</v>
      </c>
      <c r="W2055">
        <v>0.25</v>
      </c>
      <c r="X2055" t="s">
        <v>600</v>
      </c>
      <c r="Y2055" t="s">
        <v>10859</v>
      </c>
      <c r="AA2055" t="s">
        <v>10974</v>
      </c>
      <c r="AB2055" t="s">
        <v>11040</v>
      </c>
      <c r="AD2055" t="s">
        <v>11101</v>
      </c>
      <c r="AF2055" t="s">
        <v>10384</v>
      </c>
      <c r="AH2055" t="s">
        <v>10974</v>
      </c>
      <c r="AJ2055" t="s">
        <v>11134</v>
      </c>
      <c r="AK2055" t="s">
        <v>7225</v>
      </c>
      <c r="AM2055">
        <v>347</v>
      </c>
      <c r="AO2055">
        <v>42</v>
      </c>
      <c r="AQ2055" t="s">
        <v>11161</v>
      </c>
      <c r="AS2055" t="s">
        <v>11174</v>
      </c>
      <c r="AU2055">
        <v>41</v>
      </c>
      <c r="AW2055" t="s">
        <v>11187</v>
      </c>
      <c r="AY2055" t="s">
        <v>11213</v>
      </c>
      <c r="BA2055" t="s">
        <v>11222</v>
      </c>
      <c r="BE2055" t="s">
        <v>12818</v>
      </c>
      <c r="BF2055" t="s">
        <v>14364</v>
      </c>
      <c r="BM2055" t="s">
        <v>15650</v>
      </c>
      <c r="BN2055" t="s">
        <v>15652</v>
      </c>
      <c r="BO2055" t="s">
        <v>15692</v>
      </c>
    </row>
    <row r="2056" spans="1:67">
      <c r="A2056" s="1">
        <f>HYPERLINK("https://lsnyc.legalserver.org/matter/dynamic-profile/view/1897546","19-1897546")</f>
        <v>0</v>
      </c>
      <c r="B2056" t="s">
        <v>145</v>
      </c>
      <c r="C2056" t="s">
        <v>245</v>
      </c>
      <c r="D2056" t="s">
        <v>389</v>
      </c>
      <c r="F2056" t="s">
        <v>1868</v>
      </c>
      <c r="G2056" t="s">
        <v>3774</v>
      </c>
      <c r="H2056" t="s">
        <v>5466</v>
      </c>
      <c r="I2056" t="s">
        <v>6691</v>
      </c>
      <c r="J2056" t="s">
        <v>7169</v>
      </c>
      <c r="K2056">
        <v>10039</v>
      </c>
      <c r="N2056" t="s">
        <v>7239</v>
      </c>
      <c r="O2056" t="s">
        <v>8546</v>
      </c>
      <c r="P2056">
        <v>1</v>
      </c>
      <c r="Q2056">
        <v>3</v>
      </c>
      <c r="R2056">
        <v>71.86</v>
      </c>
      <c r="S2056" t="s">
        <v>10254</v>
      </c>
      <c r="T2056" t="s">
        <v>10275</v>
      </c>
      <c r="U2056">
        <v>18504</v>
      </c>
      <c r="W2056">
        <v>71.95</v>
      </c>
      <c r="X2056" t="s">
        <v>301</v>
      </c>
      <c r="Y2056" t="s">
        <v>10859</v>
      </c>
      <c r="AA2056" t="s">
        <v>10974</v>
      </c>
      <c r="AB2056" t="s">
        <v>274</v>
      </c>
      <c r="AD2056" t="s">
        <v>11082</v>
      </c>
      <c r="AF2056" t="s">
        <v>11118</v>
      </c>
      <c r="AH2056" t="s">
        <v>10975</v>
      </c>
      <c r="AJ2056" t="s">
        <v>11133</v>
      </c>
      <c r="AK2056" t="s">
        <v>11149</v>
      </c>
      <c r="AM2056">
        <v>844</v>
      </c>
      <c r="AO2056">
        <v>360</v>
      </c>
      <c r="AQ2056" t="s">
        <v>11169</v>
      </c>
      <c r="AS2056" t="s">
        <v>11173</v>
      </c>
      <c r="AU2056">
        <v>12</v>
      </c>
      <c r="AW2056" t="s">
        <v>11187</v>
      </c>
      <c r="AY2056" t="s">
        <v>11213</v>
      </c>
      <c r="AZ2056" t="s">
        <v>11221</v>
      </c>
      <c r="BE2056" t="s">
        <v>12819</v>
      </c>
      <c r="BG2056" t="s">
        <v>14881</v>
      </c>
      <c r="BM2056" t="s">
        <v>15650</v>
      </c>
    </row>
    <row r="2057" spans="1:67">
      <c r="A2057" s="1">
        <f>HYPERLINK("https://lsnyc.legalserver.org/matter/dynamic-profile/view/1864402","18-1864402")</f>
        <v>0</v>
      </c>
      <c r="B2057" t="s">
        <v>145</v>
      </c>
      <c r="C2057" t="s">
        <v>245</v>
      </c>
      <c r="D2057" t="s">
        <v>826</v>
      </c>
      <c r="E2057" t="s">
        <v>548</v>
      </c>
      <c r="F2057" t="s">
        <v>1111</v>
      </c>
      <c r="G2057" t="s">
        <v>3775</v>
      </c>
      <c r="H2057" t="s">
        <v>4776</v>
      </c>
      <c r="I2057">
        <v>509</v>
      </c>
      <c r="J2057" t="s">
        <v>7169</v>
      </c>
      <c r="K2057">
        <v>10029</v>
      </c>
      <c r="L2057" t="s">
        <v>7216</v>
      </c>
      <c r="N2057" t="s">
        <v>7237</v>
      </c>
      <c r="O2057" t="s">
        <v>8547</v>
      </c>
      <c r="P2057">
        <v>1</v>
      </c>
      <c r="Q2057">
        <v>2</v>
      </c>
      <c r="R2057">
        <v>168.43</v>
      </c>
      <c r="U2057">
        <v>35000</v>
      </c>
      <c r="W2057">
        <v>1.5</v>
      </c>
      <c r="X2057" t="s">
        <v>754</v>
      </c>
      <c r="Y2057" t="s">
        <v>10859</v>
      </c>
      <c r="AA2057" t="s">
        <v>10974</v>
      </c>
      <c r="AB2057" t="s">
        <v>826</v>
      </c>
      <c r="AD2057" t="s">
        <v>11101</v>
      </c>
      <c r="AF2057" t="s">
        <v>11118</v>
      </c>
      <c r="AH2057" t="s">
        <v>10974</v>
      </c>
      <c r="AJ2057" t="s">
        <v>11134</v>
      </c>
      <c r="AK2057" t="s">
        <v>7225</v>
      </c>
      <c r="AL2057" t="s">
        <v>11150</v>
      </c>
      <c r="AM2057">
        <v>0</v>
      </c>
      <c r="AO2057">
        <v>108</v>
      </c>
      <c r="AQ2057" t="s">
        <v>11161</v>
      </c>
      <c r="AS2057" t="s">
        <v>11174</v>
      </c>
      <c r="AU2057">
        <v>5</v>
      </c>
      <c r="AW2057" t="s">
        <v>11187</v>
      </c>
      <c r="AY2057" t="s">
        <v>11213</v>
      </c>
      <c r="BA2057" t="s">
        <v>11222</v>
      </c>
      <c r="BD2057" t="s">
        <v>11667</v>
      </c>
      <c r="BF2057" t="s">
        <v>14364</v>
      </c>
      <c r="BG2057" t="s">
        <v>14872</v>
      </c>
      <c r="BJ2057" t="s">
        <v>15615</v>
      </c>
      <c r="BM2057" t="s">
        <v>15651</v>
      </c>
    </row>
    <row r="2058" spans="1:67">
      <c r="A2058" s="1">
        <f>HYPERLINK("https://lsnyc.legalserver.org/matter/dynamic-profile/view/1864066","18-1864066")</f>
        <v>0</v>
      </c>
      <c r="B2058" t="s">
        <v>145</v>
      </c>
      <c r="C2058" t="s">
        <v>245</v>
      </c>
      <c r="D2058" t="s">
        <v>817</v>
      </c>
      <c r="F2058" t="s">
        <v>1122</v>
      </c>
      <c r="G2058" t="s">
        <v>3140</v>
      </c>
      <c r="H2058" t="s">
        <v>4776</v>
      </c>
      <c r="I2058">
        <v>302</v>
      </c>
      <c r="J2058" t="s">
        <v>7169</v>
      </c>
      <c r="K2058">
        <v>10029</v>
      </c>
      <c r="N2058" t="s">
        <v>7237</v>
      </c>
      <c r="O2058" t="s">
        <v>8548</v>
      </c>
      <c r="P2058">
        <v>1</v>
      </c>
      <c r="Q2058">
        <v>0</v>
      </c>
      <c r="R2058">
        <v>160.23</v>
      </c>
      <c r="U2058">
        <v>19452</v>
      </c>
      <c r="W2058">
        <v>0.25</v>
      </c>
      <c r="X2058" t="s">
        <v>666</v>
      </c>
      <c r="Y2058" t="s">
        <v>10859</v>
      </c>
      <c r="AA2058" t="s">
        <v>10974</v>
      </c>
      <c r="AB2058" t="s">
        <v>817</v>
      </c>
      <c r="AD2058" t="s">
        <v>11101</v>
      </c>
      <c r="AF2058" t="s">
        <v>11118</v>
      </c>
      <c r="AH2058" t="s">
        <v>10974</v>
      </c>
      <c r="AJ2058" t="s">
        <v>11134</v>
      </c>
      <c r="AK2058" t="s">
        <v>7225</v>
      </c>
      <c r="AL2058" t="s">
        <v>11150</v>
      </c>
      <c r="AM2058">
        <v>0</v>
      </c>
      <c r="AO2058">
        <v>108</v>
      </c>
      <c r="AQ2058" t="s">
        <v>11161</v>
      </c>
      <c r="AS2058" t="s">
        <v>11174</v>
      </c>
      <c r="AU2058">
        <v>32</v>
      </c>
      <c r="AW2058" t="s">
        <v>11189</v>
      </c>
      <c r="AY2058" t="s">
        <v>11213</v>
      </c>
      <c r="AZ2058" t="s">
        <v>11221</v>
      </c>
      <c r="BE2058" t="s">
        <v>12820</v>
      </c>
      <c r="BF2058" t="s">
        <v>14364</v>
      </c>
      <c r="BG2058" t="s">
        <v>14872</v>
      </c>
      <c r="BM2058" t="s">
        <v>15650</v>
      </c>
    </row>
    <row r="2059" spans="1:67">
      <c r="A2059" s="1">
        <f>HYPERLINK("https://lsnyc.legalserver.org/matter/dynamic-profile/view/1864353","18-1864353")</f>
        <v>0</v>
      </c>
      <c r="B2059" t="s">
        <v>145</v>
      </c>
      <c r="C2059" t="s">
        <v>245</v>
      </c>
      <c r="D2059" t="s">
        <v>826</v>
      </c>
      <c r="F2059" t="s">
        <v>1115</v>
      </c>
      <c r="G2059" t="s">
        <v>3776</v>
      </c>
      <c r="H2059" t="s">
        <v>4776</v>
      </c>
      <c r="I2059">
        <v>101</v>
      </c>
      <c r="J2059" t="s">
        <v>7169</v>
      </c>
      <c r="K2059">
        <v>10029</v>
      </c>
      <c r="N2059" t="s">
        <v>7237</v>
      </c>
      <c r="O2059" t="s">
        <v>8549</v>
      </c>
      <c r="P2059">
        <v>1</v>
      </c>
      <c r="Q2059">
        <v>3</v>
      </c>
      <c r="R2059">
        <v>71.70999999999999</v>
      </c>
      <c r="U2059">
        <v>18000</v>
      </c>
      <c r="W2059">
        <v>0</v>
      </c>
      <c r="Y2059" t="s">
        <v>10859</v>
      </c>
      <c r="AA2059" t="s">
        <v>10974</v>
      </c>
      <c r="AB2059" t="s">
        <v>826</v>
      </c>
      <c r="AD2059" t="s">
        <v>11101</v>
      </c>
      <c r="AF2059" t="s">
        <v>11118</v>
      </c>
      <c r="AH2059" t="s">
        <v>10974</v>
      </c>
      <c r="AJ2059" t="s">
        <v>11134</v>
      </c>
      <c r="AK2059" t="s">
        <v>7225</v>
      </c>
      <c r="AL2059" t="s">
        <v>11150</v>
      </c>
      <c r="AM2059">
        <v>0</v>
      </c>
      <c r="AO2059">
        <v>108</v>
      </c>
      <c r="AQ2059" t="s">
        <v>11161</v>
      </c>
      <c r="AS2059" t="s">
        <v>11174</v>
      </c>
      <c r="AU2059">
        <v>35</v>
      </c>
      <c r="AW2059" t="s">
        <v>11189</v>
      </c>
      <c r="AY2059" t="s">
        <v>11213</v>
      </c>
      <c r="BA2059" t="s">
        <v>11222</v>
      </c>
      <c r="BD2059" t="s">
        <v>11667</v>
      </c>
      <c r="BF2059" t="s">
        <v>14364</v>
      </c>
      <c r="BG2059" t="s">
        <v>14882</v>
      </c>
      <c r="BM2059" t="s">
        <v>15650</v>
      </c>
    </row>
    <row r="2060" spans="1:67">
      <c r="A2060" s="1">
        <f>HYPERLINK("https://lsnyc.legalserver.org/matter/dynamic-profile/view/1862236","18-1862236")</f>
        <v>0</v>
      </c>
      <c r="B2060" t="s">
        <v>145</v>
      </c>
      <c r="C2060" t="s">
        <v>245</v>
      </c>
      <c r="D2060" t="s">
        <v>368</v>
      </c>
      <c r="F2060" t="s">
        <v>1992</v>
      </c>
      <c r="G2060" t="s">
        <v>3777</v>
      </c>
      <c r="H2060" t="s">
        <v>5462</v>
      </c>
      <c r="I2060" t="s">
        <v>6666</v>
      </c>
      <c r="J2060" t="s">
        <v>7169</v>
      </c>
      <c r="K2060">
        <v>10034</v>
      </c>
      <c r="N2060" t="s">
        <v>7237</v>
      </c>
      <c r="O2060" t="s">
        <v>8550</v>
      </c>
      <c r="P2060">
        <v>2</v>
      </c>
      <c r="Q2060">
        <v>2</v>
      </c>
      <c r="R2060">
        <v>71.70999999999999</v>
      </c>
      <c r="U2060">
        <v>18000</v>
      </c>
      <c r="V2060" t="s">
        <v>10489</v>
      </c>
      <c r="W2060">
        <v>63.15</v>
      </c>
      <c r="X2060" t="s">
        <v>653</v>
      </c>
      <c r="Y2060" t="s">
        <v>127</v>
      </c>
      <c r="AA2060" t="s">
        <v>10974</v>
      </c>
      <c r="AB2060" t="s">
        <v>368</v>
      </c>
      <c r="AD2060" t="s">
        <v>11101</v>
      </c>
      <c r="AF2060" t="s">
        <v>11118</v>
      </c>
      <c r="AH2060" t="s">
        <v>10974</v>
      </c>
      <c r="AJ2060" t="s">
        <v>11130</v>
      </c>
      <c r="AK2060" t="s">
        <v>7225</v>
      </c>
      <c r="AM2060">
        <v>820</v>
      </c>
      <c r="AO2060">
        <v>60</v>
      </c>
      <c r="AQ2060" t="s">
        <v>11157</v>
      </c>
      <c r="AS2060" t="s">
        <v>11173</v>
      </c>
      <c r="AU2060">
        <v>36</v>
      </c>
      <c r="AW2060" t="s">
        <v>11187</v>
      </c>
      <c r="AZ2060" t="s">
        <v>11221</v>
      </c>
      <c r="BD2060" t="s">
        <v>11667</v>
      </c>
      <c r="BF2060" t="s">
        <v>14364</v>
      </c>
      <c r="BG2060" t="s">
        <v>14878</v>
      </c>
      <c r="BM2060" t="s">
        <v>15650</v>
      </c>
    </row>
    <row r="2061" spans="1:67">
      <c r="A2061" s="1">
        <f>HYPERLINK("https://lsnyc.legalserver.org/matter/dynamic-profile/view/1842712","17-1842712")</f>
        <v>0</v>
      </c>
      <c r="B2061" t="s">
        <v>145</v>
      </c>
      <c r="C2061" t="s">
        <v>245</v>
      </c>
      <c r="D2061" t="s">
        <v>252</v>
      </c>
      <c r="E2061" t="s">
        <v>548</v>
      </c>
      <c r="F2061" t="s">
        <v>1993</v>
      </c>
      <c r="G2061" t="s">
        <v>3778</v>
      </c>
      <c r="H2061" t="s">
        <v>4922</v>
      </c>
      <c r="I2061" t="s">
        <v>6485</v>
      </c>
      <c r="J2061" t="s">
        <v>7169</v>
      </c>
      <c r="K2061">
        <v>10040</v>
      </c>
      <c r="L2061" t="s">
        <v>7216</v>
      </c>
      <c r="N2061" t="s">
        <v>7237</v>
      </c>
      <c r="O2061" t="s">
        <v>8551</v>
      </c>
      <c r="P2061">
        <v>1</v>
      </c>
      <c r="Q2061">
        <v>0</v>
      </c>
      <c r="R2061">
        <v>71.64</v>
      </c>
      <c r="S2061" t="s">
        <v>10266</v>
      </c>
      <c r="U2061">
        <v>8640</v>
      </c>
      <c r="W2061">
        <v>0.2</v>
      </c>
      <c r="X2061" t="s">
        <v>555</v>
      </c>
      <c r="Y2061" t="s">
        <v>127</v>
      </c>
      <c r="AA2061" t="s">
        <v>10974</v>
      </c>
      <c r="AB2061" t="s">
        <v>252</v>
      </c>
      <c r="AD2061" t="s">
        <v>11086</v>
      </c>
      <c r="AF2061" t="s">
        <v>11119</v>
      </c>
      <c r="AH2061" t="s">
        <v>10975</v>
      </c>
      <c r="AJ2061" t="s">
        <v>11130</v>
      </c>
      <c r="AK2061" t="s">
        <v>7225</v>
      </c>
      <c r="AM2061">
        <v>900</v>
      </c>
      <c r="AO2061">
        <v>43</v>
      </c>
      <c r="AQ2061" t="s">
        <v>11157</v>
      </c>
      <c r="AS2061" t="s">
        <v>11173</v>
      </c>
      <c r="AU2061">
        <v>4</v>
      </c>
      <c r="AW2061" t="s">
        <v>11187</v>
      </c>
      <c r="AZ2061" t="s">
        <v>11221</v>
      </c>
      <c r="BE2061" t="s">
        <v>12821</v>
      </c>
      <c r="BF2061" t="s">
        <v>14364</v>
      </c>
      <c r="BM2061" t="s">
        <v>15651</v>
      </c>
    </row>
    <row r="2062" spans="1:67">
      <c r="A2062" s="1">
        <f>HYPERLINK("https://lsnyc.legalserver.org/matter/dynamic-profile/view/1867856","18-1867856")</f>
        <v>0</v>
      </c>
      <c r="B2062" t="s">
        <v>145</v>
      </c>
      <c r="C2062" t="s">
        <v>245</v>
      </c>
      <c r="D2062" t="s">
        <v>827</v>
      </c>
      <c r="F2062" t="s">
        <v>1994</v>
      </c>
      <c r="G2062" t="s">
        <v>3142</v>
      </c>
      <c r="H2062" t="s">
        <v>4776</v>
      </c>
      <c r="I2062">
        <v>515</v>
      </c>
      <c r="J2062" t="s">
        <v>7169</v>
      </c>
      <c r="K2062">
        <v>10029</v>
      </c>
      <c r="N2062" t="s">
        <v>7237</v>
      </c>
      <c r="O2062" t="s">
        <v>8021</v>
      </c>
      <c r="P2062">
        <v>3</v>
      </c>
      <c r="Q2062">
        <v>3</v>
      </c>
      <c r="R2062">
        <v>113.89</v>
      </c>
      <c r="U2062">
        <v>38428</v>
      </c>
      <c r="W2062">
        <v>1.25</v>
      </c>
      <c r="X2062" t="s">
        <v>564</v>
      </c>
      <c r="Y2062" t="s">
        <v>10859</v>
      </c>
      <c r="AA2062" t="s">
        <v>10974</v>
      </c>
      <c r="AB2062" t="s">
        <v>827</v>
      </c>
      <c r="AD2062" t="s">
        <v>11101</v>
      </c>
      <c r="AF2062" t="s">
        <v>11118</v>
      </c>
      <c r="AH2062" t="s">
        <v>10974</v>
      </c>
      <c r="AJ2062" t="s">
        <v>11134</v>
      </c>
      <c r="AK2062" t="s">
        <v>7225</v>
      </c>
      <c r="AM2062">
        <v>2240</v>
      </c>
      <c r="AO2062">
        <v>108</v>
      </c>
      <c r="AQ2062" t="s">
        <v>11161</v>
      </c>
      <c r="AS2062" t="s">
        <v>11174</v>
      </c>
      <c r="AU2062">
        <v>18</v>
      </c>
      <c r="AW2062" t="s">
        <v>11187</v>
      </c>
      <c r="AY2062" t="s">
        <v>11213</v>
      </c>
      <c r="AZ2062" t="s">
        <v>11221</v>
      </c>
      <c r="BE2062" t="s">
        <v>12822</v>
      </c>
      <c r="BF2062" t="s">
        <v>14364</v>
      </c>
      <c r="BG2062" t="s">
        <v>14872</v>
      </c>
      <c r="BM2062" t="s">
        <v>15650</v>
      </c>
    </row>
    <row r="2063" spans="1:67">
      <c r="A2063" s="1">
        <f>HYPERLINK("https://lsnyc.legalserver.org/matter/dynamic-profile/view/0832845","17-0832845")</f>
        <v>0</v>
      </c>
      <c r="B2063" t="s">
        <v>145</v>
      </c>
      <c r="C2063" t="s">
        <v>245</v>
      </c>
      <c r="D2063" t="s">
        <v>828</v>
      </c>
      <c r="F2063" t="s">
        <v>1860</v>
      </c>
      <c r="G2063" t="s">
        <v>3779</v>
      </c>
      <c r="H2063" t="s">
        <v>5467</v>
      </c>
      <c r="I2063" t="s">
        <v>6814</v>
      </c>
      <c r="J2063" t="s">
        <v>7169</v>
      </c>
      <c r="K2063">
        <v>10065</v>
      </c>
      <c r="N2063" t="s">
        <v>7237</v>
      </c>
      <c r="O2063" t="s">
        <v>8552</v>
      </c>
      <c r="P2063">
        <v>1</v>
      </c>
      <c r="Q2063">
        <v>0</v>
      </c>
      <c r="R2063">
        <v>71.64</v>
      </c>
      <c r="U2063">
        <v>8640</v>
      </c>
      <c r="W2063">
        <v>263.83</v>
      </c>
      <c r="X2063" t="s">
        <v>266</v>
      </c>
      <c r="Y2063" t="s">
        <v>10887</v>
      </c>
      <c r="AA2063" t="s">
        <v>10974</v>
      </c>
      <c r="AB2063" t="s">
        <v>828</v>
      </c>
      <c r="AD2063" t="s">
        <v>11090</v>
      </c>
      <c r="AF2063" t="s">
        <v>11123</v>
      </c>
      <c r="AH2063" t="s">
        <v>10975</v>
      </c>
      <c r="AJ2063" t="s">
        <v>11129</v>
      </c>
      <c r="AK2063" t="s">
        <v>7225</v>
      </c>
      <c r="AM2063">
        <v>1071.34</v>
      </c>
      <c r="AO2063">
        <v>45</v>
      </c>
      <c r="AQ2063" t="s">
        <v>11157</v>
      </c>
      <c r="AS2063" t="s">
        <v>11173</v>
      </c>
      <c r="AU2063">
        <v>2</v>
      </c>
      <c r="AW2063" t="s">
        <v>11187</v>
      </c>
      <c r="AZ2063" t="s">
        <v>11221</v>
      </c>
      <c r="BE2063" t="s">
        <v>12823</v>
      </c>
      <c r="BF2063" t="s">
        <v>14364</v>
      </c>
      <c r="BM2063" t="s">
        <v>15650</v>
      </c>
    </row>
    <row r="2064" spans="1:67">
      <c r="A2064" s="1">
        <f>HYPERLINK("https://lsnyc.legalserver.org/matter/dynamic-profile/view/1863825","18-1863825")</f>
        <v>0</v>
      </c>
      <c r="B2064" t="s">
        <v>145</v>
      </c>
      <c r="C2064" t="s">
        <v>245</v>
      </c>
      <c r="D2064" t="s">
        <v>350</v>
      </c>
      <c r="F2064" t="s">
        <v>1995</v>
      </c>
      <c r="G2064" t="s">
        <v>3780</v>
      </c>
      <c r="H2064" t="s">
        <v>4776</v>
      </c>
      <c r="I2064">
        <v>807</v>
      </c>
      <c r="J2064" t="s">
        <v>7169</v>
      </c>
      <c r="K2064">
        <v>10029</v>
      </c>
      <c r="N2064" t="s">
        <v>7237</v>
      </c>
      <c r="O2064" t="s">
        <v>8553</v>
      </c>
      <c r="P2064">
        <v>2</v>
      </c>
      <c r="Q2064">
        <v>0</v>
      </c>
      <c r="R2064">
        <v>55.04</v>
      </c>
      <c r="U2064">
        <v>9060</v>
      </c>
      <c r="W2064">
        <v>0.25</v>
      </c>
      <c r="X2064" t="s">
        <v>666</v>
      </c>
      <c r="Y2064" t="s">
        <v>10859</v>
      </c>
      <c r="AA2064" t="s">
        <v>10974</v>
      </c>
      <c r="AB2064" t="s">
        <v>832</v>
      </c>
      <c r="AD2064" t="s">
        <v>11101</v>
      </c>
      <c r="AF2064" t="s">
        <v>11118</v>
      </c>
      <c r="AH2064" t="s">
        <v>10974</v>
      </c>
      <c r="AJ2064" t="s">
        <v>11134</v>
      </c>
      <c r="AK2064" t="s">
        <v>7225</v>
      </c>
      <c r="AL2064" t="s">
        <v>11150</v>
      </c>
      <c r="AM2064">
        <v>0</v>
      </c>
      <c r="AO2064">
        <v>108</v>
      </c>
      <c r="AQ2064" t="s">
        <v>11161</v>
      </c>
      <c r="AS2064" t="s">
        <v>11174</v>
      </c>
      <c r="AU2064">
        <v>24</v>
      </c>
      <c r="AW2064" t="s">
        <v>11187</v>
      </c>
      <c r="AY2064" t="s">
        <v>11213</v>
      </c>
      <c r="AZ2064" t="s">
        <v>11221</v>
      </c>
      <c r="BE2064" t="s">
        <v>12824</v>
      </c>
      <c r="BF2064" t="s">
        <v>14364</v>
      </c>
      <c r="BG2064" t="s">
        <v>14872</v>
      </c>
      <c r="BM2064" t="s">
        <v>15650</v>
      </c>
    </row>
    <row r="2065" spans="1:67">
      <c r="A2065" s="1">
        <f>HYPERLINK("https://lsnyc.legalserver.org/matter/dynamic-profile/view/1847293","17-1847293")</f>
        <v>0</v>
      </c>
      <c r="B2065" t="s">
        <v>145</v>
      </c>
      <c r="C2065" t="s">
        <v>245</v>
      </c>
      <c r="D2065" t="s">
        <v>282</v>
      </c>
      <c r="E2065" t="s">
        <v>264</v>
      </c>
      <c r="F2065" t="s">
        <v>1996</v>
      </c>
      <c r="G2065" t="s">
        <v>3781</v>
      </c>
      <c r="H2065" t="s">
        <v>5468</v>
      </c>
      <c r="I2065">
        <v>65</v>
      </c>
      <c r="J2065" t="s">
        <v>7169</v>
      </c>
      <c r="K2065">
        <v>10040</v>
      </c>
      <c r="L2065" t="s">
        <v>7216</v>
      </c>
      <c r="N2065" t="s">
        <v>7237</v>
      </c>
      <c r="O2065" t="s">
        <v>8554</v>
      </c>
      <c r="P2065">
        <v>2</v>
      </c>
      <c r="Q2065">
        <v>2</v>
      </c>
      <c r="R2065">
        <v>447.15</v>
      </c>
      <c r="S2065" t="s">
        <v>10267</v>
      </c>
      <c r="U2065">
        <v>220000</v>
      </c>
      <c r="W2065">
        <v>0.4</v>
      </c>
      <c r="X2065" t="s">
        <v>282</v>
      </c>
      <c r="Y2065" t="s">
        <v>127</v>
      </c>
      <c r="AA2065" t="s">
        <v>10974</v>
      </c>
      <c r="AB2065" t="s">
        <v>282</v>
      </c>
      <c r="AD2065" t="s">
        <v>11101</v>
      </c>
      <c r="AF2065" t="s">
        <v>10384</v>
      </c>
      <c r="AH2065" t="s">
        <v>10974</v>
      </c>
      <c r="AJ2065" t="s">
        <v>11130</v>
      </c>
      <c r="AK2065" t="s">
        <v>7225</v>
      </c>
      <c r="AM2065">
        <v>1850</v>
      </c>
      <c r="AO2065">
        <v>45</v>
      </c>
      <c r="AQ2065" t="s">
        <v>11157</v>
      </c>
      <c r="AS2065" t="s">
        <v>11173</v>
      </c>
      <c r="AU2065">
        <v>1</v>
      </c>
      <c r="AW2065" t="s">
        <v>11187</v>
      </c>
      <c r="AZ2065" t="s">
        <v>11221</v>
      </c>
      <c r="BE2065" t="s">
        <v>12825</v>
      </c>
      <c r="BF2065" t="s">
        <v>14364</v>
      </c>
      <c r="BG2065" t="s">
        <v>14883</v>
      </c>
      <c r="BM2065" t="s">
        <v>15651</v>
      </c>
    </row>
    <row r="2066" spans="1:67">
      <c r="A2066" s="1">
        <f>HYPERLINK("https://lsnyc.legalserver.org/matter/dynamic-profile/view/1863853","18-1863853")</f>
        <v>0</v>
      </c>
      <c r="B2066" t="s">
        <v>145</v>
      </c>
      <c r="C2066" t="s">
        <v>245</v>
      </c>
      <c r="D2066" t="s">
        <v>350</v>
      </c>
      <c r="F2066" t="s">
        <v>1139</v>
      </c>
      <c r="G2066" t="s">
        <v>3226</v>
      </c>
      <c r="H2066" t="s">
        <v>4776</v>
      </c>
      <c r="I2066">
        <v>815</v>
      </c>
      <c r="J2066" t="s">
        <v>7169</v>
      </c>
      <c r="K2066">
        <v>10029</v>
      </c>
      <c r="N2066" t="s">
        <v>7237</v>
      </c>
      <c r="O2066" t="s">
        <v>8555</v>
      </c>
      <c r="P2066">
        <v>1</v>
      </c>
      <c r="Q2066">
        <v>0</v>
      </c>
      <c r="R2066">
        <v>131.93</v>
      </c>
      <c r="U2066">
        <v>16016</v>
      </c>
      <c r="W2066">
        <v>0.5</v>
      </c>
      <c r="X2066" t="s">
        <v>666</v>
      </c>
      <c r="Y2066" t="s">
        <v>10859</v>
      </c>
      <c r="AA2066" t="s">
        <v>10974</v>
      </c>
      <c r="AB2066" t="s">
        <v>832</v>
      </c>
      <c r="AD2066" t="s">
        <v>11101</v>
      </c>
      <c r="AF2066" t="s">
        <v>11123</v>
      </c>
      <c r="AH2066" t="s">
        <v>10974</v>
      </c>
      <c r="AJ2066" t="s">
        <v>11134</v>
      </c>
      <c r="AK2066" t="s">
        <v>7225</v>
      </c>
      <c r="AL2066" t="s">
        <v>11150</v>
      </c>
      <c r="AM2066">
        <v>0</v>
      </c>
      <c r="AO2066">
        <v>108</v>
      </c>
      <c r="AQ2066" t="s">
        <v>11161</v>
      </c>
      <c r="AS2066" t="s">
        <v>11174</v>
      </c>
      <c r="AU2066">
        <v>29</v>
      </c>
      <c r="AW2066" t="s">
        <v>11187</v>
      </c>
      <c r="AY2066" t="s">
        <v>11213</v>
      </c>
      <c r="AZ2066" t="s">
        <v>11221</v>
      </c>
      <c r="BE2066" t="s">
        <v>12826</v>
      </c>
      <c r="BF2066" t="s">
        <v>14364</v>
      </c>
      <c r="BG2066" t="s">
        <v>14872</v>
      </c>
      <c r="BM2066" t="s">
        <v>15650</v>
      </c>
    </row>
    <row r="2067" spans="1:67">
      <c r="A2067" s="1">
        <f>HYPERLINK("https://lsnyc.legalserver.org/matter/dynamic-profile/view/1866167","18-1866167")</f>
        <v>0</v>
      </c>
      <c r="B2067" t="s">
        <v>145</v>
      </c>
      <c r="C2067" t="s">
        <v>245</v>
      </c>
      <c r="D2067" t="s">
        <v>829</v>
      </c>
      <c r="F2067" t="s">
        <v>1997</v>
      </c>
      <c r="G2067" t="s">
        <v>3782</v>
      </c>
      <c r="H2067" t="s">
        <v>5459</v>
      </c>
      <c r="I2067" t="s">
        <v>6451</v>
      </c>
      <c r="J2067" t="s">
        <v>7197</v>
      </c>
      <c r="K2067">
        <v>10031</v>
      </c>
      <c r="N2067" t="s">
        <v>7237</v>
      </c>
      <c r="O2067" t="s">
        <v>8556</v>
      </c>
      <c r="P2067">
        <v>3</v>
      </c>
      <c r="Q2067">
        <v>1</v>
      </c>
      <c r="R2067">
        <v>47.81</v>
      </c>
      <c r="U2067">
        <v>12000</v>
      </c>
      <c r="W2067">
        <v>4.95</v>
      </c>
      <c r="X2067" t="s">
        <v>406</v>
      </c>
      <c r="Y2067" t="s">
        <v>10859</v>
      </c>
      <c r="AA2067" t="s">
        <v>10974</v>
      </c>
      <c r="AB2067" t="s">
        <v>829</v>
      </c>
      <c r="AD2067" t="s">
        <v>11101</v>
      </c>
      <c r="AF2067" t="s">
        <v>11118</v>
      </c>
      <c r="AH2067" t="s">
        <v>10974</v>
      </c>
      <c r="AJ2067" t="s">
        <v>11134</v>
      </c>
      <c r="AK2067" t="s">
        <v>7225</v>
      </c>
      <c r="AM2067">
        <v>2126</v>
      </c>
      <c r="AO2067">
        <v>42</v>
      </c>
      <c r="AQ2067" t="s">
        <v>11161</v>
      </c>
      <c r="AS2067" t="s">
        <v>11174</v>
      </c>
      <c r="AU2067">
        <v>11</v>
      </c>
      <c r="AW2067" t="s">
        <v>11189</v>
      </c>
      <c r="AY2067" t="s">
        <v>11213</v>
      </c>
      <c r="AZ2067" t="s">
        <v>11221</v>
      </c>
      <c r="BE2067" t="s">
        <v>12827</v>
      </c>
      <c r="BF2067" t="s">
        <v>14364</v>
      </c>
      <c r="BM2067" t="s">
        <v>15650</v>
      </c>
    </row>
    <row r="2068" spans="1:67">
      <c r="A2068" s="1">
        <f>HYPERLINK("https://lsnyc.legalserver.org/matter/dynamic-profile/view/1915268","19-1915268")</f>
        <v>0</v>
      </c>
      <c r="B2068" t="s">
        <v>145</v>
      </c>
      <c r="C2068" t="s">
        <v>245</v>
      </c>
      <c r="D2068" t="s">
        <v>426</v>
      </c>
      <c r="F2068" t="s">
        <v>1108</v>
      </c>
      <c r="G2068" t="s">
        <v>2899</v>
      </c>
      <c r="H2068" t="s">
        <v>4778</v>
      </c>
      <c r="I2068" t="s">
        <v>6405</v>
      </c>
      <c r="J2068" t="s">
        <v>7169</v>
      </c>
      <c r="K2068">
        <v>10029</v>
      </c>
      <c r="N2068" t="s">
        <v>7237</v>
      </c>
      <c r="O2068" t="s">
        <v>7277</v>
      </c>
      <c r="P2068">
        <v>1</v>
      </c>
      <c r="Q2068">
        <v>2</v>
      </c>
      <c r="R2068">
        <v>124.89</v>
      </c>
      <c r="U2068">
        <v>26640</v>
      </c>
      <c r="W2068">
        <v>0</v>
      </c>
      <c r="Y2068" t="s">
        <v>10859</v>
      </c>
      <c r="AA2068" t="s">
        <v>10974</v>
      </c>
      <c r="AB2068" t="s">
        <v>426</v>
      </c>
      <c r="AD2068" t="s">
        <v>11101</v>
      </c>
      <c r="AF2068" t="s">
        <v>11118</v>
      </c>
      <c r="AH2068" t="s">
        <v>10975</v>
      </c>
      <c r="AJ2068" t="s">
        <v>11129</v>
      </c>
      <c r="AK2068" t="s">
        <v>7225</v>
      </c>
      <c r="AM2068">
        <v>1138</v>
      </c>
      <c r="AO2068">
        <v>10</v>
      </c>
      <c r="AQ2068" t="s">
        <v>11157</v>
      </c>
      <c r="AS2068" t="s">
        <v>11173</v>
      </c>
      <c r="AU2068">
        <v>15</v>
      </c>
      <c r="AW2068" t="s">
        <v>11187</v>
      </c>
      <c r="AY2068" t="s">
        <v>11213</v>
      </c>
      <c r="BA2068" t="s">
        <v>11222</v>
      </c>
      <c r="BE2068" t="s">
        <v>11692</v>
      </c>
      <c r="BF2068" t="s">
        <v>14364</v>
      </c>
      <c r="BM2068" t="s">
        <v>15650</v>
      </c>
      <c r="BN2068" t="s">
        <v>15652</v>
      </c>
      <c r="BO2068" t="s">
        <v>15693</v>
      </c>
    </row>
    <row r="2069" spans="1:67">
      <c r="A2069" s="1">
        <f>HYPERLINK("https://lsnyc.legalserver.org/matter/dynamic-profile/view/0826185","17-0826185")</f>
        <v>0</v>
      </c>
      <c r="B2069" t="s">
        <v>145</v>
      </c>
      <c r="C2069" t="s">
        <v>245</v>
      </c>
      <c r="D2069" t="s">
        <v>378</v>
      </c>
      <c r="F2069" t="s">
        <v>1122</v>
      </c>
      <c r="G2069" t="s">
        <v>3040</v>
      </c>
      <c r="H2069" t="s">
        <v>5458</v>
      </c>
      <c r="I2069" t="s">
        <v>6423</v>
      </c>
      <c r="J2069" t="s">
        <v>7169</v>
      </c>
      <c r="K2069">
        <v>10034</v>
      </c>
      <c r="N2069" t="s">
        <v>7237</v>
      </c>
      <c r="O2069" t="s">
        <v>8524</v>
      </c>
      <c r="P2069">
        <v>2</v>
      </c>
      <c r="Q2069">
        <v>0</v>
      </c>
      <c r="R2069">
        <v>98.45999999999999</v>
      </c>
      <c r="U2069">
        <v>17406</v>
      </c>
      <c r="W2069">
        <v>0.9</v>
      </c>
      <c r="X2069" t="s">
        <v>669</v>
      </c>
      <c r="Y2069" t="s">
        <v>10859</v>
      </c>
      <c r="AA2069" t="s">
        <v>10974</v>
      </c>
      <c r="AB2069" t="s">
        <v>277</v>
      </c>
      <c r="AD2069" t="s">
        <v>11096</v>
      </c>
      <c r="AF2069" t="s">
        <v>11122</v>
      </c>
      <c r="AH2069" t="s">
        <v>10974</v>
      </c>
      <c r="AJ2069" t="s">
        <v>11134</v>
      </c>
      <c r="AK2069" t="s">
        <v>7225</v>
      </c>
      <c r="AM2069">
        <v>787.8099999999999</v>
      </c>
      <c r="AO2069">
        <v>22</v>
      </c>
      <c r="AQ2069" t="s">
        <v>11157</v>
      </c>
      <c r="AS2069" t="s">
        <v>11173</v>
      </c>
      <c r="AU2069">
        <v>38</v>
      </c>
      <c r="AW2069" t="s">
        <v>11189</v>
      </c>
      <c r="AZ2069" t="s">
        <v>11221</v>
      </c>
      <c r="BE2069" t="s">
        <v>12828</v>
      </c>
      <c r="BF2069" t="s">
        <v>14364</v>
      </c>
      <c r="BM2069" t="s">
        <v>15650</v>
      </c>
    </row>
    <row r="2070" spans="1:67">
      <c r="A2070" s="1">
        <f>HYPERLINK("https://lsnyc.legalserver.org/matter/dynamic-profile/view/1864041","18-1864041")</f>
        <v>0</v>
      </c>
      <c r="B2070" t="s">
        <v>145</v>
      </c>
      <c r="C2070" t="s">
        <v>245</v>
      </c>
      <c r="D2070" t="s">
        <v>817</v>
      </c>
      <c r="F2070" t="s">
        <v>1345</v>
      </c>
      <c r="G2070" t="s">
        <v>3783</v>
      </c>
      <c r="H2070" t="s">
        <v>4776</v>
      </c>
      <c r="I2070">
        <v>403</v>
      </c>
      <c r="J2070" t="s">
        <v>7169</v>
      </c>
      <c r="K2070">
        <v>10029</v>
      </c>
      <c r="N2070" t="s">
        <v>7237</v>
      </c>
      <c r="O2070" t="s">
        <v>8557</v>
      </c>
      <c r="P2070">
        <v>1</v>
      </c>
      <c r="Q2070">
        <v>4</v>
      </c>
      <c r="R2070">
        <v>30.59</v>
      </c>
      <c r="U2070">
        <v>9000</v>
      </c>
      <c r="W2070">
        <v>0.1</v>
      </c>
      <c r="X2070" t="s">
        <v>604</v>
      </c>
      <c r="Y2070" t="s">
        <v>10859</v>
      </c>
      <c r="AA2070" t="s">
        <v>10974</v>
      </c>
      <c r="AB2070" t="s">
        <v>817</v>
      </c>
      <c r="AD2070" t="s">
        <v>11101</v>
      </c>
      <c r="AF2070" t="s">
        <v>11118</v>
      </c>
      <c r="AH2070" t="s">
        <v>10974</v>
      </c>
      <c r="AJ2070" t="s">
        <v>11134</v>
      </c>
      <c r="AK2070" t="s">
        <v>7225</v>
      </c>
      <c r="AL2070" t="s">
        <v>11150</v>
      </c>
      <c r="AM2070">
        <v>0</v>
      </c>
      <c r="AO2070">
        <v>108</v>
      </c>
      <c r="AQ2070" t="s">
        <v>11161</v>
      </c>
      <c r="AS2070" t="s">
        <v>11174</v>
      </c>
      <c r="AU2070">
        <v>13</v>
      </c>
      <c r="AW2070" t="s">
        <v>11187</v>
      </c>
      <c r="AY2070" t="s">
        <v>11213</v>
      </c>
      <c r="AZ2070" t="s">
        <v>11221</v>
      </c>
      <c r="BE2070" t="s">
        <v>12829</v>
      </c>
      <c r="BF2070" t="s">
        <v>14364</v>
      </c>
      <c r="BG2070" t="s">
        <v>14884</v>
      </c>
      <c r="BM2070" t="s">
        <v>15650</v>
      </c>
    </row>
    <row r="2071" spans="1:67">
      <c r="A2071" s="1">
        <f>HYPERLINK("https://lsnyc.legalserver.org/matter/dynamic-profile/view/1833145","17-1833145")</f>
        <v>0</v>
      </c>
      <c r="B2071" t="s">
        <v>145</v>
      </c>
      <c r="C2071" t="s">
        <v>245</v>
      </c>
      <c r="D2071" t="s">
        <v>390</v>
      </c>
      <c r="F2071" t="s">
        <v>1979</v>
      </c>
      <c r="G2071" t="s">
        <v>3143</v>
      </c>
      <c r="H2071" t="s">
        <v>4872</v>
      </c>
      <c r="I2071" t="s">
        <v>6433</v>
      </c>
      <c r="J2071" t="s">
        <v>7169</v>
      </c>
      <c r="K2071">
        <v>10034</v>
      </c>
      <c r="M2071" t="s">
        <v>7224</v>
      </c>
      <c r="N2071" t="s">
        <v>7237</v>
      </c>
      <c r="O2071" t="s">
        <v>8523</v>
      </c>
      <c r="P2071">
        <v>1</v>
      </c>
      <c r="Q2071">
        <v>0</v>
      </c>
      <c r="R2071">
        <v>381.43</v>
      </c>
      <c r="S2071" t="s">
        <v>10255</v>
      </c>
      <c r="U2071">
        <v>46000</v>
      </c>
      <c r="W2071">
        <v>84.73</v>
      </c>
      <c r="X2071" t="s">
        <v>614</v>
      </c>
      <c r="Y2071" t="s">
        <v>10859</v>
      </c>
      <c r="AA2071" t="s">
        <v>10974</v>
      </c>
      <c r="AB2071" t="s">
        <v>390</v>
      </c>
      <c r="AD2071" t="s">
        <v>11082</v>
      </c>
      <c r="AF2071" t="s">
        <v>11118</v>
      </c>
      <c r="AH2071" t="s">
        <v>10975</v>
      </c>
      <c r="AJ2071" t="s">
        <v>11134</v>
      </c>
      <c r="AK2071" t="s">
        <v>7225</v>
      </c>
      <c r="AM2071">
        <v>1300</v>
      </c>
      <c r="AO2071">
        <v>66</v>
      </c>
      <c r="AQ2071" t="s">
        <v>11156</v>
      </c>
      <c r="AS2071" t="s">
        <v>11173</v>
      </c>
      <c r="AU2071">
        <v>2</v>
      </c>
      <c r="AW2071" t="s">
        <v>11187</v>
      </c>
      <c r="AZ2071" t="s">
        <v>11221</v>
      </c>
      <c r="BE2071" t="s">
        <v>12799</v>
      </c>
      <c r="BG2071" t="s">
        <v>14885</v>
      </c>
      <c r="BM2071" t="s">
        <v>15650</v>
      </c>
    </row>
    <row r="2072" spans="1:67">
      <c r="A2072" s="1">
        <f>HYPERLINK("https://lsnyc.legalserver.org/matter/dynamic-profile/view/1860636","18-1860636")</f>
        <v>0</v>
      </c>
      <c r="B2072" t="s">
        <v>145</v>
      </c>
      <c r="C2072" t="s">
        <v>245</v>
      </c>
      <c r="D2072" t="s">
        <v>717</v>
      </c>
      <c r="F2072" t="s">
        <v>1998</v>
      </c>
      <c r="G2072" t="s">
        <v>3784</v>
      </c>
      <c r="H2072" t="s">
        <v>5463</v>
      </c>
      <c r="I2072" t="s">
        <v>6491</v>
      </c>
      <c r="J2072" t="s">
        <v>7169</v>
      </c>
      <c r="K2072">
        <v>10031</v>
      </c>
      <c r="N2072" t="s">
        <v>7237</v>
      </c>
      <c r="O2072" t="s">
        <v>8254</v>
      </c>
      <c r="P2072">
        <v>2</v>
      </c>
      <c r="Q2072">
        <v>0</v>
      </c>
      <c r="R2072">
        <v>172.99</v>
      </c>
      <c r="U2072">
        <v>28474</v>
      </c>
      <c r="W2072">
        <v>1.15</v>
      </c>
      <c r="X2072" t="s">
        <v>1008</v>
      </c>
      <c r="Y2072" t="s">
        <v>10859</v>
      </c>
      <c r="AA2072" t="s">
        <v>10974</v>
      </c>
      <c r="AB2072" t="s">
        <v>936</v>
      </c>
      <c r="AD2072" t="s">
        <v>11101</v>
      </c>
      <c r="AF2072" t="s">
        <v>10384</v>
      </c>
      <c r="AH2072" t="s">
        <v>10974</v>
      </c>
      <c r="AJ2072" t="s">
        <v>11134</v>
      </c>
      <c r="AK2072" t="s">
        <v>7225</v>
      </c>
      <c r="AM2072">
        <v>2697</v>
      </c>
      <c r="AO2072">
        <v>44</v>
      </c>
      <c r="AQ2072" t="s">
        <v>11161</v>
      </c>
      <c r="AS2072" t="s">
        <v>11174</v>
      </c>
      <c r="AU2072">
        <v>9</v>
      </c>
      <c r="AW2072" t="s">
        <v>11189</v>
      </c>
      <c r="BA2072" t="s">
        <v>11222</v>
      </c>
      <c r="BE2072" t="s">
        <v>12830</v>
      </c>
      <c r="BF2072" t="s">
        <v>14364</v>
      </c>
      <c r="BM2072" t="s">
        <v>15650</v>
      </c>
    </row>
    <row r="2073" spans="1:67">
      <c r="A2073" s="1">
        <f>HYPERLINK("https://lsnyc.legalserver.org/matter/dynamic-profile/view/1840469","17-1840469")</f>
        <v>0</v>
      </c>
      <c r="B2073" t="s">
        <v>145</v>
      </c>
      <c r="C2073" t="s">
        <v>245</v>
      </c>
      <c r="D2073" t="s">
        <v>393</v>
      </c>
      <c r="F2073" t="s">
        <v>1223</v>
      </c>
      <c r="G2073" t="s">
        <v>3785</v>
      </c>
      <c r="H2073" t="s">
        <v>5469</v>
      </c>
      <c r="I2073" t="s">
        <v>6815</v>
      </c>
      <c r="J2073" t="s">
        <v>7169</v>
      </c>
      <c r="K2073">
        <v>10034</v>
      </c>
      <c r="N2073" t="s">
        <v>7237</v>
      </c>
      <c r="O2073" t="s">
        <v>8558</v>
      </c>
      <c r="P2073">
        <v>2</v>
      </c>
      <c r="Q2073">
        <v>1</v>
      </c>
      <c r="R2073">
        <v>114.59</v>
      </c>
      <c r="U2073">
        <v>23400</v>
      </c>
      <c r="W2073">
        <v>10.1</v>
      </c>
      <c r="X2073" t="s">
        <v>798</v>
      </c>
      <c r="Y2073" t="s">
        <v>127</v>
      </c>
      <c r="AA2073" t="s">
        <v>10974</v>
      </c>
      <c r="AB2073" t="s">
        <v>10982</v>
      </c>
      <c r="AD2073" t="s">
        <v>11090</v>
      </c>
      <c r="AF2073" t="s">
        <v>11120</v>
      </c>
      <c r="AH2073" t="s">
        <v>10975</v>
      </c>
      <c r="AJ2073" t="s">
        <v>11130</v>
      </c>
      <c r="AK2073" t="s">
        <v>7225</v>
      </c>
      <c r="AM2073">
        <v>1066.11</v>
      </c>
      <c r="AO2073">
        <v>46</v>
      </c>
      <c r="AQ2073" t="s">
        <v>11157</v>
      </c>
      <c r="AS2073" t="s">
        <v>11173</v>
      </c>
      <c r="AU2073">
        <v>5</v>
      </c>
      <c r="AW2073" t="s">
        <v>11189</v>
      </c>
      <c r="AZ2073" t="s">
        <v>11221</v>
      </c>
      <c r="BE2073" t="s">
        <v>12831</v>
      </c>
      <c r="BF2073" t="s">
        <v>14364</v>
      </c>
      <c r="BM2073" t="s">
        <v>15650</v>
      </c>
    </row>
    <row r="2074" spans="1:67">
      <c r="A2074" s="1">
        <f>HYPERLINK("https://lsnyc.legalserver.org/matter/dynamic-profile/view/0822317","16-0822317")</f>
        <v>0</v>
      </c>
      <c r="B2074" t="s">
        <v>145</v>
      </c>
      <c r="C2074" t="s">
        <v>245</v>
      </c>
      <c r="D2074" t="s">
        <v>714</v>
      </c>
      <c r="F2074" t="s">
        <v>1999</v>
      </c>
      <c r="G2074" t="s">
        <v>3786</v>
      </c>
      <c r="H2074" t="s">
        <v>5458</v>
      </c>
      <c r="I2074" t="s">
        <v>6407</v>
      </c>
      <c r="J2074" t="s">
        <v>7169</v>
      </c>
      <c r="K2074">
        <v>10034</v>
      </c>
      <c r="N2074" t="s">
        <v>7237</v>
      </c>
      <c r="O2074" t="s">
        <v>7888</v>
      </c>
      <c r="P2074">
        <v>2</v>
      </c>
      <c r="Q2074">
        <v>2</v>
      </c>
      <c r="R2074">
        <v>132.3</v>
      </c>
      <c r="U2074">
        <v>41208</v>
      </c>
      <c r="W2074">
        <v>0.1</v>
      </c>
      <c r="X2074" t="s">
        <v>257</v>
      </c>
      <c r="Y2074" t="s">
        <v>10859</v>
      </c>
      <c r="AA2074" t="s">
        <v>10974</v>
      </c>
      <c r="AB2074" t="s">
        <v>10837</v>
      </c>
      <c r="AD2074" t="s">
        <v>11096</v>
      </c>
      <c r="AF2074" t="s">
        <v>11122</v>
      </c>
      <c r="AH2074" t="s">
        <v>10974</v>
      </c>
      <c r="AJ2074" t="s">
        <v>11134</v>
      </c>
      <c r="AK2074" t="s">
        <v>7225</v>
      </c>
      <c r="AM2074">
        <v>1237</v>
      </c>
      <c r="AO2074">
        <v>22</v>
      </c>
      <c r="AQ2074" t="s">
        <v>11157</v>
      </c>
      <c r="AS2074" t="s">
        <v>11175</v>
      </c>
      <c r="AU2074">
        <v>7</v>
      </c>
      <c r="AW2074" t="s">
        <v>11189</v>
      </c>
      <c r="AZ2074" t="s">
        <v>11221</v>
      </c>
      <c r="BE2074" t="s">
        <v>12832</v>
      </c>
      <c r="BF2074" t="s">
        <v>14364</v>
      </c>
      <c r="BM2074" t="s">
        <v>15650</v>
      </c>
    </row>
    <row r="2075" spans="1:67">
      <c r="A2075" s="1">
        <f>HYPERLINK("https://lsnyc.legalserver.org/matter/dynamic-profile/view/1863990","18-1863990")</f>
        <v>0</v>
      </c>
      <c r="B2075" t="s">
        <v>145</v>
      </c>
      <c r="C2075" t="s">
        <v>245</v>
      </c>
      <c r="D2075" t="s">
        <v>770</v>
      </c>
      <c r="F2075" t="s">
        <v>1122</v>
      </c>
      <c r="G2075" t="s">
        <v>3142</v>
      </c>
      <c r="H2075" t="s">
        <v>4776</v>
      </c>
      <c r="I2075">
        <v>312</v>
      </c>
      <c r="J2075" t="s">
        <v>7169</v>
      </c>
      <c r="K2075">
        <v>10029</v>
      </c>
      <c r="N2075" t="s">
        <v>7237</v>
      </c>
      <c r="O2075" t="s">
        <v>8559</v>
      </c>
      <c r="P2075">
        <v>2</v>
      </c>
      <c r="Q2075">
        <v>0</v>
      </c>
      <c r="R2075">
        <v>140.1</v>
      </c>
      <c r="U2075">
        <v>23060</v>
      </c>
      <c r="W2075">
        <v>2.1</v>
      </c>
      <c r="X2075" t="s">
        <v>589</v>
      </c>
      <c r="Y2075" t="s">
        <v>10859</v>
      </c>
      <c r="AA2075" t="s">
        <v>10974</v>
      </c>
      <c r="AB2075" t="s">
        <v>770</v>
      </c>
      <c r="AD2075" t="s">
        <v>11101</v>
      </c>
      <c r="AF2075" t="s">
        <v>11118</v>
      </c>
      <c r="AH2075" t="s">
        <v>10974</v>
      </c>
      <c r="AJ2075" t="s">
        <v>11134</v>
      </c>
      <c r="AK2075" t="s">
        <v>7225</v>
      </c>
      <c r="AL2075" t="s">
        <v>11150</v>
      </c>
      <c r="AM2075">
        <v>0</v>
      </c>
      <c r="AO2075">
        <v>108</v>
      </c>
      <c r="AQ2075" t="s">
        <v>11161</v>
      </c>
      <c r="AS2075" t="s">
        <v>11174</v>
      </c>
      <c r="AU2075">
        <v>20</v>
      </c>
      <c r="AW2075" t="s">
        <v>11189</v>
      </c>
      <c r="AY2075" t="s">
        <v>11213</v>
      </c>
      <c r="AZ2075" t="s">
        <v>11221</v>
      </c>
      <c r="BE2075" t="s">
        <v>12833</v>
      </c>
      <c r="BF2075" t="s">
        <v>14364</v>
      </c>
      <c r="BG2075" t="s">
        <v>14872</v>
      </c>
      <c r="BM2075" t="s">
        <v>15650</v>
      </c>
    </row>
    <row r="2076" spans="1:67">
      <c r="A2076" s="1">
        <f>HYPERLINK("https://lsnyc.legalserver.org/matter/dynamic-profile/view/1863909","18-1863909")</f>
        <v>0</v>
      </c>
      <c r="B2076" t="s">
        <v>145</v>
      </c>
      <c r="C2076" t="s">
        <v>245</v>
      </c>
      <c r="D2076" t="s">
        <v>770</v>
      </c>
      <c r="F2076" t="s">
        <v>1982</v>
      </c>
      <c r="G2076" t="s">
        <v>3488</v>
      </c>
      <c r="H2076" t="s">
        <v>4776</v>
      </c>
      <c r="I2076">
        <v>709</v>
      </c>
      <c r="J2076" t="s">
        <v>7169</v>
      </c>
      <c r="K2076">
        <v>10029</v>
      </c>
      <c r="N2076" t="s">
        <v>7237</v>
      </c>
      <c r="O2076" t="s">
        <v>8527</v>
      </c>
      <c r="P2076">
        <v>2</v>
      </c>
      <c r="Q2076">
        <v>0</v>
      </c>
      <c r="R2076">
        <v>134</v>
      </c>
      <c r="U2076">
        <v>22056</v>
      </c>
      <c r="W2076">
        <v>1.1</v>
      </c>
      <c r="X2076" t="s">
        <v>322</v>
      </c>
      <c r="Y2076" t="s">
        <v>10859</v>
      </c>
      <c r="AA2076" t="s">
        <v>10974</v>
      </c>
      <c r="AB2076" t="s">
        <v>770</v>
      </c>
      <c r="AD2076" t="s">
        <v>11101</v>
      </c>
      <c r="AF2076" t="s">
        <v>11118</v>
      </c>
      <c r="AH2076" t="s">
        <v>10974</v>
      </c>
      <c r="AJ2076" t="s">
        <v>11134</v>
      </c>
      <c r="AK2076" t="s">
        <v>7225</v>
      </c>
      <c r="AL2076" t="s">
        <v>11150</v>
      </c>
      <c r="AM2076">
        <v>0</v>
      </c>
      <c r="AO2076">
        <v>108</v>
      </c>
      <c r="AQ2076" t="s">
        <v>11161</v>
      </c>
      <c r="AS2076" t="s">
        <v>11174</v>
      </c>
      <c r="AU2076">
        <v>32</v>
      </c>
      <c r="AW2076" t="s">
        <v>11189</v>
      </c>
      <c r="AY2076" t="s">
        <v>11213</v>
      </c>
      <c r="AZ2076" t="s">
        <v>11221</v>
      </c>
      <c r="BE2076" t="s">
        <v>12803</v>
      </c>
      <c r="BF2076" t="s">
        <v>14364</v>
      </c>
      <c r="BG2076" t="s">
        <v>14872</v>
      </c>
      <c r="BM2076" t="s">
        <v>15650</v>
      </c>
    </row>
    <row r="2077" spans="1:67">
      <c r="A2077" s="1">
        <f>HYPERLINK("https://lsnyc.legalserver.org/matter/dynamic-profile/view/1863994","18-1863994")</f>
        <v>0</v>
      </c>
      <c r="B2077" t="s">
        <v>145</v>
      </c>
      <c r="C2077" t="s">
        <v>245</v>
      </c>
      <c r="D2077" t="s">
        <v>770</v>
      </c>
      <c r="F2077" t="s">
        <v>2000</v>
      </c>
      <c r="G2077" t="s">
        <v>3787</v>
      </c>
      <c r="H2077" t="s">
        <v>4776</v>
      </c>
      <c r="I2077">
        <v>305</v>
      </c>
      <c r="J2077" t="s">
        <v>7169</v>
      </c>
      <c r="K2077">
        <v>10029</v>
      </c>
      <c r="N2077" t="s">
        <v>7237</v>
      </c>
      <c r="O2077" t="s">
        <v>8560</v>
      </c>
      <c r="P2077">
        <v>2</v>
      </c>
      <c r="Q2077">
        <v>0</v>
      </c>
      <c r="R2077">
        <v>64.23</v>
      </c>
      <c r="U2077">
        <v>10572</v>
      </c>
      <c r="W2077">
        <v>0</v>
      </c>
      <c r="Y2077" t="s">
        <v>10859</v>
      </c>
      <c r="AA2077" t="s">
        <v>10974</v>
      </c>
      <c r="AB2077" t="s">
        <v>770</v>
      </c>
      <c r="AD2077" t="s">
        <v>11101</v>
      </c>
      <c r="AF2077" t="s">
        <v>11118</v>
      </c>
      <c r="AH2077" t="s">
        <v>10974</v>
      </c>
      <c r="AJ2077" t="s">
        <v>11134</v>
      </c>
      <c r="AK2077" t="s">
        <v>7225</v>
      </c>
      <c r="AL2077" t="s">
        <v>11150</v>
      </c>
      <c r="AM2077">
        <v>0</v>
      </c>
      <c r="AO2077">
        <v>108</v>
      </c>
      <c r="AQ2077" t="s">
        <v>11161</v>
      </c>
      <c r="AS2077" t="s">
        <v>11174</v>
      </c>
      <c r="AU2077">
        <v>2</v>
      </c>
      <c r="AW2077" t="s">
        <v>11189</v>
      </c>
      <c r="AY2077" t="s">
        <v>11213</v>
      </c>
      <c r="AZ2077" t="s">
        <v>11221</v>
      </c>
      <c r="BE2077" t="s">
        <v>12834</v>
      </c>
      <c r="BF2077" t="s">
        <v>14364</v>
      </c>
      <c r="BG2077" t="s">
        <v>14872</v>
      </c>
      <c r="BM2077" t="s">
        <v>15650</v>
      </c>
    </row>
    <row r="2078" spans="1:67">
      <c r="A2078" s="1">
        <f>HYPERLINK("https://lsnyc.legalserver.org/matter/dynamic-profile/view/1847161","17-1847161")</f>
        <v>0</v>
      </c>
      <c r="B2078" t="s">
        <v>145</v>
      </c>
      <c r="C2078" t="s">
        <v>245</v>
      </c>
      <c r="D2078" t="s">
        <v>418</v>
      </c>
      <c r="F2078" t="s">
        <v>1221</v>
      </c>
      <c r="G2078" t="s">
        <v>2956</v>
      </c>
      <c r="H2078" t="s">
        <v>4922</v>
      </c>
      <c r="I2078" t="s">
        <v>6816</v>
      </c>
      <c r="J2078" t="s">
        <v>7169</v>
      </c>
      <c r="K2078">
        <v>10040</v>
      </c>
      <c r="N2078" t="s">
        <v>7237</v>
      </c>
      <c r="O2078" t="s">
        <v>8561</v>
      </c>
      <c r="P2078">
        <v>1</v>
      </c>
      <c r="Q2078">
        <v>0</v>
      </c>
      <c r="R2078">
        <v>138.81</v>
      </c>
      <c r="S2078" t="s">
        <v>10266</v>
      </c>
      <c r="U2078">
        <v>16740</v>
      </c>
      <c r="W2078">
        <v>1.61</v>
      </c>
      <c r="X2078" t="s">
        <v>873</v>
      </c>
      <c r="Y2078" t="s">
        <v>127</v>
      </c>
      <c r="AA2078" t="s">
        <v>10974</v>
      </c>
      <c r="AB2078" t="s">
        <v>418</v>
      </c>
      <c r="AD2078" t="s">
        <v>11096</v>
      </c>
      <c r="AF2078" t="s">
        <v>11120</v>
      </c>
      <c r="AH2078" t="s">
        <v>10975</v>
      </c>
      <c r="AJ2078" t="s">
        <v>11129</v>
      </c>
      <c r="AK2078" t="s">
        <v>7225</v>
      </c>
      <c r="AM2078">
        <v>1323</v>
      </c>
      <c r="AO2078">
        <v>43</v>
      </c>
      <c r="AQ2078" t="s">
        <v>11157</v>
      </c>
      <c r="AS2078" t="s">
        <v>11174</v>
      </c>
      <c r="AU2078">
        <v>11</v>
      </c>
      <c r="AW2078" t="s">
        <v>11187</v>
      </c>
      <c r="AZ2078" t="s">
        <v>11221</v>
      </c>
      <c r="BE2078" t="s">
        <v>12835</v>
      </c>
      <c r="BG2078" t="s">
        <v>14886</v>
      </c>
      <c r="BM2078" t="s">
        <v>15650</v>
      </c>
    </row>
    <row r="2079" spans="1:67">
      <c r="A2079" s="1">
        <f>HYPERLINK("https://lsnyc.legalserver.org/matter/dynamic-profile/view/1897828","19-1897828")</f>
        <v>0</v>
      </c>
      <c r="B2079" t="s">
        <v>145</v>
      </c>
      <c r="C2079" t="s">
        <v>245</v>
      </c>
      <c r="D2079" t="s">
        <v>822</v>
      </c>
      <c r="F2079" t="s">
        <v>1090</v>
      </c>
      <c r="G2079" t="s">
        <v>2975</v>
      </c>
      <c r="H2079" t="s">
        <v>4780</v>
      </c>
      <c r="I2079" t="s">
        <v>6420</v>
      </c>
      <c r="J2079" t="s">
        <v>7169</v>
      </c>
      <c r="K2079">
        <v>10035</v>
      </c>
      <c r="N2079" t="s">
        <v>7237</v>
      </c>
      <c r="O2079" t="s">
        <v>8562</v>
      </c>
      <c r="P2079">
        <v>3</v>
      </c>
      <c r="Q2079">
        <v>0</v>
      </c>
      <c r="R2079">
        <v>335.68</v>
      </c>
      <c r="U2079">
        <v>71600</v>
      </c>
      <c r="V2079" t="s">
        <v>10361</v>
      </c>
      <c r="W2079">
        <v>0</v>
      </c>
      <c r="Y2079" t="s">
        <v>10859</v>
      </c>
      <c r="AA2079" t="s">
        <v>10974</v>
      </c>
      <c r="AB2079" t="s">
        <v>822</v>
      </c>
      <c r="AD2079" t="s">
        <v>11086</v>
      </c>
      <c r="AF2079" t="s">
        <v>10384</v>
      </c>
      <c r="AH2079" t="s">
        <v>10974</v>
      </c>
      <c r="AJ2079" t="s">
        <v>11137</v>
      </c>
      <c r="AK2079" t="s">
        <v>7225</v>
      </c>
      <c r="AM2079">
        <v>1066.31</v>
      </c>
      <c r="AO2079">
        <v>60</v>
      </c>
      <c r="AQ2079" t="s">
        <v>11157</v>
      </c>
      <c r="AS2079" t="s">
        <v>11173</v>
      </c>
      <c r="AU2079">
        <v>15</v>
      </c>
      <c r="AW2079" t="s">
        <v>11187</v>
      </c>
      <c r="AY2079" t="s">
        <v>11213</v>
      </c>
      <c r="BA2079" t="s">
        <v>11222</v>
      </c>
      <c r="BD2079" t="s">
        <v>11667</v>
      </c>
      <c r="BF2079" t="s">
        <v>14364</v>
      </c>
      <c r="BM2079" t="s">
        <v>15650</v>
      </c>
    </row>
    <row r="2080" spans="1:67">
      <c r="A2080" s="1">
        <f>HYPERLINK("https://lsnyc.legalserver.org/matter/dynamic-profile/view/1908890","19-1908890")</f>
        <v>0</v>
      </c>
      <c r="B2080" t="s">
        <v>145</v>
      </c>
      <c r="C2080" t="s">
        <v>245</v>
      </c>
      <c r="D2080" t="s">
        <v>420</v>
      </c>
      <c r="F2080" t="s">
        <v>1212</v>
      </c>
      <c r="G2080" t="s">
        <v>2962</v>
      </c>
      <c r="H2080" t="s">
        <v>4780</v>
      </c>
      <c r="I2080" t="s">
        <v>6433</v>
      </c>
      <c r="J2080" t="s">
        <v>7169</v>
      </c>
      <c r="K2080">
        <v>10035</v>
      </c>
      <c r="N2080" t="s">
        <v>7237</v>
      </c>
      <c r="O2080" t="s">
        <v>8563</v>
      </c>
      <c r="P2080">
        <v>2</v>
      </c>
      <c r="Q2080">
        <v>0</v>
      </c>
      <c r="R2080">
        <v>118.23</v>
      </c>
      <c r="U2080">
        <v>19992</v>
      </c>
      <c r="W2080">
        <v>0</v>
      </c>
      <c r="Y2080" t="s">
        <v>10859</v>
      </c>
      <c r="AA2080" t="s">
        <v>10974</v>
      </c>
      <c r="AB2080" t="s">
        <v>420</v>
      </c>
      <c r="AD2080" t="s">
        <v>11086</v>
      </c>
      <c r="AF2080" t="s">
        <v>10384</v>
      </c>
      <c r="AH2080" t="s">
        <v>10974</v>
      </c>
      <c r="AJ2080" t="s">
        <v>11134</v>
      </c>
      <c r="AK2080" t="s">
        <v>7225</v>
      </c>
      <c r="AM2080">
        <v>1025.77</v>
      </c>
      <c r="AO2080">
        <v>60</v>
      </c>
      <c r="AQ2080" t="s">
        <v>11157</v>
      </c>
      <c r="AS2080" t="s">
        <v>11174</v>
      </c>
      <c r="AU2080">
        <v>10</v>
      </c>
      <c r="AW2080" t="s">
        <v>11187</v>
      </c>
      <c r="AY2080" t="s">
        <v>11213</v>
      </c>
      <c r="BA2080" t="s">
        <v>11222</v>
      </c>
      <c r="BE2080" t="s">
        <v>12836</v>
      </c>
      <c r="BF2080" t="s">
        <v>14364</v>
      </c>
      <c r="BM2080" t="s">
        <v>15650</v>
      </c>
    </row>
    <row r="2081" spans="1:67">
      <c r="A2081" s="1">
        <f>HYPERLINK("https://lsnyc.legalserver.org/matter/dynamic-profile/view/1842388","17-1842388")</f>
        <v>0</v>
      </c>
      <c r="B2081" t="s">
        <v>145</v>
      </c>
      <c r="C2081" t="s">
        <v>245</v>
      </c>
      <c r="D2081" t="s">
        <v>830</v>
      </c>
      <c r="F2081" t="s">
        <v>2001</v>
      </c>
      <c r="G2081" t="s">
        <v>3788</v>
      </c>
      <c r="H2081" t="s">
        <v>5460</v>
      </c>
      <c r="I2081" t="s">
        <v>6421</v>
      </c>
      <c r="J2081" t="s">
        <v>7169</v>
      </c>
      <c r="K2081">
        <v>10029</v>
      </c>
      <c r="N2081" t="s">
        <v>7237</v>
      </c>
      <c r="O2081" t="s">
        <v>8564</v>
      </c>
      <c r="P2081">
        <v>2</v>
      </c>
      <c r="Q2081">
        <v>0</v>
      </c>
      <c r="R2081">
        <v>101.97</v>
      </c>
      <c r="U2081">
        <v>16560</v>
      </c>
      <c r="W2081">
        <v>1.7</v>
      </c>
      <c r="X2081" t="s">
        <v>392</v>
      </c>
      <c r="Y2081" t="s">
        <v>10859</v>
      </c>
      <c r="AA2081" t="s">
        <v>10974</v>
      </c>
      <c r="AB2081" t="s">
        <v>830</v>
      </c>
      <c r="AD2081" t="s">
        <v>11086</v>
      </c>
      <c r="AF2081" t="s">
        <v>10384</v>
      </c>
      <c r="AH2081" t="s">
        <v>10974</v>
      </c>
      <c r="AJ2081" t="s">
        <v>11134</v>
      </c>
      <c r="AK2081" t="s">
        <v>7225</v>
      </c>
      <c r="AM2081">
        <v>868</v>
      </c>
      <c r="AO2081">
        <v>13</v>
      </c>
      <c r="AQ2081" t="s">
        <v>11157</v>
      </c>
      <c r="AS2081" t="s">
        <v>11174</v>
      </c>
      <c r="AU2081">
        <v>30</v>
      </c>
      <c r="AW2081" t="s">
        <v>11189</v>
      </c>
      <c r="AZ2081" t="s">
        <v>11221</v>
      </c>
      <c r="BE2081" t="s">
        <v>12837</v>
      </c>
      <c r="BF2081" t="s">
        <v>14364</v>
      </c>
      <c r="BM2081" t="s">
        <v>15650</v>
      </c>
    </row>
    <row r="2082" spans="1:67">
      <c r="A2082" s="1">
        <f>HYPERLINK("https://lsnyc.legalserver.org/matter/dynamic-profile/view/1898384","19-1898384")</f>
        <v>0</v>
      </c>
      <c r="B2082" t="s">
        <v>145</v>
      </c>
      <c r="C2082" t="s">
        <v>245</v>
      </c>
      <c r="D2082" t="s">
        <v>519</v>
      </c>
      <c r="F2082" t="s">
        <v>2002</v>
      </c>
      <c r="G2082" t="s">
        <v>3762</v>
      </c>
      <c r="H2082" t="s">
        <v>5463</v>
      </c>
      <c r="I2082" t="s">
        <v>6480</v>
      </c>
      <c r="J2082" t="s">
        <v>7169</v>
      </c>
      <c r="K2082">
        <v>10031</v>
      </c>
      <c r="N2082" t="s">
        <v>7237</v>
      </c>
      <c r="O2082" t="s">
        <v>8565</v>
      </c>
      <c r="P2082">
        <v>2</v>
      </c>
      <c r="Q2082">
        <v>0</v>
      </c>
      <c r="R2082">
        <v>136.01</v>
      </c>
      <c r="U2082">
        <v>23000</v>
      </c>
      <c r="W2082">
        <v>0.25</v>
      </c>
      <c r="X2082" t="s">
        <v>1008</v>
      </c>
      <c r="Y2082" t="s">
        <v>10859</v>
      </c>
      <c r="AA2082" t="s">
        <v>10974</v>
      </c>
      <c r="AB2082" t="s">
        <v>444</v>
      </c>
      <c r="AD2082" t="s">
        <v>11086</v>
      </c>
      <c r="AF2082" t="s">
        <v>10384</v>
      </c>
      <c r="AH2082" t="s">
        <v>10974</v>
      </c>
      <c r="AJ2082" t="s">
        <v>11137</v>
      </c>
      <c r="AK2082" t="s">
        <v>7225</v>
      </c>
      <c r="AM2082">
        <v>2100</v>
      </c>
      <c r="AO2082">
        <v>44</v>
      </c>
      <c r="AQ2082" t="s">
        <v>11157</v>
      </c>
      <c r="AS2082" t="s">
        <v>11174</v>
      </c>
      <c r="AU2082">
        <v>40</v>
      </c>
      <c r="AW2082" t="s">
        <v>11187</v>
      </c>
      <c r="AY2082" t="s">
        <v>11213</v>
      </c>
      <c r="AZ2082" t="s">
        <v>11221</v>
      </c>
      <c r="BE2082" t="s">
        <v>12838</v>
      </c>
      <c r="BF2082" t="s">
        <v>14364</v>
      </c>
      <c r="BM2082" t="s">
        <v>15650</v>
      </c>
    </row>
    <row r="2083" spans="1:67">
      <c r="A2083" s="1">
        <f>HYPERLINK("https://lsnyc.legalserver.org/matter/dynamic-profile/view/1914987","19-1914987")</f>
        <v>0</v>
      </c>
      <c r="B2083" t="s">
        <v>145</v>
      </c>
      <c r="C2083" t="s">
        <v>245</v>
      </c>
      <c r="D2083" t="s">
        <v>264</v>
      </c>
      <c r="F2083" t="s">
        <v>2003</v>
      </c>
      <c r="G2083" t="s">
        <v>3789</v>
      </c>
      <c r="H2083" t="s">
        <v>5470</v>
      </c>
      <c r="I2083" t="s">
        <v>6440</v>
      </c>
      <c r="J2083" t="s">
        <v>7169</v>
      </c>
      <c r="K2083">
        <v>10022</v>
      </c>
      <c r="N2083" t="s">
        <v>7237</v>
      </c>
      <c r="O2083" t="s">
        <v>8566</v>
      </c>
      <c r="P2083">
        <v>2</v>
      </c>
      <c r="Q2083">
        <v>0</v>
      </c>
      <c r="R2083">
        <v>136.01</v>
      </c>
      <c r="U2083">
        <v>23000</v>
      </c>
      <c r="W2083">
        <v>1.5</v>
      </c>
      <c r="X2083" t="s">
        <v>264</v>
      </c>
      <c r="Y2083" t="s">
        <v>10859</v>
      </c>
      <c r="AA2083" t="s">
        <v>10974</v>
      </c>
      <c r="AB2083" t="s">
        <v>264</v>
      </c>
      <c r="AD2083" t="s">
        <v>11086</v>
      </c>
      <c r="AF2083" t="s">
        <v>11121</v>
      </c>
      <c r="AH2083" t="s">
        <v>10975</v>
      </c>
      <c r="AJ2083" t="s">
        <v>11104</v>
      </c>
      <c r="AK2083" t="s">
        <v>7225</v>
      </c>
      <c r="AM2083">
        <v>878.24</v>
      </c>
      <c r="AO2083">
        <v>7</v>
      </c>
      <c r="AQ2083" t="s">
        <v>11157</v>
      </c>
      <c r="AS2083" t="s">
        <v>11173</v>
      </c>
      <c r="AU2083">
        <v>18</v>
      </c>
      <c r="AW2083" t="s">
        <v>11187</v>
      </c>
      <c r="AY2083" t="s">
        <v>11213</v>
      </c>
      <c r="BA2083" t="s">
        <v>11222</v>
      </c>
      <c r="BE2083" t="s">
        <v>12839</v>
      </c>
      <c r="BF2083" t="s">
        <v>14364</v>
      </c>
      <c r="BM2083" t="s">
        <v>15650</v>
      </c>
    </row>
    <row r="2084" spans="1:67">
      <c r="A2084" s="1">
        <f>HYPERLINK("https://lsnyc.legalserver.org/matter/dynamic-profile/view/1864740","18-1864740")</f>
        <v>0</v>
      </c>
      <c r="B2084" t="s">
        <v>145</v>
      </c>
      <c r="C2084" t="s">
        <v>245</v>
      </c>
      <c r="D2084" t="s">
        <v>818</v>
      </c>
      <c r="F2084" t="s">
        <v>2004</v>
      </c>
      <c r="G2084" t="s">
        <v>3790</v>
      </c>
      <c r="H2084" t="s">
        <v>4776</v>
      </c>
      <c r="I2084">
        <v>812</v>
      </c>
      <c r="J2084" t="s">
        <v>7169</v>
      </c>
      <c r="K2084">
        <v>10029</v>
      </c>
      <c r="N2084" t="s">
        <v>7237</v>
      </c>
      <c r="O2084" t="s">
        <v>8210</v>
      </c>
      <c r="P2084">
        <v>1</v>
      </c>
      <c r="Q2084">
        <v>4</v>
      </c>
      <c r="R2084">
        <v>4.08</v>
      </c>
      <c r="U2084">
        <v>1200</v>
      </c>
      <c r="W2084">
        <v>0.5</v>
      </c>
      <c r="X2084" t="s">
        <v>666</v>
      </c>
      <c r="Y2084" t="s">
        <v>10859</v>
      </c>
      <c r="AA2084" t="s">
        <v>10974</v>
      </c>
      <c r="AB2084" t="s">
        <v>818</v>
      </c>
      <c r="AD2084" t="s">
        <v>11101</v>
      </c>
      <c r="AF2084" t="s">
        <v>11118</v>
      </c>
      <c r="AH2084" t="s">
        <v>10974</v>
      </c>
      <c r="AJ2084" t="s">
        <v>11134</v>
      </c>
      <c r="AK2084" t="s">
        <v>7225</v>
      </c>
      <c r="AL2084" t="s">
        <v>11150</v>
      </c>
      <c r="AM2084">
        <v>0</v>
      </c>
      <c r="AO2084">
        <v>108</v>
      </c>
      <c r="AQ2084" t="s">
        <v>11161</v>
      </c>
      <c r="AS2084" t="s">
        <v>11174</v>
      </c>
      <c r="AU2084">
        <v>14</v>
      </c>
      <c r="AW2084" t="s">
        <v>11187</v>
      </c>
      <c r="AY2084" t="s">
        <v>11213</v>
      </c>
      <c r="AZ2084" t="s">
        <v>11221</v>
      </c>
      <c r="BB2084" t="s">
        <v>11224</v>
      </c>
      <c r="BC2084">
        <v>5261582</v>
      </c>
      <c r="BD2084" t="s">
        <v>11667</v>
      </c>
      <c r="BF2084" t="s">
        <v>14364</v>
      </c>
      <c r="BG2084" t="s">
        <v>14872</v>
      </c>
      <c r="BM2084" t="s">
        <v>15650</v>
      </c>
    </row>
    <row r="2085" spans="1:67">
      <c r="A2085" s="1">
        <f>HYPERLINK("https://lsnyc.legalserver.org/matter/dynamic-profile/view/1860628","18-1860628")</f>
        <v>0</v>
      </c>
      <c r="B2085" t="s">
        <v>145</v>
      </c>
      <c r="C2085" t="s">
        <v>245</v>
      </c>
      <c r="D2085" t="s">
        <v>717</v>
      </c>
      <c r="F2085" t="s">
        <v>1149</v>
      </c>
      <c r="G2085" t="s">
        <v>3791</v>
      </c>
      <c r="H2085" t="s">
        <v>5463</v>
      </c>
      <c r="I2085" t="s">
        <v>6618</v>
      </c>
      <c r="J2085" t="s">
        <v>7169</v>
      </c>
      <c r="K2085">
        <v>10031</v>
      </c>
      <c r="N2085" t="s">
        <v>7237</v>
      </c>
      <c r="O2085" t="s">
        <v>8567</v>
      </c>
      <c r="P2085">
        <v>2</v>
      </c>
      <c r="Q2085">
        <v>1</v>
      </c>
      <c r="R2085">
        <v>37.54</v>
      </c>
      <c r="U2085">
        <v>7800</v>
      </c>
      <c r="W2085">
        <v>0</v>
      </c>
      <c r="Y2085" t="s">
        <v>10859</v>
      </c>
      <c r="AA2085" t="s">
        <v>10974</v>
      </c>
      <c r="AB2085" t="s">
        <v>936</v>
      </c>
      <c r="AD2085" t="s">
        <v>11101</v>
      </c>
      <c r="AF2085" t="s">
        <v>10384</v>
      </c>
      <c r="AH2085" t="s">
        <v>10974</v>
      </c>
      <c r="AJ2085" t="s">
        <v>11134</v>
      </c>
      <c r="AK2085" t="s">
        <v>7225</v>
      </c>
      <c r="AM2085">
        <v>2697</v>
      </c>
      <c r="AO2085">
        <v>44</v>
      </c>
      <c r="AQ2085" t="s">
        <v>11161</v>
      </c>
      <c r="AS2085" t="s">
        <v>11174</v>
      </c>
      <c r="AU2085">
        <v>17</v>
      </c>
      <c r="AW2085" t="s">
        <v>11189</v>
      </c>
      <c r="AY2085" t="s">
        <v>11213</v>
      </c>
      <c r="AZ2085" t="s">
        <v>11221</v>
      </c>
      <c r="BE2085" t="s">
        <v>12840</v>
      </c>
      <c r="BF2085" t="s">
        <v>14364</v>
      </c>
      <c r="BM2085" t="s">
        <v>15650</v>
      </c>
    </row>
    <row r="2086" spans="1:67">
      <c r="A2086" s="1">
        <f>HYPERLINK("https://lsnyc.legalserver.org/matter/dynamic-profile/view/1864819","18-1864819")</f>
        <v>0</v>
      </c>
      <c r="B2086" t="s">
        <v>145</v>
      </c>
      <c r="C2086" t="s">
        <v>245</v>
      </c>
      <c r="D2086" t="s">
        <v>818</v>
      </c>
      <c r="F2086" t="s">
        <v>2005</v>
      </c>
      <c r="G2086" t="s">
        <v>3308</v>
      </c>
      <c r="H2086" t="s">
        <v>4776</v>
      </c>
      <c r="I2086">
        <v>707</v>
      </c>
      <c r="J2086" t="s">
        <v>7169</v>
      </c>
      <c r="K2086">
        <v>10029</v>
      </c>
      <c r="N2086" t="s">
        <v>7237</v>
      </c>
      <c r="O2086" t="s">
        <v>8568</v>
      </c>
      <c r="P2086">
        <v>1</v>
      </c>
      <c r="Q2086">
        <v>1</v>
      </c>
      <c r="R2086">
        <v>66.83</v>
      </c>
      <c r="U2086">
        <v>11000</v>
      </c>
      <c r="W2086">
        <v>0</v>
      </c>
      <c r="Y2086" t="s">
        <v>10859</v>
      </c>
      <c r="AA2086" t="s">
        <v>10974</v>
      </c>
      <c r="AB2086" t="s">
        <v>818</v>
      </c>
      <c r="AD2086" t="s">
        <v>11101</v>
      </c>
      <c r="AF2086" t="s">
        <v>11118</v>
      </c>
      <c r="AH2086" t="s">
        <v>10974</v>
      </c>
      <c r="AJ2086" t="s">
        <v>11134</v>
      </c>
      <c r="AK2086" t="s">
        <v>7225</v>
      </c>
      <c r="AM2086">
        <v>2100</v>
      </c>
      <c r="AO2086">
        <v>108</v>
      </c>
      <c r="AQ2086" t="s">
        <v>11161</v>
      </c>
      <c r="AS2086" t="s">
        <v>11174</v>
      </c>
      <c r="AU2086">
        <v>2</v>
      </c>
      <c r="AW2086" t="s">
        <v>11187</v>
      </c>
      <c r="AY2086" t="s">
        <v>11213</v>
      </c>
      <c r="AZ2086" t="s">
        <v>11221</v>
      </c>
      <c r="BE2086" t="s">
        <v>12841</v>
      </c>
      <c r="BF2086" t="s">
        <v>14364</v>
      </c>
      <c r="BG2086" t="s">
        <v>14872</v>
      </c>
      <c r="BM2086" t="s">
        <v>15650</v>
      </c>
    </row>
    <row r="2087" spans="1:67">
      <c r="A2087" s="1">
        <f>HYPERLINK("https://lsnyc.legalserver.org/matter/dynamic-profile/view/1864516","18-1864516")</f>
        <v>0</v>
      </c>
      <c r="B2087" t="s">
        <v>145</v>
      </c>
      <c r="C2087" t="s">
        <v>245</v>
      </c>
      <c r="D2087" t="s">
        <v>823</v>
      </c>
      <c r="F2087" t="s">
        <v>2006</v>
      </c>
      <c r="G2087" t="s">
        <v>3126</v>
      </c>
      <c r="H2087" t="s">
        <v>4776</v>
      </c>
      <c r="I2087">
        <v>407</v>
      </c>
      <c r="J2087" t="s">
        <v>7169</v>
      </c>
      <c r="K2087">
        <v>10029</v>
      </c>
      <c r="N2087" t="s">
        <v>7237</v>
      </c>
      <c r="O2087" t="s">
        <v>8569</v>
      </c>
      <c r="P2087">
        <v>1</v>
      </c>
      <c r="Q2087">
        <v>1</v>
      </c>
      <c r="R2087">
        <v>118.1</v>
      </c>
      <c r="U2087">
        <v>19440</v>
      </c>
      <c r="W2087">
        <v>0.1</v>
      </c>
      <c r="X2087" t="s">
        <v>604</v>
      </c>
      <c r="Y2087" t="s">
        <v>10859</v>
      </c>
      <c r="AA2087" t="s">
        <v>10974</v>
      </c>
      <c r="AB2087" t="s">
        <v>823</v>
      </c>
      <c r="AD2087" t="s">
        <v>11101</v>
      </c>
      <c r="AF2087" t="s">
        <v>11118</v>
      </c>
      <c r="AH2087" t="s">
        <v>10974</v>
      </c>
      <c r="AJ2087" t="s">
        <v>11134</v>
      </c>
      <c r="AK2087" t="s">
        <v>7225</v>
      </c>
      <c r="AL2087" t="s">
        <v>11150</v>
      </c>
      <c r="AM2087">
        <v>0</v>
      </c>
      <c r="AO2087">
        <v>108</v>
      </c>
      <c r="AQ2087" t="s">
        <v>11161</v>
      </c>
      <c r="AS2087" t="s">
        <v>11174</v>
      </c>
      <c r="AU2087">
        <v>12</v>
      </c>
      <c r="AW2087" t="s">
        <v>11187</v>
      </c>
      <c r="AY2087" t="s">
        <v>11213</v>
      </c>
      <c r="AZ2087" t="s">
        <v>11221</v>
      </c>
      <c r="BE2087" t="s">
        <v>12842</v>
      </c>
      <c r="BF2087" t="s">
        <v>14364</v>
      </c>
      <c r="BG2087" t="s">
        <v>14872</v>
      </c>
      <c r="BM2087" t="s">
        <v>15650</v>
      </c>
    </row>
    <row r="2088" spans="1:67">
      <c r="A2088" s="1">
        <f>HYPERLINK("https://lsnyc.legalserver.org/matter/dynamic-profile/view/1867904","18-1867904")</f>
        <v>0</v>
      </c>
      <c r="B2088" t="s">
        <v>145</v>
      </c>
      <c r="C2088" t="s">
        <v>245</v>
      </c>
      <c r="D2088" t="s">
        <v>827</v>
      </c>
      <c r="F2088" t="s">
        <v>2007</v>
      </c>
      <c r="G2088" t="s">
        <v>3792</v>
      </c>
      <c r="H2088" t="s">
        <v>5459</v>
      </c>
      <c r="I2088" t="s">
        <v>6409</v>
      </c>
      <c r="J2088" t="s">
        <v>7169</v>
      </c>
      <c r="K2088">
        <v>10031</v>
      </c>
      <c r="N2088" t="s">
        <v>7237</v>
      </c>
      <c r="O2088" t="s">
        <v>8570</v>
      </c>
      <c r="P2088">
        <v>1</v>
      </c>
      <c r="Q2088">
        <v>0</v>
      </c>
      <c r="R2088">
        <v>105.86</v>
      </c>
      <c r="U2088">
        <v>12852</v>
      </c>
      <c r="W2088">
        <v>0.25</v>
      </c>
      <c r="X2088" t="s">
        <v>602</v>
      </c>
      <c r="Y2088" t="s">
        <v>10859</v>
      </c>
      <c r="AA2088" t="s">
        <v>10974</v>
      </c>
      <c r="AB2088" t="s">
        <v>827</v>
      </c>
      <c r="AD2088" t="s">
        <v>11101</v>
      </c>
      <c r="AF2088" t="s">
        <v>10384</v>
      </c>
      <c r="AH2088" t="s">
        <v>10974</v>
      </c>
      <c r="AJ2088" t="s">
        <v>11134</v>
      </c>
      <c r="AK2088" t="s">
        <v>7225</v>
      </c>
      <c r="AM2088">
        <v>1712</v>
      </c>
      <c r="AO2088">
        <v>42</v>
      </c>
      <c r="AQ2088" t="s">
        <v>11161</v>
      </c>
      <c r="AS2088" t="s">
        <v>11174</v>
      </c>
      <c r="AU2088">
        <v>35</v>
      </c>
      <c r="AW2088" t="s">
        <v>11187</v>
      </c>
      <c r="BA2088" t="s">
        <v>11222</v>
      </c>
      <c r="BE2088" t="s">
        <v>12843</v>
      </c>
      <c r="BF2088" t="s">
        <v>14364</v>
      </c>
      <c r="BM2088" t="s">
        <v>15650</v>
      </c>
    </row>
    <row r="2089" spans="1:67">
      <c r="A2089" s="1">
        <f>HYPERLINK("https://lsnyc.legalserver.org/matter/dynamic-profile/view/1913069","19-1913069")</f>
        <v>0</v>
      </c>
      <c r="B2089" t="s">
        <v>145</v>
      </c>
      <c r="C2089" t="s">
        <v>245</v>
      </c>
      <c r="D2089" t="s">
        <v>336</v>
      </c>
      <c r="F2089" t="s">
        <v>1122</v>
      </c>
      <c r="G2089" t="s">
        <v>3091</v>
      </c>
      <c r="H2089" t="s">
        <v>4776</v>
      </c>
      <c r="I2089">
        <v>814</v>
      </c>
      <c r="J2089" t="s">
        <v>7169</v>
      </c>
      <c r="K2089">
        <v>10029</v>
      </c>
      <c r="N2089" t="s">
        <v>7237</v>
      </c>
      <c r="O2089" t="s">
        <v>8542</v>
      </c>
      <c r="P2089">
        <v>1</v>
      </c>
      <c r="Q2089">
        <v>2</v>
      </c>
      <c r="R2089">
        <v>136.52</v>
      </c>
      <c r="U2089">
        <v>29120</v>
      </c>
      <c r="W2089">
        <v>1.5</v>
      </c>
      <c r="X2089" t="s">
        <v>336</v>
      </c>
      <c r="Y2089" t="s">
        <v>10859</v>
      </c>
      <c r="AA2089" t="s">
        <v>10974</v>
      </c>
      <c r="AB2089" t="s">
        <v>336</v>
      </c>
      <c r="AD2089" t="s">
        <v>11082</v>
      </c>
      <c r="AF2089" t="s">
        <v>11118</v>
      </c>
      <c r="AH2089" t="s">
        <v>10975</v>
      </c>
      <c r="AJ2089" t="s">
        <v>11129</v>
      </c>
      <c r="AK2089" t="s">
        <v>7225</v>
      </c>
      <c r="AL2089" t="s">
        <v>11150</v>
      </c>
      <c r="AM2089">
        <v>0</v>
      </c>
      <c r="AO2089">
        <v>108</v>
      </c>
      <c r="AQ2089" t="s">
        <v>11161</v>
      </c>
      <c r="AS2089" t="s">
        <v>11174</v>
      </c>
      <c r="AU2089">
        <v>34</v>
      </c>
      <c r="AW2089" t="s">
        <v>11187</v>
      </c>
      <c r="AY2089" t="s">
        <v>11213</v>
      </c>
      <c r="BA2089" t="s">
        <v>11222</v>
      </c>
      <c r="BD2089" t="s">
        <v>11667</v>
      </c>
      <c r="BG2089" t="s">
        <v>14887</v>
      </c>
      <c r="BM2089" t="s">
        <v>15650</v>
      </c>
    </row>
    <row r="2090" spans="1:67">
      <c r="A2090" s="1">
        <f>HYPERLINK("https://lsnyc.legalserver.org/matter/dynamic-profile/view/1864736","18-1864736")</f>
        <v>0</v>
      </c>
      <c r="B2090" t="s">
        <v>145</v>
      </c>
      <c r="C2090" t="s">
        <v>245</v>
      </c>
      <c r="D2090" t="s">
        <v>818</v>
      </c>
      <c r="F2090" t="s">
        <v>1280</v>
      </c>
      <c r="G2090" t="s">
        <v>3793</v>
      </c>
      <c r="H2090" t="s">
        <v>4776</v>
      </c>
      <c r="I2090">
        <v>208</v>
      </c>
      <c r="J2090" t="s">
        <v>7169</v>
      </c>
      <c r="K2090">
        <v>10029</v>
      </c>
      <c r="N2090" t="s">
        <v>7237</v>
      </c>
      <c r="O2090" t="s">
        <v>8388</v>
      </c>
      <c r="P2090">
        <v>3</v>
      </c>
      <c r="Q2090">
        <v>0</v>
      </c>
      <c r="R2090">
        <v>192.49</v>
      </c>
      <c r="U2090">
        <v>40000</v>
      </c>
      <c r="W2090">
        <v>0.7</v>
      </c>
      <c r="X2090" t="s">
        <v>266</v>
      </c>
      <c r="Y2090" t="s">
        <v>10859</v>
      </c>
      <c r="AA2090" t="s">
        <v>10974</v>
      </c>
      <c r="AB2090" t="s">
        <v>818</v>
      </c>
      <c r="AD2090" t="s">
        <v>11101</v>
      </c>
      <c r="AF2090" t="s">
        <v>10384</v>
      </c>
      <c r="AH2090" t="s">
        <v>10974</v>
      </c>
      <c r="AJ2090" t="s">
        <v>11134</v>
      </c>
      <c r="AK2090" t="s">
        <v>7225</v>
      </c>
      <c r="AL2090" t="s">
        <v>11150</v>
      </c>
      <c r="AM2090">
        <v>0</v>
      </c>
      <c r="AO2090">
        <v>108</v>
      </c>
      <c r="AQ2090" t="s">
        <v>11161</v>
      </c>
      <c r="AS2090" t="s">
        <v>11174</v>
      </c>
      <c r="AU2090">
        <v>35</v>
      </c>
      <c r="AW2090" t="s">
        <v>11189</v>
      </c>
      <c r="AY2090" t="s">
        <v>11213</v>
      </c>
      <c r="AZ2090" t="s">
        <v>11221</v>
      </c>
      <c r="BE2090" t="s">
        <v>12844</v>
      </c>
      <c r="BF2090" t="s">
        <v>14364</v>
      </c>
      <c r="BM2090" t="s">
        <v>15650</v>
      </c>
    </row>
    <row r="2091" spans="1:67">
      <c r="A2091" s="1">
        <f>HYPERLINK("https://lsnyc.legalserver.org/matter/dynamic-profile/view/1841656","17-1841656")</f>
        <v>0</v>
      </c>
      <c r="B2091" t="s">
        <v>145</v>
      </c>
      <c r="C2091" t="s">
        <v>245</v>
      </c>
      <c r="D2091" t="s">
        <v>831</v>
      </c>
      <c r="F2091" t="s">
        <v>1549</v>
      </c>
      <c r="G2091" t="s">
        <v>3794</v>
      </c>
      <c r="H2091" t="s">
        <v>5471</v>
      </c>
      <c r="I2091" t="s">
        <v>6412</v>
      </c>
      <c r="J2091" t="s">
        <v>7169</v>
      </c>
      <c r="K2091">
        <v>10034</v>
      </c>
      <c r="N2091" t="s">
        <v>7237</v>
      </c>
      <c r="O2091" t="s">
        <v>8571</v>
      </c>
      <c r="P2091">
        <v>1</v>
      </c>
      <c r="Q2091">
        <v>1</v>
      </c>
      <c r="R2091">
        <v>128.08</v>
      </c>
      <c r="U2091">
        <v>20800</v>
      </c>
      <c r="W2091">
        <v>33.2</v>
      </c>
      <c r="X2091" t="s">
        <v>546</v>
      </c>
      <c r="Y2091" t="s">
        <v>10935</v>
      </c>
      <c r="AA2091" t="s">
        <v>10974</v>
      </c>
      <c r="AB2091" t="s">
        <v>1067</v>
      </c>
      <c r="AD2091" t="s">
        <v>11096</v>
      </c>
      <c r="AF2091" t="s">
        <v>11118</v>
      </c>
      <c r="AH2091" t="s">
        <v>10975</v>
      </c>
      <c r="AJ2091" t="s">
        <v>11134</v>
      </c>
      <c r="AK2091" t="s">
        <v>7225</v>
      </c>
      <c r="AM2091">
        <v>855.5599999999999</v>
      </c>
      <c r="AO2091">
        <v>31</v>
      </c>
      <c r="AQ2091" t="s">
        <v>11157</v>
      </c>
      <c r="AS2091" t="s">
        <v>11173</v>
      </c>
      <c r="AU2091">
        <v>32</v>
      </c>
      <c r="AW2091" t="s">
        <v>11187</v>
      </c>
      <c r="AZ2091" t="s">
        <v>11221</v>
      </c>
      <c r="BE2091" t="s">
        <v>12845</v>
      </c>
      <c r="BG2091" t="s">
        <v>14888</v>
      </c>
      <c r="BM2091" t="s">
        <v>15650</v>
      </c>
    </row>
    <row r="2092" spans="1:67">
      <c r="A2092" s="1">
        <f>HYPERLINK("https://lsnyc.legalserver.org/matter/dynamic-profile/view/1885279","18-1885279")</f>
        <v>0</v>
      </c>
      <c r="B2092" t="s">
        <v>145</v>
      </c>
      <c r="C2092" t="s">
        <v>245</v>
      </c>
      <c r="D2092" t="s">
        <v>566</v>
      </c>
      <c r="F2092" t="s">
        <v>2008</v>
      </c>
      <c r="G2092" t="s">
        <v>3795</v>
      </c>
      <c r="H2092" t="s">
        <v>5465</v>
      </c>
      <c r="I2092">
        <v>3</v>
      </c>
      <c r="J2092" t="s">
        <v>7169</v>
      </c>
      <c r="K2092">
        <v>10029</v>
      </c>
      <c r="N2092" t="s">
        <v>7237</v>
      </c>
      <c r="O2092" t="s">
        <v>8572</v>
      </c>
      <c r="P2092">
        <v>3</v>
      </c>
      <c r="Q2092">
        <v>2</v>
      </c>
      <c r="R2092">
        <v>136.98</v>
      </c>
      <c r="U2092">
        <v>40300</v>
      </c>
      <c r="W2092">
        <v>3.5</v>
      </c>
      <c r="X2092" t="s">
        <v>426</v>
      </c>
      <c r="Y2092" t="s">
        <v>10859</v>
      </c>
      <c r="AA2092" t="s">
        <v>10974</v>
      </c>
      <c r="AB2092" t="s">
        <v>566</v>
      </c>
      <c r="AD2092" t="s">
        <v>11101</v>
      </c>
      <c r="AF2092" t="s">
        <v>11118</v>
      </c>
      <c r="AH2092" t="s">
        <v>10974</v>
      </c>
      <c r="AJ2092" t="s">
        <v>11134</v>
      </c>
      <c r="AK2092" t="s">
        <v>7225</v>
      </c>
      <c r="AM2092">
        <v>1542</v>
      </c>
      <c r="AO2092">
        <v>6</v>
      </c>
      <c r="AQ2092" t="s">
        <v>11157</v>
      </c>
      <c r="AS2092" t="s">
        <v>11173</v>
      </c>
      <c r="AU2092">
        <v>10</v>
      </c>
      <c r="AW2092" t="s">
        <v>11187</v>
      </c>
      <c r="AY2092" t="s">
        <v>11213</v>
      </c>
      <c r="AZ2092" t="s">
        <v>11221</v>
      </c>
      <c r="BE2092" t="s">
        <v>12846</v>
      </c>
      <c r="BG2092" t="s">
        <v>14880</v>
      </c>
      <c r="BM2092" t="s">
        <v>15650</v>
      </c>
    </row>
    <row r="2093" spans="1:67">
      <c r="A2093" s="1">
        <f>HYPERLINK("https://lsnyc.legalserver.org/matter/dynamic-profile/view/0831584","17-0831584")</f>
        <v>0</v>
      </c>
      <c r="B2093" t="s">
        <v>145</v>
      </c>
      <c r="C2093" t="s">
        <v>245</v>
      </c>
      <c r="D2093" t="s">
        <v>810</v>
      </c>
      <c r="E2093" t="s">
        <v>264</v>
      </c>
      <c r="F2093" t="s">
        <v>1341</v>
      </c>
      <c r="G2093" t="s">
        <v>3065</v>
      </c>
      <c r="H2093" t="s">
        <v>5472</v>
      </c>
      <c r="I2093" t="s">
        <v>6436</v>
      </c>
      <c r="J2093" t="s">
        <v>7169</v>
      </c>
      <c r="K2093">
        <v>10034</v>
      </c>
      <c r="L2093" t="s">
        <v>7216</v>
      </c>
      <c r="N2093" t="s">
        <v>7237</v>
      </c>
      <c r="O2093" t="s">
        <v>8573</v>
      </c>
      <c r="P2093">
        <v>1</v>
      </c>
      <c r="Q2093">
        <v>0</v>
      </c>
      <c r="R2093">
        <v>339</v>
      </c>
      <c r="U2093">
        <v>40884</v>
      </c>
      <c r="W2093">
        <v>0.8</v>
      </c>
      <c r="X2093" t="s">
        <v>10831</v>
      </c>
      <c r="Y2093" t="s">
        <v>10873</v>
      </c>
      <c r="Z2093" t="s">
        <v>10972</v>
      </c>
      <c r="AA2093" t="s">
        <v>10976</v>
      </c>
      <c r="AB2093" t="s">
        <v>810</v>
      </c>
      <c r="AD2093" t="s">
        <v>11086</v>
      </c>
      <c r="AF2093" t="s">
        <v>11119</v>
      </c>
      <c r="AH2093" t="s">
        <v>10975</v>
      </c>
      <c r="AJ2093" t="s">
        <v>11141</v>
      </c>
      <c r="AK2093" t="s">
        <v>7225</v>
      </c>
      <c r="AM2093">
        <v>884</v>
      </c>
      <c r="AO2093">
        <v>256</v>
      </c>
      <c r="AQ2093" t="s">
        <v>11157</v>
      </c>
      <c r="AS2093" t="s">
        <v>11173</v>
      </c>
      <c r="AU2093">
        <v>4</v>
      </c>
      <c r="AW2093" t="s">
        <v>11187</v>
      </c>
      <c r="AZ2093" t="s">
        <v>11221</v>
      </c>
      <c r="BE2093" t="s">
        <v>12847</v>
      </c>
      <c r="BF2093" t="s">
        <v>14364</v>
      </c>
      <c r="BM2093" t="s">
        <v>15651</v>
      </c>
    </row>
    <row r="2094" spans="1:67">
      <c r="A2094" s="1">
        <f>HYPERLINK("https://lsnyc.legalserver.org/matter/dynamic-profile/view/1897842","19-1897842")</f>
        <v>0</v>
      </c>
      <c r="B2094" t="s">
        <v>145</v>
      </c>
      <c r="C2094" t="s">
        <v>245</v>
      </c>
      <c r="D2094" t="s">
        <v>822</v>
      </c>
      <c r="F2094" t="s">
        <v>2009</v>
      </c>
      <c r="G2094" t="s">
        <v>3796</v>
      </c>
      <c r="H2094" t="s">
        <v>5463</v>
      </c>
      <c r="I2094" t="s">
        <v>6609</v>
      </c>
      <c r="J2094" t="s">
        <v>7169</v>
      </c>
      <c r="K2094">
        <v>10031</v>
      </c>
      <c r="N2094" t="s">
        <v>7237</v>
      </c>
      <c r="O2094" t="s">
        <v>8574</v>
      </c>
      <c r="P2094">
        <v>3</v>
      </c>
      <c r="Q2094">
        <v>0</v>
      </c>
      <c r="R2094">
        <v>68.06999999999999</v>
      </c>
      <c r="U2094">
        <v>14520</v>
      </c>
      <c r="W2094">
        <v>0</v>
      </c>
      <c r="Y2094" t="s">
        <v>10859</v>
      </c>
      <c r="AA2094" t="s">
        <v>10974</v>
      </c>
      <c r="AB2094" t="s">
        <v>444</v>
      </c>
      <c r="AD2094" t="s">
        <v>11101</v>
      </c>
      <c r="AF2094" t="s">
        <v>11118</v>
      </c>
      <c r="AH2094" t="s">
        <v>10975</v>
      </c>
      <c r="AJ2094" t="s">
        <v>11134</v>
      </c>
      <c r="AK2094" t="s">
        <v>7225</v>
      </c>
      <c r="AM2094">
        <v>2130</v>
      </c>
      <c r="AO2094">
        <v>44</v>
      </c>
      <c r="AQ2094" t="s">
        <v>11157</v>
      </c>
      <c r="AS2094" t="s">
        <v>11174</v>
      </c>
      <c r="AU2094">
        <v>22</v>
      </c>
      <c r="AW2094" t="s">
        <v>11189</v>
      </c>
      <c r="AY2094" t="s">
        <v>11213</v>
      </c>
      <c r="AZ2094" t="s">
        <v>11221</v>
      </c>
      <c r="BE2094" t="s">
        <v>12848</v>
      </c>
      <c r="BF2094" t="s">
        <v>14364</v>
      </c>
      <c r="BG2094" t="s">
        <v>14889</v>
      </c>
      <c r="BM2094" t="s">
        <v>15650</v>
      </c>
    </row>
    <row r="2095" spans="1:67">
      <c r="A2095" s="1">
        <f>HYPERLINK("https://lsnyc.legalserver.org/matter/dynamic-profile/view/1911924","19-1911924")</f>
        <v>0</v>
      </c>
      <c r="B2095" t="s">
        <v>145</v>
      </c>
      <c r="C2095" t="s">
        <v>245</v>
      </c>
      <c r="D2095" t="s">
        <v>341</v>
      </c>
      <c r="F2095" t="s">
        <v>2010</v>
      </c>
      <c r="G2095" t="s">
        <v>3797</v>
      </c>
      <c r="H2095" t="s">
        <v>5175</v>
      </c>
      <c r="I2095" t="s">
        <v>6817</v>
      </c>
      <c r="J2095" t="s">
        <v>7169</v>
      </c>
      <c r="K2095">
        <v>10037</v>
      </c>
      <c r="N2095" t="s">
        <v>7237</v>
      </c>
      <c r="O2095" t="s">
        <v>8575</v>
      </c>
      <c r="P2095">
        <v>1</v>
      </c>
      <c r="Q2095">
        <v>0</v>
      </c>
      <c r="R2095">
        <v>166.53</v>
      </c>
      <c r="U2095">
        <v>20800</v>
      </c>
      <c r="W2095">
        <v>2.45</v>
      </c>
      <c r="X2095" t="s">
        <v>301</v>
      </c>
      <c r="Y2095" t="s">
        <v>10859</v>
      </c>
      <c r="AA2095" t="s">
        <v>10974</v>
      </c>
      <c r="AB2095" t="s">
        <v>563</v>
      </c>
      <c r="AD2095" t="s">
        <v>11082</v>
      </c>
      <c r="AF2095" t="s">
        <v>11118</v>
      </c>
      <c r="AH2095" t="s">
        <v>10974</v>
      </c>
      <c r="AJ2095" t="s">
        <v>11134</v>
      </c>
      <c r="AK2095" t="s">
        <v>7225</v>
      </c>
      <c r="AL2095" t="s">
        <v>11150</v>
      </c>
      <c r="AM2095">
        <v>0</v>
      </c>
      <c r="AO2095">
        <v>771</v>
      </c>
      <c r="AQ2095" t="s">
        <v>11157</v>
      </c>
      <c r="AS2095" t="s">
        <v>11173</v>
      </c>
      <c r="AU2095">
        <v>10</v>
      </c>
      <c r="AW2095" t="s">
        <v>11187</v>
      </c>
      <c r="AY2095" t="s">
        <v>11213</v>
      </c>
      <c r="BA2095" t="s">
        <v>11222</v>
      </c>
      <c r="BE2095" t="s">
        <v>12849</v>
      </c>
      <c r="BG2095" t="s">
        <v>14890</v>
      </c>
      <c r="BM2095" t="s">
        <v>15650</v>
      </c>
    </row>
    <row r="2096" spans="1:67">
      <c r="A2096" s="1">
        <f>HYPERLINK("https://lsnyc.legalserver.org/matter/dynamic-profile/view/1868186","18-1868186")</f>
        <v>0</v>
      </c>
      <c r="B2096" t="s">
        <v>145</v>
      </c>
      <c r="C2096" t="s">
        <v>245</v>
      </c>
      <c r="D2096" t="s">
        <v>452</v>
      </c>
      <c r="F2096" t="s">
        <v>2011</v>
      </c>
      <c r="G2096" t="s">
        <v>3423</v>
      </c>
      <c r="H2096" t="s">
        <v>5473</v>
      </c>
      <c r="I2096">
        <v>14</v>
      </c>
      <c r="J2096" t="s">
        <v>7169</v>
      </c>
      <c r="K2096">
        <v>10029</v>
      </c>
      <c r="N2096" t="s">
        <v>7237</v>
      </c>
      <c r="O2096" t="s">
        <v>8576</v>
      </c>
      <c r="P2096">
        <v>2</v>
      </c>
      <c r="Q2096">
        <v>0</v>
      </c>
      <c r="R2096">
        <v>27.41</v>
      </c>
      <c r="U2096">
        <v>4512</v>
      </c>
      <c r="W2096">
        <v>57.65</v>
      </c>
      <c r="X2096" t="s">
        <v>271</v>
      </c>
      <c r="Y2096" t="s">
        <v>10936</v>
      </c>
      <c r="AA2096" t="s">
        <v>10974</v>
      </c>
      <c r="AB2096" t="s">
        <v>522</v>
      </c>
      <c r="AD2096" t="s">
        <v>11082</v>
      </c>
      <c r="AF2096" t="s">
        <v>11118</v>
      </c>
      <c r="AH2096" t="s">
        <v>10975</v>
      </c>
      <c r="AJ2096" t="s">
        <v>11134</v>
      </c>
      <c r="AK2096" t="s">
        <v>7225</v>
      </c>
      <c r="AM2096">
        <v>2150</v>
      </c>
      <c r="AO2096">
        <v>25</v>
      </c>
      <c r="AQ2096" t="s">
        <v>11157</v>
      </c>
      <c r="AS2096" t="s">
        <v>11177</v>
      </c>
      <c r="AU2096">
        <v>8</v>
      </c>
      <c r="AV2096" t="s">
        <v>11186</v>
      </c>
      <c r="AY2096" t="s">
        <v>11213</v>
      </c>
      <c r="AZ2096" t="s">
        <v>11221</v>
      </c>
      <c r="BD2096" t="s">
        <v>11667</v>
      </c>
      <c r="BG2096" t="s">
        <v>14891</v>
      </c>
      <c r="BI2096" t="s">
        <v>15611</v>
      </c>
      <c r="BK2096" t="s">
        <v>15618</v>
      </c>
      <c r="BM2096" t="s">
        <v>15650</v>
      </c>
      <c r="BN2096" t="s">
        <v>15652</v>
      </c>
      <c r="BO2096" t="s">
        <v>15694</v>
      </c>
    </row>
    <row r="2097" spans="1:65">
      <c r="A2097" s="1">
        <f>HYPERLINK("https://lsnyc.legalserver.org/matter/dynamic-profile/view/1864398","18-1864398")</f>
        <v>0</v>
      </c>
      <c r="B2097" t="s">
        <v>145</v>
      </c>
      <c r="C2097" t="s">
        <v>245</v>
      </c>
      <c r="D2097" t="s">
        <v>826</v>
      </c>
      <c r="F2097" t="s">
        <v>1354</v>
      </c>
      <c r="G2097" t="s">
        <v>3798</v>
      </c>
      <c r="H2097" t="s">
        <v>4776</v>
      </c>
      <c r="I2097">
        <v>601</v>
      </c>
      <c r="J2097" t="s">
        <v>7169</v>
      </c>
      <c r="K2097">
        <v>10029</v>
      </c>
      <c r="N2097" t="s">
        <v>7237</v>
      </c>
      <c r="O2097" t="s">
        <v>8577</v>
      </c>
      <c r="P2097">
        <v>1</v>
      </c>
      <c r="Q2097">
        <v>0</v>
      </c>
      <c r="R2097">
        <v>53.97</v>
      </c>
      <c r="U2097">
        <v>6552</v>
      </c>
      <c r="W2097">
        <v>0.25</v>
      </c>
      <c r="X2097" t="s">
        <v>666</v>
      </c>
      <c r="Y2097" t="s">
        <v>10859</v>
      </c>
      <c r="AA2097" t="s">
        <v>10974</v>
      </c>
      <c r="AB2097" t="s">
        <v>826</v>
      </c>
      <c r="AD2097" t="s">
        <v>11101</v>
      </c>
      <c r="AF2097" t="s">
        <v>11118</v>
      </c>
      <c r="AH2097" t="s">
        <v>10974</v>
      </c>
      <c r="AJ2097" t="s">
        <v>11134</v>
      </c>
      <c r="AK2097" t="s">
        <v>7225</v>
      </c>
      <c r="AL2097" t="s">
        <v>11150</v>
      </c>
      <c r="AM2097">
        <v>0</v>
      </c>
      <c r="AO2097">
        <v>108</v>
      </c>
      <c r="AQ2097" t="s">
        <v>11161</v>
      </c>
      <c r="AS2097" t="s">
        <v>11174</v>
      </c>
      <c r="AU2097">
        <v>20</v>
      </c>
      <c r="AW2097" t="s">
        <v>11189</v>
      </c>
      <c r="AY2097" t="s">
        <v>11213</v>
      </c>
      <c r="BA2097" t="s">
        <v>11222</v>
      </c>
      <c r="BE2097" t="s">
        <v>12850</v>
      </c>
      <c r="BF2097" t="s">
        <v>14364</v>
      </c>
      <c r="BG2097" t="s">
        <v>14872</v>
      </c>
      <c r="BM2097" t="s">
        <v>15650</v>
      </c>
    </row>
    <row r="2098" spans="1:65">
      <c r="A2098" s="1">
        <f>HYPERLINK("https://lsnyc.legalserver.org/matter/dynamic-profile/view/1866445","18-1866445")</f>
        <v>0</v>
      </c>
      <c r="B2098" t="s">
        <v>145</v>
      </c>
      <c r="C2098" t="s">
        <v>245</v>
      </c>
      <c r="D2098" t="s">
        <v>829</v>
      </c>
      <c r="F2098" t="s">
        <v>1293</v>
      </c>
      <c r="G2098" t="s">
        <v>3226</v>
      </c>
      <c r="H2098" t="s">
        <v>5463</v>
      </c>
      <c r="I2098" t="s">
        <v>6436</v>
      </c>
      <c r="J2098" t="s">
        <v>7169</v>
      </c>
      <c r="K2098">
        <v>10031</v>
      </c>
      <c r="N2098" t="s">
        <v>7237</v>
      </c>
      <c r="O2098" t="s">
        <v>8578</v>
      </c>
      <c r="P2098">
        <v>1</v>
      </c>
      <c r="Q2098">
        <v>0</v>
      </c>
      <c r="R2098">
        <v>194.28</v>
      </c>
      <c r="U2098">
        <v>23586</v>
      </c>
      <c r="W2098">
        <v>0.75</v>
      </c>
      <c r="X2098" t="s">
        <v>800</v>
      </c>
      <c r="Y2098" t="s">
        <v>10859</v>
      </c>
      <c r="AA2098" t="s">
        <v>10974</v>
      </c>
      <c r="AB2098" t="s">
        <v>829</v>
      </c>
      <c r="AD2098" t="s">
        <v>11101</v>
      </c>
      <c r="AF2098" t="s">
        <v>10384</v>
      </c>
      <c r="AH2098" t="s">
        <v>10974</v>
      </c>
      <c r="AJ2098" t="s">
        <v>11134</v>
      </c>
      <c r="AK2098" t="s">
        <v>7225</v>
      </c>
      <c r="AM2098">
        <v>1712</v>
      </c>
      <c r="AO2098">
        <v>42</v>
      </c>
      <c r="AQ2098" t="s">
        <v>11161</v>
      </c>
      <c r="AS2098" t="s">
        <v>11174</v>
      </c>
      <c r="AU2098">
        <v>3</v>
      </c>
      <c r="AW2098" t="s">
        <v>11187</v>
      </c>
      <c r="AY2098" t="s">
        <v>11213</v>
      </c>
      <c r="BA2098" t="s">
        <v>11222</v>
      </c>
      <c r="BE2098" t="s">
        <v>12851</v>
      </c>
      <c r="BF2098" t="s">
        <v>14364</v>
      </c>
      <c r="BM2098" t="s">
        <v>15650</v>
      </c>
    </row>
    <row r="2099" spans="1:65">
      <c r="A2099" s="1">
        <f>HYPERLINK("https://lsnyc.legalserver.org/matter/dynamic-profile/view/1913022","19-1913022")</f>
        <v>0</v>
      </c>
      <c r="B2099" t="s">
        <v>145</v>
      </c>
      <c r="C2099" t="s">
        <v>245</v>
      </c>
      <c r="D2099" t="s">
        <v>336</v>
      </c>
      <c r="F2099" t="s">
        <v>1860</v>
      </c>
      <c r="G2099" t="s">
        <v>3779</v>
      </c>
      <c r="H2099" t="s">
        <v>5467</v>
      </c>
      <c r="I2099" t="s">
        <v>6814</v>
      </c>
      <c r="J2099" t="s">
        <v>7169</v>
      </c>
      <c r="K2099">
        <v>10065</v>
      </c>
      <c r="N2099" t="s">
        <v>7240</v>
      </c>
      <c r="O2099" t="s">
        <v>8552</v>
      </c>
      <c r="P2099">
        <v>1</v>
      </c>
      <c r="Q2099">
        <v>0</v>
      </c>
      <c r="R2099">
        <v>69.18000000000001</v>
      </c>
      <c r="U2099">
        <v>8640</v>
      </c>
      <c r="W2099">
        <v>0.6</v>
      </c>
      <c r="X2099" t="s">
        <v>614</v>
      </c>
      <c r="Y2099" t="s">
        <v>10859</v>
      </c>
      <c r="AA2099" t="s">
        <v>10974</v>
      </c>
      <c r="AB2099" t="s">
        <v>305</v>
      </c>
      <c r="AD2099" t="s">
        <v>11100</v>
      </c>
      <c r="AF2099" t="s">
        <v>11120</v>
      </c>
      <c r="AH2099" t="s">
        <v>10975</v>
      </c>
      <c r="AJ2099" t="s">
        <v>11129</v>
      </c>
      <c r="AK2099" t="s">
        <v>7225</v>
      </c>
      <c r="AM2099">
        <v>1071.34</v>
      </c>
      <c r="AO2099">
        <v>45</v>
      </c>
      <c r="AQ2099" t="s">
        <v>11157</v>
      </c>
      <c r="AR2099" t="s">
        <v>11172</v>
      </c>
      <c r="AU2099">
        <v>4</v>
      </c>
      <c r="AW2099" t="s">
        <v>11187</v>
      </c>
      <c r="AY2099" t="s">
        <v>11213</v>
      </c>
      <c r="BA2099" t="s">
        <v>11222</v>
      </c>
      <c r="BE2099" t="s">
        <v>12823</v>
      </c>
      <c r="BF2099" t="s">
        <v>14364</v>
      </c>
      <c r="BM2099" t="s">
        <v>15650</v>
      </c>
    </row>
    <row r="2100" spans="1:65">
      <c r="A2100" s="1">
        <f>HYPERLINK("https://lsnyc.legalserver.org/matter/dynamic-profile/view/1863621","18-1863621")</f>
        <v>0</v>
      </c>
      <c r="B2100" t="s">
        <v>145</v>
      </c>
      <c r="C2100" t="s">
        <v>245</v>
      </c>
      <c r="D2100" t="s">
        <v>832</v>
      </c>
      <c r="F2100" t="s">
        <v>1122</v>
      </c>
      <c r="G2100" t="s">
        <v>3799</v>
      </c>
      <c r="H2100" t="s">
        <v>4776</v>
      </c>
      <c r="I2100">
        <v>102</v>
      </c>
      <c r="J2100" t="s">
        <v>7169</v>
      </c>
      <c r="K2100">
        <v>10029</v>
      </c>
      <c r="N2100" t="s">
        <v>7237</v>
      </c>
      <c r="O2100" t="s">
        <v>8579</v>
      </c>
      <c r="P2100">
        <v>1</v>
      </c>
      <c r="Q2100">
        <v>0</v>
      </c>
      <c r="R2100">
        <v>31.33</v>
      </c>
      <c r="U2100">
        <v>3804</v>
      </c>
      <c r="W2100">
        <v>0.75</v>
      </c>
      <c r="X2100" t="s">
        <v>666</v>
      </c>
      <c r="Y2100" t="s">
        <v>10859</v>
      </c>
      <c r="AA2100" t="s">
        <v>10974</v>
      </c>
      <c r="AB2100" t="s">
        <v>285</v>
      </c>
      <c r="AD2100" t="s">
        <v>11101</v>
      </c>
      <c r="AF2100" t="s">
        <v>11118</v>
      </c>
      <c r="AH2100" t="s">
        <v>10974</v>
      </c>
      <c r="AJ2100" t="s">
        <v>11134</v>
      </c>
      <c r="AK2100" t="s">
        <v>7225</v>
      </c>
      <c r="AL2100" t="s">
        <v>11150</v>
      </c>
      <c r="AM2100">
        <v>0</v>
      </c>
      <c r="AO2100">
        <v>108</v>
      </c>
      <c r="AQ2100" t="s">
        <v>11161</v>
      </c>
      <c r="AS2100" t="s">
        <v>11174</v>
      </c>
      <c r="AU2100">
        <v>35</v>
      </c>
      <c r="AW2100" t="s">
        <v>11189</v>
      </c>
      <c r="AY2100" t="s">
        <v>11213</v>
      </c>
      <c r="BA2100" t="s">
        <v>11222</v>
      </c>
      <c r="BE2100" t="s">
        <v>12852</v>
      </c>
      <c r="BF2100" t="s">
        <v>14364</v>
      </c>
      <c r="BG2100" t="s">
        <v>14872</v>
      </c>
      <c r="BM2100" t="s">
        <v>15650</v>
      </c>
    </row>
    <row r="2101" spans="1:65">
      <c r="A2101" s="1">
        <f>HYPERLINK("https://lsnyc.legalserver.org/matter/dynamic-profile/view/1903011","19-1903011")</f>
        <v>0</v>
      </c>
      <c r="B2101" t="s">
        <v>145</v>
      </c>
      <c r="C2101" t="s">
        <v>245</v>
      </c>
      <c r="D2101" t="s">
        <v>611</v>
      </c>
      <c r="F2101" t="s">
        <v>1111</v>
      </c>
      <c r="G2101" t="s">
        <v>3775</v>
      </c>
      <c r="H2101" t="s">
        <v>4776</v>
      </c>
      <c r="I2101">
        <v>509</v>
      </c>
      <c r="J2101" t="s">
        <v>7169</v>
      </c>
      <c r="K2101">
        <v>10029</v>
      </c>
      <c r="N2101" t="s">
        <v>7237</v>
      </c>
      <c r="O2101" t="s">
        <v>8547</v>
      </c>
      <c r="P2101">
        <v>1</v>
      </c>
      <c r="Q2101">
        <v>2</v>
      </c>
      <c r="R2101">
        <v>192.22</v>
      </c>
      <c r="U2101">
        <v>41000</v>
      </c>
      <c r="V2101" t="s">
        <v>10490</v>
      </c>
      <c r="W2101">
        <v>26.75</v>
      </c>
      <c r="X2101" t="s">
        <v>266</v>
      </c>
      <c r="Y2101" t="s">
        <v>10859</v>
      </c>
      <c r="AA2101" t="s">
        <v>10974</v>
      </c>
      <c r="AB2101" t="s">
        <v>322</v>
      </c>
      <c r="AD2101" t="s">
        <v>11101</v>
      </c>
      <c r="AF2101" t="s">
        <v>11118</v>
      </c>
      <c r="AH2101" t="s">
        <v>10974</v>
      </c>
      <c r="AJ2101" t="s">
        <v>11129</v>
      </c>
      <c r="AK2101" t="s">
        <v>7225</v>
      </c>
      <c r="AM2101">
        <v>905</v>
      </c>
      <c r="AO2101">
        <v>108</v>
      </c>
      <c r="AQ2101" t="s">
        <v>11161</v>
      </c>
      <c r="AS2101" t="s">
        <v>11174</v>
      </c>
      <c r="AU2101">
        <v>7</v>
      </c>
      <c r="AW2101" t="s">
        <v>11187</v>
      </c>
      <c r="AY2101" t="s">
        <v>11213</v>
      </c>
      <c r="BA2101" t="s">
        <v>11222</v>
      </c>
      <c r="BE2101" t="s">
        <v>12853</v>
      </c>
      <c r="BF2101" t="s">
        <v>14364</v>
      </c>
      <c r="BM2101" t="s">
        <v>15650</v>
      </c>
    </row>
    <row r="2102" spans="1:65">
      <c r="A2102" s="1">
        <f>HYPERLINK("https://lsnyc.legalserver.org/matter/dynamic-profile/view/1867877","18-1867877")</f>
        <v>0</v>
      </c>
      <c r="B2102" t="s">
        <v>145</v>
      </c>
      <c r="C2102" t="s">
        <v>245</v>
      </c>
      <c r="D2102" t="s">
        <v>827</v>
      </c>
      <c r="F2102" t="s">
        <v>1121</v>
      </c>
      <c r="G2102" t="s">
        <v>3155</v>
      </c>
      <c r="H2102" t="s">
        <v>4776</v>
      </c>
      <c r="I2102">
        <v>214</v>
      </c>
      <c r="J2102" t="s">
        <v>7169</v>
      </c>
      <c r="K2102">
        <v>10029</v>
      </c>
      <c r="N2102" t="s">
        <v>7237</v>
      </c>
      <c r="O2102" t="s">
        <v>8580</v>
      </c>
      <c r="P2102">
        <v>1</v>
      </c>
      <c r="Q2102">
        <v>0</v>
      </c>
      <c r="R2102">
        <v>108.87</v>
      </c>
      <c r="U2102">
        <v>13217</v>
      </c>
      <c r="W2102">
        <v>0</v>
      </c>
      <c r="Y2102" t="s">
        <v>10859</v>
      </c>
      <c r="AA2102" t="s">
        <v>10974</v>
      </c>
      <c r="AB2102" t="s">
        <v>827</v>
      </c>
      <c r="AD2102" t="s">
        <v>11101</v>
      </c>
      <c r="AF2102" t="s">
        <v>10384</v>
      </c>
      <c r="AH2102" t="s">
        <v>10974</v>
      </c>
      <c r="AJ2102" t="s">
        <v>11134</v>
      </c>
      <c r="AK2102" t="s">
        <v>7225</v>
      </c>
      <c r="AM2102">
        <v>1917</v>
      </c>
      <c r="AO2102">
        <v>108</v>
      </c>
      <c r="AQ2102" t="s">
        <v>11161</v>
      </c>
      <c r="AS2102" t="s">
        <v>11174</v>
      </c>
      <c r="AU2102">
        <v>12</v>
      </c>
      <c r="AW2102" t="s">
        <v>11187</v>
      </c>
      <c r="AY2102" t="s">
        <v>11213</v>
      </c>
      <c r="AZ2102" t="s">
        <v>11221</v>
      </c>
      <c r="BE2102" t="s">
        <v>12854</v>
      </c>
      <c r="BF2102" t="s">
        <v>14364</v>
      </c>
      <c r="BM2102" t="s">
        <v>15650</v>
      </c>
    </row>
    <row r="2103" spans="1:65">
      <c r="A2103" s="1">
        <f>HYPERLINK("https://lsnyc.legalserver.org/matter/dynamic-profile/view/1842036","17-1842036")</f>
        <v>0</v>
      </c>
      <c r="B2103" t="s">
        <v>145</v>
      </c>
      <c r="C2103" t="s">
        <v>245</v>
      </c>
      <c r="D2103" t="s">
        <v>833</v>
      </c>
      <c r="E2103" t="s">
        <v>262</v>
      </c>
      <c r="F2103" t="s">
        <v>1211</v>
      </c>
      <c r="G2103" t="s">
        <v>3800</v>
      </c>
      <c r="H2103" t="s">
        <v>5460</v>
      </c>
      <c r="I2103" t="s">
        <v>6724</v>
      </c>
      <c r="J2103" t="s">
        <v>7169</v>
      </c>
      <c r="K2103">
        <v>10029</v>
      </c>
      <c r="L2103" t="s">
        <v>7217</v>
      </c>
      <c r="N2103" t="s">
        <v>7237</v>
      </c>
      <c r="O2103" t="s">
        <v>7789</v>
      </c>
      <c r="P2103">
        <v>1</v>
      </c>
      <c r="Q2103">
        <v>0</v>
      </c>
      <c r="R2103">
        <v>333.33</v>
      </c>
      <c r="S2103" t="s">
        <v>10255</v>
      </c>
      <c r="U2103">
        <v>40200</v>
      </c>
      <c r="W2103">
        <v>2.25</v>
      </c>
      <c r="X2103" t="s">
        <v>687</v>
      </c>
      <c r="Y2103" t="s">
        <v>10859</v>
      </c>
      <c r="AA2103" t="s">
        <v>10974</v>
      </c>
      <c r="AB2103" t="s">
        <v>348</v>
      </c>
      <c r="AD2103" t="s">
        <v>11086</v>
      </c>
      <c r="AF2103" t="s">
        <v>10384</v>
      </c>
      <c r="AH2103" t="s">
        <v>10974</v>
      </c>
      <c r="AJ2103" t="s">
        <v>11134</v>
      </c>
      <c r="AK2103" t="s">
        <v>7225</v>
      </c>
      <c r="AM2103">
        <v>1043</v>
      </c>
      <c r="AO2103">
        <v>13</v>
      </c>
      <c r="AQ2103" t="s">
        <v>11157</v>
      </c>
      <c r="AS2103" t="s">
        <v>11173</v>
      </c>
      <c r="AU2103">
        <v>20</v>
      </c>
      <c r="AW2103" t="s">
        <v>11187</v>
      </c>
      <c r="AY2103" t="s">
        <v>11213</v>
      </c>
      <c r="BA2103" t="s">
        <v>11222</v>
      </c>
      <c r="BE2103" t="s">
        <v>12855</v>
      </c>
      <c r="BF2103" t="s">
        <v>14364</v>
      </c>
      <c r="BM2103" t="s">
        <v>15651</v>
      </c>
    </row>
    <row r="2104" spans="1:65">
      <c r="A2104" s="1">
        <f>HYPERLINK("https://lsnyc.legalserver.org/matter/dynamic-profile/view/1864141","18-1864141")</f>
        <v>0</v>
      </c>
      <c r="B2104" t="s">
        <v>145</v>
      </c>
      <c r="C2104" t="s">
        <v>245</v>
      </c>
      <c r="D2104" t="s">
        <v>817</v>
      </c>
      <c r="F2104" t="s">
        <v>2012</v>
      </c>
      <c r="G2104" t="s">
        <v>3801</v>
      </c>
      <c r="H2104" t="s">
        <v>4776</v>
      </c>
      <c r="I2104">
        <v>506</v>
      </c>
      <c r="J2104" t="s">
        <v>7169</v>
      </c>
      <c r="K2104">
        <v>10029</v>
      </c>
      <c r="N2104" t="s">
        <v>7237</v>
      </c>
      <c r="O2104" t="s">
        <v>8581</v>
      </c>
      <c r="P2104">
        <v>1</v>
      </c>
      <c r="Q2104">
        <v>1</v>
      </c>
      <c r="R2104">
        <v>170.11</v>
      </c>
      <c r="U2104">
        <v>28000</v>
      </c>
      <c r="W2104">
        <v>0</v>
      </c>
      <c r="Y2104" t="s">
        <v>10859</v>
      </c>
      <c r="AA2104" t="s">
        <v>10974</v>
      </c>
      <c r="AB2104" t="s">
        <v>817</v>
      </c>
      <c r="AD2104" t="s">
        <v>11101</v>
      </c>
      <c r="AF2104" t="s">
        <v>10384</v>
      </c>
      <c r="AH2104" t="s">
        <v>10974</v>
      </c>
      <c r="AJ2104" t="s">
        <v>11134</v>
      </c>
      <c r="AK2104" t="s">
        <v>7225</v>
      </c>
      <c r="AL2104" t="s">
        <v>11150</v>
      </c>
      <c r="AM2104">
        <v>0</v>
      </c>
      <c r="AO2104">
        <v>108</v>
      </c>
      <c r="AQ2104" t="s">
        <v>11161</v>
      </c>
      <c r="AS2104" t="s">
        <v>11174</v>
      </c>
      <c r="AU2104">
        <v>-1</v>
      </c>
      <c r="AW2104" t="s">
        <v>11187</v>
      </c>
      <c r="AY2104" t="s">
        <v>11213</v>
      </c>
      <c r="AZ2104" t="s">
        <v>11221</v>
      </c>
      <c r="BE2104" t="s">
        <v>12856</v>
      </c>
      <c r="BF2104" t="s">
        <v>14364</v>
      </c>
      <c r="BM2104" t="s">
        <v>15650</v>
      </c>
    </row>
    <row r="2105" spans="1:65">
      <c r="A2105" s="1">
        <f>HYPERLINK("https://lsnyc.legalserver.org/matter/dynamic-profile/view/1864159","18-1864159")</f>
        <v>0</v>
      </c>
      <c r="B2105" t="s">
        <v>145</v>
      </c>
      <c r="C2105" t="s">
        <v>245</v>
      </c>
      <c r="D2105" t="s">
        <v>817</v>
      </c>
      <c r="F2105" t="s">
        <v>2013</v>
      </c>
      <c r="G2105" t="s">
        <v>3802</v>
      </c>
      <c r="H2105" t="s">
        <v>4776</v>
      </c>
      <c r="I2105">
        <v>505</v>
      </c>
      <c r="J2105" t="s">
        <v>7169</v>
      </c>
      <c r="K2105">
        <v>10029</v>
      </c>
      <c r="N2105" t="s">
        <v>7237</v>
      </c>
      <c r="O2105" t="s">
        <v>8582</v>
      </c>
      <c r="P2105">
        <v>2</v>
      </c>
      <c r="Q2105">
        <v>2</v>
      </c>
      <c r="R2105">
        <v>127.49</v>
      </c>
      <c r="U2105">
        <v>32000</v>
      </c>
      <c r="W2105">
        <v>0.35</v>
      </c>
      <c r="X2105" t="s">
        <v>666</v>
      </c>
      <c r="Y2105" t="s">
        <v>10859</v>
      </c>
      <c r="AA2105" t="s">
        <v>10974</v>
      </c>
      <c r="AB2105" t="s">
        <v>817</v>
      </c>
      <c r="AD2105" t="s">
        <v>11101</v>
      </c>
      <c r="AF2105" t="s">
        <v>11123</v>
      </c>
      <c r="AH2105" t="s">
        <v>10974</v>
      </c>
      <c r="AJ2105" t="s">
        <v>11134</v>
      </c>
      <c r="AK2105" t="s">
        <v>7225</v>
      </c>
      <c r="AL2105" t="s">
        <v>11150</v>
      </c>
      <c r="AM2105">
        <v>0</v>
      </c>
      <c r="AO2105">
        <v>108</v>
      </c>
      <c r="AQ2105" t="s">
        <v>11161</v>
      </c>
      <c r="AS2105" t="s">
        <v>11174</v>
      </c>
      <c r="AU2105">
        <v>9</v>
      </c>
      <c r="AW2105" t="s">
        <v>11187</v>
      </c>
      <c r="AY2105" t="s">
        <v>11213</v>
      </c>
      <c r="AZ2105" t="s">
        <v>11221</v>
      </c>
      <c r="BE2105" t="s">
        <v>12857</v>
      </c>
      <c r="BF2105" t="s">
        <v>14364</v>
      </c>
      <c r="BG2105" t="s">
        <v>14872</v>
      </c>
      <c r="BM2105" t="s">
        <v>15650</v>
      </c>
    </row>
    <row r="2106" spans="1:65">
      <c r="A2106" s="1">
        <f>HYPERLINK("https://lsnyc.legalserver.org/matter/dynamic-profile/view/1863818","18-1863818")</f>
        <v>0</v>
      </c>
      <c r="B2106" t="s">
        <v>145</v>
      </c>
      <c r="C2106" t="s">
        <v>245</v>
      </c>
      <c r="D2106" t="s">
        <v>350</v>
      </c>
      <c r="F2106" t="s">
        <v>1122</v>
      </c>
      <c r="G2106" t="s">
        <v>3803</v>
      </c>
      <c r="H2106" t="s">
        <v>4776</v>
      </c>
      <c r="I2106">
        <v>804</v>
      </c>
      <c r="J2106" t="s">
        <v>7169</v>
      </c>
      <c r="K2106">
        <v>10029</v>
      </c>
      <c r="N2106" t="s">
        <v>7237</v>
      </c>
      <c r="O2106" t="s">
        <v>8583</v>
      </c>
      <c r="P2106">
        <v>1</v>
      </c>
      <c r="Q2106">
        <v>1</v>
      </c>
      <c r="R2106">
        <v>49.21</v>
      </c>
      <c r="U2106">
        <v>8100</v>
      </c>
      <c r="W2106">
        <v>0.85</v>
      </c>
      <c r="X2106" t="s">
        <v>590</v>
      </c>
      <c r="Y2106" t="s">
        <v>10859</v>
      </c>
      <c r="AA2106" t="s">
        <v>10974</v>
      </c>
      <c r="AB2106" t="s">
        <v>832</v>
      </c>
      <c r="AD2106" t="s">
        <v>11101</v>
      </c>
      <c r="AF2106" t="s">
        <v>11118</v>
      </c>
      <c r="AH2106" t="s">
        <v>10974</v>
      </c>
      <c r="AJ2106" t="s">
        <v>11134</v>
      </c>
      <c r="AK2106" t="s">
        <v>7225</v>
      </c>
      <c r="AL2106" t="s">
        <v>11150</v>
      </c>
      <c r="AM2106">
        <v>0</v>
      </c>
      <c r="AO2106">
        <v>108</v>
      </c>
      <c r="AQ2106" t="s">
        <v>11161</v>
      </c>
      <c r="AS2106" t="s">
        <v>11174</v>
      </c>
      <c r="AU2106">
        <v>30</v>
      </c>
      <c r="AW2106" t="s">
        <v>11187</v>
      </c>
      <c r="AY2106" t="s">
        <v>11213</v>
      </c>
      <c r="AZ2106" t="s">
        <v>11221</v>
      </c>
      <c r="BB2106" t="s">
        <v>11224</v>
      </c>
      <c r="BC2106" t="s">
        <v>11401</v>
      </c>
      <c r="BD2106" t="s">
        <v>11667</v>
      </c>
      <c r="BF2106" t="s">
        <v>14364</v>
      </c>
      <c r="BG2106" t="s">
        <v>14872</v>
      </c>
      <c r="BM2106" t="s">
        <v>15650</v>
      </c>
    </row>
    <row r="2107" spans="1:65">
      <c r="A2107" s="1">
        <f>HYPERLINK("https://lsnyc.legalserver.org/matter/dynamic-profile/view/1911975","19-1911975")</f>
        <v>0</v>
      </c>
      <c r="B2107" t="s">
        <v>145</v>
      </c>
      <c r="C2107" t="s">
        <v>245</v>
      </c>
      <c r="D2107" t="s">
        <v>341</v>
      </c>
      <c r="F2107" t="s">
        <v>1235</v>
      </c>
      <c r="G2107" t="s">
        <v>3062</v>
      </c>
      <c r="H2107" t="s">
        <v>4776</v>
      </c>
      <c r="I2107">
        <v>614</v>
      </c>
      <c r="J2107" t="s">
        <v>7169</v>
      </c>
      <c r="K2107">
        <v>10029</v>
      </c>
      <c r="N2107" t="s">
        <v>7237</v>
      </c>
      <c r="O2107" t="s">
        <v>8584</v>
      </c>
      <c r="P2107">
        <v>2</v>
      </c>
      <c r="Q2107">
        <v>0</v>
      </c>
      <c r="R2107">
        <v>139.47</v>
      </c>
      <c r="U2107">
        <v>23583.84</v>
      </c>
      <c r="W2107">
        <v>0</v>
      </c>
      <c r="Y2107" t="s">
        <v>10859</v>
      </c>
      <c r="AA2107" t="s">
        <v>10974</v>
      </c>
      <c r="AB2107" t="s">
        <v>563</v>
      </c>
      <c r="AD2107" t="s">
        <v>11101</v>
      </c>
      <c r="AF2107" t="s">
        <v>11119</v>
      </c>
      <c r="AH2107" t="s">
        <v>10975</v>
      </c>
      <c r="AJ2107" t="s">
        <v>11104</v>
      </c>
      <c r="AK2107" t="s">
        <v>7225</v>
      </c>
      <c r="AM2107">
        <v>345</v>
      </c>
      <c r="AO2107">
        <v>108</v>
      </c>
      <c r="AQ2107" t="s">
        <v>11160</v>
      </c>
      <c r="AS2107" t="s">
        <v>11174</v>
      </c>
      <c r="AU2107">
        <v>32</v>
      </c>
      <c r="AW2107" t="s">
        <v>11189</v>
      </c>
      <c r="AY2107" t="s">
        <v>11213</v>
      </c>
      <c r="BA2107" t="s">
        <v>11222</v>
      </c>
      <c r="BE2107" t="s">
        <v>12858</v>
      </c>
      <c r="BF2107" t="s">
        <v>14364</v>
      </c>
      <c r="BM2107" t="s">
        <v>15650</v>
      </c>
    </row>
    <row r="2108" spans="1:65">
      <c r="A2108" s="1">
        <f>HYPERLINK("https://lsnyc.legalserver.org/matter/dynamic-profile/view/1869873","18-1869873")</f>
        <v>0</v>
      </c>
      <c r="B2108" t="s">
        <v>145</v>
      </c>
      <c r="C2108" t="s">
        <v>245</v>
      </c>
      <c r="D2108" t="s">
        <v>298</v>
      </c>
      <c r="E2108" t="s">
        <v>548</v>
      </c>
      <c r="F2108" t="s">
        <v>2001</v>
      </c>
      <c r="G2108" t="s">
        <v>3788</v>
      </c>
      <c r="H2108" t="s">
        <v>5460</v>
      </c>
      <c r="I2108" t="s">
        <v>6421</v>
      </c>
      <c r="J2108" t="s">
        <v>7169</v>
      </c>
      <c r="K2108">
        <v>10029</v>
      </c>
      <c r="L2108" t="s">
        <v>7216</v>
      </c>
      <c r="N2108" t="s">
        <v>7237</v>
      </c>
      <c r="O2108" t="s">
        <v>8564</v>
      </c>
      <c r="P2108">
        <v>2</v>
      </c>
      <c r="Q2108">
        <v>0</v>
      </c>
      <c r="R2108">
        <v>100.61</v>
      </c>
      <c r="U2108">
        <v>16560</v>
      </c>
      <c r="W2108">
        <v>1.5</v>
      </c>
      <c r="X2108" t="s">
        <v>724</v>
      </c>
      <c r="Y2108" t="s">
        <v>10859</v>
      </c>
      <c r="AA2108" t="s">
        <v>10974</v>
      </c>
      <c r="AB2108" t="s">
        <v>298</v>
      </c>
      <c r="AD2108" t="s">
        <v>11096</v>
      </c>
      <c r="AF2108" t="s">
        <v>10384</v>
      </c>
      <c r="AH2108" t="s">
        <v>10975</v>
      </c>
      <c r="AJ2108" t="s">
        <v>11129</v>
      </c>
      <c r="AK2108" t="s">
        <v>7225</v>
      </c>
      <c r="AM2108">
        <v>868</v>
      </c>
      <c r="AO2108">
        <v>13</v>
      </c>
      <c r="AQ2108" t="s">
        <v>11157</v>
      </c>
      <c r="AS2108" t="s">
        <v>11174</v>
      </c>
      <c r="AU2108">
        <v>31</v>
      </c>
      <c r="AW2108" t="s">
        <v>11189</v>
      </c>
      <c r="AZ2108" t="s">
        <v>11221</v>
      </c>
      <c r="BE2108" t="s">
        <v>12837</v>
      </c>
      <c r="BF2108" t="s">
        <v>14364</v>
      </c>
      <c r="BM2108" t="s">
        <v>15651</v>
      </c>
    </row>
    <row r="2109" spans="1:65">
      <c r="A2109" s="1">
        <f>HYPERLINK("https://lsnyc.legalserver.org/matter/dynamic-profile/view/1869881","18-1869881")</f>
        <v>0</v>
      </c>
      <c r="B2109" t="s">
        <v>145</v>
      </c>
      <c r="C2109" t="s">
        <v>245</v>
      </c>
      <c r="D2109" t="s">
        <v>298</v>
      </c>
      <c r="E2109" t="s">
        <v>548</v>
      </c>
      <c r="F2109" t="s">
        <v>2001</v>
      </c>
      <c r="G2109" t="s">
        <v>3788</v>
      </c>
      <c r="H2109" t="s">
        <v>5460</v>
      </c>
      <c r="I2109" t="s">
        <v>6421</v>
      </c>
      <c r="J2109" t="s">
        <v>7169</v>
      </c>
      <c r="K2109">
        <v>10029</v>
      </c>
      <c r="L2109" t="s">
        <v>7216</v>
      </c>
      <c r="N2109" t="s">
        <v>7237</v>
      </c>
      <c r="O2109" t="s">
        <v>8564</v>
      </c>
      <c r="P2109">
        <v>2</v>
      </c>
      <c r="Q2109">
        <v>0</v>
      </c>
      <c r="R2109">
        <v>100.61</v>
      </c>
      <c r="U2109">
        <v>16560</v>
      </c>
      <c r="W2109">
        <v>0.1</v>
      </c>
      <c r="X2109" t="s">
        <v>291</v>
      </c>
      <c r="Y2109" t="s">
        <v>10859</v>
      </c>
      <c r="AA2109" t="s">
        <v>10974</v>
      </c>
      <c r="AB2109" t="s">
        <v>522</v>
      </c>
      <c r="AD2109" t="s">
        <v>11086</v>
      </c>
      <c r="AF2109" t="s">
        <v>10384</v>
      </c>
      <c r="AG2109" t="s">
        <v>11124</v>
      </c>
      <c r="AJ2109" t="s">
        <v>11129</v>
      </c>
      <c r="AK2109" t="s">
        <v>7225</v>
      </c>
      <c r="AM2109">
        <v>868</v>
      </c>
      <c r="AO2109">
        <v>13</v>
      </c>
      <c r="AQ2109" t="s">
        <v>11157</v>
      </c>
      <c r="AS2109" t="s">
        <v>11174</v>
      </c>
      <c r="AU2109">
        <v>31</v>
      </c>
      <c r="AW2109" t="s">
        <v>11189</v>
      </c>
      <c r="AZ2109" t="s">
        <v>11221</v>
      </c>
      <c r="BE2109" t="s">
        <v>12837</v>
      </c>
      <c r="BF2109" t="s">
        <v>14364</v>
      </c>
      <c r="BM2109" t="s">
        <v>15651</v>
      </c>
    </row>
    <row r="2110" spans="1:65">
      <c r="A2110" s="1">
        <f>HYPERLINK("https://lsnyc.legalserver.org/matter/dynamic-profile/view/0783887","15-0783887")</f>
        <v>0</v>
      </c>
      <c r="B2110" t="s">
        <v>145</v>
      </c>
      <c r="C2110" t="s">
        <v>245</v>
      </c>
      <c r="D2110" t="s">
        <v>834</v>
      </c>
      <c r="F2110" t="s">
        <v>2014</v>
      </c>
      <c r="G2110" t="s">
        <v>3802</v>
      </c>
      <c r="H2110" t="s">
        <v>5474</v>
      </c>
      <c r="I2110">
        <v>427</v>
      </c>
      <c r="J2110" t="s">
        <v>7169</v>
      </c>
      <c r="K2110">
        <v>10029</v>
      </c>
      <c r="N2110" t="s">
        <v>7237</v>
      </c>
      <c r="O2110" t="s">
        <v>8585</v>
      </c>
      <c r="P2110">
        <v>1</v>
      </c>
      <c r="Q2110">
        <v>2</v>
      </c>
      <c r="R2110">
        <v>26.28</v>
      </c>
      <c r="U2110">
        <v>5280</v>
      </c>
      <c r="W2110">
        <v>181.37</v>
      </c>
      <c r="X2110" t="s">
        <v>1030</v>
      </c>
      <c r="Y2110" t="s">
        <v>10859</v>
      </c>
      <c r="Z2110" t="s">
        <v>10973</v>
      </c>
      <c r="AA2110" t="s">
        <v>10975</v>
      </c>
      <c r="AB2110" t="s">
        <v>649</v>
      </c>
      <c r="AD2110" t="s">
        <v>11083</v>
      </c>
      <c r="AF2110" t="s">
        <v>11118</v>
      </c>
      <c r="AH2110" t="s">
        <v>10975</v>
      </c>
      <c r="AJ2110" t="s">
        <v>11128</v>
      </c>
      <c r="AK2110" t="s">
        <v>7225</v>
      </c>
      <c r="AL2110" t="s">
        <v>11150</v>
      </c>
      <c r="AM2110">
        <v>0</v>
      </c>
      <c r="AO2110">
        <v>135</v>
      </c>
      <c r="AQ2110" t="s">
        <v>11161</v>
      </c>
      <c r="AS2110" t="s">
        <v>11173</v>
      </c>
      <c r="AU2110">
        <v>29</v>
      </c>
      <c r="AW2110" t="s">
        <v>11187</v>
      </c>
      <c r="AZ2110" t="s">
        <v>11221</v>
      </c>
      <c r="BE2110" t="s">
        <v>12859</v>
      </c>
      <c r="BG2110" t="s">
        <v>14892</v>
      </c>
      <c r="BM2110" t="s">
        <v>15650</v>
      </c>
    </row>
    <row r="2111" spans="1:65">
      <c r="A2111" s="1">
        <f>HYPERLINK("https://lsnyc.legalserver.org/matter/dynamic-profile/view/1864440","18-1864440")</f>
        <v>0</v>
      </c>
      <c r="B2111" t="s">
        <v>145</v>
      </c>
      <c r="C2111" t="s">
        <v>245</v>
      </c>
      <c r="D2111" t="s">
        <v>823</v>
      </c>
      <c r="F2111" t="s">
        <v>1984</v>
      </c>
      <c r="G2111" t="s">
        <v>3030</v>
      </c>
      <c r="H2111" t="s">
        <v>4776</v>
      </c>
      <c r="I2111">
        <v>412</v>
      </c>
      <c r="J2111" t="s">
        <v>7169</v>
      </c>
      <c r="K2111">
        <v>10029</v>
      </c>
      <c r="N2111" t="s">
        <v>7237</v>
      </c>
      <c r="O2111" t="s">
        <v>8533</v>
      </c>
      <c r="P2111">
        <v>2</v>
      </c>
      <c r="Q2111">
        <v>0</v>
      </c>
      <c r="R2111">
        <v>134.26</v>
      </c>
      <c r="U2111">
        <v>22100</v>
      </c>
      <c r="W2111">
        <v>0.2</v>
      </c>
      <c r="X2111" t="s">
        <v>669</v>
      </c>
      <c r="Y2111" t="s">
        <v>10859</v>
      </c>
      <c r="AA2111" t="s">
        <v>10974</v>
      </c>
      <c r="AB2111" t="s">
        <v>823</v>
      </c>
      <c r="AD2111" t="s">
        <v>11101</v>
      </c>
      <c r="AF2111" t="s">
        <v>11118</v>
      </c>
      <c r="AH2111" t="s">
        <v>10974</v>
      </c>
      <c r="AJ2111" t="s">
        <v>11134</v>
      </c>
      <c r="AK2111" t="s">
        <v>7225</v>
      </c>
      <c r="AL2111" t="s">
        <v>11150</v>
      </c>
      <c r="AM2111">
        <v>0</v>
      </c>
      <c r="AO2111">
        <v>108</v>
      </c>
      <c r="AQ2111" t="s">
        <v>11161</v>
      </c>
      <c r="AS2111" t="s">
        <v>11174</v>
      </c>
      <c r="AU2111">
        <v>4</v>
      </c>
      <c r="AW2111" t="s">
        <v>11187</v>
      </c>
      <c r="AY2111" t="s">
        <v>11213</v>
      </c>
      <c r="AZ2111" t="s">
        <v>11221</v>
      </c>
      <c r="BD2111" t="s">
        <v>11667</v>
      </c>
      <c r="BF2111" t="s">
        <v>14364</v>
      </c>
      <c r="BG2111" t="s">
        <v>14882</v>
      </c>
      <c r="BM2111" t="s">
        <v>15650</v>
      </c>
    </row>
    <row r="2112" spans="1:65">
      <c r="A2112" s="1">
        <f>HYPERLINK("https://lsnyc.legalserver.org/matter/dynamic-profile/view/1913381","19-1913381")</f>
        <v>0</v>
      </c>
      <c r="B2112" t="s">
        <v>145</v>
      </c>
      <c r="C2112" t="s">
        <v>245</v>
      </c>
      <c r="D2112" t="s">
        <v>273</v>
      </c>
      <c r="F2112" t="s">
        <v>1149</v>
      </c>
      <c r="G2112" t="s">
        <v>3780</v>
      </c>
      <c r="H2112" t="s">
        <v>4776</v>
      </c>
      <c r="J2112" t="s">
        <v>7169</v>
      </c>
      <c r="K2112">
        <v>10029</v>
      </c>
      <c r="N2112" t="s">
        <v>7237</v>
      </c>
      <c r="O2112" t="s">
        <v>8586</v>
      </c>
      <c r="P2112">
        <v>3</v>
      </c>
      <c r="Q2112">
        <v>0</v>
      </c>
      <c r="R2112">
        <v>108.56</v>
      </c>
      <c r="U2112">
        <v>23156</v>
      </c>
      <c r="W2112">
        <v>1.5</v>
      </c>
      <c r="X2112" t="s">
        <v>293</v>
      </c>
      <c r="Y2112" t="s">
        <v>10859</v>
      </c>
      <c r="AA2112" t="s">
        <v>10974</v>
      </c>
      <c r="AB2112" t="s">
        <v>601</v>
      </c>
      <c r="AD2112" t="s">
        <v>11101</v>
      </c>
      <c r="AF2112" t="s">
        <v>11119</v>
      </c>
      <c r="AH2112" t="s">
        <v>10974</v>
      </c>
      <c r="AJ2112" t="s">
        <v>11134</v>
      </c>
      <c r="AK2112" t="s">
        <v>7225</v>
      </c>
      <c r="AM2112">
        <v>511</v>
      </c>
      <c r="AO2112">
        <v>108</v>
      </c>
      <c r="AQ2112" t="s">
        <v>11157</v>
      </c>
      <c r="AS2112" t="s">
        <v>11173</v>
      </c>
      <c r="AU2112">
        <v>34</v>
      </c>
      <c r="AW2112" t="s">
        <v>11189</v>
      </c>
      <c r="AY2112" t="s">
        <v>11213</v>
      </c>
      <c r="BA2112" t="s">
        <v>11222</v>
      </c>
      <c r="BE2112" t="s">
        <v>12860</v>
      </c>
      <c r="BF2112" t="s">
        <v>14364</v>
      </c>
      <c r="BM2112" t="s">
        <v>15650</v>
      </c>
    </row>
    <row r="2113" spans="1:67">
      <c r="A2113" s="1">
        <f>HYPERLINK("https://lsnyc.legalserver.org/matter/dynamic-profile/view/1835983","17-1835983")</f>
        <v>0</v>
      </c>
      <c r="B2113" t="s">
        <v>145</v>
      </c>
      <c r="C2113" t="s">
        <v>245</v>
      </c>
      <c r="D2113" t="s">
        <v>835</v>
      </c>
      <c r="F2113" t="s">
        <v>1139</v>
      </c>
      <c r="G2113" t="s">
        <v>3140</v>
      </c>
      <c r="H2113" t="s">
        <v>4922</v>
      </c>
      <c r="I2113" t="s">
        <v>6403</v>
      </c>
      <c r="J2113" t="s">
        <v>7169</v>
      </c>
      <c r="K2113">
        <v>10040</v>
      </c>
      <c r="N2113" t="s">
        <v>7237</v>
      </c>
      <c r="O2113" t="s">
        <v>8587</v>
      </c>
      <c r="P2113">
        <v>2</v>
      </c>
      <c r="Q2113">
        <v>0</v>
      </c>
      <c r="R2113">
        <v>480.3</v>
      </c>
      <c r="S2113" t="s">
        <v>774</v>
      </c>
      <c r="U2113">
        <v>78000</v>
      </c>
      <c r="W2113">
        <v>0</v>
      </c>
      <c r="Y2113" t="s">
        <v>10859</v>
      </c>
      <c r="AA2113" t="s">
        <v>10974</v>
      </c>
      <c r="AB2113" t="s">
        <v>809</v>
      </c>
      <c r="AD2113" t="s">
        <v>11096</v>
      </c>
      <c r="AF2113" t="s">
        <v>11122</v>
      </c>
      <c r="AH2113" t="s">
        <v>10974</v>
      </c>
      <c r="AJ2113" t="s">
        <v>11134</v>
      </c>
      <c r="AK2113" t="s">
        <v>7225</v>
      </c>
      <c r="AM2113">
        <v>1102</v>
      </c>
      <c r="AO2113">
        <v>43</v>
      </c>
      <c r="AQ2113" t="s">
        <v>11157</v>
      </c>
      <c r="AS2113" t="s">
        <v>11173</v>
      </c>
      <c r="AU2113">
        <v>12</v>
      </c>
      <c r="AW2113" t="s">
        <v>11187</v>
      </c>
      <c r="AZ2113" t="s">
        <v>11221</v>
      </c>
      <c r="BE2113" t="s">
        <v>12861</v>
      </c>
      <c r="BF2113" t="s">
        <v>14364</v>
      </c>
      <c r="BM2113" t="s">
        <v>15650</v>
      </c>
    </row>
    <row r="2114" spans="1:67">
      <c r="A2114" s="1">
        <f>HYPERLINK("https://lsnyc.legalserver.org/matter/dynamic-profile/view/1911026","19-1911026")</f>
        <v>0</v>
      </c>
      <c r="B2114" t="s">
        <v>145</v>
      </c>
      <c r="C2114" t="s">
        <v>245</v>
      </c>
      <c r="D2114" t="s">
        <v>626</v>
      </c>
      <c r="F2114" t="s">
        <v>2015</v>
      </c>
      <c r="G2114" t="s">
        <v>3334</v>
      </c>
      <c r="H2114" t="s">
        <v>5475</v>
      </c>
      <c r="I2114" t="s">
        <v>6485</v>
      </c>
      <c r="J2114" t="s">
        <v>7169</v>
      </c>
      <c r="K2114">
        <v>10034</v>
      </c>
      <c r="N2114" t="s">
        <v>7237</v>
      </c>
      <c r="O2114" t="s">
        <v>8588</v>
      </c>
      <c r="P2114">
        <v>1</v>
      </c>
      <c r="Q2114">
        <v>0</v>
      </c>
      <c r="R2114">
        <v>159.49</v>
      </c>
      <c r="U2114">
        <v>19920</v>
      </c>
      <c r="W2114">
        <v>1</v>
      </c>
      <c r="X2114" t="s">
        <v>614</v>
      </c>
      <c r="Y2114" t="s">
        <v>10859</v>
      </c>
      <c r="AA2114" t="s">
        <v>10974</v>
      </c>
      <c r="AB2114" t="s">
        <v>626</v>
      </c>
      <c r="AD2114" t="s">
        <v>11086</v>
      </c>
      <c r="AF2114" t="s">
        <v>10384</v>
      </c>
      <c r="AH2114" t="s">
        <v>10975</v>
      </c>
      <c r="AJ2114" t="s">
        <v>11129</v>
      </c>
      <c r="AK2114" t="s">
        <v>7225</v>
      </c>
      <c r="AM2114">
        <v>1607</v>
      </c>
      <c r="AO2114">
        <v>70</v>
      </c>
      <c r="AQ2114" t="s">
        <v>11157</v>
      </c>
      <c r="AS2114" t="s">
        <v>11173</v>
      </c>
      <c r="AU2114">
        <v>12</v>
      </c>
      <c r="AW2114" t="s">
        <v>11187</v>
      </c>
      <c r="AY2114" t="s">
        <v>11213</v>
      </c>
      <c r="BA2114" t="s">
        <v>11222</v>
      </c>
      <c r="BE2114" t="s">
        <v>12862</v>
      </c>
      <c r="BF2114" t="s">
        <v>14364</v>
      </c>
      <c r="BM2114" t="s">
        <v>15650</v>
      </c>
    </row>
    <row r="2115" spans="1:67">
      <c r="A2115" s="1">
        <f>HYPERLINK("https://lsnyc.legalserver.org/matter/dynamic-profile/view/1865186","18-1865186")</f>
        <v>0</v>
      </c>
      <c r="B2115" t="s">
        <v>145</v>
      </c>
      <c r="C2115" t="s">
        <v>245</v>
      </c>
      <c r="D2115" t="s">
        <v>836</v>
      </c>
      <c r="E2115" t="s">
        <v>548</v>
      </c>
      <c r="F2115" t="s">
        <v>1722</v>
      </c>
      <c r="G2115" t="s">
        <v>2523</v>
      </c>
      <c r="H2115" t="s">
        <v>5476</v>
      </c>
      <c r="I2115" t="s">
        <v>6720</v>
      </c>
      <c r="J2115" t="s">
        <v>7169</v>
      </c>
      <c r="K2115">
        <v>10002</v>
      </c>
      <c r="L2115" t="s">
        <v>7222</v>
      </c>
      <c r="N2115" t="s">
        <v>7237</v>
      </c>
      <c r="O2115" t="s">
        <v>8589</v>
      </c>
      <c r="P2115">
        <v>2</v>
      </c>
      <c r="Q2115">
        <v>1</v>
      </c>
      <c r="R2115">
        <v>219.44</v>
      </c>
      <c r="S2115" t="s">
        <v>10254</v>
      </c>
      <c r="T2115" t="s">
        <v>10275</v>
      </c>
      <c r="U2115">
        <v>45600</v>
      </c>
      <c r="W2115">
        <v>20.35</v>
      </c>
      <c r="X2115" t="s">
        <v>1027</v>
      </c>
      <c r="Y2115" t="s">
        <v>10863</v>
      </c>
      <c r="AA2115" t="s">
        <v>10974</v>
      </c>
      <c r="AB2115" t="s">
        <v>726</v>
      </c>
      <c r="AD2115" t="s">
        <v>11086</v>
      </c>
      <c r="AF2115" t="s">
        <v>10384</v>
      </c>
      <c r="AH2115" t="s">
        <v>10975</v>
      </c>
      <c r="AJ2115" t="s">
        <v>11133</v>
      </c>
      <c r="AK2115" t="s">
        <v>11149</v>
      </c>
      <c r="AM2115">
        <v>1254</v>
      </c>
      <c r="AO2115">
        <v>200</v>
      </c>
      <c r="AQ2115" t="s">
        <v>11168</v>
      </c>
      <c r="AS2115" t="s">
        <v>11173</v>
      </c>
      <c r="AU2115">
        <v>10</v>
      </c>
      <c r="AW2115" t="s">
        <v>11187</v>
      </c>
      <c r="AZ2115" t="s">
        <v>11221</v>
      </c>
      <c r="BE2115" t="s">
        <v>12863</v>
      </c>
      <c r="BF2115" t="s">
        <v>14364</v>
      </c>
      <c r="BM2115" t="s">
        <v>15651</v>
      </c>
    </row>
    <row r="2116" spans="1:67">
      <c r="A2116" s="1">
        <f>HYPERLINK("https://lsnyc.legalserver.org/matter/dynamic-profile/view/0829559","17-0829559")</f>
        <v>0</v>
      </c>
      <c r="B2116" t="s">
        <v>145</v>
      </c>
      <c r="C2116" t="s">
        <v>245</v>
      </c>
      <c r="D2116" t="s">
        <v>837</v>
      </c>
      <c r="E2116" t="s">
        <v>264</v>
      </c>
      <c r="F2116" t="s">
        <v>1155</v>
      </c>
      <c r="G2116" t="s">
        <v>3804</v>
      </c>
      <c r="H2116" t="s">
        <v>5477</v>
      </c>
      <c r="I2116">
        <v>38</v>
      </c>
      <c r="J2116" t="s">
        <v>7169</v>
      </c>
      <c r="K2116">
        <v>10034</v>
      </c>
      <c r="L2116" t="s">
        <v>7217</v>
      </c>
      <c r="N2116" t="s">
        <v>7237</v>
      </c>
      <c r="O2116" t="s">
        <v>8590</v>
      </c>
      <c r="P2116">
        <v>2</v>
      </c>
      <c r="Q2116">
        <v>0</v>
      </c>
      <c r="R2116">
        <v>211.39</v>
      </c>
      <c r="S2116" t="s">
        <v>10255</v>
      </c>
      <c r="U2116">
        <v>33864</v>
      </c>
      <c r="W2116">
        <v>1.4</v>
      </c>
      <c r="X2116" t="s">
        <v>256</v>
      </c>
      <c r="Y2116" t="s">
        <v>145</v>
      </c>
      <c r="AA2116" t="s">
        <v>10974</v>
      </c>
      <c r="AB2116" t="s">
        <v>1062</v>
      </c>
      <c r="AD2116" t="s">
        <v>11088</v>
      </c>
      <c r="AF2116" t="s">
        <v>10384</v>
      </c>
      <c r="AH2116" t="s">
        <v>10975</v>
      </c>
      <c r="AJ2116" t="s">
        <v>11139</v>
      </c>
      <c r="AK2116" t="s">
        <v>7225</v>
      </c>
      <c r="AM2116">
        <v>1082.09</v>
      </c>
      <c r="AO2116">
        <v>52</v>
      </c>
      <c r="AQ2116" t="s">
        <v>11157</v>
      </c>
      <c r="AS2116" t="s">
        <v>11173</v>
      </c>
      <c r="AU2116">
        <v>22</v>
      </c>
      <c r="AW2116" t="s">
        <v>11187</v>
      </c>
      <c r="AZ2116" t="s">
        <v>11221</v>
      </c>
      <c r="BE2116" t="s">
        <v>12864</v>
      </c>
      <c r="BF2116" t="s">
        <v>14364</v>
      </c>
      <c r="BM2116" t="s">
        <v>15651</v>
      </c>
    </row>
    <row r="2117" spans="1:67">
      <c r="A2117" s="1">
        <f>HYPERLINK("https://lsnyc.legalserver.org/matter/dynamic-profile/view/1860610","18-1860610")</f>
        <v>0</v>
      </c>
      <c r="B2117" t="s">
        <v>145</v>
      </c>
      <c r="C2117" t="s">
        <v>245</v>
      </c>
      <c r="D2117" t="s">
        <v>717</v>
      </c>
      <c r="F2117" t="s">
        <v>2016</v>
      </c>
      <c r="G2117" t="s">
        <v>3401</v>
      </c>
      <c r="H2117" t="s">
        <v>5463</v>
      </c>
      <c r="I2117" t="s">
        <v>6507</v>
      </c>
      <c r="J2117" t="s">
        <v>7169</v>
      </c>
      <c r="K2117">
        <v>10031</v>
      </c>
      <c r="N2117" t="s">
        <v>7237</v>
      </c>
      <c r="O2117" t="s">
        <v>8321</v>
      </c>
      <c r="P2117">
        <v>2</v>
      </c>
      <c r="Q2117">
        <v>0</v>
      </c>
      <c r="R2117">
        <v>65.39</v>
      </c>
      <c r="U2117">
        <v>10764</v>
      </c>
      <c r="W2117">
        <v>141.15</v>
      </c>
      <c r="X2117" t="s">
        <v>528</v>
      </c>
      <c r="Y2117" t="s">
        <v>10859</v>
      </c>
      <c r="AA2117" t="s">
        <v>10974</v>
      </c>
      <c r="AB2117" t="s">
        <v>936</v>
      </c>
      <c r="AD2117" t="s">
        <v>11101</v>
      </c>
      <c r="AF2117" t="s">
        <v>10384</v>
      </c>
      <c r="AH2117" t="s">
        <v>10974</v>
      </c>
      <c r="AJ2117" t="s">
        <v>11134</v>
      </c>
      <c r="AK2117" t="s">
        <v>7225</v>
      </c>
      <c r="AM2117">
        <v>2126</v>
      </c>
      <c r="AO2117">
        <v>44</v>
      </c>
      <c r="AQ2117" t="s">
        <v>11161</v>
      </c>
      <c r="AS2117" t="s">
        <v>11174</v>
      </c>
      <c r="AU2117">
        <v>23</v>
      </c>
      <c r="AW2117" t="s">
        <v>11189</v>
      </c>
      <c r="AY2117" t="s">
        <v>11213</v>
      </c>
      <c r="AZ2117" t="s">
        <v>11221</v>
      </c>
      <c r="BE2117" t="s">
        <v>12865</v>
      </c>
      <c r="BF2117" t="s">
        <v>14364</v>
      </c>
      <c r="BM2117" t="s">
        <v>15650</v>
      </c>
    </row>
    <row r="2118" spans="1:67">
      <c r="A2118" s="1">
        <f>HYPERLINK("https://lsnyc.legalserver.org/matter/dynamic-profile/view/1860430","18-1860430")</f>
        <v>0</v>
      </c>
      <c r="B2118" t="s">
        <v>145</v>
      </c>
      <c r="C2118" t="s">
        <v>245</v>
      </c>
      <c r="D2118" t="s">
        <v>825</v>
      </c>
      <c r="F2118" t="s">
        <v>2017</v>
      </c>
      <c r="G2118" t="s">
        <v>2886</v>
      </c>
      <c r="H2118" t="s">
        <v>5463</v>
      </c>
      <c r="I2118" t="s">
        <v>6466</v>
      </c>
      <c r="J2118" t="s">
        <v>7169</v>
      </c>
      <c r="K2118">
        <v>10031</v>
      </c>
      <c r="N2118" t="s">
        <v>7237</v>
      </c>
      <c r="O2118" t="s">
        <v>8591</v>
      </c>
      <c r="P2118">
        <v>2</v>
      </c>
      <c r="Q2118">
        <v>1</v>
      </c>
      <c r="R2118">
        <v>69.54000000000001</v>
      </c>
      <c r="U2118">
        <v>14200</v>
      </c>
      <c r="W2118">
        <v>0.75</v>
      </c>
      <c r="X2118" t="s">
        <v>447</v>
      </c>
      <c r="Y2118" t="s">
        <v>10859</v>
      </c>
      <c r="AA2118" t="s">
        <v>10974</v>
      </c>
      <c r="AB2118" t="s">
        <v>936</v>
      </c>
      <c r="AD2118" t="s">
        <v>11101</v>
      </c>
      <c r="AF2118" t="s">
        <v>10384</v>
      </c>
      <c r="AH2118" t="s">
        <v>10974</v>
      </c>
      <c r="AJ2118" t="s">
        <v>11134</v>
      </c>
      <c r="AK2118" t="s">
        <v>7225</v>
      </c>
      <c r="AM2118">
        <v>2697</v>
      </c>
      <c r="AO2118">
        <v>44</v>
      </c>
      <c r="AQ2118" t="s">
        <v>11161</v>
      </c>
      <c r="AS2118" t="s">
        <v>11174</v>
      </c>
      <c r="AU2118">
        <v>15</v>
      </c>
      <c r="AW2118" t="s">
        <v>11189</v>
      </c>
      <c r="AY2118" t="s">
        <v>11213</v>
      </c>
      <c r="BA2118" t="s">
        <v>11222</v>
      </c>
      <c r="BE2118" t="s">
        <v>12866</v>
      </c>
      <c r="BF2118" t="s">
        <v>14364</v>
      </c>
      <c r="BM2118" t="s">
        <v>15650</v>
      </c>
    </row>
    <row r="2119" spans="1:67">
      <c r="A2119" s="1">
        <f>HYPERLINK("https://lsnyc.legalserver.org/matter/dynamic-profile/view/1864378","18-1864378")</f>
        <v>0</v>
      </c>
      <c r="B2119" t="s">
        <v>145</v>
      </c>
      <c r="C2119" t="s">
        <v>245</v>
      </c>
      <c r="D2119" t="s">
        <v>826</v>
      </c>
      <c r="F2119" t="s">
        <v>1280</v>
      </c>
      <c r="G2119" t="s">
        <v>2962</v>
      </c>
      <c r="H2119" t="s">
        <v>4776</v>
      </c>
      <c r="I2119">
        <v>103</v>
      </c>
      <c r="J2119" t="s">
        <v>7169</v>
      </c>
      <c r="K2119">
        <v>10029</v>
      </c>
      <c r="N2119" t="s">
        <v>7237</v>
      </c>
      <c r="O2119" t="s">
        <v>8592</v>
      </c>
      <c r="P2119">
        <v>1</v>
      </c>
      <c r="Q2119">
        <v>1</v>
      </c>
      <c r="R2119">
        <v>49.21</v>
      </c>
      <c r="U2119">
        <v>8100</v>
      </c>
      <c r="W2119">
        <v>0.5</v>
      </c>
      <c r="X2119" t="s">
        <v>666</v>
      </c>
      <c r="Y2119" t="s">
        <v>10859</v>
      </c>
      <c r="AA2119" t="s">
        <v>10974</v>
      </c>
      <c r="AB2119" t="s">
        <v>826</v>
      </c>
      <c r="AD2119" t="s">
        <v>11101</v>
      </c>
      <c r="AF2119" t="s">
        <v>11118</v>
      </c>
      <c r="AH2119" t="s">
        <v>10974</v>
      </c>
      <c r="AJ2119" t="s">
        <v>11134</v>
      </c>
      <c r="AK2119" t="s">
        <v>7225</v>
      </c>
      <c r="AL2119" t="s">
        <v>11150</v>
      </c>
      <c r="AM2119">
        <v>0</v>
      </c>
      <c r="AO2119">
        <v>108</v>
      </c>
      <c r="AQ2119" t="s">
        <v>11161</v>
      </c>
      <c r="AS2119" t="s">
        <v>11174</v>
      </c>
      <c r="AU2119">
        <v>20</v>
      </c>
      <c r="AW2119" t="s">
        <v>11189</v>
      </c>
      <c r="AY2119" t="s">
        <v>11213</v>
      </c>
      <c r="BA2119" t="s">
        <v>11222</v>
      </c>
      <c r="BE2119" t="s">
        <v>12867</v>
      </c>
      <c r="BF2119" t="s">
        <v>14364</v>
      </c>
      <c r="BG2119" t="s">
        <v>14872</v>
      </c>
      <c r="BM2119" t="s">
        <v>15650</v>
      </c>
    </row>
    <row r="2120" spans="1:67">
      <c r="A2120" s="1">
        <f>HYPERLINK("https://lsnyc.legalserver.org/matter/dynamic-profile/view/1886801","19-1886801")</f>
        <v>0</v>
      </c>
      <c r="B2120" t="s">
        <v>145</v>
      </c>
      <c r="C2120" t="s">
        <v>245</v>
      </c>
      <c r="D2120" t="s">
        <v>547</v>
      </c>
      <c r="F2120" t="s">
        <v>2016</v>
      </c>
      <c r="G2120" t="s">
        <v>3401</v>
      </c>
      <c r="H2120" t="s">
        <v>5463</v>
      </c>
      <c r="I2120" t="s">
        <v>6507</v>
      </c>
      <c r="J2120" t="s">
        <v>7169</v>
      </c>
      <c r="K2120">
        <v>10031</v>
      </c>
      <c r="N2120" t="s">
        <v>7237</v>
      </c>
      <c r="O2120" t="s">
        <v>8321</v>
      </c>
      <c r="P2120">
        <v>2</v>
      </c>
      <c r="Q2120">
        <v>0</v>
      </c>
      <c r="R2120">
        <v>65.39</v>
      </c>
      <c r="U2120">
        <v>10764</v>
      </c>
      <c r="W2120">
        <v>22.1</v>
      </c>
      <c r="X2120" t="s">
        <v>614</v>
      </c>
      <c r="Y2120" t="s">
        <v>10859</v>
      </c>
      <c r="AA2120" t="s">
        <v>10974</v>
      </c>
      <c r="AB2120" t="s">
        <v>547</v>
      </c>
      <c r="AD2120" t="s">
        <v>11082</v>
      </c>
      <c r="AF2120" t="s">
        <v>11118</v>
      </c>
      <c r="AH2120" t="s">
        <v>10975</v>
      </c>
      <c r="AJ2120" t="s">
        <v>11129</v>
      </c>
      <c r="AK2120" t="s">
        <v>7225</v>
      </c>
      <c r="AM2120">
        <v>2126</v>
      </c>
      <c r="AO2120">
        <v>44</v>
      </c>
      <c r="AQ2120" t="s">
        <v>11161</v>
      </c>
      <c r="AS2120" t="s">
        <v>11174</v>
      </c>
      <c r="AU2120">
        <v>23</v>
      </c>
      <c r="AW2120" t="s">
        <v>11189</v>
      </c>
      <c r="AY2120" t="s">
        <v>11213</v>
      </c>
      <c r="AZ2120" t="s">
        <v>11221</v>
      </c>
      <c r="BE2120" t="s">
        <v>12865</v>
      </c>
      <c r="BG2120" t="s">
        <v>14893</v>
      </c>
      <c r="BM2120" t="s">
        <v>15650</v>
      </c>
    </row>
    <row r="2121" spans="1:67">
      <c r="A2121" s="1">
        <f>HYPERLINK("https://lsnyc.legalserver.org/matter/dynamic-profile/view/1863708","18-1863708")</f>
        <v>0</v>
      </c>
      <c r="B2121" t="s">
        <v>145</v>
      </c>
      <c r="C2121" t="s">
        <v>245</v>
      </c>
      <c r="D2121" t="s">
        <v>832</v>
      </c>
      <c r="F2121" t="s">
        <v>2018</v>
      </c>
      <c r="G2121" t="s">
        <v>3168</v>
      </c>
      <c r="H2121" t="s">
        <v>4776</v>
      </c>
      <c r="I2121">
        <v>504</v>
      </c>
      <c r="J2121" t="s">
        <v>7169</v>
      </c>
      <c r="K2121">
        <v>10029</v>
      </c>
      <c r="N2121" t="s">
        <v>7237</v>
      </c>
      <c r="O2121" t="s">
        <v>8593</v>
      </c>
      <c r="P2121">
        <v>2</v>
      </c>
      <c r="Q2121">
        <v>0</v>
      </c>
      <c r="R2121">
        <v>65.39</v>
      </c>
      <c r="U2121">
        <v>10764</v>
      </c>
      <c r="W2121">
        <v>0</v>
      </c>
      <c r="Y2121" t="s">
        <v>10859</v>
      </c>
      <c r="AA2121" t="s">
        <v>10974</v>
      </c>
      <c r="AB2121" t="s">
        <v>832</v>
      </c>
      <c r="AD2121" t="s">
        <v>11101</v>
      </c>
      <c r="AF2121" t="s">
        <v>10384</v>
      </c>
      <c r="AH2121" t="s">
        <v>10975</v>
      </c>
      <c r="AJ2121" t="s">
        <v>11134</v>
      </c>
      <c r="AK2121" t="s">
        <v>7225</v>
      </c>
      <c r="AL2121" t="s">
        <v>11150</v>
      </c>
      <c r="AM2121">
        <v>0</v>
      </c>
      <c r="AO2121">
        <v>108</v>
      </c>
      <c r="AQ2121" t="s">
        <v>11161</v>
      </c>
      <c r="AS2121" t="s">
        <v>11174</v>
      </c>
      <c r="AU2121">
        <v>26</v>
      </c>
      <c r="AW2121" t="s">
        <v>11189</v>
      </c>
      <c r="AY2121" t="s">
        <v>11213</v>
      </c>
      <c r="AZ2121" t="s">
        <v>11221</v>
      </c>
      <c r="BD2121" t="s">
        <v>11667</v>
      </c>
      <c r="BF2121" t="s">
        <v>14364</v>
      </c>
      <c r="BM2121" t="s">
        <v>15650</v>
      </c>
    </row>
    <row r="2122" spans="1:67">
      <c r="A2122" s="1">
        <f>HYPERLINK("https://lsnyc.legalserver.org/matter/dynamic-profile/view/1864472","18-1864472")</f>
        <v>0</v>
      </c>
      <c r="B2122" t="s">
        <v>145</v>
      </c>
      <c r="C2122" t="s">
        <v>245</v>
      </c>
      <c r="D2122" t="s">
        <v>823</v>
      </c>
      <c r="F2122" t="s">
        <v>1738</v>
      </c>
      <c r="G2122" t="s">
        <v>2962</v>
      </c>
      <c r="H2122" t="s">
        <v>4776</v>
      </c>
      <c r="I2122">
        <v>610</v>
      </c>
      <c r="J2122" t="s">
        <v>7169</v>
      </c>
      <c r="K2122">
        <v>10029</v>
      </c>
      <c r="N2122" t="s">
        <v>7237</v>
      </c>
      <c r="O2122" t="s">
        <v>8594</v>
      </c>
      <c r="P2122">
        <v>1</v>
      </c>
      <c r="Q2122">
        <v>2</v>
      </c>
      <c r="R2122">
        <v>107.35</v>
      </c>
      <c r="U2122">
        <v>22308</v>
      </c>
      <c r="W2122">
        <v>80.84999999999999</v>
      </c>
      <c r="X2122" t="s">
        <v>720</v>
      </c>
      <c r="Y2122" t="s">
        <v>10859</v>
      </c>
      <c r="AA2122" t="s">
        <v>10974</v>
      </c>
      <c r="AB2122" t="s">
        <v>823</v>
      </c>
      <c r="AD2122" t="s">
        <v>11101</v>
      </c>
      <c r="AF2122" t="s">
        <v>11118</v>
      </c>
      <c r="AH2122" t="s">
        <v>10974</v>
      </c>
      <c r="AJ2122" t="s">
        <v>11134</v>
      </c>
      <c r="AK2122" t="s">
        <v>7225</v>
      </c>
      <c r="AL2122" t="s">
        <v>11150</v>
      </c>
      <c r="AM2122">
        <v>0</v>
      </c>
      <c r="AO2122">
        <v>108</v>
      </c>
      <c r="AQ2122" t="s">
        <v>11161</v>
      </c>
      <c r="AS2122" t="s">
        <v>11174</v>
      </c>
      <c r="AU2122">
        <v>21</v>
      </c>
      <c r="AW2122" t="s">
        <v>11187</v>
      </c>
      <c r="AY2122" t="s">
        <v>11213</v>
      </c>
      <c r="BA2122" t="s">
        <v>11222</v>
      </c>
      <c r="BE2122" t="s">
        <v>12868</v>
      </c>
      <c r="BF2122" t="s">
        <v>14364</v>
      </c>
      <c r="BG2122" t="s">
        <v>14872</v>
      </c>
      <c r="BM2122" t="s">
        <v>15650</v>
      </c>
    </row>
    <row r="2123" spans="1:67">
      <c r="A2123" s="1">
        <f>HYPERLINK("https://lsnyc.legalserver.org/matter/dynamic-profile/view/0818324","16-0818324")</f>
        <v>0</v>
      </c>
      <c r="B2123" t="s">
        <v>145</v>
      </c>
      <c r="C2123" t="s">
        <v>245</v>
      </c>
      <c r="D2123" t="s">
        <v>838</v>
      </c>
      <c r="F2123" t="s">
        <v>2019</v>
      </c>
      <c r="G2123" t="s">
        <v>3805</v>
      </c>
      <c r="H2123" t="s">
        <v>5458</v>
      </c>
      <c r="I2123" t="s">
        <v>6424</v>
      </c>
      <c r="J2123" t="s">
        <v>7169</v>
      </c>
      <c r="K2123">
        <v>10034</v>
      </c>
      <c r="N2123" t="s">
        <v>7237</v>
      </c>
      <c r="O2123" t="s">
        <v>8595</v>
      </c>
      <c r="P2123">
        <v>3</v>
      </c>
      <c r="Q2123">
        <v>0</v>
      </c>
      <c r="R2123">
        <v>119.88</v>
      </c>
      <c r="U2123">
        <v>24168</v>
      </c>
      <c r="W2123">
        <v>111.32</v>
      </c>
      <c r="X2123" t="s">
        <v>375</v>
      </c>
      <c r="Y2123" t="s">
        <v>10859</v>
      </c>
      <c r="AA2123" t="s">
        <v>10974</v>
      </c>
      <c r="AB2123" t="s">
        <v>471</v>
      </c>
      <c r="AD2123" t="s">
        <v>11096</v>
      </c>
      <c r="AF2123" t="s">
        <v>11122</v>
      </c>
      <c r="AH2123" t="s">
        <v>10975</v>
      </c>
      <c r="AJ2123" t="s">
        <v>11130</v>
      </c>
      <c r="AK2123" t="s">
        <v>7225</v>
      </c>
      <c r="AM2123">
        <v>941.05</v>
      </c>
      <c r="AO2123">
        <v>22</v>
      </c>
      <c r="AQ2123" t="s">
        <v>11157</v>
      </c>
      <c r="AS2123" t="s">
        <v>11173</v>
      </c>
      <c r="AU2123">
        <v>32</v>
      </c>
      <c r="AW2123" t="s">
        <v>11189</v>
      </c>
      <c r="AZ2123" t="s">
        <v>11221</v>
      </c>
      <c r="BE2123" t="s">
        <v>12869</v>
      </c>
      <c r="BF2123" t="s">
        <v>14364</v>
      </c>
      <c r="BM2123" t="s">
        <v>15650</v>
      </c>
    </row>
    <row r="2124" spans="1:67">
      <c r="A2124" s="1">
        <f>HYPERLINK("https://lsnyc.legalserver.org/matter/dynamic-profile/view/1862232","18-1862232")</f>
        <v>0</v>
      </c>
      <c r="B2124" t="s">
        <v>145</v>
      </c>
      <c r="C2124" t="s">
        <v>245</v>
      </c>
      <c r="D2124" t="s">
        <v>368</v>
      </c>
      <c r="F2124" t="s">
        <v>2020</v>
      </c>
      <c r="G2124" t="s">
        <v>3132</v>
      </c>
      <c r="H2124" t="s">
        <v>5462</v>
      </c>
      <c r="I2124" t="s">
        <v>6468</v>
      </c>
      <c r="J2124" t="s">
        <v>7169</v>
      </c>
      <c r="K2124">
        <v>10034</v>
      </c>
      <c r="N2124" t="s">
        <v>7237</v>
      </c>
      <c r="O2124" t="s">
        <v>8596</v>
      </c>
      <c r="P2124">
        <v>5</v>
      </c>
      <c r="Q2124">
        <v>0</v>
      </c>
      <c r="R2124">
        <v>231.19</v>
      </c>
      <c r="U2124">
        <v>68016</v>
      </c>
      <c r="W2124">
        <v>0</v>
      </c>
      <c r="Y2124" t="s">
        <v>127</v>
      </c>
      <c r="AA2124" t="s">
        <v>10974</v>
      </c>
      <c r="AB2124" t="s">
        <v>368</v>
      </c>
      <c r="AD2124" t="s">
        <v>11101</v>
      </c>
      <c r="AF2124" t="s">
        <v>11118</v>
      </c>
      <c r="AH2124" t="s">
        <v>10974</v>
      </c>
      <c r="AJ2124" t="s">
        <v>11130</v>
      </c>
      <c r="AK2124" t="s">
        <v>7225</v>
      </c>
      <c r="AM2124">
        <v>932</v>
      </c>
      <c r="AO2124">
        <v>60</v>
      </c>
      <c r="AQ2124" t="s">
        <v>11157</v>
      </c>
      <c r="AS2124" t="s">
        <v>11173</v>
      </c>
      <c r="AU2124">
        <v>22</v>
      </c>
      <c r="AW2124" t="s">
        <v>11189</v>
      </c>
      <c r="AZ2124" t="s">
        <v>11221</v>
      </c>
      <c r="BE2124" t="s">
        <v>12870</v>
      </c>
      <c r="BF2124" t="s">
        <v>14364</v>
      </c>
      <c r="BG2124" t="s">
        <v>14878</v>
      </c>
      <c r="BM2124" t="s">
        <v>15650</v>
      </c>
    </row>
    <row r="2125" spans="1:67">
      <c r="A2125" s="1">
        <f>HYPERLINK("https://lsnyc.legalserver.org/matter/dynamic-profile/view/1910645","19-1910645")</f>
        <v>0</v>
      </c>
      <c r="B2125" t="s">
        <v>145</v>
      </c>
      <c r="C2125" t="s">
        <v>245</v>
      </c>
      <c r="D2125" t="s">
        <v>554</v>
      </c>
      <c r="F2125" t="s">
        <v>2021</v>
      </c>
      <c r="G2125" t="s">
        <v>1412</v>
      </c>
      <c r="H2125" t="s">
        <v>4780</v>
      </c>
      <c r="I2125" t="s">
        <v>6609</v>
      </c>
      <c r="J2125" t="s">
        <v>7169</v>
      </c>
      <c r="K2125">
        <v>10035</v>
      </c>
      <c r="N2125" t="s">
        <v>7237</v>
      </c>
      <c r="O2125" t="s">
        <v>8597</v>
      </c>
      <c r="P2125">
        <v>2</v>
      </c>
      <c r="Q2125">
        <v>1</v>
      </c>
      <c r="R2125">
        <v>187.53</v>
      </c>
      <c r="U2125">
        <v>40000</v>
      </c>
      <c r="W2125">
        <v>0.2</v>
      </c>
      <c r="X2125" t="s">
        <v>554</v>
      </c>
      <c r="Y2125" t="s">
        <v>10859</v>
      </c>
      <c r="AA2125" t="s">
        <v>10974</v>
      </c>
      <c r="AB2125" t="s">
        <v>624</v>
      </c>
      <c r="AD2125" t="s">
        <v>11098</v>
      </c>
      <c r="AF2125" t="s">
        <v>11120</v>
      </c>
      <c r="AH2125" t="s">
        <v>10974</v>
      </c>
      <c r="AJ2125" t="s">
        <v>11134</v>
      </c>
      <c r="AK2125" t="s">
        <v>7225</v>
      </c>
      <c r="AM2125">
        <v>1461</v>
      </c>
      <c r="AO2125">
        <v>60</v>
      </c>
      <c r="AQ2125" t="s">
        <v>11157</v>
      </c>
      <c r="AS2125" t="s">
        <v>11174</v>
      </c>
      <c r="AU2125">
        <v>15</v>
      </c>
      <c r="AW2125" t="s">
        <v>11187</v>
      </c>
      <c r="AY2125" t="s">
        <v>11215</v>
      </c>
      <c r="BA2125" t="s">
        <v>11222</v>
      </c>
      <c r="BE2125" t="s">
        <v>12871</v>
      </c>
      <c r="BF2125" t="s">
        <v>14364</v>
      </c>
      <c r="BM2125" t="s">
        <v>15650</v>
      </c>
    </row>
    <row r="2126" spans="1:67">
      <c r="A2126" s="1">
        <f>HYPERLINK("https://lsnyc.legalserver.org/matter/dynamic-profile/view/1863969","18-1863969")</f>
        <v>0</v>
      </c>
      <c r="B2126" t="s">
        <v>145</v>
      </c>
      <c r="C2126" t="s">
        <v>245</v>
      </c>
      <c r="D2126" t="s">
        <v>770</v>
      </c>
      <c r="F2126" t="s">
        <v>1491</v>
      </c>
      <c r="G2126" t="s">
        <v>3806</v>
      </c>
      <c r="H2126" t="s">
        <v>4776</v>
      </c>
      <c r="I2126">
        <v>315</v>
      </c>
      <c r="J2126" t="s">
        <v>7169</v>
      </c>
      <c r="K2126">
        <v>10029</v>
      </c>
      <c r="N2126" t="s">
        <v>7237</v>
      </c>
      <c r="O2126" t="s">
        <v>7756</v>
      </c>
      <c r="P2126">
        <v>2</v>
      </c>
      <c r="Q2126">
        <v>0</v>
      </c>
      <c r="R2126">
        <v>205.35</v>
      </c>
      <c r="U2126">
        <v>33800</v>
      </c>
      <c r="W2126">
        <v>0.5</v>
      </c>
      <c r="X2126" t="s">
        <v>666</v>
      </c>
      <c r="Y2126" t="s">
        <v>10859</v>
      </c>
      <c r="AA2126" t="s">
        <v>10974</v>
      </c>
      <c r="AB2126" t="s">
        <v>770</v>
      </c>
      <c r="AD2126" t="s">
        <v>11101</v>
      </c>
      <c r="AF2126" t="s">
        <v>11118</v>
      </c>
      <c r="AH2126" t="s">
        <v>10974</v>
      </c>
      <c r="AJ2126" t="s">
        <v>11134</v>
      </c>
      <c r="AK2126" t="s">
        <v>7225</v>
      </c>
      <c r="AL2126" t="s">
        <v>11150</v>
      </c>
      <c r="AM2126">
        <v>0</v>
      </c>
      <c r="AO2126">
        <v>108</v>
      </c>
      <c r="AQ2126" t="s">
        <v>11161</v>
      </c>
      <c r="AS2126" t="s">
        <v>11174</v>
      </c>
      <c r="AU2126">
        <v>9</v>
      </c>
      <c r="AW2126" t="s">
        <v>11187</v>
      </c>
      <c r="AY2126" t="s">
        <v>11213</v>
      </c>
      <c r="AZ2126" t="s">
        <v>11221</v>
      </c>
      <c r="BD2126" t="s">
        <v>11667</v>
      </c>
      <c r="BF2126" t="s">
        <v>14364</v>
      </c>
      <c r="BG2126" t="s">
        <v>14872</v>
      </c>
      <c r="BM2126" t="s">
        <v>15650</v>
      </c>
    </row>
    <row r="2127" spans="1:67">
      <c r="A2127" s="1">
        <f>HYPERLINK("https://lsnyc.legalserver.org/matter/dynamic-profile/view/1864960","18-1864960")</f>
        <v>0</v>
      </c>
      <c r="B2127" t="s">
        <v>145</v>
      </c>
      <c r="C2127" t="s">
        <v>245</v>
      </c>
      <c r="D2127" t="s">
        <v>716</v>
      </c>
      <c r="F2127" t="s">
        <v>1904</v>
      </c>
      <c r="G2127" t="s">
        <v>3807</v>
      </c>
      <c r="H2127" t="s">
        <v>5478</v>
      </c>
      <c r="I2127" t="s">
        <v>6422</v>
      </c>
      <c r="J2127" t="s">
        <v>7169</v>
      </c>
      <c r="K2127">
        <v>10024</v>
      </c>
      <c r="N2127" t="s">
        <v>7237</v>
      </c>
      <c r="O2127" t="s">
        <v>8412</v>
      </c>
      <c r="P2127">
        <v>2</v>
      </c>
      <c r="Q2127">
        <v>0</v>
      </c>
      <c r="R2127">
        <v>255.16</v>
      </c>
      <c r="S2127" t="s">
        <v>10255</v>
      </c>
      <c r="U2127">
        <v>42000</v>
      </c>
      <c r="W2127">
        <v>66.84999999999999</v>
      </c>
      <c r="X2127" t="s">
        <v>1010</v>
      </c>
      <c r="Y2127" t="s">
        <v>10859</v>
      </c>
      <c r="AA2127" t="s">
        <v>10974</v>
      </c>
      <c r="AB2127" t="s">
        <v>716</v>
      </c>
      <c r="AD2127" t="s">
        <v>11101</v>
      </c>
      <c r="AF2127" t="s">
        <v>11118</v>
      </c>
      <c r="AH2127" t="s">
        <v>10975</v>
      </c>
      <c r="AJ2127" t="s">
        <v>11131</v>
      </c>
      <c r="AK2127" t="s">
        <v>7225</v>
      </c>
      <c r="AM2127">
        <v>760.97</v>
      </c>
      <c r="AO2127">
        <v>20</v>
      </c>
      <c r="AQ2127" t="s">
        <v>11157</v>
      </c>
      <c r="AS2127" t="s">
        <v>11173</v>
      </c>
      <c r="AU2127">
        <v>42</v>
      </c>
      <c r="AW2127" t="s">
        <v>11187</v>
      </c>
      <c r="AY2127" t="s">
        <v>11213</v>
      </c>
      <c r="BA2127" t="s">
        <v>11222</v>
      </c>
      <c r="BE2127" t="s">
        <v>12872</v>
      </c>
      <c r="BF2127" t="s">
        <v>14364</v>
      </c>
      <c r="BG2127" t="s">
        <v>14894</v>
      </c>
      <c r="BI2127" t="s">
        <v>15611</v>
      </c>
      <c r="BK2127" t="s">
        <v>15631</v>
      </c>
      <c r="BM2127" t="s">
        <v>15650</v>
      </c>
      <c r="BN2127" t="s">
        <v>15652</v>
      </c>
      <c r="BO2127" t="s">
        <v>15695</v>
      </c>
    </row>
    <row r="2128" spans="1:67">
      <c r="A2128" s="1">
        <f>HYPERLINK("https://lsnyc.legalserver.org/matter/dynamic-profile/view/1864490","18-1864490")</f>
        <v>0</v>
      </c>
      <c r="B2128" t="s">
        <v>145</v>
      </c>
      <c r="C2128" t="s">
        <v>245</v>
      </c>
      <c r="D2128" t="s">
        <v>823</v>
      </c>
      <c r="F2128" t="s">
        <v>2022</v>
      </c>
      <c r="G2128" t="s">
        <v>3168</v>
      </c>
      <c r="H2128" t="s">
        <v>4776</v>
      </c>
      <c r="I2128">
        <v>701</v>
      </c>
      <c r="J2128" t="s">
        <v>7169</v>
      </c>
      <c r="K2128">
        <v>10029</v>
      </c>
      <c r="N2128" t="s">
        <v>7237</v>
      </c>
      <c r="O2128" t="s">
        <v>8598</v>
      </c>
      <c r="P2128">
        <v>1</v>
      </c>
      <c r="Q2128">
        <v>0</v>
      </c>
      <c r="R2128">
        <v>82.73</v>
      </c>
      <c r="U2128">
        <v>10044</v>
      </c>
      <c r="W2128">
        <v>0.55</v>
      </c>
      <c r="X2128" t="s">
        <v>666</v>
      </c>
      <c r="Y2128" t="s">
        <v>10859</v>
      </c>
      <c r="AA2128" t="s">
        <v>10974</v>
      </c>
      <c r="AB2128" t="s">
        <v>823</v>
      </c>
      <c r="AD2128" t="s">
        <v>11101</v>
      </c>
      <c r="AF2128" t="s">
        <v>11118</v>
      </c>
      <c r="AH2128" t="s">
        <v>10974</v>
      </c>
      <c r="AJ2128" t="s">
        <v>11134</v>
      </c>
      <c r="AK2128" t="s">
        <v>7225</v>
      </c>
      <c r="AL2128" t="s">
        <v>11150</v>
      </c>
      <c r="AM2128">
        <v>0</v>
      </c>
      <c r="AO2128">
        <v>108</v>
      </c>
      <c r="AQ2128" t="s">
        <v>11161</v>
      </c>
      <c r="AS2128" t="s">
        <v>11174</v>
      </c>
      <c r="AU2128">
        <v>31</v>
      </c>
      <c r="AW2128" t="s">
        <v>11189</v>
      </c>
      <c r="AY2128" t="s">
        <v>11213</v>
      </c>
      <c r="AZ2128" t="s">
        <v>11221</v>
      </c>
      <c r="BE2128" t="s">
        <v>12873</v>
      </c>
      <c r="BF2128" t="s">
        <v>14364</v>
      </c>
      <c r="BG2128" t="s">
        <v>14872</v>
      </c>
      <c r="BM2128" t="s">
        <v>15650</v>
      </c>
    </row>
    <row r="2129" spans="1:65">
      <c r="A2129" s="1">
        <f>HYPERLINK("https://lsnyc.legalserver.org/matter/dynamic-profile/view/0824540","17-0824540")</f>
        <v>0</v>
      </c>
      <c r="B2129" t="s">
        <v>145</v>
      </c>
      <c r="C2129" t="s">
        <v>245</v>
      </c>
      <c r="D2129" t="s">
        <v>839</v>
      </c>
      <c r="E2129" t="s">
        <v>262</v>
      </c>
      <c r="F2129" t="s">
        <v>1260</v>
      </c>
      <c r="G2129" t="s">
        <v>3808</v>
      </c>
      <c r="H2129" t="s">
        <v>5479</v>
      </c>
      <c r="I2129" t="s">
        <v>6757</v>
      </c>
      <c r="J2129" t="s">
        <v>7169</v>
      </c>
      <c r="K2129">
        <v>10029</v>
      </c>
      <c r="L2129" t="s">
        <v>7222</v>
      </c>
      <c r="N2129" t="s">
        <v>7241</v>
      </c>
      <c r="O2129" t="s">
        <v>8599</v>
      </c>
      <c r="P2129">
        <v>1</v>
      </c>
      <c r="Q2129">
        <v>1</v>
      </c>
      <c r="R2129">
        <v>92.48999999999999</v>
      </c>
      <c r="U2129">
        <v>14817</v>
      </c>
      <c r="W2129">
        <v>17.7</v>
      </c>
      <c r="X2129" t="s">
        <v>846</v>
      </c>
      <c r="Y2129" t="s">
        <v>10859</v>
      </c>
      <c r="AA2129" t="s">
        <v>10974</v>
      </c>
      <c r="AB2129" t="s">
        <v>774</v>
      </c>
      <c r="AD2129" t="s">
        <v>11095</v>
      </c>
      <c r="AF2129" t="s">
        <v>11120</v>
      </c>
      <c r="AH2129" t="s">
        <v>10975</v>
      </c>
      <c r="AJ2129" t="s">
        <v>11129</v>
      </c>
      <c r="AK2129" t="s">
        <v>7225</v>
      </c>
      <c r="AM2129">
        <v>1016</v>
      </c>
      <c r="AO2129">
        <v>23</v>
      </c>
      <c r="AQ2129" t="s">
        <v>11157</v>
      </c>
      <c r="AS2129" t="s">
        <v>11173</v>
      </c>
      <c r="AU2129">
        <v>24</v>
      </c>
      <c r="AW2129" t="s">
        <v>11187</v>
      </c>
      <c r="AY2129" t="s">
        <v>11213</v>
      </c>
      <c r="BA2129" t="s">
        <v>11222</v>
      </c>
      <c r="BE2129" t="s">
        <v>12874</v>
      </c>
      <c r="BF2129" t="s">
        <v>14364</v>
      </c>
      <c r="BM2129" t="s">
        <v>15651</v>
      </c>
    </row>
    <row r="2130" spans="1:65">
      <c r="A2130" s="1">
        <f>HYPERLINK("https://lsnyc.legalserver.org/matter/dynamic-profile/view/1904190","19-1904190")</f>
        <v>0</v>
      </c>
      <c r="B2130" t="s">
        <v>145</v>
      </c>
      <c r="C2130" t="s">
        <v>245</v>
      </c>
      <c r="D2130" t="s">
        <v>423</v>
      </c>
      <c r="F2130" t="s">
        <v>2023</v>
      </c>
      <c r="G2130" t="s">
        <v>2902</v>
      </c>
      <c r="H2130" t="s">
        <v>4776</v>
      </c>
      <c r="I2130">
        <v>309</v>
      </c>
      <c r="J2130" t="s">
        <v>7169</v>
      </c>
      <c r="K2130">
        <v>10029</v>
      </c>
      <c r="N2130" t="s">
        <v>7237</v>
      </c>
      <c r="O2130" t="s">
        <v>8600</v>
      </c>
      <c r="P2130">
        <v>2</v>
      </c>
      <c r="Q2130">
        <v>0</v>
      </c>
      <c r="R2130">
        <v>79.91</v>
      </c>
      <c r="U2130">
        <v>13512</v>
      </c>
      <c r="W2130">
        <v>1.2</v>
      </c>
      <c r="X2130" t="s">
        <v>312</v>
      </c>
      <c r="Y2130" t="s">
        <v>10859</v>
      </c>
      <c r="AA2130" t="s">
        <v>10974</v>
      </c>
      <c r="AB2130" t="s">
        <v>1008</v>
      </c>
      <c r="AD2130" t="s">
        <v>11101</v>
      </c>
      <c r="AF2130" t="s">
        <v>11119</v>
      </c>
      <c r="AH2130" t="s">
        <v>10974</v>
      </c>
      <c r="AJ2130" t="s">
        <v>11134</v>
      </c>
      <c r="AK2130" t="s">
        <v>7225</v>
      </c>
      <c r="AM2130">
        <v>274</v>
      </c>
      <c r="AO2130">
        <v>108</v>
      </c>
      <c r="AQ2130" t="s">
        <v>11161</v>
      </c>
      <c r="AS2130" t="s">
        <v>11173</v>
      </c>
      <c r="AU2130">
        <v>29</v>
      </c>
      <c r="AW2130" t="s">
        <v>11187</v>
      </c>
      <c r="AY2130" t="s">
        <v>11213</v>
      </c>
      <c r="BA2130" t="s">
        <v>11222</v>
      </c>
      <c r="BE2130" t="s">
        <v>12875</v>
      </c>
      <c r="BF2130" t="s">
        <v>14364</v>
      </c>
      <c r="BM2130" t="s">
        <v>15650</v>
      </c>
    </row>
    <row r="2131" spans="1:65">
      <c r="A2131" s="1">
        <f>HYPERLINK("https://lsnyc.legalserver.org/matter/dynamic-profile/view/1914053","19-1914053")</f>
        <v>0</v>
      </c>
      <c r="B2131" t="s">
        <v>145</v>
      </c>
      <c r="C2131" t="s">
        <v>245</v>
      </c>
      <c r="D2131" t="s">
        <v>301</v>
      </c>
      <c r="F2131" t="s">
        <v>1280</v>
      </c>
      <c r="G2131" t="s">
        <v>3809</v>
      </c>
      <c r="H2131" t="s">
        <v>4776</v>
      </c>
      <c r="I2131">
        <v>213</v>
      </c>
      <c r="J2131" t="s">
        <v>7169</v>
      </c>
      <c r="K2131">
        <v>10029</v>
      </c>
      <c r="N2131" t="s">
        <v>7237</v>
      </c>
      <c r="O2131" t="s">
        <v>8601</v>
      </c>
      <c r="P2131">
        <v>1</v>
      </c>
      <c r="Q2131">
        <v>2</v>
      </c>
      <c r="R2131">
        <v>43.38</v>
      </c>
      <c r="U2131">
        <v>9252</v>
      </c>
      <c r="W2131">
        <v>0</v>
      </c>
      <c r="Y2131" t="s">
        <v>10859</v>
      </c>
      <c r="AA2131" t="s">
        <v>10974</v>
      </c>
      <c r="AB2131" t="s">
        <v>301</v>
      </c>
      <c r="AD2131" t="s">
        <v>11101</v>
      </c>
      <c r="AF2131" t="s">
        <v>11121</v>
      </c>
      <c r="AH2131" t="s">
        <v>10974</v>
      </c>
      <c r="AJ2131" t="s">
        <v>11104</v>
      </c>
      <c r="AK2131" t="s">
        <v>7225</v>
      </c>
      <c r="AM2131">
        <v>62</v>
      </c>
      <c r="AO2131">
        <v>108</v>
      </c>
      <c r="AQ2131" t="s">
        <v>11157</v>
      </c>
      <c r="AS2131" t="s">
        <v>11174</v>
      </c>
      <c r="AU2131">
        <v>23</v>
      </c>
      <c r="AW2131" t="s">
        <v>11189</v>
      </c>
      <c r="AY2131" t="s">
        <v>11213</v>
      </c>
      <c r="BA2131" t="s">
        <v>11222</v>
      </c>
      <c r="BE2131" t="s">
        <v>12876</v>
      </c>
      <c r="BF2131" t="s">
        <v>14364</v>
      </c>
      <c r="BM2131" t="s">
        <v>15650</v>
      </c>
    </row>
    <row r="2132" spans="1:65">
      <c r="A2132" s="1">
        <f>HYPERLINK("https://lsnyc.legalserver.org/matter/dynamic-profile/view/1841494","17-1841494")</f>
        <v>0</v>
      </c>
      <c r="B2132" t="s">
        <v>145</v>
      </c>
      <c r="C2132" t="s">
        <v>245</v>
      </c>
      <c r="D2132" t="s">
        <v>840</v>
      </c>
      <c r="E2132" t="s">
        <v>262</v>
      </c>
      <c r="F2132" t="s">
        <v>2024</v>
      </c>
      <c r="G2132" t="s">
        <v>3152</v>
      </c>
      <c r="H2132" t="s">
        <v>5460</v>
      </c>
      <c r="I2132" t="s">
        <v>6495</v>
      </c>
      <c r="J2132" t="s">
        <v>7169</v>
      </c>
      <c r="K2132">
        <v>10029</v>
      </c>
      <c r="L2132" t="s">
        <v>7217</v>
      </c>
      <c r="N2132" t="s">
        <v>7237</v>
      </c>
      <c r="O2132" t="s">
        <v>8602</v>
      </c>
      <c r="P2132">
        <v>1</v>
      </c>
      <c r="Q2132">
        <v>1</v>
      </c>
      <c r="R2132">
        <v>22.17</v>
      </c>
      <c r="U2132">
        <v>3600</v>
      </c>
      <c r="W2132">
        <v>3.45</v>
      </c>
      <c r="X2132" t="s">
        <v>291</v>
      </c>
      <c r="Y2132" t="s">
        <v>10859</v>
      </c>
      <c r="AA2132" t="s">
        <v>10974</v>
      </c>
      <c r="AB2132" t="s">
        <v>348</v>
      </c>
      <c r="AD2132" t="s">
        <v>11086</v>
      </c>
      <c r="AF2132" t="s">
        <v>10384</v>
      </c>
      <c r="AH2132" t="s">
        <v>10974</v>
      </c>
      <c r="AJ2132" t="s">
        <v>11134</v>
      </c>
      <c r="AK2132" t="s">
        <v>7225</v>
      </c>
      <c r="AM2132">
        <v>677.6</v>
      </c>
      <c r="AO2132">
        <v>13</v>
      </c>
      <c r="AQ2132" t="s">
        <v>11157</v>
      </c>
      <c r="AS2132" t="s">
        <v>11173</v>
      </c>
      <c r="AU2132">
        <v>40</v>
      </c>
      <c r="AW2132" t="s">
        <v>11187</v>
      </c>
      <c r="AY2132" t="s">
        <v>11213</v>
      </c>
      <c r="BA2132" t="s">
        <v>11222</v>
      </c>
      <c r="BE2132" t="s">
        <v>12877</v>
      </c>
      <c r="BF2132" t="s">
        <v>14364</v>
      </c>
      <c r="BM2132" t="s">
        <v>15651</v>
      </c>
    </row>
    <row r="2133" spans="1:65">
      <c r="A2133" s="1">
        <f>HYPERLINK("https://lsnyc.legalserver.org/matter/dynamic-profile/view/1866427","18-1866427")</f>
        <v>0</v>
      </c>
      <c r="B2133" t="s">
        <v>145</v>
      </c>
      <c r="C2133" t="s">
        <v>245</v>
      </c>
      <c r="D2133" t="s">
        <v>829</v>
      </c>
      <c r="F2133" t="s">
        <v>2025</v>
      </c>
      <c r="G2133" t="s">
        <v>2911</v>
      </c>
      <c r="H2133" t="s">
        <v>5463</v>
      </c>
      <c r="I2133" t="s">
        <v>6485</v>
      </c>
      <c r="J2133" t="s">
        <v>7169</v>
      </c>
      <c r="K2133">
        <v>10031</v>
      </c>
      <c r="N2133" t="s">
        <v>7237</v>
      </c>
      <c r="O2133" t="s">
        <v>8603</v>
      </c>
      <c r="P2133">
        <v>2</v>
      </c>
      <c r="Q2133">
        <v>1</v>
      </c>
      <c r="R2133">
        <v>255.05</v>
      </c>
      <c r="S2133" t="s">
        <v>10255</v>
      </c>
      <c r="U2133">
        <v>53000</v>
      </c>
      <c r="W2133">
        <v>1</v>
      </c>
      <c r="X2133" t="s">
        <v>1008</v>
      </c>
      <c r="Y2133" t="s">
        <v>10859</v>
      </c>
      <c r="AA2133" t="s">
        <v>10974</v>
      </c>
      <c r="AB2133" t="s">
        <v>829</v>
      </c>
      <c r="AD2133" t="s">
        <v>11101</v>
      </c>
      <c r="AF2133" t="s">
        <v>10384</v>
      </c>
      <c r="AH2133" t="s">
        <v>10974</v>
      </c>
      <c r="AJ2133" t="s">
        <v>11134</v>
      </c>
      <c r="AK2133" t="s">
        <v>7225</v>
      </c>
      <c r="AM2133">
        <v>2126</v>
      </c>
      <c r="AO2133">
        <v>42</v>
      </c>
      <c r="AQ2133" t="s">
        <v>11161</v>
      </c>
      <c r="AS2133" t="s">
        <v>11174</v>
      </c>
      <c r="AU2133">
        <v>17</v>
      </c>
      <c r="AW2133" t="s">
        <v>11189</v>
      </c>
      <c r="AY2133" t="s">
        <v>11213</v>
      </c>
      <c r="AZ2133" t="s">
        <v>11221</v>
      </c>
      <c r="BE2133" t="s">
        <v>12878</v>
      </c>
      <c r="BF2133" t="s">
        <v>14364</v>
      </c>
      <c r="BM2133" t="s">
        <v>15650</v>
      </c>
    </row>
    <row r="2134" spans="1:65">
      <c r="A2134" s="1">
        <f>HYPERLINK("https://lsnyc.legalserver.org/matter/dynamic-profile/view/0809828","16-0809828")</f>
        <v>0</v>
      </c>
      <c r="B2134" t="s">
        <v>145</v>
      </c>
      <c r="C2134" t="s">
        <v>245</v>
      </c>
      <c r="D2134" t="s">
        <v>841</v>
      </c>
      <c r="F2134" t="s">
        <v>2026</v>
      </c>
      <c r="G2134" t="s">
        <v>3810</v>
      </c>
      <c r="H2134" t="s">
        <v>5480</v>
      </c>
      <c r="I2134" t="s">
        <v>6424</v>
      </c>
      <c r="J2134" t="s">
        <v>7169</v>
      </c>
      <c r="K2134">
        <v>10035</v>
      </c>
      <c r="N2134" t="s">
        <v>7237</v>
      </c>
      <c r="O2134" t="s">
        <v>8604</v>
      </c>
      <c r="P2134">
        <v>5</v>
      </c>
      <c r="Q2134">
        <v>1</v>
      </c>
      <c r="R2134">
        <v>82.36</v>
      </c>
      <c r="U2134">
        <v>36528</v>
      </c>
      <c r="W2134">
        <v>53.3</v>
      </c>
      <c r="X2134" t="s">
        <v>541</v>
      </c>
      <c r="Y2134" t="s">
        <v>10937</v>
      </c>
      <c r="AA2134" t="s">
        <v>10974</v>
      </c>
      <c r="AB2134" t="s">
        <v>841</v>
      </c>
      <c r="AD2134" t="s">
        <v>11083</v>
      </c>
      <c r="AF2134" t="s">
        <v>11118</v>
      </c>
      <c r="AH2134" t="s">
        <v>10975</v>
      </c>
      <c r="AJ2134" t="s">
        <v>11129</v>
      </c>
      <c r="AK2134" t="s">
        <v>7225</v>
      </c>
      <c r="AL2134" t="s">
        <v>11150</v>
      </c>
      <c r="AM2134">
        <v>0</v>
      </c>
      <c r="AO2134">
        <v>42</v>
      </c>
      <c r="AQ2134" t="s">
        <v>11161</v>
      </c>
      <c r="AS2134" t="s">
        <v>11174</v>
      </c>
      <c r="AU2134">
        <v>40</v>
      </c>
      <c r="AW2134" t="s">
        <v>11187</v>
      </c>
      <c r="BA2134" t="s">
        <v>11222</v>
      </c>
      <c r="BE2134" t="s">
        <v>12879</v>
      </c>
      <c r="BG2134" t="s">
        <v>14895</v>
      </c>
      <c r="BM2134" t="s">
        <v>15650</v>
      </c>
    </row>
    <row r="2135" spans="1:65">
      <c r="A2135" s="1">
        <f>HYPERLINK("https://lsnyc.legalserver.org/matter/dynamic-profile/view/1864155","18-1864155")</f>
        <v>0</v>
      </c>
      <c r="B2135" t="s">
        <v>145</v>
      </c>
      <c r="C2135" t="s">
        <v>245</v>
      </c>
      <c r="D2135" t="s">
        <v>817</v>
      </c>
      <c r="F2135" t="s">
        <v>1149</v>
      </c>
      <c r="G2135" t="s">
        <v>3101</v>
      </c>
      <c r="H2135" t="s">
        <v>4776</v>
      </c>
      <c r="I2135">
        <v>513</v>
      </c>
      <c r="J2135" t="s">
        <v>7169</v>
      </c>
      <c r="K2135">
        <v>10029</v>
      </c>
      <c r="N2135" t="s">
        <v>7237</v>
      </c>
      <c r="O2135" t="s">
        <v>8605</v>
      </c>
      <c r="P2135">
        <v>1</v>
      </c>
      <c r="Q2135">
        <v>0</v>
      </c>
      <c r="R2135">
        <v>0</v>
      </c>
      <c r="U2135">
        <v>0</v>
      </c>
      <c r="W2135">
        <v>0.25</v>
      </c>
      <c r="X2135" t="s">
        <v>666</v>
      </c>
      <c r="Y2135" t="s">
        <v>10859</v>
      </c>
      <c r="AA2135" t="s">
        <v>10974</v>
      </c>
      <c r="AB2135" t="s">
        <v>817</v>
      </c>
      <c r="AD2135" t="s">
        <v>11101</v>
      </c>
      <c r="AF2135" t="s">
        <v>11118</v>
      </c>
      <c r="AH2135" t="s">
        <v>10974</v>
      </c>
      <c r="AJ2135" t="s">
        <v>11134</v>
      </c>
      <c r="AK2135" t="s">
        <v>7225</v>
      </c>
      <c r="AL2135" t="s">
        <v>11150</v>
      </c>
      <c r="AM2135">
        <v>0</v>
      </c>
      <c r="AO2135">
        <v>108</v>
      </c>
      <c r="AQ2135" t="s">
        <v>11161</v>
      </c>
      <c r="AS2135" t="s">
        <v>11174</v>
      </c>
      <c r="AU2135">
        <v>34</v>
      </c>
      <c r="AW2135" t="s">
        <v>11187</v>
      </c>
      <c r="AY2135" t="s">
        <v>11213</v>
      </c>
      <c r="AZ2135" t="s">
        <v>11221</v>
      </c>
      <c r="BE2135" t="s">
        <v>12880</v>
      </c>
      <c r="BF2135" t="s">
        <v>14364</v>
      </c>
      <c r="BG2135" t="s">
        <v>14872</v>
      </c>
      <c r="BM2135" t="s">
        <v>15650</v>
      </c>
    </row>
    <row r="2136" spans="1:65">
      <c r="A2136" s="1">
        <f>HYPERLINK("https://lsnyc.legalserver.org/matter/dynamic-profile/view/1863783","18-1863783")</f>
        <v>0</v>
      </c>
      <c r="B2136" t="s">
        <v>145</v>
      </c>
      <c r="C2136" t="s">
        <v>245</v>
      </c>
      <c r="D2136" t="s">
        <v>350</v>
      </c>
      <c r="F2136" t="s">
        <v>2027</v>
      </c>
      <c r="G2136" t="s">
        <v>3811</v>
      </c>
      <c r="H2136" t="s">
        <v>4776</v>
      </c>
      <c r="I2136">
        <v>8030</v>
      </c>
      <c r="J2136" t="s">
        <v>7169</v>
      </c>
      <c r="K2136">
        <v>10029</v>
      </c>
      <c r="N2136" t="s">
        <v>7237</v>
      </c>
      <c r="O2136" t="s">
        <v>8606</v>
      </c>
      <c r="P2136">
        <v>2</v>
      </c>
      <c r="Q2136">
        <v>1</v>
      </c>
      <c r="R2136">
        <v>200.19</v>
      </c>
      <c r="U2136">
        <v>41600</v>
      </c>
      <c r="V2136" t="s">
        <v>10488</v>
      </c>
      <c r="W2136">
        <v>0.6</v>
      </c>
      <c r="X2136" t="s">
        <v>314</v>
      </c>
      <c r="Y2136" t="s">
        <v>10859</v>
      </c>
      <c r="AA2136" t="s">
        <v>10974</v>
      </c>
      <c r="AB2136" t="s">
        <v>832</v>
      </c>
      <c r="AD2136" t="s">
        <v>11101</v>
      </c>
      <c r="AF2136" t="s">
        <v>11118</v>
      </c>
      <c r="AH2136" t="s">
        <v>10974</v>
      </c>
      <c r="AJ2136" t="s">
        <v>11134</v>
      </c>
      <c r="AK2136" t="s">
        <v>7225</v>
      </c>
      <c r="AL2136" t="s">
        <v>11150</v>
      </c>
      <c r="AM2136">
        <v>0</v>
      </c>
      <c r="AO2136">
        <v>108</v>
      </c>
      <c r="AQ2136" t="s">
        <v>11161</v>
      </c>
      <c r="AS2136" t="s">
        <v>11174</v>
      </c>
      <c r="AU2136">
        <v>6</v>
      </c>
      <c r="AW2136" t="s">
        <v>11187</v>
      </c>
      <c r="AY2136" t="s">
        <v>11213</v>
      </c>
      <c r="AZ2136" t="s">
        <v>11221</v>
      </c>
      <c r="BE2136" t="s">
        <v>12881</v>
      </c>
      <c r="BF2136" t="s">
        <v>14364</v>
      </c>
      <c r="BG2136" t="s">
        <v>14872</v>
      </c>
      <c r="BM2136" t="s">
        <v>15650</v>
      </c>
    </row>
    <row r="2137" spans="1:65">
      <c r="A2137" s="1">
        <f>HYPERLINK("https://lsnyc.legalserver.org/matter/dynamic-profile/view/1881397","18-1881397")</f>
        <v>0</v>
      </c>
      <c r="B2137" t="s">
        <v>145</v>
      </c>
      <c r="C2137" t="s">
        <v>245</v>
      </c>
      <c r="D2137" t="s">
        <v>625</v>
      </c>
      <c r="F2137" t="s">
        <v>2028</v>
      </c>
      <c r="G2137" t="s">
        <v>3812</v>
      </c>
      <c r="H2137" t="s">
        <v>5463</v>
      </c>
      <c r="I2137" t="s">
        <v>6486</v>
      </c>
      <c r="J2137" t="s">
        <v>7169</v>
      </c>
      <c r="K2137">
        <v>10031</v>
      </c>
      <c r="N2137" t="s">
        <v>7237</v>
      </c>
      <c r="O2137" t="s">
        <v>8607</v>
      </c>
      <c r="P2137">
        <v>2</v>
      </c>
      <c r="Q2137">
        <v>0</v>
      </c>
      <c r="R2137">
        <v>22.38</v>
      </c>
      <c r="U2137">
        <v>3684</v>
      </c>
      <c r="W2137">
        <v>0.25</v>
      </c>
      <c r="X2137" t="s">
        <v>259</v>
      </c>
      <c r="Y2137" t="s">
        <v>10859</v>
      </c>
      <c r="AA2137" t="s">
        <v>10974</v>
      </c>
      <c r="AB2137" t="s">
        <v>323</v>
      </c>
      <c r="AD2137" t="s">
        <v>11101</v>
      </c>
      <c r="AF2137" t="s">
        <v>11118</v>
      </c>
      <c r="AH2137" t="s">
        <v>10974</v>
      </c>
      <c r="AJ2137" t="s">
        <v>11134</v>
      </c>
      <c r="AK2137" t="s">
        <v>7225</v>
      </c>
      <c r="AM2137">
        <v>457</v>
      </c>
      <c r="AO2137">
        <v>44</v>
      </c>
      <c r="AQ2137" t="s">
        <v>11157</v>
      </c>
      <c r="AS2137" t="s">
        <v>11174</v>
      </c>
      <c r="AU2137">
        <v>14</v>
      </c>
      <c r="AW2137" t="s">
        <v>11187</v>
      </c>
      <c r="AY2137" t="s">
        <v>11213</v>
      </c>
      <c r="AZ2137" t="s">
        <v>11221</v>
      </c>
      <c r="BE2137" t="s">
        <v>12882</v>
      </c>
      <c r="BF2137" t="s">
        <v>14364</v>
      </c>
      <c r="BG2137" t="s">
        <v>14896</v>
      </c>
      <c r="BM2137" t="s">
        <v>15650</v>
      </c>
    </row>
    <row r="2138" spans="1:65">
      <c r="A2138" s="1">
        <f>HYPERLINK("https://lsnyc.legalserver.org/matter/dynamic-profile/view/1847273","17-1847273")</f>
        <v>0</v>
      </c>
      <c r="B2138" t="s">
        <v>145</v>
      </c>
      <c r="C2138" t="s">
        <v>245</v>
      </c>
      <c r="D2138" t="s">
        <v>282</v>
      </c>
      <c r="E2138" t="s">
        <v>426</v>
      </c>
      <c r="F2138" t="s">
        <v>1635</v>
      </c>
      <c r="G2138" t="s">
        <v>3813</v>
      </c>
      <c r="H2138" t="s">
        <v>4922</v>
      </c>
      <c r="I2138" t="s">
        <v>6628</v>
      </c>
      <c r="J2138" t="s">
        <v>7169</v>
      </c>
      <c r="K2138">
        <v>10040</v>
      </c>
      <c r="L2138" t="s">
        <v>7217</v>
      </c>
      <c r="N2138" t="s">
        <v>7237</v>
      </c>
      <c r="O2138" t="s">
        <v>8524</v>
      </c>
      <c r="P2138">
        <v>1</v>
      </c>
      <c r="Q2138">
        <v>0</v>
      </c>
      <c r="R2138">
        <v>87.36</v>
      </c>
      <c r="S2138" t="s">
        <v>10266</v>
      </c>
      <c r="U2138">
        <v>10536</v>
      </c>
      <c r="V2138" t="s">
        <v>10491</v>
      </c>
      <c r="W2138">
        <v>0.1</v>
      </c>
      <c r="X2138" t="s">
        <v>966</v>
      </c>
      <c r="Y2138" t="s">
        <v>127</v>
      </c>
      <c r="AA2138" t="s">
        <v>10974</v>
      </c>
      <c r="AB2138" t="s">
        <v>282</v>
      </c>
      <c r="AD2138" t="s">
        <v>11096</v>
      </c>
      <c r="AF2138" t="s">
        <v>11120</v>
      </c>
      <c r="AH2138" t="s">
        <v>10974</v>
      </c>
      <c r="AJ2138" t="s">
        <v>11130</v>
      </c>
      <c r="AK2138" t="s">
        <v>7225</v>
      </c>
      <c r="AM2138">
        <v>989</v>
      </c>
      <c r="AO2138">
        <v>43</v>
      </c>
      <c r="AQ2138" t="s">
        <v>11157</v>
      </c>
      <c r="AS2138" t="s">
        <v>11174</v>
      </c>
      <c r="AU2138">
        <v>25</v>
      </c>
      <c r="AW2138" t="s">
        <v>11189</v>
      </c>
      <c r="AZ2138" t="s">
        <v>11221</v>
      </c>
      <c r="BD2138" t="s">
        <v>11667</v>
      </c>
      <c r="BG2138" t="s">
        <v>14897</v>
      </c>
      <c r="BM2138" t="s">
        <v>15651</v>
      </c>
    </row>
    <row r="2139" spans="1:65">
      <c r="A2139" s="1">
        <f>HYPERLINK("https://lsnyc.legalserver.org/matter/dynamic-profile/view/1864513","18-1864513")</f>
        <v>0</v>
      </c>
      <c r="B2139" t="s">
        <v>145</v>
      </c>
      <c r="C2139" t="s">
        <v>245</v>
      </c>
      <c r="D2139" t="s">
        <v>823</v>
      </c>
      <c r="F2139" t="s">
        <v>2029</v>
      </c>
      <c r="G2139" t="s">
        <v>3814</v>
      </c>
      <c r="H2139" t="s">
        <v>4776</v>
      </c>
      <c r="I2139">
        <v>410</v>
      </c>
      <c r="J2139" t="s">
        <v>7169</v>
      </c>
      <c r="K2139">
        <v>10029</v>
      </c>
      <c r="N2139" t="s">
        <v>7237</v>
      </c>
      <c r="O2139" t="s">
        <v>8608</v>
      </c>
      <c r="P2139">
        <v>2</v>
      </c>
      <c r="Q2139">
        <v>0</v>
      </c>
      <c r="R2139">
        <v>148.19</v>
      </c>
      <c r="U2139">
        <v>24392</v>
      </c>
      <c r="W2139">
        <v>0.5</v>
      </c>
      <c r="X2139" t="s">
        <v>666</v>
      </c>
      <c r="Y2139" t="s">
        <v>10859</v>
      </c>
      <c r="AA2139" t="s">
        <v>10974</v>
      </c>
      <c r="AB2139" t="s">
        <v>823</v>
      </c>
      <c r="AD2139" t="s">
        <v>11101</v>
      </c>
      <c r="AF2139" t="s">
        <v>11118</v>
      </c>
      <c r="AH2139" t="s">
        <v>10974</v>
      </c>
      <c r="AJ2139" t="s">
        <v>11134</v>
      </c>
      <c r="AK2139" t="s">
        <v>7225</v>
      </c>
      <c r="AL2139" t="s">
        <v>11150</v>
      </c>
      <c r="AM2139">
        <v>0</v>
      </c>
      <c r="AO2139">
        <v>108</v>
      </c>
      <c r="AQ2139" t="s">
        <v>11161</v>
      </c>
      <c r="AS2139" t="s">
        <v>11174</v>
      </c>
      <c r="AU2139">
        <v>19</v>
      </c>
      <c r="AW2139" t="s">
        <v>11189</v>
      </c>
      <c r="AY2139" t="s">
        <v>11213</v>
      </c>
      <c r="AZ2139" t="s">
        <v>11221</v>
      </c>
      <c r="BD2139" t="s">
        <v>11667</v>
      </c>
      <c r="BF2139" t="s">
        <v>14364</v>
      </c>
      <c r="BG2139" t="s">
        <v>14872</v>
      </c>
      <c r="BM2139" t="s">
        <v>15650</v>
      </c>
    </row>
    <row r="2140" spans="1:65">
      <c r="A2140" s="1">
        <f>HYPERLINK("https://lsnyc.legalserver.org/matter/dynamic-profile/view/1914043","19-1914043")</f>
        <v>0</v>
      </c>
      <c r="B2140" t="s">
        <v>145</v>
      </c>
      <c r="C2140" t="s">
        <v>245</v>
      </c>
      <c r="D2140" t="s">
        <v>301</v>
      </c>
      <c r="F2140" t="s">
        <v>2012</v>
      </c>
      <c r="G2140" t="s">
        <v>3801</v>
      </c>
      <c r="H2140" t="s">
        <v>4776</v>
      </c>
      <c r="I2140">
        <v>506</v>
      </c>
      <c r="J2140" t="s">
        <v>7169</v>
      </c>
      <c r="K2140">
        <v>10029</v>
      </c>
      <c r="N2140" t="s">
        <v>7237</v>
      </c>
      <c r="O2140" t="s">
        <v>8581</v>
      </c>
      <c r="P2140">
        <v>1</v>
      </c>
      <c r="Q2140">
        <v>1</v>
      </c>
      <c r="R2140">
        <v>189.24</v>
      </c>
      <c r="U2140">
        <v>32000</v>
      </c>
      <c r="W2140">
        <v>0</v>
      </c>
      <c r="Y2140" t="s">
        <v>10859</v>
      </c>
      <c r="AA2140" t="s">
        <v>10974</v>
      </c>
      <c r="AB2140" t="s">
        <v>735</v>
      </c>
      <c r="AD2140" t="s">
        <v>11086</v>
      </c>
      <c r="AF2140" t="s">
        <v>11121</v>
      </c>
      <c r="AH2140" t="s">
        <v>10974</v>
      </c>
      <c r="AJ2140" t="s">
        <v>11134</v>
      </c>
      <c r="AK2140" t="s">
        <v>7225</v>
      </c>
      <c r="AM2140">
        <v>689</v>
      </c>
      <c r="AO2140">
        <v>108</v>
      </c>
      <c r="AQ2140" t="s">
        <v>11157</v>
      </c>
      <c r="AS2140" t="s">
        <v>11174</v>
      </c>
      <c r="AU2140">
        <v>1</v>
      </c>
      <c r="AW2140" t="s">
        <v>11187</v>
      </c>
      <c r="AY2140" t="s">
        <v>11213</v>
      </c>
      <c r="BA2140" t="s">
        <v>11222</v>
      </c>
      <c r="BE2140" t="s">
        <v>12883</v>
      </c>
      <c r="BF2140" t="s">
        <v>14364</v>
      </c>
      <c r="BM2140" t="s">
        <v>15650</v>
      </c>
    </row>
    <row r="2141" spans="1:65">
      <c r="A2141" s="1">
        <f>HYPERLINK("https://lsnyc.legalserver.org/matter/dynamic-profile/view/0821680","16-0821680")</f>
        <v>0</v>
      </c>
      <c r="B2141" t="s">
        <v>145</v>
      </c>
      <c r="C2141" t="s">
        <v>245</v>
      </c>
      <c r="D2141" t="s">
        <v>513</v>
      </c>
      <c r="F2141" t="s">
        <v>1455</v>
      </c>
      <c r="G2141" t="s">
        <v>2902</v>
      </c>
      <c r="H2141" t="s">
        <v>5481</v>
      </c>
      <c r="I2141">
        <v>44</v>
      </c>
      <c r="J2141" t="s">
        <v>7169</v>
      </c>
      <c r="K2141">
        <v>10033</v>
      </c>
      <c r="N2141" t="s">
        <v>7237</v>
      </c>
      <c r="O2141" t="s">
        <v>8609</v>
      </c>
      <c r="P2141">
        <v>2</v>
      </c>
      <c r="Q2141">
        <v>3</v>
      </c>
      <c r="R2141">
        <v>82.28</v>
      </c>
      <c r="S2141" t="s">
        <v>1057</v>
      </c>
      <c r="U2141">
        <v>23400</v>
      </c>
      <c r="W2141">
        <v>28.41</v>
      </c>
      <c r="X2141" t="s">
        <v>664</v>
      </c>
      <c r="Y2141" t="s">
        <v>10859</v>
      </c>
      <c r="AA2141" t="s">
        <v>10974</v>
      </c>
      <c r="AB2141" t="s">
        <v>514</v>
      </c>
      <c r="AD2141" t="s">
        <v>11096</v>
      </c>
      <c r="AF2141" t="s">
        <v>10384</v>
      </c>
      <c r="AH2141" t="s">
        <v>10975</v>
      </c>
      <c r="AJ2141" t="s">
        <v>11137</v>
      </c>
      <c r="AK2141" t="s">
        <v>7225</v>
      </c>
      <c r="AM2141">
        <v>1968.47</v>
      </c>
      <c r="AO2141">
        <v>24</v>
      </c>
      <c r="AQ2141" t="s">
        <v>11157</v>
      </c>
      <c r="AS2141" t="s">
        <v>11173</v>
      </c>
      <c r="AU2141">
        <v>5</v>
      </c>
      <c r="AW2141" t="s">
        <v>11189</v>
      </c>
      <c r="AZ2141" t="s">
        <v>11221</v>
      </c>
      <c r="BE2141" t="s">
        <v>12884</v>
      </c>
      <c r="BF2141" t="s">
        <v>14364</v>
      </c>
      <c r="BM2141" t="s">
        <v>15650</v>
      </c>
    </row>
    <row r="2142" spans="1:65">
      <c r="A2142" s="1">
        <f>HYPERLINK("https://lsnyc.legalserver.org/matter/dynamic-profile/view/1858402","18-1858402")</f>
        <v>0</v>
      </c>
      <c r="B2142" t="s">
        <v>145</v>
      </c>
      <c r="C2142" t="s">
        <v>245</v>
      </c>
      <c r="D2142" t="s">
        <v>842</v>
      </c>
      <c r="F2142" t="s">
        <v>1738</v>
      </c>
      <c r="G2142" t="s">
        <v>2962</v>
      </c>
      <c r="H2142" t="s">
        <v>4776</v>
      </c>
      <c r="I2142">
        <v>610</v>
      </c>
      <c r="J2142" t="s">
        <v>7169</v>
      </c>
      <c r="K2142">
        <v>10029</v>
      </c>
      <c r="N2142" t="s">
        <v>7237</v>
      </c>
      <c r="O2142" t="s">
        <v>8594</v>
      </c>
      <c r="P2142">
        <v>1</v>
      </c>
      <c r="Q2142">
        <v>2</v>
      </c>
      <c r="R2142">
        <v>85.95</v>
      </c>
      <c r="U2142">
        <v>17550</v>
      </c>
      <c r="W2142">
        <v>34</v>
      </c>
      <c r="X2142" t="s">
        <v>491</v>
      </c>
      <c r="Y2142" t="s">
        <v>10859</v>
      </c>
      <c r="AA2142" t="s">
        <v>10974</v>
      </c>
      <c r="AB2142" t="s">
        <v>842</v>
      </c>
      <c r="AD2142" t="s">
        <v>11086</v>
      </c>
      <c r="AF2142" t="s">
        <v>11119</v>
      </c>
      <c r="AH2142" t="s">
        <v>10975</v>
      </c>
      <c r="AJ2142" t="s">
        <v>11134</v>
      </c>
      <c r="AK2142" t="s">
        <v>7225</v>
      </c>
      <c r="AM2142">
        <v>2500</v>
      </c>
      <c r="AO2142">
        <v>108</v>
      </c>
      <c r="AQ2142" t="s">
        <v>11161</v>
      </c>
      <c r="AS2142" t="s">
        <v>11174</v>
      </c>
      <c r="AU2142">
        <v>21</v>
      </c>
      <c r="AW2142" t="s">
        <v>11187</v>
      </c>
      <c r="AY2142" t="s">
        <v>11213</v>
      </c>
      <c r="BA2142" t="s">
        <v>11222</v>
      </c>
      <c r="BE2142" t="s">
        <v>12868</v>
      </c>
      <c r="BF2142" t="s">
        <v>14364</v>
      </c>
      <c r="BM2142" t="s">
        <v>15650</v>
      </c>
    </row>
    <row r="2143" spans="1:65">
      <c r="A2143" s="1">
        <f>HYPERLINK("https://lsnyc.legalserver.org/matter/dynamic-profile/view/1882586","18-1882586")</f>
        <v>0</v>
      </c>
      <c r="B2143" t="s">
        <v>145</v>
      </c>
      <c r="C2143" t="s">
        <v>245</v>
      </c>
      <c r="D2143" t="s">
        <v>432</v>
      </c>
      <c r="F2143" t="s">
        <v>2030</v>
      </c>
      <c r="G2143" t="s">
        <v>3815</v>
      </c>
      <c r="H2143" t="s">
        <v>5463</v>
      </c>
      <c r="I2143" t="s">
        <v>6420</v>
      </c>
      <c r="J2143" t="s">
        <v>7169</v>
      </c>
      <c r="K2143">
        <v>10031</v>
      </c>
      <c r="N2143" t="s">
        <v>7237</v>
      </c>
      <c r="O2143" t="s">
        <v>8610</v>
      </c>
      <c r="P2143">
        <v>2</v>
      </c>
      <c r="Q2143">
        <v>0</v>
      </c>
      <c r="R2143">
        <v>20.33</v>
      </c>
      <c r="U2143">
        <v>3346.2</v>
      </c>
      <c r="W2143">
        <v>2</v>
      </c>
      <c r="X2143" t="s">
        <v>447</v>
      </c>
      <c r="Y2143" t="s">
        <v>10859</v>
      </c>
      <c r="AA2143" t="s">
        <v>10974</v>
      </c>
      <c r="AB2143" t="s">
        <v>506</v>
      </c>
      <c r="AD2143" t="s">
        <v>11101</v>
      </c>
      <c r="AF2143" t="s">
        <v>11118</v>
      </c>
      <c r="AH2143" t="s">
        <v>10974</v>
      </c>
      <c r="AJ2143" t="s">
        <v>11134</v>
      </c>
      <c r="AK2143" t="s">
        <v>7225</v>
      </c>
      <c r="AM2143">
        <v>2697</v>
      </c>
      <c r="AO2143">
        <v>44</v>
      </c>
      <c r="AQ2143" t="s">
        <v>11157</v>
      </c>
      <c r="AS2143" t="s">
        <v>11174</v>
      </c>
      <c r="AU2143">
        <v>10</v>
      </c>
      <c r="AW2143" t="s">
        <v>11187</v>
      </c>
      <c r="AY2143" t="s">
        <v>11213</v>
      </c>
      <c r="AZ2143" t="s">
        <v>11221</v>
      </c>
      <c r="BE2143" t="s">
        <v>12885</v>
      </c>
      <c r="BG2143" t="s">
        <v>14898</v>
      </c>
      <c r="BM2143" t="s">
        <v>15650</v>
      </c>
    </row>
    <row r="2144" spans="1:65">
      <c r="A2144" s="1">
        <f>HYPERLINK("https://lsnyc.legalserver.org/matter/dynamic-profile/view/1863942","18-1863942")</f>
        <v>0</v>
      </c>
      <c r="B2144" t="s">
        <v>145</v>
      </c>
      <c r="C2144" t="s">
        <v>245</v>
      </c>
      <c r="D2144" t="s">
        <v>770</v>
      </c>
      <c r="F2144" t="s">
        <v>2023</v>
      </c>
      <c r="G2144" t="s">
        <v>2902</v>
      </c>
      <c r="H2144" t="s">
        <v>4776</v>
      </c>
      <c r="I2144">
        <v>309</v>
      </c>
      <c r="J2144" t="s">
        <v>7169</v>
      </c>
      <c r="K2144">
        <v>10029</v>
      </c>
      <c r="N2144" t="s">
        <v>7237</v>
      </c>
      <c r="O2144" t="s">
        <v>8600</v>
      </c>
      <c r="P2144">
        <v>2</v>
      </c>
      <c r="Q2144">
        <v>0</v>
      </c>
      <c r="R2144">
        <v>82.81999999999999</v>
      </c>
      <c r="U2144">
        <v>13632</v>
      </c>
      <c r="W2144">
        <v>2.5</v>
      </c>
      <c r="X2144" t="s">
        <v>560</v>
      </c>
      <c r="Y2144" t="s">
        <v>10859</v>
      </c>
      <c r="AA2144" t="s">
        <v>10974</v>
      </c>
      <c r="AB2144" t="s">
        <v>770</v>
      </c>
      <c r="AD2144" t="s">
        <v>11101</v>
      </c>
      <c r="AF2144" t="s">
        <v>11118</v>
      </c>
      <c r="AH2144" t="s">
        <v>10974</v>
      </c>
      <c r="AJ2144" t="s">
        <v>11134</v>
      </c>
      <c r="AK2144" t="s">
        <v>7225</v>
      </c>
      <c r="AL2144" t="s">
        <v>11150</v>
      </c>
      <c r="AM2144">
        <v>0</v>
      </c>
      <c r="AO2144">
        <v>108</v>
      </c>
      <c r="AQ2144" t="s">
        <v>11161</v>
      </c>
      <c r="AS2144" t="s">
        <v>11174</v>
      </c>
      <c r="AU2144">
        <v>29</v>
      </c>
      <c r="AW2144" t="s">
        <v>11187</v>
      </c>
      <c r="AY2144" t="s">
        <v>11213</v>
      </c>
      <c r="AZ2144" t="s">
        <v>11221</v>
      </c>
      <c r="BE2144" t="s">
        <v>12875</v>
      </c>
      <c r="BF2144" t="s">
        <v>14364</v>
      </c>
      <c r="BG2144" t="s">
        <v>14882</v>
      </c>
      <c r="BM2144" t="s">
        <v>15650</v>
      </c>
    </row>
    <row r="2145" spans="1:65">
      <c r="A2145" s="1">
        <f>HYPERLINK("https://lsnyc.legalserver.org/matter/dynamic-profile/view/1886105","18-1886105")</f>
        <v>0</v>
      </c>
      <c r="B2145" t="s">
        <v>145</v>
      </c>
      <c r="C2145" t="s">
        <v>245</v>
      </c>
      <c r="D2145" t="s">
        <v>405</v>
      </c>
      <c r="F2145" t="s">
        <v>1098</v>
      </c>
      <c r="G2145" t="s">
        <v>3816</v>
      </c>
      <c r="H2145" t="s">
        <v>5465</v>
      </c>
      <c r="I2145">
        <v>4</v>
      </c>
      <c r="J2145" t="s">
        <v>7169</v>
      </c>
      <c r="K2145">
        <v>10029</v>
      </c>
      <c r="N2145" t="s">
        <v>7237</v>
      </c>
      <c r="O2145" t="s">
        <v>8611</v>
      </c>
      <c r="P2145">
        <v>2</v>
      </c>
      <c r="Q2145">
        <v>2</v>
      </c>
      <c r="R2145">
        <v>242.07</v>
      </c>
      <c r="U2145">
        <v>60760</v>
      </c>
      <c r="W2145">
        <v>1.55</v>
      </c>
      <c r="X2145" t="s">
        <v>375</v>
      </c>
      <c r="Y2145" t="s">
        <v>10859</v>
      </c>
      <c r="AA2145" t="s">
        <v>10974</v>
      </c>
      <c r="AB2145" t="s">
        <v>405</v>
      </c>
      <c r="AD2145" t="s">
        <v>11101</v>
      </c>
      <c r="AF2145" t="s">
        <v>11118</v>
      </c>
      <c r="AH2145" t="s">
        <v>10974</v>
      </c>
      <c r="AJ2145" t="s">
        <v>11134</v>
      </c>
      <c r="AK2145" t="s">
        <v>7225</v>
      </c>
      <c r="AM2145">
        <v>1081</v>
      </c>
      <c r="AO2145">
        <v>6</v>
      </c>
      <c r="AQ2145" t="s">
        <v>11157</v>
      </c>
      <c r="AS2145" t="s">
        <v>11173</v>
      </c>
      <c r="AU2145">
        <v>21</v>
      </c>
      <c r="AW2145" t="s">
        <v>11187</v>
      </c>
      <c r="AY2145" t="s">
        <v>11213</v>
      </c>
      <c r="AZ2145" t="s">
        <v>11221</v>
      </c>
      <c r="BE2145" t="s">
        <v>12886</v>
      </c>
      <c r="BG2145" t="s">
        <v>14880</v>
      </c>
      <c r="BM2145" t="s">
        <v>15650</v>
      </c>
    </row>
    <row r="2146" spans="1:65">
      <c r="A2146" s="1">
        <f>HYPERLINK("https://lsnyc.legalserver.org/matter/dynamic-profile/view/1863700","18-1863700")</f>
        <v>0</v>
      </c>
      <c r="B2146" t="s">
        <v>145</v>
      </c>
      <c r="C2146" t="s">
        <v>245</v>
      </c>
      <c r="D2146" t="s">
        <v>832</v>
      </c>
      <c r="F2146" t="s">
        <v>2031</v>
      </c>
      <c r="G2146" t="s">
        <v>3682</v>
      </c>
      <c r="H2146" t="s">
        <v>4776</v>
      </c>
      <c r="I2146">
        <v>501</v>
      </c>
      <c r="J2146" t="s">
        <v>7169</v>
      </c>
      <c r="K2146">
        <v>10029</v>
      </c>
      <c r="N2146" t="s">
        <v>7237</v>
      </c>
      <c r="O2146" t="s">
        <v>8612</v>
      </c>
      <c r="P2146">
        <v>1</v>
      </c>
      <c r="Q2146">
        <v>0</v>
      </c>
      <c r="R2146">
        <v>84.02</v>
      </c>
      <c r="U2146">
        <v>10200</v>
      </c>
      <c r="W2146">
        <v>0.35</v>
      </c>
      <c r="X2146" t="s">
        <v>314</v>
      </c>
      <c r="Y2146" t="s">
        <v>10859</v>
      </c>
      <c r="AA2146" t="s">
        <v>10974</v>
      </c>
      <c r="AB2146" t="s">
        <v>832</v>
      </c>
      <c r="AD2146" t="s">
        <v>11101</v>
      </c>
      <c r="AF2146" t="s">
        <v>11118</v>
      </c>
      <c r="AH2146" t="s">
        <v>10974</v>
      </c>
      <c r="AJ2146" t="s">
        <v>11134</v>
      </c>
      <c r="AK2146" t="s">
        <v>7225</v>
      </c>
      <c r="AL2146" t="s">
        <v>11150</v>
      </c>
      <c r="AM2146">
        <v>0</v>
      </c>
      <c r="AO2146">
        <v>108</v>
      </c>
      <c r="AQ2146" t="s">
        <v>11161</v>
      </c>
      <c r="AS2146" t="s">
        <v>11173</v>
      </c>
      <c r="AU2146">
        <v>30</v>
      </c>
      <c r="AW2146" t="s">
        <v>11189</v>
      </c>
      <c r="AY2146" t="s">
        <v>11213</v>
      </c>
      <c r="AZ2146" t="s">
        <v>11221</v>
      </c>
      <c r="BE2146" t="s">
        <v>12887</v>
      </c>
      <c r="BF2146" t="s">
        <v>14364</v>
      </c>
      <c r="BG2146" t="s">
        <v>14872</v>
      </c>
      <c r="BM2146" t="s">
        <v>15650</v>
      </c>
    </row>
    <row r="2147" spans="1:65">
      <c r="A2147" s="1">
        <f>HYPERLINK("https://lsnyc.legalserver.org/matter/dynamic-profile/view/1842621","17-1842621")</f>
        <v>0</v>
      </c>
      <c r="B2147" t="s">
        <v>145</v>
      </c>
      <c r="C2147" t="s">
        <v>245</v>
      </c>
      <c r="D2147" t="s">
        <v>843</v>
      </c>
      <c r="E2147" t="s">
        <v>548</v>
      </c>
      <c r="F2147" t="s">
        <v>1502</v>
      </c>
      <c r="G2147" t="s">
        <v>3817</v>
      </c>
      <c r="H2147" t="s">
        <v>4922</v>
      </c>
      <c r="I2147" t="s">
        <v>6477</v>
      </c>
      <c r="J2147" t="s">
        <v>7169</v>
      </c>
      <c r="K2147">
        <v>10040</v>
      </c>
      <c r="L2147" t="s">
        <v>7217</v>
      </c>
      <c r="N2147" t="s">
        <v>7237</v>
      </c>
      <c r="O2147" t="s">
        <v>8613</v>
      </c>
      <c r="P2147">
        <v>3</v>
      </c>
      <c r="Q2147">
        <v>3</v>
      </c>
      <c r="R2147">
        <v>257.89</v>
      </c>
      <c r="S2147" t="s">
        <v>10266</v>
      </c>
      <c r="U2147">
        <v>85000</v>
      </c>
      <c r="W2147">
        <v>15.75</v>
      </c>
      <c r="X2147" t="s">
        <v>618</v>
      </c>
      <c r="Y2147" t="s">
        <v>127</v>
      </c>
      <c r="AA2147" t="s">
        <v>10974</v>
      </c>
      <c r="AB2147" t="s">
        <v>843</v>
      </c>
      <c r="AD2147" t="s">
        <v>11096</v>
      </c>
      <c r="AF2147" t="s">
        <v>11120</v>
      </c>
      <c r="AH2147" t="s">
        <v>10974</v>
      </c>
      <c r="AJ2147" t="s">
        <v>11130</v>
      </c>
      <c r="AK2147" t="s">
        <v>7225</v>
      </c>
      <c r="AM2147">
        <v>1300</v>
      </c>
      <c r="AO2147">
        <v>43</v>
      </c>
      <c r="AQ2147" t="s">
        <v>11157</v>
      </c>
      <c r="AS2147" t="s">
        <v>11173</v>
      </c>
      <c r="AU2147">
        <v>17</v>
      </c>
      <c r="AW2147" t="s">
        <v>11187</v>
      </c>
      <c r="AZ2147" t="s">
        <v>11221</v>
      </c>
      <c r="BE2147" t="s">
        <v>12888</v>
      </c>
      <c r="BG2147" t="s">
        <v>14899</v>
      </c>
      <c r="BM2147" t="s">
        <v>15651</v>
      </c>
    </row>
    <row r="2148" spans="1:65">
      <c r="A2148" s="1">
        <f>HYPERLINK("https://lsnyc.legalserver.org/matter/dynamic-profile/view/1881365","18-1881365")</f>
        <v>0</v>
      </c>
      <c r="B2148" t="s">
        <v>145</v>
      </c>
      <c r="C2148" t="s">
        <v>245</v>
      </c>
      <c r="D2148" t="s">
        <v>625</v>
      </c>
      <c r="F2148" t="s">
        <v>1624</v>
      </c>
      <c r="G2148" t="s">
        <v>3818</v>
      </c>
      <c r="H2148" t="s">
        <v>5463</v>
      </c>
      <c r="I2148" t="s">
        <v>6451</v>
      </c>
      <c r="J2148" t="s">
        <v>7169</v>
      </c>
      <c r="K2148">
        <v>10031</v>
      </c>
      <c r="N2148" t="s">
        <v>7237</v>
      </c>
      <c r="O2148" t="s">
        <v>8614</v>
      </c>
      <c r="P2148">
        <v>1</v>
      </c>
      <c r="Q2148">
        <v>0</v>
      </c>
      <c r="R2148">
        <v>39.35</v>
      </c>
      <c r="U2148">
        <v>4777</v>
      </c>
      <c r="W2148">
        <v>3</v>
      </c>
      <c r="X2148" t="s">
        <v>776</v>
      </c>
      <c r="Y2148" t="s">
        <v>10859</v>
      </c>
      <c r="AA2148" t="s">
        <v>10974</v>
      </c>
      <c r="AB2148" t="s">
        <v>323</v>
      </c>
      <c r="AD2148" t="s">
        <v>11101</v>
      </c>
      <c r="AF2148" t="s">
        <v>11118</v>
      </c>
      <c r="AH2148" t="s">
        <v>10974</v>
      </c>
      <c r="AJ2148" t="s">
        <v>11137</v>
      </c>
      <c r="AK2148" t="s">
        <v>7225</v>
      </c>
      <c r="AM2148">
        <v>2216</v>
      </c>
      <c r="AO2148">
        <v>44</v>
      </c>
      <c r="AQ2148" t="s">
        <v>11161</v>
      </c>
      <c r="AS2148" t="s">
        <v>11174</v>
      </c>
      <c r="AU2148">
        <v>10</v>
      </c>
      <c r="AW2148" t="s">
        <v>11187</v>
      </c>
      <c r="AY2148" t="s">
        <v>11213</v>
      </c>
      <c r="AZ2148" t="s">
        <v>11221</v>
      </c>
      <c r="BE2148" t="s">
        <v>12889</v>
      </c>
      <c r="BF2148" t="s">
        <v>14364</v>
      </c>
      <c r="BG2148" t="s">
        <v>14896</v>
      </c>
      <c r="BM2148" t="s">
        <v>15650</v>
      </c>
    </row>
    <row r="2149" spans="1:65">
      <c r="A2149" s="1">
        <f>HYPERLINK("https://lsnyc.legalserver.org/matter/dynamic-profile/view/1864519","18-1864519")</f>
        <v>0</v>
      </c>
      <c r="B2149" t="s">
        <v>145</v>
      </c>
      <c r="C2149" t="s">
        <v>245</v>
      </c>
      <c r="D2149" t="s">
        <v>823</v>
      </c>
      <c r="F2149" t="s">
        <v>1122</v>
      </c>
      <c r="G2149" t="s">
        <v>3504</v>
      </c>
      <c r="H2149" t="s">
        <v>4776</v>
      </c>
      <c r="I2149">
        <v>203</v>
      </c>
      <c r="J2149" t="s">
        <v>7169</v>
      </c>
      <c r="K2149">
        <v>10029</v>
      </c>
      <c r="N2149" t="s">
        <v>7237</v>
      </c>
      <c r="O2149" t="s">
        <v>8615</v>
      </c>
      <c r="P2149">
        <v>1</v>
      </c>
      <c r="Q2149">
        <v>0</v>
      </c>
      <c r="R2149">
        <v>93.90000000000001</v>
      </c>
      <c r="U2149">
        <v>11400</v>
      </c>
      <c r="W2149">
        <v>0</v>
      </c>
      <c r="Y2149" t="s">
        <v>10859</v>
      </c>
      <c r="AA2149" t="s">
        <v>10974</v>
      </c>
      <c r="AB2149" t="s">
        <v>823</v>
      </c>
      <c r="AD2149" t="s">
        <v>11101</v>
      </c>
      <c r="AF2149" t="s">
        <v>11118</v>
      </c>
      <c r="AH2149" t="s">
        <v>10974</v>
      </c>
      <c r="AJ2149" t="s">
        <v>11134</v>
      </c>
      <c r="AK2149" t="s">
        <v>7225</v>
      </c>
      <c r="AL2149" t="s">
        <v>11150</v>
      </c>
      <c r="AM2149">
        <v>0</v>
      </c>
      <c r="AO2149">
        <v>108</v>
      </c>
      <c r="AQ2149" t="s">
        <v>11161</v>
      </c>
      <c r="AS2149" t="s">
        <v>11174</v>
      </c>
      <c r="AU2149">
        <v>33</v>
      </c>
      <c r="AW2149" t="s">
        <v>11189</v>
      </c>
      <c r="AY2149" t="s">
        <v>11213</v>
      </c>
      <c r="BA2149" t="s">
        <v>11222</v>
      </c>
      <c r="BD2149" t="s">
        <v>11667</v>
      </c>
      <c r="BF2149" t="s">
        <v>14364</v>
      </c>
      <c r="BG2149" t="s">
        <v>14882</v>
      </c>
      <c r="BM2149" t="s">
        <v>15650</v>
      </c>
    </row>
    <row r="2150" spans="1:65">
      <c r="A2150" s="1">
        <f>HYPERLINK("https://lsnyc.legalserver.org/matter/dynamic-profile/view/1847272","17-1847272")</f>
        <v>0</v>
      </c>
      <c r="B2150" t="s">
        <v>145</v>
      </c>
      <c r="C2150" t="s">
        <v>245</v>
      </c>
      <c r="D2150" t="s">
        <v>282</v>
      </c>
      <c r="F2150" t="s">
        <v>2032</v>
      </c>
      <c r="G2150" t="s">
        <v>3140</v>
      </c>
      <c r="H2150" t="s">
        <v>4922</v>
      </c>
      <c r="I2150" t="s">
        <v>6409</v>
      </c>
      <c r="J2150" t="s">
        <v>7169</v>
      </c>
      <c r="K2150">
        <v>10040</v>
      </c>
      <c r="N2150" t="s">
        <v>7237</v>
      </c>
      <c r="O2150" t="s">
        <v>8616</v>
      </c>
      <c r="P2150">
        <v>1</v>
      </c>
      <c r="Q2150">
        <v>0</v>
      </c>
      <c r="R2150">
        <v>84.38</v>
      </c>
      <c r="S2150" t="s">
        <v>10266</v>
      </c>
      <c r="U2150">
        <v>10176</v>
      </c>
      <c r="W2150">
        <v>0.8</v>
      </c>
      <c r="X2150" t="s">
        <v>616</v>
      </c>
      <c r="Y2150" t="s">
        <v>127</v>
      </c>
      <c r="AA2150" t="s">
        <v>10974</v>
      </c>
      <c r="AB2150" t="s">
        <v>282</v>
      </c>
      <c r="AD2150" t="s">
        <v>11096</v>
      </c>
      <c r="AF2150" t="s">
        <v>11120</v>
      </c>
      <c r="AH2150" t="s">
        <v>10975</v>
      </c>
      <c r="AJ2150" t="s">
        <v>11130</v>
      </c>
      <c r="AK2150" t="s">
        <v>7225</v>
      </c>
      <c r="AL2150" t="s">
        <v>11150</v>
      </c>
      <c r="AM2150">
        <v>0</v>
      </c>
      <c r="AO2150">
        <v>43</v>
      </c>
      <c r="AQ2150" t="s">
        <v>11157</v>
      </c>
      <c r="AS2150" t="s">
        <v>11174</v>
      </c>
      <c r="AU2150">
        <v>34</v>
      </c>
      <c r="AW2150" t="s">
        <v>11189</v>
      </c>
      <c r="AZ2150" t="s">
        <v>11221</v>
      </c>
      <c r="BE2150" t="s">
        <v>12890</v>
      </c>
      <c r="BG2150" t="s">
        <v>14900</v>
      </c>
      <c r="BM2150" t="s">
        <v>15650</v>
      </c>
    </row>
    <row r="2151" spans="1:65">
      <c r="A2151" s="1">
        <f>HYPERLINK("https://lsnyc.legalserver.org/matter/dynamic-profile/view/1864324","18-1864324")</f>
        <v>0</v>
      </c>
      <c r="B2151" t="s">
        <v>145</v>
      </c>
      <c r="C2151" t="s">
        <v>245</v>
      </c>
      <c r="D2151" t="s">
        <v>826</v>
      </c>
      <c r="F2151" t="s">
        <v>1122</v>
      </c>
      <c r="G2151" t="s">
        <v>3819</v>
      </c>
      <c r="H2151" t="s">
        <v>4776</v>
      </c>
      <c r="I2151">
        <v>409</v>
      </c>
      <c r="J2151" t="s">
        <v>7169</v>
      </c>
      <c r="K2151">
        <v>10029</v>
      </c>
      <c r="N2151" t="s">
        <v>7237</v>
      </c>
      <c r="O2151" t="s">
        <v>8617</v>
      </c>
      <c r="P2151">
        <v>1</v>
      </c>
      <c r="Q2151">
        <v>0</v>
      </c>
      <c r="R2151">
        <v>0</v>
      </c>
      <c r="U2151">
        <v>0</v>
      </c>
      <c r="W2151">
        <v>1</v>
      </c>
      <c r="X2151" t="s">
        <v>322</v>
      </c>
      <c r="Y2151" t="s">
        <v>10859</v>
      </c>
      <c r="AA2151" t="s">
        <v>10974</v>
      </c>
      <c r="AB2151" t="s">
        <v>826</v>
      </c>
      <c r="AD2151" t="s">
        <v>11101</v>
      </c>
      <c r="AF2151" t="s">
        <v>11118</v>
      </c>
      <c r="AH2151" t="s">
        <v>10974</v>
      </c>
      <c r="AJ2151" t="s">
        <v>11134</v>
      </c>
      <c r="AK2151" t="s">
        <v>7225</v>
      </c>
      <c r="AL2151" t="s">
        <v>11150</v>
      </c>
      <c r="AM2151">
        <v>0</v>
      </c>
      <c r="AO2151">
        <v>108</v>
      </c>
      <c r="AQ2151" t="s">
        <v>11161</v>
      </c>
      <c r="AS2151" t="s">
        <v>11174</v>
      </c>
      <c r="AU2151">
        <v>28</v>
      </c>
      <c r="AW2151" t="s">
        <v>11189</v>
      </c>
      <c r="AY2151" t="s">
        <v>11213</v>
      </c>
      <c r="AZ2151" t="s">
        <v>11221</v>
      </c>
      <c r="BE2151" t="s">
        <v>12891</v>
      </c>
      <c r="BF2151" t="s">
        <v>14364</v>
      </c>
      <c r="BG2151" t="s">
        <v>14872</v>
      </c>
      <c r="BM2151" t="s">
        <v>15650</v>
      </c>
    </row>
    <row r="2152" spans="1:65">
      <c r="A2152" s="1">
        <f>HYPERLINK("https://lsnyc.legalserver.org/matter/dynamic-profile/view/1842396","17-1842396")</f>
        <v>0</v>
      </c>
      <c r="B2152" t="s">
        <v>145</v>
      </c>
      <c r="C2152" t="s">
        <v>245</v>
      </c>
      <c r="D2152" t="s">
        <v>830</v>
      </c>
      <c r="E2152" t="s">
        <v>262</v>
      </c>
      <c r="F2152" t="s">
        <v>1250</v>
      </c>
      <c r="G2152" t="s">
        <v>2877</v>
      </c>
      <c r="H2152" t="s">
        <v>5460</v>
      </c>
      <c r="I2152" t="s">
        <v>6426</v>
      </c>
      <c r="J2152" t="s">
        <v>7169</v>
      </c>
      <c r="K2152">
        <v>10029</v>
      </c>
      <c r="L2152" t="s">
        <v>7217</v>
      </c>
      <c r="N2152" t="s">
        <v>7237</v>
      </c>
      <c r="O2152" t="s">
        <v>8618</v>
      </c>
      <c r="P2152">
        <v>1</v>
      </c>
      <c r="Q2152">
        <v>0</v>
      </c>
      <c r="R2152">
        <v>258.71</v>
      </c>
      <c r="S2152" t="s">
        <v>10255</v>
      </c>
      <c r="U2152">
        <v>31200</v>
      </c>
      <c r="W2152">
        <v>5.65</v>
      </c>
      <c r="X2152" t="s">
        <v>10832</v>
      </c>
      <c r="Y2152" t="s">
        <v>10859</v>
      </c>
      <c r="AA2152" t="s">
        <v>10974</v>
      </c>
      <c r="AB2152" t="s">
        <v>830</v>
      </c>
      <c r="AD2152" t="s">
        <v>11086</v>
      </c>
      <c r="AF2152" t="s">
        <v>10384</v>
      </c>
      <c r="AH2152" t="s">
        <v>10974</v>
      </c>
      <c r="AJ2152" t="s">
        <v>11134</v>
      </c>
      <c r="AK2152" t="s">
        <v>7225</v>
      </c>
      <c r="AM2152">
        <v>715.6900000000001</v>
      </c>
      <c r="AO2152">
        <v>13</v>
      </c>
      <c r="AQ2152" t="s">
        <v>11157</v>
      </c>
      <c r="AS2152" t="s">
        <v>11173</v>
      </c>
      <c r="AU2152">
        <v>37</v>
      </c>
      <c r="AW2152" t="s">
        <v>11187</v>
      </c>
      <c r="AY2152" t="s">
        <v>11213</v>
      </c>
      <c r="BA2152" t="s">
        <v>11222</v>
      </c>
      <c r="BE2152" t="s">
        <v>12892</v>
      </c>
      <c r="BF2152" t="s">
        <v>14364</v>
      </c>
      <c r="BM2152" t="s">
        <v>15651</v>
      </c>
    </row>
    <row r="2153" spans="1:65">
      <c r="A2153" s="1">
        <f>HYPERLINK("https://lsnyc.legalserver.org/matter/dynamic-profile/view/1886079","18-1886079")</f>
        <v>0</v>
      </c>
      <c r="B2153" t="s">
        <v>145</v>
      </c>
      <c r="C2153" t="s">
        <v>245</v>
      </c>
      <c r="D2153" t="s">
        <v>405</v>
      </c>
      <c r="F2153" t="s">
        <v>1464</v>
      </c>
      <c r="G2153" t="s">
        <v>3006</v>
      </c>
      <c r="H2153" t="s">
        <v>5465</v>
      </c>
      <c r="I2153">
        <v>8</v>
      </c>
      <c r="J2153" t="s">
        <v>7169</v>
      </c>
      <c r="K2153">
        <v>10029</v>
      </c>
      <c r="N2153" t="s">
        <v>7237</v>
      </c>
      <c r="O2153" t="s">
        <v>8619</v>
      </c>
      <c r="P2153">
        <v>4</v>
      </c>
      <c r="Q2153">
        <v>1</v>
      </c>
      <c r="R2153">
        <v>516.66</v>
      </c>
      <c r="U2153">
        <v>152000</v>
      </c>
      <c r="W2153">
        <v>5.05</v>
      </c>
      <c r="X2153" t="s">
        <v>614</v>
      </c>
      <c r="Y2153" t="s">
        <v>10859</v>
      </c>
      <c r="AA2153" t="s">
        <v>10974</v>
      </c>
      <c r="AB2153" t="s">
        <v>405</v>
      </c>
      <c r="AD2153" t="s">
        <v>11101</v>
      </c>
      <c r="AF2153" t="s">
        <v>11118</v>
      </c>
      <c r="AH2153" t="s">
        <v>10974</v>
      </c>
      <c r="AJ2153" t="s">
        <v>11134</v>
      </c>
      <c r="AK2153" t="s">
        <v>7225</v>
      </c>
      <c r="AM2153">
        <v>932.17</v>
      </c>
      <c r="AO2153">
        <v>6</v>
      </c>
      <c r="AQ2153" t="s">
        <v>11157</v>
      </c>
      <c r="AS2153" t="s">
        <v>11173</v>
      </c>
      <c r="AU2153">
        <v>23</v>
      </c>
      <c r="AW2153" t="s">
        <v>11189</v>
      </c>
      <c r="AY2153" t="s">
        <v>11213</v>
      </c>
      <c r="AZ2153" t="s">
        <v>11221</v>
      </c>
      <c r="BE2153" t="s">
        <v>12893</v>
      </c>
      <c r="BG2153" t="s">
        <v>14880</v>
      </c>
      <c r="BM2153" t="s">
        <v>15650</v>
      </c>
    </row>
    <row r="2154" spans="1:65">
      <c r="A2154" s="1">
        <f>HYPERLINK("https://lsnyc.legalserver.org/matter/dynamic-profile/view/1864507","18-1864507")</f>
        <v>0</v>
      </c>
      <c r="B2154" t="s">
        <v>145</v>
      </c>
      <c r="C2154" t="s">
        <v>245</v>
      </c>
      <c r="D2154" t="s">
        <v>823</v>
      </c>
      <c r="F2154" t="s">
        <v>2033</v>
      </c>
      <c r="G2154" t="s">
        <v>3820</v>
      </c>
      <c r="H2154" t="s">
        <v>4776</v>
      </c>
      <c r="I2154">
        <v>415</v>
      </c>
      <c r="J2154" t="s">
        <v>7169</v>
      </c>
      <c r="K2154">
        <v>10029</v>
      </c>
      <c r="N2154" t="s">
        <v>7237</v>
      </c>
      <c r="O2154" t="s">
        <v>8620</v>
      </c>
      <c r="P2154">
        <v>1</v>
      </c>
      <c r="Q2154">
        <v>1</v>
      </c>
      <c r="R2154">
        <v>93.2</v>
      </c>
      <c r="U2154">
        <v>15340</v>
      </c>
      <c r="W2154">
        <v>0.5</v>
      </c>
      <c r="X2154" t="s">
        <v>666</v>
      </c>
      <c r="Y2154" t="s">
        <v>10859</v>
      </c>
      <c r="AA2154" t="s">
        <v>10974</v>
      </c>
      <c r="AB2154" t="s">
        <v>823</v>
      </c>
      <c r="AD2154" t="s">
        <v>11101</v>
      </c>
      <c r="AF2154" t="s">
        <v>11118</v>
      </c>
      <c r="AH2154" t="s">
        <v>10974</v>
      </c>
      <c r="AJ2154" t="s">
        <v>11134</v>
      </c>
      <c r="AK2154" t="s">
        <v>7225</v>
      </c>
      <c r="AL2154" t="s">
        <v>11150</v>
      </c>
      <c r="AM2154">
        <v>0</v>
      </c>
      <c r="AO2154">
        <v>108</v>
      </c>
      <c r="AQ2154" t="s">
        <v>11161</v>
      </c>
      <c r="AS2154" t="s">
        <v>11174</v>
      </c>
      <c r="AU2154">
        <v>2</v>
      </c>
      <c r="AW2154" t="s">
        <v>11187</v>
      </c>
      <c r="AY2154" t="s">
        <v>11213</v>
      </c>
      <c r="AZ2154" t="s">
        <v>11221</v>
      </c>
      <c r="BD2154" t="s">
        <v>11667</v>
      </c>
      <c r="BF2154" t="s">
        <v>14364</v>
      </c>
      <c r="BG2154" t="s">
        <v>14872</v>
      </c>
      <c r="BM2154" t="s">
        <v>15650</v>
      </c>
    </row>
    <row r="2155" spans="1:65">
      <c r="A2155" s="1">
        <f>HYPERLINK("https://lsnyc.legalserver.org/matter/dynamic-profile/view/1906357","19-1906357")</f>
        <v>0</v>
      </c>
      <c r="B2155" t="s">
        <v>145</v>
      </c>
      <c r="C2155" t="s">
        <v>245</v>
      </c>
      <c r="D2155" t="s">
        <v>575</v>
      </c>
      <c r="F2155" t="s">
        <v>1368</v>
      </c>
      <c r="G2155" t="s">
        <v>3821</v>
      </c>
      <c r="H2155" t="s">
        <v>4776</v>
      </c>
      <c r="I2155">
        <v>809</v>
      </c>
      <c r="J2155" t="s">
        <v>7169</v>
      </c>
      <c r="K2155">
        <v>10029</v>
      </c>
      <c r="N2155" t="s">
        <v>7237</v>
      </c>
      <c r="O2155" t="s">
        <v>8621</v>
      </c>
      <c r="P2155">
        <v>2</v>
      </c>
      <c r="Q2155">
        <v>1</v>
      </c>
      <c r="R2155">
        <v>43.38</v>
      </c>
      <c r="U2155">
        <v>9252</v>
      </c>
      <c r="W2155">
        <v>0</v>
      </c>
      <c r="Y2155" t="s">
        <v>10859</v>
      </c>
      <c r="AA2155" t="s">
        <v>10974</v>
      </c>
      <c r="AB2155" t="s">
        <v>322</v>
      </c>
      <c r="AD2155" t="s">
        <v>11101</v>
      </c>
      <c r="AF2155" t="s">
        <v>11118</v>
      </c>
      <c r="AH2155" t="s">
        <v>10974</v>
      </c>
      <c r="AJ2155" t="s">
        <v>11134</v>
      </c>
      <c r="AK2155" t="s">
        <v>7225</v>
      </c>
      <c r="AL2155" t="s">
        <v>11150</v>
      </c>
      <c r="AM2155">
        <v>0</v>
      </c>
      <c r="AO2155">
        <v>108</v>
      </c>
      <c r="AQ2155" t="s">
        <v>11161</v>
      </c>
      <c r="AS2155" t="s">
        <v>11174</v>
      </c>
      <c r="AU2155">
        <v>32</v>
      </c>
      <c r="AW2155" t="s">
        <v>11187</v>
      </c>
      <c r="AY2155" t="s">
        <v>11213</v>
      </c>
      <c r="BA2155" t="s">
        <v>11222</v>
      </c>
      <c r="BD2155" t="s">
        <v>11667</v>
      </c>
      <c r="BF2155" t="s">
        <v>14364</v>
      </c>
      <c r="BM2155" t="s">
        <v>15650</v>
      </c>
    </row>
    <row r="2156" spans="1:65">
      <c r="A2156" s="1">
        <f>HYPERLINK("https://lsnyc.legalserver.org/matter/dynamic-profile/view/1864342","18-1864342")</f>
        <v>0</v>
      </c>
      <c r="B2156" t="s">
        <v>145</v>
      </c>
      <c r="C2156" t="s">
        <v>245</v>
      </c>
      <c r="D2156" t="s">
        <v>826</v>
      </c>
      <c r="F2156" t="s">
        <v>1228</v>
      </c>
      <c r="G2156" t="s">
        <v>3006</v>
      </c>
      <c r="H2156" t="s">
        <v>4776</v>
      </c>
      <c r="I2156">
        <v>605</v>
      </c>
      <c r="J2156" t="s">
        <v>7169</v>
      </c>
      <c r="K2156">
        <v>10029</v>
      </c>
      <c r="N2156" t="s">
        <v>7237</v>
      </c>
      <c r="O2156" t="s">
        <v>8622</v>
      </c>
      <c r="P2156">
        <v>1</v>
      </c>
      <c r="Q2156">
        <v>0</v>
      </c>
      <c r="R2156">
        <v>0</v>
      </c>
      <c r="U2156">
        <v>0</v>
      </c>
      <c r="W2156">
        <v>0.25</v>
      </c>
      <c r="X2156" t="s">
        <v>666</v>
      </c>
      <c r="Y2156" t="s">
        <v>10859</v>
      </c>
      <c r="AA2156" t="s">
        <v>10974</v>
      </c>
      <c r="AB2156" t="s">
        <v>826</v>
      </c>
      <c r="AD2156" t="s">
        <v>11101</v>
      </c>
      <c r="AF2156" t="s">
        <v>11118</v>
      </c>
      <c r="AH2156" t="s">
        <v>10974</v>
      </c>
      <c r="AJ2156" t="s">
        <v>11134</v>
      </c>
      <c r="AK2156" t="s">
        <v>7225</v>
      </c>
      <c r="AL2156" t="s">
        <v>11150</v>
      </c>
      <c r="AM2156">
        <v>0</v>
      </c>
      <c r="AO2156">
        <v>108</v>
      </c>
      <c r="AQ2156" t="s">
        <v>11161</v>
      </c>
      <c r="AS2156" t="s">
        <v>11174</v>
      </c>
      <c r="AU2156">
        <v>24</v>
      </c>
      <c r="AW2156" t="s">
        <v>11187</v>
      </c>
      <c r="AY2156" t="s">
        <v>11213</v>
      </c>
      <c r="AZ2156" t="s">
        <v>11221</v>
      </c>
      <c r="BD2156" t="s">
        <v>11667</v>
      </c>
      <c r="BF2156" t="s">
        <v>14364</v>
      </c>
      <c r="BG2156" t="s">
        <v>14872</v>
      </c>
      <c r="BM2156" t="s">
        <v>15650</v>
      </c>
    </row>
    <row r="2157" spans="1:65">
      <c r="A2157" s="1">
        <f>HYPERLINK("https://lsnyc.legalserver.org/matter/dynamic-profile/view/1875101","18-1875101")</f>
        <v>0</v>
      </c>
      <c r="B2157" t="s">
        <v>145</v>
      </c>
      <c r="C2157" t="s">
        <v>245</v>
      </c>
      <c r="D2157" t="s">
        <v>844</v>
      </c>
      <c r="F2157" t="s">
        <v>1497</v>
      </c>
      <c r="G2157" t="s">
        <v>3047</v>
      </c>
      <c r="H2157" t="s">
        <v>5459</v>
      </c>
      <c r="I2157" t="s">
        <v>6618</v>
      </c>
      <c r="J2157" t="s">
        <v>7169</v>
      </c>
      <c r="K2157">
        <v>10031</v>
      </c>
      <c r="N2157" t="s">
        <v>7237</v>
      </c>
      <c r="O2157" t="s">
        <v>8623</v>
      </c>
      <c r="P2157">
        <v>1</v>
      </c>
      <c r="Q2157">
        <v>0</v>
      </c>
      <c r="R2157">
        <v>77.27</v>
      </c>
      <c r="U2157">
        <v>9380.040000000001</v>
      </c>
      <c r="V2157" t="s">
        <v>10492</v>
      </c>
      <c r="W2157">
        <v>1.25</v>
      </c>
      <c r="X2157" t="s">
        <v>1008</v>
      </c>
      <c r="Y2157" t="s">
        <v>10859</v>
      </c>
      <c r="AA2157" t="s">
        <v>10974</v>
      </c>
      <c r="AB2157" t="s">
        <v>844</v>
      </c>
      <c r="AD2157" t="s">
        <v>11101</v>
      </c>
      <c r="AF2157" t="s">
        <v>11118</v>
      </c>
      <c r="AH2157" t="s">
        <v>10974</v>
      </c>
      <c r="AJ2157" t="s">
        <v>11134</v>
      </c>
      <c r="AK2157" t="s">
        <v>7225</v>
      </c>
      <c r="AL2157" t="s">
        <v>11150</v>
      </c>
      <c r="AM2157">
        <v>0</v>
      </c>
      <c r="AO2157">
        <v>42</v>
      </c>
      <c r="AQ2157" t="s">
        <v>11161</v>
      </c>
      <c r="AS2157" t="s">
        <v>11174</v>
      </c>
      <c r="AU2157">
        <v>31</v>
      </c>
      <c r="AW2157" t="s">
        <v>11187</v>
      </c>
      <c r="AY2157" t="s">
        <v>11213</v>
      </c>
      <c r="BA2157" t="s">
        <v>11222</v>
      </c>
      <c r="BD2157" t="s">
        <v>11667</v>
      </c>
      <c r="BG2157" t="s">
        <v>14901</v>
      </c>
      <c r="BI2157" t="s">
        <v>15611</v>
      </c>
      <c r="BM2157" t="s">
        <v>15650</v>
      </c>
    </row>
    <row r="2158" spans="1:65">
      <c r="A2158" s="1">
        <f>HYPERLINK("https://lsnyc.legalserver.org/matter/dynamic-profile/view/1913309","19-1913309")</f>
        <v>0</v>
      </c>
      <c r="B2158" t="s">
        <v>145</v>
      </c>
      <c r="C2158" t="s">
        <v>245</v>
      </c>
      <c r="D2158" t="s">
        <v>273</v>
      </c>
      <c r="F2158" t="s">
        <v>1149</v>
      </c>
      <c r="G2158" t="s">
        <v>3822</v>
      </c>
      <c r="H2158" t="s">
        <v>4776</v>
      </c>
      <c r="I2158">
        <v>612</v>
      </c>
      <c r="J2158" t="s">
        <v>7169</v>
      </c>
      <c r="K2158">
        <v>10029</v>
      </c>
      <c r="N2158" t="s">
        <v>7237</v>
      </c>
      <c r="O2158" t="s">
        <v>8624</v>
      </c>
      <c r="P2158">
        <v>1</v>
      </c>
      <c r="Q2158">
        <v>0</v>
      </c>
      <c r="R2158">
        <v>73.98</v>
      </c>
      <c r="U2158">
        <v>9240</v>
      </c>
      <c r="W2158">
        <v>0</v>
      </c>
      <c r="Y2158" t="s">
        <v>10859</v>
      </c>
      <c r="AA2158" t="s">
        <v>10974</v>
      </c>
      <c r="AB2158" t="s">
        <v>671</v>
      </c>
      <c r="AD2158" t="s">
        <v>11101</v>
      </c>
      <c r="AF2158" t="s">
        <v>11119</v>
      </c>
      <c r="AH2158" t="s">
        <v>10974</v>
      </c>
      <c r="AJ2158" t="s">
        <v>11134</v>
      </c>
      <c r="AK2158" t="s">
        <v>7225</v>
      </c>
      <c r="AL2158" t="s">
        <v>11150</v>
      </c>
      <c r="AM2158">
        <v>0</v>
      </c>
      <c r="AO2158">
        <v>108</v>
      </c>
      <c r="AQ2158" t="s">
        <v>11161</v>
      </c>
      <c r="AS2158" t="s">
        <v>11174</v>
      </c>
      <c r="AU2158">
        <v>23</v>
      </c>
      <c r="AW2158" t="s">
        <v>11189</v>
      </c>
      <c r="AY2158" t="s">
        <v>11213</v>
      </c>
      <c r="BA2158" t="s">
        <v>11222</v>
      </c>
      <c r="BE2158" t="s">
        <v>12894</v>
      </c>
      <c r="BF2158" t="s">
        <v>14364</v>
      </c>
      <c r="BM2158" t="s">
        <v>15650</v>
      </c>
    </row>
    <row r="2159" spans="1:65">
      <c r="A2159" s="1">
        <f>HYPERLINK("https://lsnyc.legalserver.org/matter/dynamic-profile/view/1876131","18-1876131")</f>
        <v>0</v>
      </c>
      <c r="B2159" t="s">
        <v>145</v>
      </c>
      <c r="C2159" t="s">
        <v>245</v>
      </c>
      <c r="D2159" t="s">
        <v>845</v>
      </c>
      <c r="F2159" t="s">
        <v>1280</v>
      </c>
      <c r="G2159" t="s">
        <v>3823</v>
      </c>
      <c r="H2159" t="s">
        <v>5459</v>
      </c>
      <c r="I2159" t="s">
        <v>6414</v>
      </c>
      <c r="J2159" t="s">
        <v>7169</v>
      </c>
      <c r="K2159">
        <v>10031</v>
      </c>
      <c r="N2159" t="s">
        <v>7237</v>
      </c>
      <c r="O2159" t="s">
        <v>8625</v>
      </c>
      <c r="P2159">
        <v>1</v>
      </c>
      <c r="Q2159">
        <v>0</v>
      </c>
      <c r="R2159">
        <v>77.09999999999999</v>
      </c>
      <c r="U2159">
        <v>9360</v>
      </c>
      <c r="V2159" t="s">
        <v>10488</v>
      </c>
      <c r="W2159">
        <v>0.2</v>
      </c>
      <c r="X2159" t="s">
        <v>566</v>
      </c>
      <c r="Y2159" t="s">
        <v>10859</v>
      </c>
      <c r="AA2159" t="s">
        <v>10974</v>
      </c>
      <c r="AB2159" t="s">
        <v>845</v>
      </c>
      <c r="AD2159" t="s">
        <v>11086</v>
      </c>
      <c r="AF2159" t="s">
        <v>11119</v>
      </c>
      <c r="AH2159" t="s">
        <v>10974</v>
      </c>
      <c r="AJ2159" t="s">
        <v>11134</v>
      </c>
      <c r="AK2159" t="s">
        <v>7225</v>
      </c>
      <c r="AM2159">
        <v>144</v>
      </c>
      <c r="AO2159">
        <v>42</v>
      </c>
      <c r="AQ2159" t="s">
        <v>11161</v>
      </c>
      <c r="AS2159" t="s">
        <v>11174</v>
      </c>
      <c r="AU2159">
        <v>23</v>
      </c>
      <c r="AW2159" t="s">
        <v>11187</v>
      </c>
      <c r="AY2159" t="s">
        <v>11213</v>
      </c>
      <c r="AZ2159" t="s">
        <v>11221</v>
      </c>
      <c r="BD2159" t="s">
        <v>11667</v>
      </c>
      <c r="BF2159" t="s">
        <v>14364</v>
      </c>
      <c r="BM2159" t="s">
        <v>15650</v>
      </c>
    </row>
    <row r="2160" spans="1:65">
      <c r="A2160" s="1">
        <f>HYPERLINK("https://lsnyc.legalserver.org/matter/dynamic-profile/view/1864458","18-1864458")</f>
        <v>0</v>
      </c>
      <c r="B2160" t="s">
        <v>145</v>
      </c>
      <c r="C2160" t="s">
        <v>245</v>
      </c>
      <c r="D2160" t="s">
        <v>823</v>
      </c>
      <c r="F2160" t="s">
        <v>1991</v>
      </c>
      <c r="G2160" t="s">
        <v>3204</v>
      </c>
      <c r="H2160" t="s">
        <v>4776</v>
      </c>
      <c r="I2160">
        <v>607</v>
      </c>
      <c r="J2160" t="s">
        <v>7169</v>
      </c>
      <c r="K2160">
        <v>10029</v>
      </c>
      <c r="N2160" t="s">
        <v>7237</v>
      </c>
      <c r="O2160" t="s">
        <v>8626</v>
      </c>
      <c r="P2160">
        <v>2</v>
      </c>
      <c r="Q2160">
        <v>1</v>
      </c>
      <c r="R2160">
        <v>202.12</v>
      </c>
      <c r="U2160">
        <v>42000</v>
      </c>
      <c r="W2160">
        <v>1.3</v>
      </c>
      <c r="X2160" t="s">
        <v>702</v>
      </c>
      <c r="Y2160" t="s">
        <v>10859</v>
      </c>
      <c r="AA2160" t="s">
        <v>10974</v>
      </c>
      <c r="AB2160" t="s">
        <v>823</v>
      </c>
      <c r="AD2160" t="s">
        <v>11101</v>
      </c>
      <c r="AF2160" t="s">
        <v>11118</v>
      </c>
      <c r="AH2160" t="s">
        <v>10974</v>
      </c>
      <c r="AJ2160" t="s">
        <v>11134</v>
      </c>
      <c r="AK2160" t="s">
        <v>7225</v>
      </c>
      <c r="AL2160" t="s">
        <v>11150</v>
      </c>
      <c r="AM2160">
        <v>0</v>
      </c>
      <c r="AO2160">
        <v>108</v>
      </c>
      <c r="AQ2160" t="s">
        <v>11161</v>
      </c>
      <c r="AS2160" t="s">
        <v>11174</v>
      </c>
      <c r="AU2160">
        <v>15</v>
      </c>
      <c r="AW2160" t="s">
        <v>11187</v>
      </c>
      <c r="AY2160" t="s">
        <v>11213</v>
      </c>
      <c r="AZ2160" t="s">
        <v>11221</v>
      </c>
      <c r="BD2160" t="s">
        <v>11667</v>
      </c>
      <c r="BF2160" t="s">
        <v>14364</v>
      </c>
      <c r="BG2160" t="s">
        <v>14872</v>
      </c>
      <c r="BM2160" t="s">
        <v>15650</v>
      </c>
    </row>
    <row r="2161" spans="1:65">
      <c r="A2161" s="1">
        <f>HYPERLINK("https://lsnyc.legalserver.org/matter/dynamic-profile/view/1874297","18-1874297")</f>
        <v>0</v>
      </c>
      <c r="B2161" t="s">
        <v>145</v>
      </c>
      <c r="C2161" t="s">
        <v>245</v>
      </c>
      <c r="D2161" t="s">
        <v>846</v>
      </c>
      <c r="F2161" t="s">
        <v>2034</v>
      </c>
      <c r="G2161" t="s">
        <v>3824</v>
      </c>
      <c r="H2161" t="s">
        <v>5463</v>
      </c>
      <c r="I2161" t="s">
        <v>6437</v>
      </c>
      <c r="J2161" t="s">
        <v>7169</v>
      </c>
      <c r="K2161">
        <v>10031</v>
      </c>
      <c r="N2161" t="s">
        <v>7237</v>
      </c>
      <c r="O2161" t="s">
        <v>8627</v>
      </c>
      <c r="P2161">
        <v>2</v>
      </c>
      <c r="Q2161">
        <v>0</v>
      </c>
      <c r="R2161">
        <v>94.78</v>
      </c>
      <c r="U2161">
        <v>15600</v>
      </c>
      <c r="W2161">
        <v>2.75</v>
      </c>
      <c r="X2161" t="s">
        <v>373</v>
      </c>
      <c r="Y2161" t="s">
        <v>10859</v>
      </c>
      <c r="AA2161" t="s">
        <v>10974</v>
      </c>
      <c r="AB2161" t="s">
        <v>846</v>
      </c>
      <c r="AD2161" t="s">
        <v>11101</v>
      </c>
      <c r="AF2161" t="s">
        <v>11118</v>
      </c>
      <c r="AH2161" t="s">
        <v>10974</v>
      </c>
      <c r="AJ2161" t="s">
        <v>11134</v>
      </c>
      <c r="AK2161" t="s">
        <v>7225</v>
      </c>
      <c r="AM2161">
        <v>2050</v>
      </c>
      <c r="AO2161">
        <v>44</v>
      </c>
      <c r="AQ2161" t="s">
        <v>11161</v>
      </c>
      <c r="AS2161" t="s">
        <v>11174</v>
      </c>
      <c r="AU2161">
        <v>22</v>
      </c>
      <c r="AW2161" t="s">
        <v>11189</v>
      </c>
      <c r="AY2161" t="s">
        <v>11213</v>
      </c>
      <c r="AZ2161" t="s">
        <v>11221</v>
      </c>
      <c r="BE2161" t="s">
        <v>12895</v>
      </c>
      <c r="BG2161" t="s">
        <v>14902</v>
      </c>
      <c r="BI2161" t="s">
        <v>15611</v>
      </c>
      <c r="BM2161" t="s">
        <v>15650</v>
      </c>
    </row>
    <row r="2162" spans="1:65">
      <c r="A2162" s="1">
        <f>HYPERLINK("https://lsnyc.legalserver.org/matter/dynamic-profile/view/1839720","17-1839720")</f>
        <v>0</v>
      </c>
      <c r="B2162" t="s">
        <v>145</v>
      </c>
      <c r="C2162" t="s">
        <v>245</v>
      </c>
      <c r="D2162" t="s">
        <v>847</v>
      </c>
      <c r="F2162" t="s">
        <v>2035</v>
      </c>
      <c r="G2162" t="s">
        <v>3825</v>
      </c>
      <c r="H2162" t="s">
        <v>4872</v>
      </c>
      <c r="I2162" t="s">
        <v>6413</v>
      </c>
      <c r="J2162" t="s">
        <v>7169</v>
      </c>
      <c r="K2162">
        <v>10034</v>
      </c>
      <c r="N2162" t="s">
        <v>7237</v>
      </c>
      <c r="O2162" t="s">
        <v>8628</v>
      </c>
      <c r="P2162">
        <v>1</v>
      </c>
      <c r="Q2162">
        <v>0</v>
      </c>
      <c r="R2162">
        <v>149.25</v>
      </c>
      <c r="U2162">
        <v>18000</v>
      </c>
      <c r="W2162">
        <v>30.5</v>
      </c>
      <c r="X2162" t="s">
        <v>264</v>
      </c>
      <c r="Y2162" t="s">
        <v>127</v>
      </c>
      <c r="AA2162" t="s">
        <v>10974</v>
      </c>
      <c r="AB2162" t="s">
        <v>251</v>
      </c>
      <c r="AD2162" t="s">
        <v>11096</v>
      </c>
      <c r="AF2162" t="s">
        <v>11118</v>
      </c>
      <c r="AH2162" t="s">
        <v>10975</v>
      </c>
      <c r="AJ2162" t="s">
        <v>11130</v>
      </c>
      <c r="AK2162" t="s">
        <v>7225</v>
      </c>
      <c r="AM2162">
        <v>1300</v>
      </c>
      <c r="AO2162">
        <v>65</v>
      </c>
      <c r="AQ2162" t="s">
        <v>11156</v>
      </c>
      <c r="AS2162" t="s">
        <v>11173</v>
      </c>
      <c r="AU2162">
        <v>4</v>
      </c>
      <c r="AW2162" t="s">
        <v>11187</v>
      </c>
      <c r="AZ2162" t="s">
        <v>11221</v>
      </c>
      <c r="BE2162" t="s">
        <v>12896</v>
      </c>
      <c r="BF2162" t="s">
        <v>14364</v>
      </c>
      <c r="BM2162" t="s">
        <v>15650</v>
      </c>
    </row>
    <row r="2163" spans="1:65">
      <c r="A2163" s="1">
        <f>HYPERLINK("https://lsnyc.legalserver.org/matter/dynamic-profile/view/1863012","18-1863012")</f>
        <v>0</v>
      </c>
      <c r="B2163" t="s">
        <v>145</v>
      </c>
      <c r="C2163" t="s">
        <v>245</v>
      </c>
      <c r="D2163" t="s">
        <v>758</v>
      </c>
      <c r="F2163" t="s">
        <v>1121</v>
      </c>
      <c r="G2163" t="s">
        <v>3231</v>
      </c>
      <c r="H2163" t="s">
        <v>4776</v>
      </c>
      <c r="I2163">
        <v>204</v>
      </c>
      <c r="J2163" t="s">
        <v>7169</v>
      </c>
      <c r="K2163">
        <v>10029</v>
      </c>
      <c r="N2163" t="s">
        <v>7237</v>
      </c>
      <c r="O2163" t="s">
        <v>8629</v>
      </c>
      <c r="P2163">
        <v>1</v>
      </c>
      <c r="Q2163">
        <v>0</v>
      </c>
      <c r="R2163">
        <v>82.23999999999999</v>
      </c>
      <c r="U2163">
        <v>9984</v>
      </c>
      <c r="W2163">
        <v>0.25</v>
      </c>
      <c r="X2163" t="s">
        <v>666</v>
      </c>
      <c r="Y2163" t="s">
        <v>10859</v>
      </c>
      <c r="AA2163" t="s">
        <v>10974</v>
      </c>
      <c r="AB2163" t="s">
        <v>285</v>
      </c>
      <c r="AD2163" t="s">
        <v>11101</v>
      </c>
      <c r="AF2163" t="s">
        <v>11118</v>
      </c>
      <c r="AH2163" t="s">
        <v>10974</v>
      </c>
      <c r="AJ2163" t="s">
        <v>11134</v>
      </c>
      <c r="AK2163" t="s">
        <v>7225</v>
      </c>
      <c r="AM2163">
        <v>2670</v>
      </c>
      <c r="AO2163">
        <v>108</v>
      </c>
      <c r="AQ2163" t="s">
        <v>11161</v>
      </c>
      <c r="AS2163" t="s">
        <v>11174</v>
      </c>
      <c r="AU2163">
        <v>32</v>
      </c>
      <c r="AW2163" t="s">
        <v>11189</v>
      </c>
      <c r="AY2163" t="s">
        <v>11213</v>
      </c>
      <c r="AZ2163" t="s">
        <v>11221</v>
      </c>
      <c r="BE2163" t="s">
        <v>12897</v>
      </c>
      <c r="BF2163" t="s">
        <v>14364</v>
      </c>
      <c r="BG2163" t="s">
        <v>14872</v>
      </c>
      <c r="BM2163" t="s">
        <v>15650</v>
      </c>
    </row>
    <row r="2164" spans="1:65">
      <c r="A2164" s="1">
        <f>HYPERLINK("https://lsnyc.legalserver.org/matter/dynamic-profile/view/1835837","17-1835837")</f>
        <v>0</v>
      </c>
      <c r="B2164" t="s">
        <v>145</v>
      </c>
      <c r="C2164" t="s">
        <v>245</v>
      </c>
      <c r="D2164" t="s">
        <v>848</v>
      </c>
      <c r="E2164" t="s">
        <v>426</v>
      </c>
      <c r="F2164" t="s">
        <v>1635</v>
      </c>
      <c r="G2164" t="s">
        <v>3813</v>
      </c>
      <c r="H2164" t="s">
        <v>4922</v>
      </c>
      <c r="I2164" t="s">
        <v>6628</v>
      </c>
      <c r="J2164" t="s">
        <v>7169</v>
      </c>
      <c r="K2164">
        <v>10040</v>
      </c>
      <c r="L2164" t="s">
        <v>7217</v>
      </c>
      <c r="N2164" t="s">
        <v>7237</v>
      </c>
      <c r="O2164" t="s">
        <v>8524</v>
      </c>
      <c r="P2164">
        <v>1</v>
      </c>
      <c r="Q2164">
        <v>0</v>
      </c>
      <c r="R2164">
        <v>87.36</v>
      </c>
      <c r="S2164" t="s">
        <v>10266</v>
      </c>
      <c r="U2164">
        <v>10536</v>
      </c>
      <c r="W2164">
        <v>0.1</v>
      </c>
      <c r="X2164" t="s">
        <v>966</v>
      </c>
      <c r="Y2164" t="s">
        <v>10859</v>
      </c>
      <c r="AA2164" t="s">
        <v>10974</v>
      </c>
      <c r="AB2164" t="s">
        <v>848</v>
      </c>
      <c r="AD2164" t="s">
        <v>11096</v>
      </c>
      <c r="AF2164" t="s">
        <v>11122</v>
      </c>
      <c r="AH2164" t="s">
        <v>10974</v>
      </c>
      <c r="AJ2164" t="s">
        <v>11134</v>
      </c>
      <c r="AK2164" t="s">
        <v>7225</v>
      </c>
      <c r="AM2164">
        <v>989</v>
      </c>
      <c r="AO2164">
        <v>43</v>
      </c>
      <c r="AQ2164" t="s">
        <v>11157</v>
      </c>
      <c r="AS2164" t="s">
        <v>11174</v>
      </c>
      <c r="AU2164">
        <v>25</v>
      </c>
      <c r="AV2164" t="s">
        <v>11186</v>
      </c>
      <c r="AZ2164" t="s">
        <v>11221</v>
      </c>
      <c r="BD2164" t="s">
        <v>11667</v>
      </c>
      <c r="BF2164" t="s">
        <v>14364</v>
      </c>
      <c r="BJ2164" t="s">
        <v>15615</v>
      </c>
      <c r="BM2164" t="s">
        <v>15651</v>
      </c>
    </row>
    <row r="2165" spans="1:65">
      <c r="A2165" s="1">
        <f>HYPERLINK("https://lsnyc.legalserver.org/matter/dynamic-profile/view/1863758","18-1863758")</f>
        <v>0</v>
      </c>
      <c r="B2165" t="s">
        <v>145</v>
      </c>
      <c r="C2165" t="s">
        <v>245</v>
      </c>
      <c r="D2165" t="s">
        <v>350</v>
      </c>
      <c r="F2165" t="s">
        <v>2036</v>
      </c>
      <c r="G2165" t="s">
        <v>3826</v>
      </c>
      <c r="H2165" t="s">
        <v>4776</v>
      </c>
      <c r="I2165">
        <v>712</v>
      </c>
      <c r="J2165" t="s">
        <v>7169</v>
      </c>
      <c r="K2165">
        <v>10029</v>
      </c>
      <c r="N2165" t="s">
        <v>7237</v>
      </c>
      <c r="O2165" t="s">
        <v>8630</v>
      </c>
      <c r="P2165">
        <v>2</v>
      </c>
      <c r="Q2165">
        <v>1</v>
      </c>
      <c r="R2165">
        <v>0</v>
      </c>
      <c r="U2165">
        <v>0</v>
      </c>
      <c r="V2165" t="s">
        <v>10488</v>
      </c>
      <c r="W2165">
        <v>0.25</v>
      </c>
      <c r="X2165" t="s">
        <v>666</v>
      </c>
      <c r="Y2165" t="s">
        <v>10859</v>
      </c>
      <c r="AA2165" t="s">
        <v>10974</v>
      </c>
      <c r="AB2165" t="s">
        <v>832</v>
      </c>
      <c r="AD2165" t="s">
        <v>11101</v>
      </c>
      <c r="AF2165" t="s">
        <v>11118</v>
      </c>
      <c r="AH2165" t="s">
        <v>10974</v>
      </c>
      <c r="AJ2165" t="s">
        <v>11134</v>
      </c>
      <c r="AK2165" t="s">
        <v>7225</v>
      </c>
      <c r="AL2165" t="s">
        <v>11150</v>
      </c>
      <c r="AM2165">
        <v>0</v>
      </c>
      <c r="AO2165">
        <v>108</v>
      </c>
      <c r="AQ2165" t="s">
        <v>11161</v>
      </c>
      <c r="AS2165" t="s">
        <v>11174</v>
      </c>
      <c r="AU2165">
        <v>20</v>
      </c>
      <c r="AW2165" t="s">
        <v>11187</v>
      </c>
      <c r="AY2165" t="s">
        <v>11213</v>
      </c>
      <c r="AZ2165" t="s">
        <v>11221</v>
      </c>
      <c r="BE2165" t="s">
        <v>12898</v>
      </c>
      <c r="BF2165" t="s">
        <v>14364</v>
      </c>
      <c r="BG2165" t="s">
        <v>14872</v>
      </c>
      <c r="BM2165" t="s">
        <v>15650</v>
      </c>
    </row>
    <row r="2166" spans="1:65">
      <c r="A2166" s="1">
        <f>HYPERLINK("https://lsnyc.legalserver.org/matter/dynamic-profile/view/1864136","18-1864136")</f>
        <v>0</v>
      </c>
      <c r="B2166" t="s">
        <v>145</v>
      </c>
      <c r="C2166" t="s">
        <v>245</v>
      </c>
      <c r="D2166" t="s">
        <v>817</v>
      </c>
      <c r="F2166" t="s">
        <v>2037</v>
      </c>
      <c r="G2166" t="s">
        <v>2962</v>
      </c>
      <c r="H2166" t="s">
        <v>4776</v>
      </c>
      <c r="I2166">
        <v>514</v>
      </c>
      <c r="J2166" t="s">
        <v>7169</v>
      </c>
      <c r="K2166">
        <v>10029</v>
      </c>
      <c r="N2166" t="s">
        <v>7237</v>
      </c>
      <c r="O2166" t="s">
        <v>8631</v>
      </c>
      <c r="P2166">
        <v>1</v>
      </c>
      <c r="Q2166">
        <v>0</v>
      </c>
      <c r="R2166">
        <v>88.67</v>
      </c>
      <c r="U2166">
        <v>10764</v>
      </c>
      <c r="W2166">
        <v>0.5</v>
      </c>
      <c r="X2166" t="s">
        <v>666</v>
      </c>
      <c r="Y2166" t="s">
        <v>10859</v>
      </c>
      <c r="AA2166" t="s">
        <v>10974</v>
      </c>
      <c r="AB2166" t="s">
        <v>817</v>
      </c>
      <c r="AD2166" t="s">
        <v>11101</v>
      </c>
      <c r="AF2166" t="s">
        <v>11118</v>
      </c>
      <c r="AH2166" t="s">
        <v>10974</v>
      </c>
      <c r="AJ2166" t="s">
        <v>11134</v>
      </c>
      <c r="AK2166" t="s">
        <v>7225</v>
      </c>
      <c r="AL2166" t="s">
        <v>11150</v>
      </c>
      <c r="AM2166">
        <v>0</v>
      </c>
      <c r="AO2166">
        <v>108</v>
      </c>
      <c r="AQ2166" t="s">
        <v>11161</v>
      </c>
      <c r="AS2166" t="s">
        <v>11174</v>
      </c>
      <c r="AU2166">
        <v>26</v>
      </c>
      <c r="AW2166" t="s">
        <v>11187</v>
      </c>
      <c r="AY2166" t="s">
        <v>11213</v>
      </c>
      <c r="AZ2166" t="s">
        <v>11221</v>
      </c>
      <c r="BE2166" t="s">
        <v>12899</v>
      </c>
      <c r="BF2166" t="s">
        <v>14364</v>
      </c>
      <c r="BG2166" t="s">
        <v>14872</v>
      </c>
      <c r="BM2166" t="s">
        <v>15650</v>
      </c>
    </row>
    <row r="2167" spans="1:65">
      <c r="A2167" s="1">
        <f>HYPERLINK("https://lsnyc.legalserver.org/matter/dynamic-profile/view/1863764","18-1863764")</f>
        <v>0</v>
      </c>
      <c r="B2167" t="s">
        <v>145</v>
      </c>
      <c r="C2167" t="s">
        <v>245</v>
      </c>
      <c r="D2167" t="s">
        <v>350</v>
      </c>
      <c r="F2167" t="s">
        <v>1122</v>
      </c>
      <c r="G2167" t="s">
        <v>3827</v>
      </c>
      <c r="H2167" t="s">
        <v>4776</v>
      </c>
      <c r="I2167">
        <v>714</v>
      </c>
      <c r="J2167" t="s">
        <v>7169</v>
      </c>
      <c r="K2167">
        <v>10029</v>
      </c>
      <c r="N2167" t="s">
        <v>7237</v>
      </c>
      <c r="O2167" t="s">
        <v>8632</v>
      </c>
      <c r="P2167">
        <v>1</v>
      </c>
      <c r="Q2167">
        <v>0</v>
      </c>
      <c r="R2167">
        <v>81.05</v>
      </c>
      <c r="U2167">
        <v>9840</v>
      </c>
      <c r="W2167">
        <v>0.35</v>
      </c>
      <c r="X2167" t="s">
        <v>339</v>
      </c>
      <c r="Y2167" t="s">
        <v>10859</v>
      </c>
      <c r="AA2167" t="s">
        <v>10974</v>
      </c>
      <c r="AB2167" t="s">
        <v>832</v>
      </c>
      <c r="AD2167" t="s">
        <v>11101</v>
      </c>
      <c r="AF2167" t="s">
        <v>11118</v>
      </c>
      <c r="AH2167" t="s">
        <v>10974</v>
      </c>
      <c r="AJ2167" t="s">
        <v>11134</v>
      </c>
      <c r="AK2167" t="s">
        <v>7225</v>
      </c>
      <c r="AL2167" t="s">
        <v>11150</v>
      </c>
      <c r="AM2167">
        <v>0</v>
      </c>
      <c r="AO2167">
        <v>108</v>
      </c>
      <c r="AQ2167" t="s">
        <v>11161</v>
      </c>
      <c r="AS2167" t="s">
        <v>11174</v>
      </c>
      <c r="AU2167">
        <v>28</v>
      </c>
      <c r="AW2167" t="s">
        <v>11187</v>
      </c>
      <c r="AY2167" t="s">
        <v>11213</v>
      </c>
      <c r="AZ2167" t="s">
        <v>11221</v>
      </c>
      <c r="BD2167" t="s">
        <v>11667</v>
      </c>
      <c r="BF2167" t="s">
        <v>14364</v>
      </c>
      <c r="BG2167" t="s">
        <v>14872</v>
      </c>
      <c r="BM2167" t="s">
        <v>15650</v>
      </c>
    </row>
    <row r="2168" spans="1:65">
      <c r="A2168" s="1">
        <f>HYPERLINK("https://lsnyc.legalserver.org/matter/dynamic-profile/view/1903017","19-1903017")</f>
        <v>0</v>
      </c>
      <c r="B2168" t="s">
        <v>145</v>
      </c>
      <c r="C2168" t="s">
        <v>245</v>
      </c>
      <c r="D2168" t="s">
        <v>611</v>
      </c>
      <c r="F2168" t="s">
        <v>1122</v>
      </c>
      <c r="G2168" t="s">
        <v>3819</v>
      </c>
      <c r="H2168" t="s">
        <v>4776</v>
      </c>
      <c r="I2168">
        <v>409</v>
      </c>
      <c r="J2168" t="s">
        <v>7169</v>
      </c>
      <c r="K2168">
        <v>10029</v>
      </c>
      <c r="N2168" t="s">
        <v>7237</v>
      </c>
      <c r="O2168" t="s">
        <v>8617</v>
      </c>
      <c r="P2168">
        <v>1</v>
      </c>
      <c r="Q2168">
        <v>0</v>
      </c>
      <c r="R2168">
        <v>88.39</v>
      </c>
      <c r="U2168">
        <v>11040</v>
      </c>
      <c r="W2168">
        <v>0.5</v>
      </c>
      <c r="X2168" t="s">
        <v>373</v>
      </c>
      <c r="Y2168" t="s">
        <v>10859</v>
      </c>
      <c r="AA2168" t="s">
        <v>10974</v>
      </c>
      <c r="AB2168" t="s">
        <v>322</v>
      </c>
      <c r="AD2168" t="s">
        <v>11101</v>
      </c>
      <c r="AF2168" t="s">
        <v>11118</v>
      </c>
      <c r="AH2168" t="s">
        <v>10974</v>
      </c>
      <c r="AJ2168" t="s">
        <v>11129</v>
      </c>
      <c r="AK2168" t="s">
        <v>7225</v>
      </c>
      <c r="AM2168">
        <v>271</v>
      </c>
      <c r="AO2168">
        <v>108</v>
      </c>
      <c r="AQ2168" t="s">
        <v>11161</v>
      </c>
      <c r="AS2168" t="s">
        <v>11174</v>
      </c>
      <c r="AU2168">
        <v>30</v>
      </c>
      <c r="AW2168" t="s">
        <v>11189</v>
      </c>
      <c r="AY2168" t="s">
        <v>11213</v>
      </c>
      <c r="BA2168" t="s">
        <v>11222</v>
      </c>
      <c r="BE2168" t="s">
        <v>12891</v>
      </c>
      <c r="BF2168" t="s">
        <v>14364</v>
      </c>
      <c r="BM2168" t="s">
        <v>15650</v>
      </c>
    </row>
    <row r="2169" spans="1:65">
      <c r="A2169" s="1">
        <f>HYPERLINK("https://lsnyc.legalserver.org/matter/dynamic-profile/view/1910642","19-1910642")</f>
        <v>0</v>
      </c>
      <c r="B2169" t="s">
        <v>145</v>
      </c>
      <c r="C2169" t="s">
        <v>245</v>
      </c>
      <c r="D2169" t="s">
        <v>554</v>
      </c>
      <c r="F2169" t="s">
        <v>2021</v>
      </c>
      <c r="G2169" t="s">
        <v>1412</v>
      </c>
      <c r="H2169" t="s">
        <v>4780</v>
      </c>
      <c r="I2169" t="s">
        <v>6609</v>
      </c>
      <c r="J2169" t="s">
        <v>7169</v>
      </c>
      <c r="K2169">
        <v>10035</v>
      </c>
      <c r="N2169" t="s">
        <v>7237</v>
      </c>
      <c r="O2169" t="s">
        <v>8597</v>
      </c>
      <c r="P2169">
        <v>2</v>
      </c>
      <c r="Q2169">
        <v>1</v>
      </c>
      <c r="R2169">
        <v>187.53</v>
      </c>
      <c r="U2169">
        <v>40000</v>
      </c>
      <c r="W2169">
        <v>0.2</v>
      </c>
      <c r="X2169" t="s">
        <v>554</v>
      </c>
      <c r="Y2169" t="s">
        <v>10859</v>
      </c>
      <c r="AA2169" t="s">
        <v>10974</v>
      </c>
      <c r="AB2169" t="s">
        <v>624</v>
      </c>
      <c r="AD2169" t="s">
        <v>11086</v>
      </c>
      <c r="AF2169" t="s">
        <v>11120</v>
      </c>
      <c r="AH2169" t="s">
        <v>10974</v>
      </c>
      <c r="AJ2169" t="s">
        <v>11134</v>
      </c>
      <c r="AK2169" t="s">
        <v>7225</v>
      </c>
      <c r="AM2169">
        <v>1461</v>
      </c>
      <c r="AO2169">
        <v>60</v>
      </c>
      <c r="AQ2169" t="s">
        <v>11157</v>
      </c>
      <c r="AS2169" t="s">
        <v>11174</v>
      </c>
      <c r="AU2169">
        <v>15</v>
      </c>
      <c r="AW2169" t="s">
        <v>11187</v>
      </c>
      <c r="AY2169" t="s">
        <v>11213</v>
      </c>
      <c r="BA2169" t="s">
        <v>11222</v>
      </c>
      <c r="BE2169" t="s">
        <v>12871</v>
      </c>
      <c r="BF2169" t="s">
        <v>14364</v>
      </c>
      <c r="BM2169" t="s">
        <v>15650</v>
      </c>
    </row>
    <row r="2170" spans="1:65">
      <c r="A2170" s="1">
        <f>HYPERLINK("https://lsnyc.legalserver.org/matter/dynamic-profile/view/1864502","18-1864502")</f>
        <v>0</v>
      </c>
      <c r="B2170" t="s">
        <v>145</v>
      </c>
      <c r="C2170" t="s">
        <v>245</v>
      </c>
      <c r="D2170" t="s">
        <v>823</v>
      </c>
      <c r="F2170" t="s">
        <v>1280</v>
      </c>
      <c r="G2170" t="s">
        <v>3828</v>
      </c>
      <c r="H2170" t="s">
        <v>5482</v>
      </c>
      <c r="I2170">
        <v>704</v>
      </c>
      <c r="J2170" t="s">
        <v>7169</v>
      </c>
      <c r="K2170">
        <v>10029</v>
      </c>
      <c r="N2170" t="s">
        <v>7237</v>
      </c>
      <c r="O2170" t="s">
        <v>8633</v>
      </c>
      <c r="P2170">
        <v>1</v>
      </c>
      <c r="Q2170">
        <v>0</v>
      </c>
      <c r="R2170">
        <v>18.48</v>
      </c>
      <c r="U2170">
        <v>2244</v>
      </c>
      <c r="W2170">
        <v>0</v>
      </c>
      <c r="Y2170" t="s">
        <v>10859</v>
      </c>
      <c r="AA2170" t="s">
        <v>10974</v>
      </c>
      <c r="AB2170" t="s">
        <v>823</v>
      </c>
      <c r="AD2170" t="s">
        <v>11101</v>
      </c>
      <c r="AF2170" t="s">
        <v>11118</v>
      </c>
      <c r="AH2170" t="s">
        <v>10974</v>
      </c>
      <c r="AJ2170" t="s">
        <v>11134</v>
      </c>
      <c r="AK2170" t="s">
        <v>7225</v>
      </c>
      <c r="AL2170" t="s">
        <v>11150</v>
      </c>
      <c r="AM2170">
        <v>0</v>
      </c>
      <c r="AO2170">
        <v>108</v>
      </c>
      <c r="AQ2170" t="s">
        <v>11161</v>
      </c>
      <c r="AS2170" t="s">
        <v>11174</v>
      </c>
      <c r="AU2170">
        <v>34</v>
      </c>
      <c r="AW2170" t="s">
        <v>11187</v>
      </c>
      <c r="AY2170" t="s">
        <v>11213</v>
      </c>
      <c r="AZ2170" t="s">
        <v>11221</v>
      </c>
      <c r="BE2170" t="s">
        <v>12900</v>
      </c>
      <c r="BF2170" t="s">
        <v>14364</v>
      </c>
      <c r="BG2170" t="s">
        <v>14872</v>
      </c>
      <c r="BM2170" t="s">
        <v>15650</v>
      </c>
    </row>
    <row r="2171" spans="1:65">
      <c r="A2171" s="1">
        <f>HYPERLINK("https://lsnyc.legalserver.org/matter/dynamic-profile/view/1847570","17-1847570")</f>
        <v>0</v>
      </c>
      <c r="B2171" t="s">
        <v>145</v>
      </c>
      <c r="C2171" t="s">
        <v>245</v>
      </c>
      <c r="D2171" t="s">
        <v>786</v>
      </c>
      <c r="F2171" t="s">
        <v>2038</v>
      </c>
      <c r="G2171" t="s">
        <v>3829</v>
      </c>
      <c r="H2171" t="s">
        <v>5483</v>
      </c>
      <c r="I2171" t="s">
        <v>6818</v>
      </c>
      <c r="J2171" t="s">
        <v>7169</v>
      </c>
      <c r="K2171">
        <v>10034</v>
      </c>
      <c r="N2171" t="s">
        <v>7237</v>
      </c>
      <c r="O2171" t="s">
        <v>8634</v>
      </c>
      <c r="P2171">
        <v>1</v>
      </c>
      <c r="Q2171">
        <v>0</v>
      </c>
      <c r="R2171">
        <v>190.71</v>
      </c>
      <c r="U2171">
        <v>23000</v>
      </c>
      <c r="W2171">
        <v>81.25</v>
      </c>
      <c r="X2171" t="s">
        <v>264</v>
      </c>
      <c r="Y2171" t="s">
        <v>127</v>
      </c>
      <c r="AA2171" t="s">
        <v>10974</v>
      </c>
      <c r="AB2171" t="s">
        <v>282</v>
      </c>
      <c r="AD2171" t="s">
        <v>11086</v>
      </c>
      <c r="AF2171" t="s">
        <v>11120</v>
      </c>
      <c r="AH2171" t="s">
        <v>10975</v>
      </c>
      <c r="AJ2171" t="s">
        <v>11130</v>
      </c>
      <c r="AK2171" t="s">
        <v>7225</v>
      </c>
      <c r="AM2171">
        <v>2300</v>
      </c>
      <c r="AO2171">
        <v>228</v>
      </c>
      <c r="AQ2171" t="s">
        <v>11157</v>
      </c>
      <c r="AS2171" t="s">
        <v>11173</v>
      </c>
      <c r="AU2171">
        <v>9</v>
      </c>
      <c r="AW2171" t="s">
        <v>11187</v>
      </c>
      <c r="AZ2171" t="s">
        <v>11221</v>
      </c>
      <c r="BE2171" t="s">
        <v>12901</v>
      </c>
      <c r="BF2171" t="s">
        <v>14364</v>
      </c>
      <c r="BM2171" t="s">
        <v>15650</v>
      </c>
    </row>
    <row r="2172" spans="1:65">
      <c r="A2172" s="1">
        <f>HYPERLINK("https://lsnyc.legalserver.org/matter/dynamic-profile/view/1914971","19-1914971")</f>
        <v>0</v>
      </c>
      <c r="B2172" t="s">
        <v>145</v>
      </c>
      <c r="C2172" t="s">
        <v>245</v>
      </c>
      <c r="D2172" t="s">
        <v>264</v>
      </c>
      <c r="F2172" t="s">
        <v>2039</v>
      </c>
      <c r="G2172" t="s">
        <v>3830</v>
      </c>
      <c r="H2172" t="s">
        <v>5484</v>
      </c>
      <c r="I2172" t="s">
        <v>6415</v>
      </c>
      <c r="J2172" t="s">
        <v>7169</v>
      </c>
      <c r="K2172">
        <v>10035</v>
      </c>
      <c r="N2172" t="s">
        <v>7237</v>
      </c>
      <c r="O2172" t="s">
        <v>8635</v>
      </c>
      <c r="P2172">
        <v>1</v>
      </c>
      <c r="Q2172">
        <v>0</v>
      </c>
      <c r="R2172">
        <v>74.75</v>
      </c>
      <c r="U2172">
        <v>9336</v>
      </c>
      <c r="W2172">
        <v>1.5</v>
      </c>
      <c r="X2172" t="s">
        <v>264</v>
      </c>
      <c r="Y2172" t="s">
        <v>10859</v>
      </c>
      <c r="AA2172" t="s">
        <v>10974</v>
      </c>
      <c r="AB2172" t="s">
        <v>264</v>
      </c>
      <c r="AD2172" t="s">
        <v>11086</v>
      </c>
      <c r="AF2172" t="s">
        <v>11121</v>
      </c>
      <c r="AH2172" t="s">
        <v>10975</v>
      </c>
      <c r="AJ2172" t="s">
        <v>11129</v>
      </c>
      <c r="AK2172" t="s">
        <v>7225</v>
      </c>
      <c r="AM2172">
        <v>399.05</v>
      </c>
      <c r="AO2172">
        <v>20</v>
      </c>
      <c r="AQ2172" t="s">
        <v>11157</v>
      </c>
      <c r="AS2172" t="s">
        <v>11173</v>
      </c>
      <c r="AU2172">
        <v>41</v>
      </c>
      <c r="AW2172" t="s">
        <v>11187</v>
      </c>
      <c r="AY2172" t="s">
        <v>11213</v>
      </c>
      <c r="BA2172" t="s">
        <v>11222</v>
      </c>
      <c r="BE2172" t="s">
        <v>12902</v>
      </c>
      <c r="BF2172" t="s">
        <v>14364</v>
      </c>
      <c r="BM2172" t="s">
        <v>15650</v>
      </c>
    </row>
    <row r="2173" spans="1:65">
      <c r="A2173" s="1">
        <f>HYPERLINK("https://lsnyc.legalserver.org/matter/dynamic-profile/view/1866109","18-1866109")</f>
        <v>0</v>
      </c>
      <c r="B2173" t="s">
        <v>145</v>
      </c>
      <c r="C2173" t="s">
        <v>245</v>
      </c>
      <c r="D2173" t="s">
        <v>849</v>
      </c>
      <c r="F2173" t="s">
        <v>2040</v>
      </c>
      <c r="G2173" t="s">
        <v>3782</v>
      </c>
      <c r="H2173" t="s">
        <v>5463</v>
      </c>
      <c r="I2173" t="s">
        <v>6819</v>
      </c>
      <c r="J2173" t="s">
        <v>7169</v>
      </c>
      <c r="K2173">
        <v>10031</v>
      </c>
      <c r="N2173" t="s">
        <v>7237</v>
      </c>
      <c r="O2173" t="s">
        <v>8636</v>
      </c>
      <c r="P2173">
        <v>1</v>
      </c>
      <c r="Q2173">
        <v>0</v>
      </c>
      <c r="R2173">
        <v>44.98</v>
      </c>
      <c r="U2173">
        <v>5460</v>
      </c>
      <c r="W2173">
        <v>0.3</v>
      </c>
      <c r="X2173" t="s">
        <v>436</v>
      </c>
      <c r="Y2173" t="s">
        <v>10859</v>
      </c>
      <c r="AA2173" t="s">
        <v>10974</v>
      </c>
      <c r="AB2173" t="s">
        <v>849</v>
      </c>
      <c r="AD2173" t="s">
        <v>11101</v>
      </c>
      <c r="AF2173" t="s">
        <v>10384</v>
      </c>
      <c r="AH2173" t="s">
        <v>10974</v>
      </c>
      <c r="AJ2173" t="s">
        <v>11134</v>
      </c>
      <c r="AK2173" t="s">
        <v>7225</v>
      </c>
      <c r="AM2173">
        <v>1712</v>
      </c>
      <c r="AO2173">
        <v>44</v>
      </c>
      <c r="AQ2173" t="s">
        <v>11161</v>
      </c>
      <c r="AS2173" t="s">
        <v>11174</v>
      </c>
      <c r="AU2173">
        <v>7</v>
      </c>
      <c r="AW2173" t="s">
        <v>11189</v>
      </c>
      <c r="AY2173" t="s">
        <v>11213</v>
      </c>
      <c r="AZ2173" t="s">
        <v>11221</v>
      </c>
      <c r="BE2173" t="s">
        <v>12903</v>
      </c>
      <c r="BF2173" t="s">
        <v>14364</v>
      </c>
      <c r="BM2173" t="s">
        <v>15650</v>
      </c>
    </row>
    <row r="2174" spans="1:65">
      <c r="A2174" s="1">
        <f>HYPERLINK("https://lsnyc.legalserver.org/matter/dynamic-profile/view/1863837","18-1863837")</f>
        <v>0</v>
      </c>
      <c r="B2174" t="s">
        <v>145</v>
      </c>
      <c r="C2174" t="s">
        <v>245</v>
      </c>
      <c r="D2174" t="s">
        <v>350</v>
      </c>
      <c r="F2174" t="s">
        <v>1368</v>
      </c>
      <c r="G2174" t="s">
        <v>3821</v>
      </c>
      <c r="H2174" t="s">
        <v>4776</v>
      </c>
      <c r="I2174">
        <v>809</v>
      </c>
      <c r="J2174" t="s">
        <v>7169</v>
      </c>
      <c r="K2174">
        <v>10029</v>
      </c>
      <c r="N2174" t="s">
        <v>7237</v>
      </c>
      <c r="O2174" t="s">
        <v>8621</v>
      </c>
      <c r="P2174">
        <v>2</v>
      </c>
      <c r="Q2174">
        <v>1</v>
      </c>
      <c r="R2174">
        <v>44.64</v>
      </c>
      <c r="U2174">
        <v>9276</v>
      </c>
      <c r="W2174">
        <v>1</v>
      </c>
      <c r="X2174" t="s">
        <v>923</v>
      </c>
      <c r="Y2174" t="s">
        <v>10859</v>
      </c>
      <c r="AA2174" t="s">
        <v>10974</v>
      </c>
      <c r="AB2174" t="s">
        <v>832</v>
      </c>
      <c r="AD2174" t="s">
        <v>11101</v>
      </c>
      <c r="AF2174" t="s">
        <v>11118</v>
      </c>
      <c r="AH2174" t="s">
        <v>10974</v>
      </c>
      <c r="AJ2174" t="s">
        <v>11134</v>
      </c>
      <c r="AK2174" t="s">
        <v>7225</v>
      </c>
      <c r="AL2174" t="s">
        <v>11150</v>
      </c>
      <c r="AM2174">
        <v>0</v>
      </c>
      <c r="AO2174">
        <v>108</v>
      </c>
      <c r="AQ2174" t="s">
        <v>11161</v>
      </c>
      <c r="AS2174" t="s">
        <v>11174</v>
      </c>
      <c r="AU2174">
        <v>32</v>
      </c>
      <c r="AW2174" t="s">
        <v>11187</v>
      </c>
      <c r="AY2174" t="s">
        <v>11213</v>
      </c>
      <c r="BA2174" t="s">
        <v>11222</v>
      </c>
      <c r="BD2174" t="s">
        <v>11667</v>
      </c>
      <c r="BF2174" t="s">
        <v>14364</v>
      </c>
      <c r="BG2174" t="s">
        <v>14872</v>
      </c>
      <c r="BM2174" t="s">
        <v>15650</v>
      </c>
    </row>
    <row r="2175" spans="1:65">
      <c r="A2175" s="1">
        <f>HYPERLINK("https://lsnyc.legalserver.org/matter/dynamic-profile/view/1863906","18-1863906")</f>
        <v>0</v>
      </c>
      <c r="B2175" t="s">
        <v>145</v>
      </c>
      <c r="C2175" t="s">
        <v>245</v>
      </c>
      <c r="D2175" t="s">
        <v>770</v>
      </c>
      <c r="F2175" t="s">
        <v>2041</v>
      </c>
      <c r="G2175" t="s">
        <v>3831</v>
      </c>
      <c r="H2175" t="s">
        <v>4776</v>
      </c>
      <c r="I2175">
        <v>615</v>
      </c>
      <c r="J2175" t="s">
        <v>7169</v>
      </c>
      <c r="K2175">
        <v>10029</v>
      </c>
      <c r="N2175" t="s">
        <v>7237</v>
      </c>
      <c r="O2175" t="s">
        <v>8637</v>
      </c>
      <c r="P2175">
        <v>1</v>
      </c>
      <c r="Q2175">
        <v>3</v>
      </c>
      <c r="R2175">
        <v>179.28</v>
      </c>
      <c r="U2175">
        <v>45000</v>
      </c>
      <c r="W2175">
        <v>0.35</v>
      </c>
      <c r="X2175" t="s">
        <v>314</v>
      </c>
      <c r="Y2175" t="s">
        <v>10859</v>
      </c>
      <c r="AA2175" t="s">
        <v>10974</v>
      </c>
      <c r="AB2175" t="s">
        <v>952</v>
      </c>
      <c r="AD2175" t="s">
        <v>11101</v>
      </c>
      <c r="AF2175" t="s">
        <v>11118</v>
      </c>
      <c r="AH2175" t="s">
        <v>10974</v>
      </c>
      <c r="AJ2175" t="s">
        <v>11134</v>
      </c>
      <c r="AK2175" t="s">
        <v>7225</v>
      </c>
      <c r="AL2175" t="s">
        <v>11150</v>
      </c>
      <c r="AM2175">
        <v>0</v>
      </c>
      <c r="AO2175">
        <v>108</v>
      </c>
      <c r="AQ2175" t="s">
        <v>11161</v>
      </c>
      <c r="AS2175" t="s">
        <v>11174</v>
      </c>
      <c r="AU2175">
        <v>4</v>
      </c>
      <c r="AW2175" t="s">
        <v>11187</v>
      </c>
      <c r="AY2175" t="s">
        <v>11213</v>
      </c>
      <c r="AZ2175" t="s">
        <v>11221</v>
      </c>
      <c r="BE2175" t="s">
        <v>12904</v>
      </c>
      <c r="BF2175" t="s">
        <v>14364</v>
      </c>
      <c r="BG2175" t="s">
        <v>14872</v>
      </c>
      <c r="BM2175" t="s">
        <v>15650</v>
      </c>
    </row>
    <row r="2176" spans="1:65">
      <c r="A2176" s="1">
        <f>HYPERLINK("https://lsnyc.legalserver.org/matter/dynamic-profile/view/1907450","19-1907450")</f>
        <v>0</v>
      </c>
      <c r="B2176" t="s">
        <v>145</v>
      </c>
      <c r="C2176" t="s">
        <v>245</v>
      </c>
      <c r="D2176" t="s">
        <v>362</v>
      </c>
      <c r="F2176" t="s">
        <v>1155</v>
      </c>
      <c r="G2176" t="s">
        <v>3832</v>
      </c>
      <c r="H2176" t="s">
        <v>5485</v>
      </c>
      <c r="I2176" t="s">
        <v>6422</v>
      </c>
      <c r="J2176" t="s">
        <v>7169</v>
      </c>
      <c r="K2176">
        <v>10034</v>
      </c>
      <c r="N2176" t="s">
        <v>7237</v>
      </c>
      <c r="O2176" t="s">
        <v>8638</v>
      </c>
      <c r="P2176">
        <v>1</v>
      </c>
      <c r="Q2176">
        <v>0</v>
      </c>
      <c r="R2176">
        <v>240.19</v>
      </c>
      <c r="U2176">
        <v>30000</v>
      </c>
      <c r="W2176">
        <v>23.85</v>
      </c>
      <c r="X2176" t="s">
        <v>548</v>
      </c>
      <c r="Y2176" t="s">
        <v>10859</v>
      </c>
      <c r="AA2176" t="s">
        <v>10974</v>
      </c>
      <c r="AB2176" t="s">
        <v>433</v>
      </c>
      <c r="AD2176" t="s">
        <v>11086</v>
      </c>
      <c r="AF2176" t="s">
        <v>10384</v>
      </c>
      <c r="AH2176" t="s">
        <v>10975</v>
      </c>
      <c r="AJ2176" t="s">
        <v>11130</v>
      </c>
      <c r="AK2176" t="s">
        <v>7225</v>
      </c>
      <c r="AM2176">
        <v>1448.89</v>
      </c>
      <c r="AO2176">
        <v>32</v>
      </c>
      <c r="AQ2176" t="s">
        <v>11157</v>
      </c>
      <c r="AS2176" t="s">
        <v>11173</v>
      </c>
      <c r="AU2176">
        <v>18</v>
      </c>
      <c r="AW2176" t="s">
        <v>11187</v>
      </c>
      <c r="AY2176" t="s">
        <v>11213</v>
      </c>
      <c r="BA2176" t="s">
        <v>11222</v>
      </c>
      <c r="BE2176" t="s">
        <v>12905</v>
      </c>
      <c r="BF2176" t="s">
        <v>14364</v>
      </c>
      <c r="BM2176" t="s">
        <v>15650</v>
      </c>
    </row>
    <row r="2177" spans="1:65">
      <c r="A2177" s="1">
        <f>HYPERLINK("https://lsnyc.legalserver.org/matter/dynamic-profile/view/1842721","17-1842721")</f>
        <v>0</v>
      </c>
      <c r="B2177" t="s">
        <v>145</v>
      </c>
      <c r="C2177" t="s">
        <v>245</v>
      </c>
      <c r="D2177" t="s">
        <v>252</v>
      </c>
      <c r="E2177" t="s">
        <v>449</v>
      </c>
      <c r="F2177" t="s">
        <v>1699</v>
      </c>
      <c r="G2177" t="s">
        <v>3833</v>
      </c>
      <c r="H2177" t="s">
        <v>4922</v>
      </c>
      <c r="I2177" t="s">
        <v>6618</v>
      </c>
      <c r="J2177" t="s">
        <v>7169</v>
      </c>
      <c r="K2177">
        <v>10040</v>
      </c>
      <c r="L2177" t="s">
        <v>7216</v>
      </c>
      <c r="N2177" t="s">
        <v>7237</v>
      </c>
      <c r="O2177" t="s">
        <v>8639</v>
      </c>
      <c r="P2177">
        <v>2</v>
      </c>
      <c r="Q2177">
        <v>1</v>
      </c>
      <c r="R2177">
        <v>440.74</v>
      </c>
      <c r="S2177" t="s">
        <v>10266</v>
      </c>
      <c r="U2177">
        <v>90000</v>
      </c>
      <c r="W2177">
        <v>0.2</v>
      </c>
      <c r="X2177" t="s">
        <v>555</v>
      </c>
      <c r="Y2177" t="s">
        <v>127</v>
      </c>
      <c r="AA2177" t="s">
        <v>10974</v>
      </c>
      <c r="AB2177" t="s">
        <v>871</v>
      </c>
      <c r="AD2177" t="s">
        <v>11086</v>
      </c>
      <c r="AF2177" t="s">
        <v>11119</v>
      </c>
      <c r="AH2177" t="s">
        <v>10975</v>
      </c>
      <c r="AJ2177" t="s">
        <v>11130</v>
      </c>
      <c r="AK2177" t="s">
        <v>7225</v>
      </c>
      <c r="AM2177">
        <v>1575</v>
      </c>
      <c r="AO2177">
        <v>42</v>
      </c>
      <c r="AQ2177" t="s">
        <v>11157</v>
      </c>
      <c r="AS2177" t="s">
        <v>11173</v>
      </c>
      <c r="AU2177">
        <v>10</v>
      </c>
      <c r="AW2177" t="s">
        <v>11189</v>
      </c>
      <c r="AZ2177" t="s">
        <v>11221</v>
      </c>
      <c r="BE2177" t="s">
        <v>12906</v>
      </c>
      <c r="BF2177" t="s">
        <v>14364</v>
      </c>
      <c r="BM2177" t="s">
        <v>15651</v>
      </c>
    </row>
    <row r="2178" spans="1:65">
      <c r="A2178" s="1">
        <f>HYPERLINK("https://lsnyc.legalserver.org/matter/dynamic-profile/view/1913308","19-1913308")</f>
        <v>0</v>
      </c>
      <c r="B2178" t="s">
        <v>145</v>
      </c>
      <c r="C2178" t="s">
        <v>245</v>
      </c>
      <c r="D2178" t="s">
        <v>273</v>
      </c>
      <c r="F2178" t="s">
        <v>1538</v>
      </c>
      <c r="G2178" t="s">
        <v>3768</v>
      </c>
      <c r="H2178" t="s">
        <v>4776</v>
      </c>
      <c r="I2178">
        <v>201</v>
      </c>
      <c r="J2178" t="s">
        <v>7169</v>
      </c>
      <c r="K2178">
        <v>10029</v>
      </c>
      <c r="N2178" t="s">
        <v>7237</v>
      </c>
      <c r="O2178" t="s">
        <v>8530</v>
      </c>
      <c r="P2178">
        <v>1</v>
      </c>
      <c r="Q2178">
        <v>1</v>
      </c>
      <c r="R2178">
        <v>38.44</v>
      </c>
      <c r="U2178">
        <v>6500</v>
      </c>
      <c r="V2178" t="s">
        <v>10488</v>
      </c>
      <c r="W2178">
        <v>0</v>
      </c>
      <c r="Y2178" t="s">
        <v>10859</v>
      </c>
      <c r="AA2178" t="s">
        <v>10974</v>
      </c>
      <c r="AB2178" t="s">
        <v>925</v>
      </c>
      <c r="AD2178" t="s">
        <v>11101</v>
      </c>
      <c r="AF2178" t="s">
        <v>11119</v>
      </c>
      <c r="AH2178" t="s">
        <v>10974</v>
      </c>
      <c r="AJ2178" t="s">
        <v>11129</v>
      </c>
      <c r="AK2178" t="s">
        <v>7225</v>
      </c>
      <c r="AM2178">
        <v>48</v>
      </c>
      <c r="AO2178">
        <v>108</v>
      </c>
      <c r="AQ2178" t="s">
        <v>11161</v>
      </c>
      <c r="AS2178" t="s">
        <v>11174</v>
      </c>
      <c r="AU2178">
        <v>10</v>
      </c>
      <c r="AW2178" t="s">
        <v>11187</v>
      </c>
      <c r="AY2178" t="s">
        <v>11213</v>
      </c>
      <c r="BA2178" t="s">
        <v>11222</v>
      </c>
      <c r="BD2178" t="s">
        <v>11667</v>
      </c>
      <c r="BF2178" t="s">
        <v>14364</v>
      </c>
      <c r="BM2178" t="s">
        <v>15650</v>
      </c>
    </row>
    <row r="2179" spans="1:65">
      <c r="A2179" s="1">
        <f>HYPERLINK("https://lsnyc.legalserver.org/matter/dynamic-profile/view/0822327","16-0822327")</f>
        <v>0</v>
      </c>
      <c r="B2179" t="s">
        <v>145</v>
      </c>
      <c r="C2179" t="s">
        <v>245</v>
      </c>
      <c r="D2179" t="s">
        <v>644</v>
      </c>
      <c r="E2179" t="s">
        <v>426</v>
      </c>
      <c r="F2179" t="s">
        <v>1697</v>
      </c>
      <c r="G2179" t="s">
        <v>3834</v>
      </c>
      <c r="H2179" t="s">
        <v>5458</v>
      </c>
      <c r="I2179" t="s">
        <v>6437</v>
      </c>
      <c r="J2179" t="s">
        <v>7169</v>
      </c>
      <c r="K2179">
        <v>10034</v>
      </c>
      <c r="L2179" t="s">
        <v>7216</v>
      </c>
      <c r="N2179" t="s">
        <v>7237</v>
      </c>
      <c r="O2179" t="s">
        <v>8640</v>
      </c>
      <c r="P2179">
        <v>3</v>
      </c>
      <c r="Q2179">
        <v>0</v>
      </c>
      <c r="R2179">
        <v>423.02</v>
      </c>
      <c r="U2179">
        <v>128960</v>
      </c>
      <c r="V2179" t="s">
        <v>10493</v>
      </c>
      <c r="W2179">
        <v>0.1</v>
      </c>
      <c r="X2179" t="s">
        <v>644</v>
      </c>
      <c r="Y2179" t="s">
        <v>10859</v>
      </c>
      <c r="AA2179" t="s">
        <v>10974</v>
      </c>
      <c r="AB2179" t="s">
        <v>644</v>
      </c>
      <c r="AD2179" t="s">
        <v>11096</v>
      </c>
      <c r="AF2179" t="s">
        <v>10384</v>
      </c>
      <c r="AH2179" t="s">
        <v>10974</v>
      </c>
      <c r="AJ2179" t="s">
        <v>11134</v>
      </c>
      <c r="AK2179" t="s">
        <v>7225</v>
      </c>
      <c r="AM2179">
        <v>1795</v>
      </c>
      <c r="AO2179">
        <v>22</v>
      </c>
      <c r="AQ2179" t="s">
        <v>11157</v>
      </c>
      <c r="AS2179" t="s">
        <v>11173</v>
      </c>
      <c r="AU2179">
        <v>3</v>
      </c>
      <c r="AW2179" t="s">
        <v>11187</v>
      </c>
      <c r="AZ2179" t="s">
        <v>11221</v>
      </c>
      <c r="BD2179" t="s">
        <v>11667</v>
      </c>
      <c r="BG2179" t="s">
        <v>14903</v>
      </c>
      <c r="BM2179" t="s">
        <v>15651</v>
      </c>
    </row>
    <row r="2180" spans="1:65">
      <c r="A2180" s="1">
        <f>HYPERLINK("https://lsnyc.legalserver.org/matter/dynamic-profile/view/1910993","19-1910993")</f>
        <v>0</v>
      </c>
      <c r="B2180" t="s">
        <v>145</v>
      </c>
      <c r="C2180" t="s">
        <v>245</v>
      </c>
      <c r="D2180" t="s">
        <v>626</v>
      </c>
      <c r="F2180" t="s">
        <v>1722</v>
      </c>
      <c r="G2180" t="s">
        <v>2954</v>
      </c>
      <c r="H2180" t="s">
        <v>4780</v>
      </c>
      <c r="I2180" t="s">
        <v>6413</v>
      </c>
      <c r="J2180" t="s">
        <v>7169</v>
      </c>
      <c r="K2180">
        <v>10035</v>
      </c>
      <c r="N2180" t="s">
        <v>7237</v>
      </c>
      <c r="O2180" t="s">
        <v>8641</v>
      </c>
      <c r="P2180">
        <v>3</v>
      </c>
      <c r="Q2180">
        <v>1</v>
      </c>
      <c r="R2180">
        <v>174.76</v>
      </c>
      <c r="U2180">
        <v>45000</v>
      </c>
      <c r="W2180">
        <v>1.2</v>
      </c>
      <c r="X2180" t="s">
        <v>266</v>
      </c>
      <c r="Y2180" t="s">
        <v>10859</v>
      </c>
      <c r="AA2180" t="s">
        <v>10974</v>
      </c>
      <c r="AB2180" t="s">
        <v>626</v>
      </c>
      <c r="AD2180" t="s">
        <v>11101</v>
      </c>
      <c r="AF2180" t="s">
        <v>11121</v>
      </c>
      <c r="AH2180" t="s">
        <v>10974</v>
      </c>
      <c r="AJ2180" t="s">
        <v>11137</v>
      </c>
      <c r="AK2180" t="s">
        <v>7225</v>
      </c>
      <c r="AM2180">
        <v>1044</v>
      </c>
      <c r="AO2180">
        <v>60</v>
      </c>
      <c r="AQ2180" t="s">
        <v>11157</v>
      </c>
      <c r="AS2180" t="s">
        <v>11173</v>
      </c>
      <c r="AU2180">
        <v>15</v>
      </c>
      <c r="AW2180" t="s">
        <v>11187</v>
      </c>
      <c r="AY2180" t="s">
        <v>11213</v>
      </c>
      <c r="BA2180" t="s">
        <v>11222</v>
      </c>
      <c r="BE2180" t="s">
        <v>12907</v>
      </c>
      <c r="BF2180" t="s">
        <v>14364</v>
      </c>
      <c r="BM2180" t="s">
        <v>15650</v>
      </c>
    </row>
    <row r="2181" spans="1:65">
      <c r="A2181" s="1">
        <f>HYPERLINK("https://lsnyc.legalserver.org/matter/dynamic-profile/view/0822324","16-0822324")</f>
        <v>0</v>
      </c>
      <c r="B2181" t="s">
        <v>145</v>
      </c>
      <c r="C2181" t="s">
        <v>245</v>
      </c>
      <c r="D2181" t="s">
        <v>714</v>
      </c>
      <c r="F2181" t="s">
        <v>1697</v>
      </c>
      <c r="G2181" t="s">
        <v>3834</v>
      </c>
      <c r="H2181" t="s">
        <v>5458</v>
      </c>
      <c r="I2181" t="s">
        <v>6437</v>
      </c>
      <c r="J2181" t="s">
        <v>7169</v>
      </c>
      <c r="K2181">
        <v>10034</v>
      </c>
      <c r="N2181" t="s">
        <v>7237</v>
      </c>
      <c r="O2181" t="s">
        <v>8640</v>
      </c>
      <c r="P2181">
        <v>3</v>
      </c>
      <c r="Q2181">
        <v>0</v>
      </c>
      <c r="R2181">
        <v>423.02</v>
      </c>
      <c r="U2181">
        <v>128960</v>
      </c>
      <c r="W2181">
        <v>0.1</v>
      </c>
      <c r="X2181" t="s">
        <v>669</v>
      </c>
      <c r="Y2181" t="s">
        <v>10859</v>
      </c>
      <c r="AA2181" t="s">
        <v>10974</v>
      </c>
      <c r="AB2181" t="s">
        <v>10837</v>
      </c>
      <c r="AD2181" t="s">
        <v>11096</v>
      </c>
      <c r="AF2181" t="s">
        <v>11122</v>
      </c>
      <c r="AH2181" t="s">
        <v>10974</v>
      </c>
      <c r="AJ2181" t="s">
        <v>11134</v>
      </c>
      <c r="AK2181" t="s">
        <v>7225</v>
      </c>
      <c r="AM2181">
        <v>1795</v>
      </c>
      <c r="AO2181">
        <v>22</v>
      </c>
      <c r="AQ2181" t="s">
        <v>11157</v>
      </c>
      <c r="AS2181" t="s">
        <v>11173</v>
      </c>
      <c r="AU2181">
        <v>3</v>
      </c>
      <c r="AW2181" t="s">
        <v>11187</v>
      </c>
      <c r="AZ2181" t="s">
        <v>11221</v>
      </c>
      <c r="BD2181" t="s">
        <v>11667</v>
      </c>
      <c r="BF2181" t="s">
        <v>14364</v>
      </c>
      <c r="BM2181" t="s">
        <v>15650</v>
      </c>
    </row>
    <row r="2182" spans="1:65">
      <c r="A2182" s="1">
        <f>HYPERLINK("https://lsnyc.legalserver.org/matter/dynamic-profile/view/0822350","16-0822350")</f>
        <v>0</v>
      </c>
      <c r="B2182" t="s">
        <v>145</v>
      </c>
      <c r="C2182" t="s">
        <v>245</v>
      </c>
      <c r="D2182" t="s">
        <v>714</v>
      </c>
      <c r="F2182" t="s">
        <v>2042</v>
      </c>
      <c r="G2182" t="s">
        <v>3021</v>
      </c>
      <c r="H2182" t="s">
        <v>5458</v>
      </c>
      <c r="I2182" t="s">
        <v>6448</v>
      </c>
      <c r="J2182" t="s">
        <v>7169</v>
      </c>
      <c r="K2182">
        <v>10034</v>
      </c>
      <c r="N2182" t="s">
        <v>7237</v>
      </c>
      <c r="O2182" t="s">
        <v>8642</v>
      </c>
      <c r="P2182">
        <v>2</v>
      </c>
      <c r="Q2182">
        <v>2</v>
      </c>
      <c r="R2182">
        <v>175.47</v>
      </c>
      <c r="U2182">
        <v>58240</v>
      </c>
      <c r="W2182">
        <v>0.3</v>
      </c>
      <c r="X2182" t="s">
        <v>669</v>
      </c>
      <c r="Y2182" t="s">
        <v>10859</v>
      </c>
      <c r="AA2182" t="s">
        <v>10974</v>
      </c>
      <c r="AB2182" t="s">
        <v>481</v>
      </c>
      <c r="AD2182" t="s">
        <v>11096</v>
      </c>
      <c r="AF2182" t="s">
        <v>11122</v>
      </c>
      <c r="AH2182" t="s">
        <v>10974</v>
      </c>
      <c r="AJ2182" t="s">
        <v>11134</v>
      </c>
      <c r="AK2182" t="s">
        <v>7225</v>
      </c>
      <c r="AM2182">
        <v>1223.63</v>
      </c>
      <c r="AO2182">
        <v>22</v>
      </c>
      <c r="AQ2182" t="s">
        <v>11157</v>
      </c>
      <c r="AS2182" t="s">
        <v>11173</v>
      </c>
      <c r="AU2182">
        <v>5</v>
      </c>
      <c r="AW2182" t="s">
        <v>11189</v>
      </c>
      <c r="AZ2182" t="s">
        <v>11221</v>
      </c>
      <c r="BE2182" t="s">
        <v>12908</v>
      </c>
      <c r="BF2182" t="s">
        <v>14364</v>
      </c>
      <c r="BM2182" t="s">
        <v>15650</v>
      </c>
    </row>
    <row r="2183" spans="1:65">
      <c r="A2183" s="1">
        <f>HYPERLINK("https://lsnyc.legalserver.org/matter/dynamic-profile/view/1908432","19-1908432")</f>
        <v>0</v>
      </c>
      <c r="B2183" t="s">
        <v>145</v>
      </c>
      <c r="C2183" t="s">
        <v>245</v>
      </c>
      <c r="D2183" t="s">
        <v>565</v>
      </c>
      <c r="F2183" t="s">
        <v>1122</v>
      </c>
      <c r="G2183" t="s">
        <v>3835</v>
      </c>
      <c r="H2183" t="s">
        <v>5486</v>
      </c>
      <c r="I2183" t="s">
        <v>6502</v>
      </c>
      <c r="J2183" t="s">
        <v>7169</v>
      </c>
      <c r="K2183">
        <v>10029</v>
      </c>
      <c r="N2183" t="s">
        <v>7237</v>
      </c>
      <c r="O2183" t="s">
        <v>8643</v>
      </c>
      <c r="P2183">
        <v>1</v>
      </c>
      <c r="Q2183">
        <v>0</v>
      </c>
      <c r="R2183">
        <v>0</v>
      </c>
      <c r="U2183">
        <v>0</v>
      </c>
      <c r="W2183">
        <v>7.85</v>
      </c>
      <c r="X2183" t="s">
        <v>528</v>
      </c>
      <c r="Y2183" t="s">
        <v>10890</v>
      </c>
      <c r="Z2183" t="s">
        <v>10972</v>
      </c>
      <c r="AA2183" t="s">
        <v>10976</v>
      </c>
      <c r="AD2183" t="s">
        <v>11090</v>
      </c>
      <c r="AF2183" t="s">
        <v>10384</v>
      </c>
      <c r="AH2183" t="s">
        <v>10975</v>
      </c>
      <c r="AJ2183" t="s">
        <v>11143</v>
      </c>
      <c r="AK2183" t="s">
        <v>7225</v>
      </c>
      <c r="AM2183">
        <v>360</v>
      </c>
      <c r="AO2183">
        <v>40</v>
      </c>
      <c r="AQ2183" t="s">
        <v>11157</v>
      </c>
      <c r="AS2183" t="s">
        <v>11175</v>
      </c>
      <c r="AU2183">
        <v>40</v>
      </c>
      <c r="AW2183" t="s">
        <v>11189</v>
      </c>
      <c r="AY2183" t="s">
        <v>11213</v>
      </c>
      <c r="AZ2183" t="s">
        <v>11221</v>
      </c>
      <c r="BE2183" t="s">
        <v>12909</v>
      </c>
      <c r="BF2183" t="s">
        <v>14364</v>
      </c>
      <c r="BM2183" t="s">
        <v>15650</v>
      </c>
    </row>
    <row r="2184" spans="1:65">
      <c r="A2184" s="1">
        <f>HYPERLINK("https://lsnyc.legalserver.org/matter/dynamic-profile/view/1864125","18-1864125")</f>
        <v>0</v>
      </c>
      <c r="B2184" t="s">
        <v>145</v>
      </c>
      <c r="C2184" t="s">
        <v>245</v>
      </c>
      <c r="D2184" t="s">
        <v>817</v>
      </c>
      <c r="F2184" t="s">
        <v>1270</v>
      </c>
      <c r="G2184" t="s">
        <v>3226</v>
      </c>
      <c r="H2184" t="s">
        <v>4776</v>
      </c>
      <c r="I2184">
        <v>603</v>
      </c>
      <c r="J2184" t="s">
        <v>7169</v>
      </c>
      <c r="K2184">
        <v>10029</v>
      </c>
      <c r="N2184" t="s">
        <v>7237</v>
      </c>
      <c r="O2184" t="s">
        <v>8644</v>
      </c>
      <c r="P2184">
        <v>1</v>
      </c>
      <c r="Q2184">
        <v>0</v>
      </c>
      <c r="R2184">
        <v>72.65000000000001</v>
      </c>
      <c r="U2184">
        <v>8820</v>
      </c>
      <c r="W2184">
        <v>0.35</v>
      </c>
      <c r="X2184" t="s">
        <v>666</v>
      </c>
      <c r="Y2184" t="s">
        <v>10859</v>
      </c>
      <c r="AA2184" t="s">
        <v>10974</v>
      </c>
      <c r="AB2184" t="s">
        <v>817</v>
      </c>
      <c r="AD2184" t="s">
        <v>11101</v>
      </c>
      <c r="AF2184" t="s">
        <v>11118</v>
      </c>
      <c r="AH2184" t="s">
        <v>10974</v>
      </c>
      <c r="AJ2184" t="s">
        <v>11134</v>
      </c>
      <c r="AK2184" t="s">
        <v>7225</v>
      </c>
      <c r="AL2184" t="s">
        <v>11150</v>
      </c>
      <c r="AM2184">
        <v>0</v>
      </c>
      <c r="AO2184">
        <v>108</v>
      </c>
      <c r="AQ2184" t="s">
        <v>11161</v>
      </c>
      <c r="AS2184" t="s">
        <v>11174</v>
      </c>
      <c r="AU2184">
        <v>24</v>
      </c>
      <c r="AW2184" t="s">
        <v>11189</v>
      </c>
      <c r="AY2184" t="s">
        <v>11213</v>
      </c>
      <c r="AZ2184" t="s">
        <v>11221</v>
      </c>
      <c r="BD2184" t="s">
        <v>11667</v>
      </c>
      <c r="BF2184" t="s">
        <v>14364</v>
      </c>
      <c r="BG2184" t="s">
        <v>14872</v>
      </c>
      <c r="BM2184" t="s">
        <v>15650</v>
      </c>
    </row>
    <row r="2185" spans="1:65">
      <c r="A2185" s="1">
        <f>HYPERLINK("https://lsnyc.legalserver.org/matter/dynamic-profile/view/1835830","17-1835830")</f>
        <v>0</v>
      </c>
      <c r="B2185" t="s">
        <v>145</v>
      </c>
      <c r="C2185" t="s">
        <v>245</v>
      </c>
      <c r="D2185" t="s">
        <v>848</v>
      </c>
      <c r="F2185" t="s">
        <v>1098</v>
      </c>
      <c r="G2185" t="s">
        <v>3836</v>
      </c>
      <c r="H2185" t="s">
        <v>5487</v>
      </c>
      <c r="I2185" t="s">
        <v>6413</v>
      </c>
      <c r="J2185" t="s">
        <v>7169</v>
      </c>
      <c r="K2185">
        <v>10034</v>
      </c>
      <c r="N2185" t="s">
        <v>7237</v>
      </c>
      <c r="O2185" t="s">
        <v>8524</v>
      </c>
      <c r="P2185">
        <v>3</v>
      </c>
      <c r="Q2185">
        <v>1</v>
      </c>
      <c r="R2185">
        <v>203.25</v>
      </c>
      <c r="S2185" t="s">
        <v>10255</v>
      </c>
      <c r="U2185">
        <v>50000</v>
      </c>
      <c r="V2185" t="s">
        <v>10489</v>
      </c>
      <c r="W2185">
        <v>0</v>
      </c>
      <c r="Y2185" t="s">
        <v>10859</v>
      </c>
      <c r="AA2185" t="s">
        <v>10974</v>
      </c>
      <c r="AB2185" t="s">
        <v>348</v>
      </c>
      <c r="AD2185" t="s">
        <v>11096</v>
      </c>
      <c r="AF2185" t="s">
        <v>11122</v>
      </c>
      <c r="AH2185" t="s">
        <v>10974</v>
      </c>
      <c r="AJ2185" t="s">
        <v>11134</v>
      </c>
      <c r="AK2185" t="s">
        <v>7225</v>
      </c>
      <c r="AM2185">
        <v>1419.68</v>
      </c>
      <c r="AO2185">
        <v>43</v>
      </c>
      <c r="AQ2185" t="s">
        <v>11157</v>
      </c>
      <c r="AS2185" t="s">
        <v>11173</v>
      </c>
      <c r="AU2185">
        <v>8</v>
      </c>
      <c r="AW2185" t="s">
        <v>11189</v>
      </c>
      <c r="AZ2185" t="s">
        <v>11221</v>
      </c>
      <c r="BD2185" t="s">
        <v>11667</v>
      </c>
      <c r="BG2185" t="s">
        <v>14900</v>
      </c>
      <c r="BM2185" t="s">
        <v>15650</v>
      </c>
    </row>
    <row r="2186" spans="1:65">
      <c r="A2186" s="1">
        <f>HYPERLINK("https://lsnyc.legalserver.org/matter/dynamic-profile/view/1836023","17-1836023")</f>
        <v>0</v>
      </c>
      <c r="B2186" t="s">
        <v>145</v>
      </c>
      <c r="C2186" t="s">
        <v>245</v>
      </c>
      <c r="D2186" t="s">
        <v>835</v>
      </c>
      <c r="E2186" t="s">
        <v>449</v>
      </c>
      <c r="F2186" t="s">
        <v>1699</v>
      </c>
      <c r="G2186" t="s">
        <v>3833</v>
      </c>
      <c r="H2186" t="s">
        <v>4922</v>
      </c>
      <c r="I2186" t="s">
        <v>6618</v>
      </c>
      <c r="J2186" t="s">
        <v>7169</v>
      </c>
      <c r="K2186">
        <v>10040</v>
      </c>
      <c r="L2186" t="s">
        <v>7220</v>
      </c>
      <c r="N2186" t="s">
        <v>7237</v>
      </c>
      <c r="O2186" t="s">
        <v>8639</v>
      </c>
      <c r="P2186">
        <v>2</v>
      </c>
      <c r="Q2186">
        <v>1</v>
      </c>
      <c r="R2186">
        <v>440.74</v>
      </c>
      <c r="S2186" t="s">
        <v>10266</v>
      </c>
      <c r="U2186">
        <v>90000</v>
      </c>
      <c r="W2186">
        <v>0.75</v>
      </c>
      <c r="X2186" t="s">
        <v>348</v>
      </c>
      <c r="Y2186" t="s">
        <v>10859</v>
      </c>
      <c r="AA2186" t="s">
        <v>10974</v>
      </c>
      <c r="AB2186" t="s">
        <v>411</v>
      </c>
      <c r="AD2186" t="s">
        <v>11096</v>
      </c>
      <c r="AF2186" t="s">
        <v>11122</v>
      </c>
      <c r="AH2186" t="s">
        <v>10974</v>
      </c>
      <c r="AJ2186" t="s">
        <v>11134</v>
      </c>
      <c r="AK2186" t="s">
        <v>7225</v>
      </c>
      <c r="AM2186">
        <v>1575</v>
      </c>
      <c r="AO2186">
        <v>43</v>
      </c>
      <c r="AQ2186" t="s">
        <v>11157</v>
      </c>
      <c r="AS2186" t="s">
        <v>11173</v>
      </c>
      <c r="AU2186">
        <v>10</v>
      </c>
      <c r="AW2186" t="s">
        <v>11189</v>
      </c>
      <c r="AZ2186" t="s">
        <v>11221</v>
      </c>
      <c r="BE2186" t="s">
        <v>12906</v>
      </c>
      <c r="BG2186" t="s">
        <v>14900</v>
      </c>
      <c r="BJ2186" t="s">
        <v>15615</v>
      </c>
      <c r="BM2186" t="s">
        <v>15651</v>
      </c>
    </row>
    <row r="2187" spans="1:65">
      <c r="A2187" s="1">
        <f>HYPERLINK("https://lsnyc.legalserver.org/matter/dynamic-profile/view/0829098","17-0829098")</f>
        <v>0</v>
      </c>
      <c r="B2187" t="s">
        <v>146</v>
      </c>
      <c r="C2187" t="s">
        <v>248</v>
      </c>
      <c r="D2187" t="s">
        <v>767</v>
      </c>
      <c r="F2187" t="s">
        <v>1122</v>
      </c>
      <c r="G2187" t="s">
        <v>1187</v>
      </c>
      <c r="H2187" t="s">
        <v>5488</v>
      </c>
      <c r="I2187">
        <v>5</v>
      </c>
      <c r="J2187" t="s">
        <v>7174</v>
      </c>
      <c r="K2187">
        <v>11238</v>
      </c>
      <c r="N2187" t="s">
        <v>7237</v>
      </c>
      <c r="O2187" t="s">
        <v>7316</v>
      </c>
      <c r="P2187">
        <v>2</v>
      </c>
      <c r="Q2187">
        <v>0</v>
      </c>
      <c r="R2187">
        <v>184.73</v>
      </c>
      <c r="S2187" t="s">
        <v>10256</v>
      </c>
      <c r="T2187" t="s">
        <v>10279</v>
      </c>
      <c r="U2187">
        <v>30000</v>
      </c>
      <c r="W2187">
        <v>155.05</v>
      </c>
      <c r="X2187" t="s">
        <v>770</v>
      </c>
      <c r="Y2187" t="s">
        <v>10898</v>
      </c>
      <c r="AA2187" t="s">
        <v>10974</v>
      </c>
      <c r="AB2187" t="s">
        <v>767</v>
      </c>
      <c r="AD2187" t="s">
        <v>11083</v>
      </c>
      <c r="AF2187" t="s">
        <v>11118</v>
      </c>
      <c r="AG2187" t="s">
        <v>11124</v>
      </c>
      <c r="AI2187" t="s">
        <v>11126</v>
      </c>
      <c r="AK2187" t="s">
        <v>7225</v>
      </c>
      <c r="AM2187">
        <v>900</v>
      </c>
      <c r="AO2187">
        <v>10</v>
      </c>
      <c r="AQ2187" t="s">
        <v>11157</v>
      </c>
      <c r="AR2187" t="s">
        <v>11172</v>
      </c>
      <c r="AU2187">
        <v>29</v>
      </c>
      <c r="AW2187" t="s">
        <v>11187</v>
      </c>
      <c r="AZ2187" t="s">
        <v>11221</v>
      </c>
      <c r="BD2187" t="s">
        <v>11667</v>
      </c>
      <c r="BF2187" t="s">
        <v>14364</v>
      </c>
      <c r="BG2187" t="s">
        <v>14904</v>
      </c>
      <c r="BM2187" t="s">
        <v>15650</v>
      </c>
    </row>
    <row r="2188" spans="1:65">
      <c r="A2188" s="1">
        <f>HYPERLINK("https://lsnyc.legalserver.org/matter/dynamic-profile/view/1836793","17-1836793")</f>
        <v>0</v>
      </c>
      <c r="B2188" t="s">
        <v>146</v>
      </c>
      <c r="C2188" t="s">
        <v>248</v>
      </c>
      <c r="D2188" t="s">
        <v>357</v>
      </c>
      <c r="F2188" t="s">
        <v>1149</v>
      </c>
      <c r="G2188" t="s">
        <v>3837</v>
      </c>
      <c r="H2188" t="s">
        <v>5489</v>
      </c>
      <c r="I2188" t="s">
        <v>6820</v>
      </c>
      <c r="J2188" t="s">
        <v>7174</v>
      </c>
      <c r="K2188">
        <v>11212</v>
      </c>
      <c r="N2188" t="s">
        <v>7237</v>
      </c>
      <c r="O2188" t="s">
        <v>7692</v>
      </c>
      <c r="P2188">
        <v>3</v>
      </c>
      <c r="Q2188">
        <v>1</v>
      </c>
      <c r="R2188">
        <v>126.83</v>
      </c>
      <c r="T2188" t="s">
        <v>10277</v>
      </c>
      <c r="U2188">
        <v>31200</v>
      </c>
      <c r="W2188">
        <v>127.8</v>
      </c>
      <c r="X2188" t="s">
        <v>10264</v>
      </c>
      <c r="Y2188" t="s">
        <v>225</v>
      </c>
      <c r="AA2188" t="s">
        <v>10974</v>
      </c>
      <c r="AB2188" t="s">
        <v>809</v>
      </c>
      <c r="AD2188" t="s">
        <v>11083</v>
      </c>
      <c r="AF2188" t="s">
        <v>11118</v>
      </c>
      <c r="AH2188" t="s">
        <v>10974</v>
      </c>
      <c r="AJ2188" t="s">
        <v>11136</v>
      </c>
      <c r="AK2188" t="s">
        <v>7225</v>
      </c>
      <c r="AM2188">
        <v>1197</v>
      </c>
      <c r="AO2188">
        <v>60</v>
      </c>
      <c r="AQ2188" t="s">
        <v>11157</v>
      </c>
      <c r="AS2188" t="s">
        <v>11173</v>
      </c>
      <c r="AU2188">
        <v>16</v>
      </c>
      <c r="AW2188" t="s">
        <v>11187</v>
      </c>
      <c r="AZ2188" t="s">
        <v>11221</v>
      </c>
      <c r="BC2188" t="s">
        <v>11173</v>
      </c>
      <c r="BE2188" t="s">
        <v>12910</v>
      </c>
      <c r="BG2188" t="s">
        <v>14905</v>
      </c>
      <c r="BM2188" t="s">
        <v>15650</v>
      </c>
    </row>
    <row r="2189" spans="1:65">
      <c r="A2189" s="1">
        <f>HYPERLINK("https://lsnyc.legalserver.org/matter/dynamic-profile/view/1901275","19-1901275")</f>
        <v>0</v>
      </c>
      <c r="B2189" t="s">
        <v>147</v>
      </c>
      <c r="C2189" t="s">
        <v>246</v>
      </c>
      <c r="D2189" t="s">
        <v>287</v>
      </c>
      <c r="F2189" t="s">
        <v>2043</v>
      </c>
      <c r="G2189" t="s">
        <v>3838</v>
      </c>
      <c r="H2189" t="s">
        <v>5490</v>
      </c>
      <c r="I2189" t="s">
        <v>6477</v>
      </c>
      <c r="J2189" t="s">
        <v>7170</v>
      </c>
      <c r="K2189">
        <v>10467</v>
      </c>
      <c r="N2189" t="s">
        <v>7238</v>
      </c>
      <c r="O2189" t="s">
        <v>8645</v>
      </c>
      <c r="P2189">
        <v>4</v>
      </c>
      <c r="Q2189">
        <v>0</v>
      </c>
      <c r="R2189">
        <v>0</v>
      </c>
      <c r="U2189">
        <v>0</v>
      </c>
      <c r="W2189">
        <v>9.85</v>
      </c>
      <c r="X2189" t="s">
        <v>262</v>
      </c>
      <c r="Y2189" t="s">
        <v>147</v>
      </c>
      <c r="AA2189" t="s">
        <v>10974</v>
      </c>
      <c r="AB2189" t="s">
        <v>287</v>
      </c>
      <c r="AD2189" t="s">
        <v>11088</v>
      </c>
      <c r="AF2189" t="s">
        <v>11122</v>
      </c>
      <c r="AH2189" t="s">
        <v>10975</v>
      </c>
      <c r="AJ2189" t="s">
        <v>11135</v>
      </c>
      <c r="AK2189" t="s">
        <v>7225</v>
      </c>
      <c r="AM2189">
        <v>1069.23</v>
      </c>
      <c r="AO2189">
        <v>37</v>
      </c>
      <c r="AQ2189" t="s">
        <v>11157</v>
      </c>
      <c r="AR2189" t="s">
        <v>11172</v>
      </c>
      <c r="AU2189">
        <v>25</v>
      </c>
      <c r="AW2189" t="s">
        <v>11187</v>
      </c>
      <c r="BA2189" t="s">
        <v>11223</v>
      </c>
      <c r="BC2189" t="s">
        <v>11402</v>
      </c>
      <c r="BE2189" t="s">
        <v>12911</v>
      </c>
      <c r="BF2189" t="s">
        <v>14364</v>
      </c>
      <c r="BG2189" t="s">
        <v>11228</v>
      </c>
      <c r="BM2189" t="s">
        <v>15650</v>
      </c>
    </row>
    <row r="2190" spans="1:65">
      <c r="A2190" s="1">
        <f>HYPERLINK("https://lsnyc.legalserver.org/matter/dynamic-profile/view/1911119","19-1911119")</f>
        <v>0</v>
      </c>
      <c r="B2190" t="s">
        <v>147</v>
      </c>
      <c r="C2190" t="s">
        <v>246</v>
      </c>
      <c r="D2190" t="s">
        <v>306</v>
      </c>
      <c r="F2190" t="s">
        <v>2044</v>
      </c>
      <c r="G2190" t="s">
        <v>3839</v>
      </c>
      <c r="H2190" t="s">
        <v>5491</v>
      </c>
      <c r="I2190" t="s">
        <v>6821</v>
      </c>
      <c r="J2190" t="s">
        <v>7170</v>
      </c>
      <c r="K2190">
        <v>10455</v>
      </c>
      <c r="N2190" t="s">
        <v>7238</v>
      </c>
      <c r="O2190" t="s">
        <v>8646</v>
      </c>
      <c r="P2190">
        <v>2</v>
      </c>
      <c r="Q2190">
        <v>4</v>
      </c>
      <c r="R2190">
        <v>45.7</v>
      </c>
      <c r="U2190">
        <v>15808</v>
      </c>
      <c r="W2190">
        <v>4</v>
      </c>
      <c r="X2190" t="s">
        <v>345</v>
      </c>
      <c r="Y2190" t="s">
        <v>10938</v>
      </c>
      <c r="Z2190" t="s">
        <v>10972</v>
      </c>
      <c r="AA2190" t="s">
        <v>10976</v>
      </c>
      <c r="AC2190" t="s">
        <v>11081</v>
      </c>
      <c r="AE2190" t="s">
        <v>11117</v>
      </c>
      <c r="AG2190" t="s">
        <v>11124</v>
      </c>
      <c r="AI2190" t="s">
        <v>11126</v>
      </c>
      <c r="AK2190" t="s">
        <v>7225</v>
      </c>
      <c r="AL2190" t="s">
        <v>11150</v>
      </c>
      <c r="AM2190">
        <v>0</v>
      </c>
      <c r="AN2190" t="s">
        <v>11151</v>
      </c>
      <c r="AO2190" t="s">
        <v>11153</v>
      </c>
      <c r="AP2190" t="s">
        <v>11155</v>
      </c>
      <c r="AR2190" t="s">
        <v>11172</v>
      </c>
      <c r="AT2190" t="s">
        <v>11184</v>
      </c>
      <c r="AU2190">
        <v>0</v>
      </c>
      <c r="AW2190" t="s">
        <v>11187</v>
      </c>
      <c r="AX2190" t="s">
        <v>11212</v>
      </c>
      <c r="AZ2190" t="s">
        <v>11221</v>
      </c>
      <c r="BE2190" t="s">
        <v>12912</v>
      </c>
      <c r="BF2190" t="s">
        <v>14364</v>
      </c>
      <c r="BM2190" t="s">
        <v>15650</v>
      </c>
    </row>
    <row r="2191" spans="1:65">
      <c r="A2191" s="1">
        <f>HYPERLINK("https://lsnyc.legalserver.org/matter/dynamic-profile/view/1875830","18-1875830")</f>
        <v>0</v>
      </c>
      <c r="B2191" t="s">
        <v>147</v>
      </c>
      <c r="C2191" t="s">
        <v>246</v>
      </c>
      <c r="D2191" t="s">
        <v>850</v>
      </c>
      <c r="F2191" t="s">
        <v>2044</v>
      </c>
      <c r="G2191" t="s">
        <v>3839</v>
      </c>
      <c r="H2191" t="s">
        <v>5491</v>
      </c>
      <c r="I2191" t="s">
        <v>6821</v>
      </c>
      <c r="J2191" t="s">
        <v>7170</v>
      </c>
      <c r="K2191">
        <v>10455</v>
      </c>
      <c r="N2191" t="s">
        <v>7238</v>
      </c>
      <c r="O2191" t="s">
        <v>8646</v>
      </c>
      <c r="P2191">
        <v>2</v>
      </c>
      <c r="Q2191">
        <v>4</v>
      </c>
      <c r="R2191">
        <v>46.85</v>
      </c>
      <c r="U2191">
        <v>15808</v>
      </c>
      <c r="W2191">
        <v>7</v>
      </c>
      <c r="X2191" t="s">
        <v>262</v>
      </c>
      <c r="Y2191" t="s">
        <v>10865</v>
      </c>
      <c r="AA2191" t="s">
        <v>10974</v>
      </c>
      <c r="AB2191" t="s">
        <v>850</v>
      </c>
      <c r="AD2191" t="s">
        <v>11088</v>
      </c>
      <c r="AF2191" t="s">
        <v>11120</v>
      </c>
      <c r="AH2191" t="s">
        <v>10975</v>
      </c>
      <c r="AJ2191" t="s">
        <v>11129</v>
      </c>
      <c r="AK2191" t="s">
        <v>7225</v>
      </c>
      <c r="AM2191">
        <v>1172.53</v>
      </c>
      <c r="AO2191">
        <v>44</v>
      </c>
      <c r="AQ2191" t="s">
        <v>11157</v>
      </c>
      <c r="AS2191" t="s">
        <v>11173</v>
      </c>
      <c r="AU2191">
        <v>18</v>
      </c>
      <c r="AW2191" t="s">
        <v>11187</v>
      </c>
      <c r="AZ2191" t="s">
        <v>11221</v>
      </c>
      <c r="BC2191" t="s">
        <v>11403</v>
      </c>
      <c r="BE2191" t="s">
        <v>12912</v>
      </c>
      <c r="BF2191" t="s">
        <v>14364</v>
      </c>
      <c r="BM2191" t="s">
        <v>15650</v>
      </c>
    </row>
    <row r="2192" spans="1:65">
      <c r="A2192" s="1">
        <f>HYPERLINK("https://lsnyc.legalserver.org/matter/dynamic-profile/view/1899021","19-1899021")</f>
        <v>0</v>
      </c>
      <c r="B2192" t="s">
        <v>148</v>
      </c>
      <c r="C2192" t="s">
        <v>246</v>
      </c>
      <c r="D2192" t="s">
        <v>608</v>
      </c>
      <c r="F2192" t="s">
        <v>2045</v>
      </c>
      <c r="G2192" t="s">
        <v>3840</v>
      </c>
      <c r="H2192" t="s">
        <v>5492</v>
      </c>
      <c r="I2192" t="s">
        <v>6666</v>
      </c>
      <c r="J2192" t="s">
        <v>7170</v>
      </c>
      <c r="K2192">
        <v>10459</v>
      </c>
      <c r="N2192" t="s">
        <v>7237</v>
      </c>
      <c r="O2192" t="s">
        <v>8647</v>
      </c>
      <c r="P2192">
        <v>3</v>
      </c>
      <c r="Q2192">
        <v>2</v>
      </c>
      <c r="R2192">
        <v>119.32</v>
      </c>
      <c r="U2192">
        <v>36000</v>
      </c>
      <c r="V2192" t="s">
        <v>10494</v>
      </c>
      <c r="W2192">
        <v>10.1</v>
      </c>
      <c r="X2192" t="s">
        <v>798</v>
      </c>
      <c r="Y2192" t="s">
        <v>10905</v>
      </c>
      <c r="AA2192" t="s">
        <v>10974</v>
      </c>
      <c r="AB2192" t="s">
        <v>675</v>
      </c>
      <c r="AD2192" t="s">
        <v>11082</v>
      </c>
      <c r="AF2192" t="s">
        <v>11118</v>
      </c>
      <c r="AG2192" t="s">
        <v>11124</v>
      </c>
      <c r="AJ2192" t="s">
        <v>11135</v>
      </c>
      <c r="AK2192" t="s">
        <v>7225</v>
      </c>
      <c r="AM2192">
        <v>860</v>
      </c>
      <c r="AN2192" t="s">
        <v>11151</v>
      </c>
      <c r="AO2192" t="s">
        <v>11153</v>
      </c>
      <c r="AQ2192" t="s">
        <v>11157</v>
      </c>
      <c r="AR2192" t="s">
        <v>11172</v>
      </c>
      <c r="AU2192">
        <v>36</v>
      </c>
      <c r="AW2192" t="s">
        <v>11187</v>
      </c>
      <c r="AY2192" t="s">
        <v>11215</v>
      </c>
      <c r="BA2192" t="s">
        <v>11222</v>
      </c>
      <c r="BD2192" t="s">
        <v>11667</v>
      </c>
      <c r="BG2192" t="s">
        <v>14906</v>
      </c>
      <c r="BM2192" t="s">
        <v>15650</v>
      </c>
    </row>
    <row r="2193" spans="1:65">
      <c r="A2193" s="1">
        <f>HYPERLINK("https://lsnyc.legalserver.org/matter/dynamic-profile/view/0821517","16-0821517")</f>
        <v>0</v>
      </c>
      <c r="B2193" t="s">
        <v>148</v>
      </c>
      <c r="C2193" t="s">
        <v>246</v>
      </c>
      <c r="D2193" t="s">
        <v>623</v>
      </c>
      <c r="F2193" t="s">
        <v>1751</v>
      </c>
      <c r="G2193" t="s">
        <v>3841</v>
      </c>
      <c r="H2193" t="s">
        <v>4781</v>
      </c>
      <c r="I2193" t="s">
        <v>6410</v>
      </c>
      <c r="J2193" t="s">
        <v>7170</v>
      </c>
      <c r="K2193">
        <v>10467</v>
      </c>
      <c r="N2193" t="s">
        <v>7237</v>
      </c>
      <c r="O2193" t="s">
        <v>8648</v>
      </c>
      <c r="P2193">
        <v>3</v>
      </c>
      <c r="Q2193">
        <v>3</v>
      </c>
      <c r="R2193">
        <v>47.88</v>
      </c>
      <c r="S2193" t="s">
        <v>283</v>
      </c>
      <c r="U2193">
        <v>15600</v>
      </c>
      <c r="V2193" t="s">
        <v>10495</v>
      </c>
      <c r="W2193">
        <v>8</v>
      </c>
      <c r="X2193" t="s">
        <v>1019</v>
      </c>
      <c r="Y2193" t="s">
        <v>10868</v>
      </c>
      <c r="AA2193" t="s">
        <v>10974</v>
      </c>
      <c r="AB2193" t="s">
        <v>1018</v>
      </c>
      <c r="AD2193" t="s">
        <v>11093</v>
      </c>
      <c r="AF2193" t="s">
        <v>11118</v>
      </c>
      <c r="AH2193" t="s">
        <v>10974</v>
      </c>
      <c r="AJ2193" t="s">
        <v>11130</v>
      </c>
      <c r="AK2193" t="s">
        <v>7225</v>
      </c>
      <c r="AL2193" t="s">
        <v>11150</v>
      </c>
      <c r="AM2193">
        <v>0</v>
      </c>
      <c r="AO2193">
        <v>30</v>
      </c>
      <c r="AQ2193" t="s">
        <v>11157</v>
      </c>
      <c r="AR2193" t="s">
        <v>11172</v>
      </c>
      <c r="AT2193" t="s">
        <v>11184</v>
      </c>
      <c r="AU2193">
        <v>0</v>
      </c>
      <c r="AV2193" t="s">
        <v>11186</v>
      </c>
      <c r="AZ2193" t="s">
        <v>11221</v>
      </c>
      <c r="BC2193" t="s">
        <v>11404</v>
      </c>
      <c r="BE2193" t="s">
        <v>12913</v>
      </c>
      <c r="BF2193" t="s">
        <v>14364</v>
      </c>
      <c r="BG2193" t="s">
        <v>14371</v>
      </c>
      <c r="BM2193" t="s">
        <v>15650</v>
      </c>
    </row>
    <row r="2194" spans="1:65">
      <c r="A2194" s="1">
        <f>HYPERLINK("https://lsnyc.legalserver.org/matter/dynamic-profile/view/1912418","19-1912418")</f>
        <v>0</v>
      </c>
      <c r="B2194" t="s">
        <v>149</v>
      </c>
      <c r="C2194" t="s">
        <v>245</v>
      </c>
      <c r="D2194" t="s">
        <v>441</v>
      </c>
      <c r="E2194" t="s">
        <v>669</v>
      </c>
      <c r="F2194" t="s">
        <v>2046</v>
      </c>
      <c r="G2194" t="s">
        <v>2308</v>
      </c>
      <c r="H2194" t="s">
        <v>5493</v>
      </c>
      <c r="I2194" t="s">
        <v>6822</v>
      </c>
      <c r="J2194" t="s">
        <v>7169</v>
      </c>
      <c r="K2194">
        <v>10040</v>
      </c>
      <c r="L2194" t="s">
        <v>7220</v>
      </c>
      <c r="N2194" t="s">
        <v>7237</v>
      </c>
      <c r="O2194" t="s">
        <v>8649</v>
      </c>
      <c r="P2194">
        <v>2</v>
      </c>
      <c r="Q2194">
        <v>2</v>
      </c>
      <c r="R2194">
        <v>50.49</v>
      </c>
      <c r="U2194">
        <v>13000</v>
      </c>
      <c r="W2194">
        <v>20.6</v>
      </c>
      <c r="X2194" t="s">
        <v>669</v>
      </c>
      <c r="Y2194" t="s">
        <v>127</v>
      </c>
      <c r="AA2194" t="s">
        <v>10974</v>
      </c>
      <c r="AB2194" t="s">
        <v>441</v>
      </c>
      <c r="AD2194" t="s">
        <v>11098</v>
      </c>
      <c r="AF2194" t="s">
        <v>11122</v>
      </c>
      <c r="AH2194" t="s">
        <v>10974</v>
      </c>
      <c r="AJ2194" t="s">
        <v>11129</v>
      </c>
      <c r="AK2194" t="s">
        <v>7225</v>
      </c>
      <c r="AM2194">
        <v>995.92</v>
      </c>
      <c r="AO2194">
        <v>44</v>
      </c>
      <c r="AQ2194" t="s">
        <v>11157</v>
      </c>
      <c r="AS2194" t="s">
        <v>11173</v>
      </c>
      <c r="AU2194">
        <v>15</v>
      </c>
      <c r="AW2194" t="s">
        <v>11189</v>
      </c>
      <c r="BA2194" t="s">
        <v>11222</v>
      </c>
      <c r="BC2194" t="s">
        <v>11405</v>
      </c>
      <c r="BE2194" t="s">
        <v>12914</v>
      </c>
      <c r="BG2194" t="s">
        <v>14907</v>
      </c>
      <c r="BJ2194" t="s">
        <v>15615</v>
      </c>
      <c r="BM2194" t="s">
        <v>15651</v>
      </c>
    </row>
    <row r="2195" spans="1:65">
      <c r="A2195" s="1">
        <f>HYPERLINK("https://lsnyc.legalserver.org/matter/dynamic-profile/view/1843588","17-1843588")</f>
        <v>0</v>
      </c>
      <c r="B2195" t="s">
        <v>149</v>
      </c>
      <c r="C2195" t="s">
        <v>245</v>
      </c>
      <c r="D2195" t="s">
        <v>851</v>
      </c>
      <c r="F2195" t="s">
        <v>1094</v>
      </c>
      <c r="G2195" t="s">
        <v>3226</v>
      </c>
      <c r="H2195" t="s">
        <v>5494</v>
      </c>
      <c r="I2195">
        <v>39</v>
      </c>
      <c r="J2195" t="s">
        <v>7169</v>
      </c>
      <c r="K2195">
        <v>10040</v>
      </c>
      <c r="N2195" t="s">
        <v>7237</v>
      </c>
      <c r="O2195" t="s">
        <v>7591</v>
      </c>
      <c r="P2195">
        <v>1</v>
      </c>
      <c r="Q2195">
        <v>0</v>
      </c>
      <c r="R2195">
        <v>9.1</v>
      </c>
      <c r="S2195" t="s">
        <v>652</v>
      </c>
      <c r="U2195">
        <v>1098</v>
      </c>
      <c r="W2195">
        <v>0.21</v>
      </c>
      <c r="X2195" t="s">
        <v>276</v>
      </c>
      <c r="Y2195" t="s">
        <v>127</v>
      </c>
      <c r="Z2195" t="s">
        <v>10972</v>
      </c>
      <c r="AA2195" t="s">
        <v>10975</v>
      </c>
      <c r="AD2195" t="s">
        <v>11101</v>
      </c>
      <c r="AF2195" t="s">
        <v>11118</v>
      </c>
      <c r="AH2195" t="s">
        <v>10974</v>
      </c>
      <c r="AJ2195" t="s">
        <v>11130</v>
      </c>
      <c r="AK2195" t="s">
        <v>7225</v>
      </c>
      <c r="AM2195">
        <v>1300</v>
      </c>
      <c r="AO2195">
        <v>44</v>
      </c>
      <c r="AQ2195" t="s">
        <v>11157</v>
      </c>
      <c r="AS2195" t="s">
        <v>11173</v>
      </c>
      <c r="AU2195">
        <v>25</v>
      </c>
      <c r="AW2195" t="s">
        <v>11189</v>
      </c>
      <c r="AX2195" t="s">
        <v>11212</v>
      </c>
      <c r="AZ2195" t="s">
        <v>11221</v>
      </c>
      <c r="BE2195" t="s">
        <v>12915</v>
      </c>
      <c r="BF2195" t="s">
        <v>14364</v>
      </c>
      <c r="BM2195" t="s">
        <v>15650</v>
      </c>
    </row>
    <row r="2196" spans="1:65">
      <c r="A2196" s="1">
        <f>HYPERLINK("https://lsnyc.legalserver.org/matter/dynamic-profile/view/0826261","17-0826261")</f>
        <v>0</v>
      </c>
      <c r="B2196" t="s">
        <v>149</v>
      </c>
      <c r="C2196" t="s">
        <v>245</v>
      </c>
      <c r="D2196" t="s">
        <v>378</v>
      </c>
      <c r="F2196" t="s">
        <v>1212</v>
      </c>
      <c r="G2196" t="s">
        <v>3842</v>
      </c>
      <c r="H2196" t="s">
        <v>5495</v>
      </c>
      <c r="I2196" t="s">
        <v>6410</v>
      </c>
      <c r="J2196" t="s">
        <v>7169</v>
      </c>
      <c r="K2196">
        <v>10034</v>
      </c>
      <c r="N2196" t="s">
        <v>7237</v>
      </c>
      <c r="O2196" t="s">
        <v>8650</v>
      </c>
      <c r="P2196">
        <v>1</v>
      </c>
      <c r="Q2196">
        <v>1</v>
      </c>
      <c r="R2196">
        <v>269.33</v>
      </c>
      <c r="S2196" t="s">
        <v>10255</v>
      </c>
      <c r="U2196">
        <v>43147.44</v>
      </c>
      <c r="W2196">
        <v>0.1</v>
      </c>
      <c r="X2196" t="s">
        <v>10833</v>
      </c>
      <c r="Y2196" t="s">
        <v>149</v>
      </c>
      <c r="AA2196" t="s">
        <v>10974</v>
      </c>
      <c r="AB2196" t="s">
        <v>10993</v>
      </c>
      <c r="AD2196" t="s">
        <v>11101</v>
      </c>
      <c r="AF2196" t="s">
        <v>11118</v>
      </c>
      <c r="AH2196" t="s">
        <v>10974</v>
      </c>
      <c r="AJ2196" t="s">
        <v>11141</v>
      </c>
      <c r="AK2196" t="s">
        <v>7225</v>
      </c>
      <c r="AM2196">
        <v>1375</v>
      </c>
      <c r="AO2196">
        <v>44</v>
      </c>
      <c r="AQ2196" t="s">
        <v>11157</v>
      </c>
      <c r="AS2196" t="s">
        <v>11173</v>
      </c>
      <c r="AU2196">
        <v>8</v>
      </c>
      <c r="AW2196" t="s">
        <v>11187</v>
      </c>
      <c r="AZ2196" t="s">
        <v>11221</v>
      </c>
      <c r="BE2196" t="s">
        <v>12916</v>
      </c>
      <c r="BF2196" t="s">
        <v>14364</v>
      </c>
      <c r="BG2196" t="s">
        <v>14908</v>
      </c>
      <c r="BM2196" t="s">
        <v>15650</v>
      </c>
    </row>
    <row r="2197" spans="1:65">
      <c r="A2197" s="1">
        <f>HYPERLINK("https://lsnyc.legalserver.org/matter/dynamic-profile/view/1911593","19-1911593")</f>
        <v>0</v>
      </c>
      <c r="B2197" t="s">
        <v>149</v>
      </c>
      <c r="C2197" t="s">
        <v>245</v>
      </c>
      <c r="D2197" t="s">
        <v>798</v>
      </c>
      <c r="F2197" t="s">
        <v>2047</v>
      </c>
      <c r="G2197" t="s">
        <v>2992</v>
      </c>
      <c r="H2197" t="s">
        <v>5494</v>
      </c>
      <c r="I2197" t="s">
        <v>6422</v>
      </c>
      <c r="J2197" t="s">
        <v>7169</v>
      </c>
      <c r="K2197">
        <v>10040</v>
      </c>
      <c r="N2197" t="s">
        <v>7237</v>
      </c>
      <c r="O2197" t="s">
        <v>8651</v>
      </c>
      <c r="P2197">
        <v>1</v>
      </c>
      <c r="Q2197">
        <v>0</v>
      </c>
      <c r="R2197">
        <v>114.43</v>
      </c>
      <c r="U2197">
        <v>14292</v>
      </c>
      <c r="W2197">
        <v>0</v>
      </c>
      <c r="Y2197" t="s">
        <v>127</v>
      </c>
      <c r="AA2197" t="s">
        <v>10974</v>
      </c>
      <c r="AB2197" t="s">
        <v>798</v>
      </c>
      <c r="AD2197" t="s">
        <v>11098</v>
      </c>
      <c r="AF2197" t="s">
        <v>11118</v>
      </c>
      <c r="AH2197" t="s">
        <v>10974</v>
      </c>
      <c r="AJ2197" t="s">
        <v>11129</v>
      </c>
      <c r="AK2197" t="s">
        <v>7225</v>
      </c>
      <c r="AM2197">
        <v>1230.4</v>
      </c>
      <c r="AO2197">
        <v>44</v>
      </c>
      <c r="AQ2197" t="s">
        <v>11157</v>
      </c>
      <c r="AS2197" t="s">
        <v>11174</v>
      </c>
      <c r="AU2197">
        <v>23</v>
      </c>
      <c r="AW2197" t="s">
        <v>11189</v>
      </c>
      <c r="BA2197" t="s">
        <v>11222</v>
      </c>
      <c r="BE2197" t="s">
        <v>12917</v>
      </c>
      <c r="BF2197" t="s">
        <v>14364</v>
      </c>
      <c r="BM2197" t="s">
        <v>15650</v>
      </c>
    </row>
    <row r="2198" spans="1:65">
      <c r="A2198" s="1">
        <f>HYPERLINK("https://lsnyc.legalserver.org/matter/dynamic-profile/view/1911615","19-1911615")</f>
        <v>0</v>
      </c>
      <c r="B2198" t="s">
        <v>149</v>
      </c>
      <c r="C2198" t="s">
        <v>245</v>
      </c>
      <c r="D2198" t="s">
        <v>798</v>
      </c>
      <c r="F2198" t="s">
        <v>1087</v>
      </c>
      <c r="G2198" t="s">
        <v>3843</v>
      </c>
      <c r="H2198" t="s">
        <v>5494</v>
      </c>
      <c r="I2198" t="s">
        <v>6425</v>
      </c>
      <c r="J2198" t="s">
        <v>7169</v>
      </c>
      <c r="K2198">
        <v>10040</v>
      </c>
      <c r="N2198" t="s">
        <v>7237</v>
      </c>
      <c r="O2198" t="s">
        <v>7401</v>
      </c>
      <c r="P2198">
        <v>2</v>
      </c>
      <c r="Q2198">
        <v>0</v>
      </c>
      <c r="R2198">
        <v>154.68</v>
      </c>
      <c r="U2198">
        <v>26156</v>
      </c>
      <c r="W2198">
        <v>0</v>
      </c>
      <c r="Y2198" t="s">
        <v>127</v>
      </c>
      <c r="AA2198" t="s">
        <v>10974</v>
      </c>
      <c r="AB2198" t="s">
        <v>798</v>
      </c>
      <c r="AD2198" t="s">
        <v>11098</v>
      </c>
      <c r="AF2198" t="s">
        <v>11118</v>
      </c>
      <c r="AH2198" t="s">
        <v>10974</v>
      </c>
      <c r="AJ2198" t="s">
        <v>11129</v>
      </c>
      <c r="AK2198" t="s">
        <v>7225</v>
      </c>
      <c r="AM2198">
        <v>983.6</v>
      </c>
      <c r="AO2198">
        <v>44</v>
      </c>
      <c r="AQ2198" t="s">
        <v>11157</v>
      </c>
      <c r="AS2198" t="s">
        <v>11173</v>
      </c>
      <c r="AU2198">
        <v>25</v>
      </c>
      <c r="AW2198" t="s">
        <v>11189</v>
      </c>
      <c r="BA2198" t="s">
        <v>11222</v>
      </c>
      <c r="BE2198" t="s">
        <v>12918</v>
      </c>
      <c r="BF2198" t="s">
        <v>14364</v>
      </c>
      <c r="BM2198" t="s">
        <v>15650</v>
      </c>
    </row>
    <row r="2199" spans="1:65">
      <c r="A2199" s="1">
        <f>HYPERLINK("https://lsnyc.legalserver.org/matter/dynamic-profile/view/1912423","19-1912423")</f>
        <v>0</v>
      </c>
      <c r="B2199" t="s">
        <v>149</v>
      </c>
      <c r="C2199" t="s">
        <v>245</v>
      </c>
      <c r="D2199" t="s">
        <v>441</v>
      </c>
      <c r="E2199" t="s">
        <v>669</v>
      </c>
      <c r="F2199" t="s">
        <v>2047</v>
      </c>
      <c r="G2199" t="s">
        <v>2992</v>
      </c>
      <c r="H2199" t="s">
        <v>5494</v>
      </c>
      <c r="I2199" t="s">
        <v>6422</v>
      </c>
      <c r="J2199" t="s">
        <v>7169</v>
      </c>
      <c r="K2199">
        <v>10040</v>
      </c>
      <c r="L2199" t="s">
        <v>7220</v>
      </c>
      <c r="N2199" t="s">
        <v>7237</v>
      </c>
      <c r="O2199" t="s">
        <v>8651</v>
      </c>
      <c r="P2199">
        <v>1</v>
      </c>
      <c r="Q2199">
        <v>0</v>
      </c>
      <c r="R2199">
        <v>114.43</v>
      </c>
      <c r="U2199">
        <v>14292</v>
      </c>
      <c r="W2199">
        <v>0.1</v>
      </c>
      <c r="X2199" t="s">
        <v>669</v>
      </c>
      <c r="Y2199" t="s">
        <v>127</v>
      </c>
      <c r="AA2199" t="s">
        <v>10974</v>
      </c>
      <c r="AB2199" t="s">
        <v>441</v>
      </c>
      <c r="AD2199" t="s">
        <v>11098</v>
      </c>
      <c r="AF2199" t="s">
        <v>11122</v>
      </c>
      <c r="AH2199" t="s">
        <v>10974</v>
      </c>
      <c r="AJ2199" t="s">
        <v>11129</v>
      </c>
      <c r="AK2199" t="s">
        <v>7225</v>
      </c>
      <c r="AM2199">
        <v>1230.4</v>
      </c>
      <c r="AO2199">
        <v>44</v>
      </c>
      <c r="AQ2199" t="s">
        <v>11157</v>
      </c>
      <c r="AS2199" t="s">
        <v>11174</v>
      </c>
      <c r="AU2199">
        <v>23</v>
      </c>
      <c r="AW2199" t="s">
        <v>11189</v>
      </c>
      <c r="BA2199" t="s">
        <v>11222</v>
      </c>
      <c r="BE2199" t="s">
        <v>12917</v>
      </c>
      <c r="BG2199" t="s">
        <v>14907</v>
      </c>
      <c r="BJ2199" t="s">
        <v>15615</v>
      </c>
      <c r="BM2199" t="s">
        <v>15651</v>
      </c>
    </row>
    <row r="2200" spans="1:65">
      <c r="A2200" s="1">
        <f>HYPERLINK("https://lsnyc.legalserver.org/matter/dynamic-profile/view/1911513","19-1911513")</f>
        <v>0</v>
      </c>
      <c r="B2200" t="s">
        <v>149</v>
      </c>
      <c r="C2200" t="s">
        <v>245</v>
      </c>
      <c r="D2200" t="s">
        <v>564</v>
      </c>
      <c r="F2200" t="s">
        <v>2046</v>
      </c>
      <c r="G2200" t="s">
        <v>2308</v>
      </c>
      <c r="H2200" t="s">
        <v>5496</v>
      </c>
      <c r="I2200" t="s">
        <v>6822</v>
      </c>
      <c r="J2200" t="s">
        <v>7169</v>
      </c>
      <c r="K2200">
        <v>10040</v>
      </c>
      <c r="N2200" t="s">
        <v>7237</v>
      </c>
      <c r="O2200" t="s">
        <v>8649</v>
      </c>
      <c r="P2200">
        <v>2</v>
      </c>
      <c r="Q2200">
        <v>2</v>
      </c>
      <c r="R2200">
        <v>50.49</v>
      </c>
      <c r="U2200">
        <v>13000</v>
      </c>
      <c r="W2200">
        <v>0.1</v>
      </c>
      <c r="X2200" t="s">
        <v>341</v>
      </c>
      <c r="Y2200" t="s">
        <v>127</v>
      </c>
      <c r="AA2200" t="s">
        <v>10974</v>
      </c>
      <c r="AB2200" t="s">
        <v>564</v>
      </c>
      <c r="AD2200" t="s">
        <v>11085</v>
      </c>
      <c r="AF2200" t="s">
        <v>11121</v>
      </c>
      <c r="AH2200" t="s">
        <v>10974</v>
      </c>
      <c r="AJ2200" t="s">
        <v>11129</v>
      </c>
      <c r="AK2200" t="s">
        <v>7225</v>
      </c>
      <c r="AM2200">
        <v>995.92</v>
      </c>
      <c r="AO2200">
        <v>44</v>
      </c>
      <c r="AQ2200" t="s">
        <v>11157</v>
      </c>
      <c r="AS2200" t="s">
        <v>11173</v>
      </c>
      <c r="AU2200">
        <v>15</v>
      </c>
      <c r="AW2200" t="s">
        <v>11189</v>
      </c>
      <c r="BA2200" t="s">
        <v>11222</v>
      </c>
      <c r="BC2200" t="s">
        <v>11405</v>
      </c>
      <c r="BE2200" t="s">
        <v>12914</v>
      </c>
      <c r="BF2200" t="s">
        <v>14364</v>
      </c>
      <c r="BM2200" t="s">
        <v>15650</v>
      </c>
    </row>
    <row r="2201" spans="1:65">
      <c r="A2201" s="1">
        <f>HYPERLINK("https://lsnyc.legalserver.org/matter/dynamic-profile/view/1897898","19-1897898")</f>
        <v>0</v>
      </c>
      <c r="B2201" t="s">
        <v>149</v>
      </c>
      <c r="C2201" t="s">
        <v>245</v>
      </c>
      <c r="D2201" t="s">
        <v>822</v>
      </c>
      <c r="F2201" t="s">
        <v>1561</v>
      </c>
      <c r="G2201" t="s">
        <v>2985</v>
      </c>
      <c r="H2201" t="s">
        <v>5497</v>
      </c>
      <c r="I2201" t="s">
        <v>6611</v>
      </c>
      <c r="J2201" t="s">
        <v>7169</v>
      </c>
      <c r="K2201">
        <v>10033</v>
      </c>
      <c r="N2201" t="s">
        <v>7237</v>
      </c>
      <c r="O2201" t="s">
        <v>8652</v>
      </c>
      <c r="P2201">
        <v>2</v>
      </c>
      <c r="Q2201">
        <v>1</v>
      </c>
      <c r="R2201">
        <v>0</v>
      </c>
      <c r="U2201">
        <v>0</v>
      </c>
      <c r="W2201">
        <v>0</v>
      </c>
      <c r="Y2201" t="s">
        <v>127</v>
      </c>
      <c r="AA2201" t="s">
        <v>10974</v>
      </c>
      <c r="AB2201" t="s">
        <v>822</v>
      </c>
      <c r="AD2201" t="s">
        <v>11098</v>
      </c>
      <c r="AF2201" t="s">
        <v>11118</v>
      </c>
      <c r="AH2201" t="s">
        <v>10975</v>
      </c>
      <c r="AJ2201" t="s">
        <v>11129</v>
      </c>
      <c r="AK2201" t="s">
        <v>7225</v>
      </c>
      <c r="AM2201">
        <v>2100</v>
      </c>
      <c r="AN2201" t="s">
        <v>11151</v>
      </c>
      <c r="AO2201" t="s">
        <v>11153</v>
      </c>
      <c r="AQ2201" t="s">
        <v>11157</v>
      </c>
      <c r="AS2201" t="s">
        <v>11173</v>
      </c>
      <c r="AU2201">
        <v>37</v>
      </c>
      <c r="AW2201" t="s">
        <v>11187</v>
      </c>
      <c r="AZ2201" t="s">
        <v>11221</v>
      </c>
      <c r="BE2201" t="s">
        <v>12919</v>
      </c>
      <c r="BG2201" t="s">
        <v>14909</v>
      </c>
      <c r="BM2201" t="s">
        <v>15650</v>
      </c>
    </row>
    <row r="2202" spans="1:65">
      <c r="A2202" s="1">
        <f>HYPERLINK("https://lsnyc.legalserver.org/matter/dynamic-profile/view/1912470","19-1912470")</f>
        <v>0</v>
      </c>
      <c r="B2202" t="s">
        <v>149</v>
      </c>
      <c r="C2202" t="s">
        <v>245</v>
      </c>
      <c r="D2202" t="s">
        <v>441</v>
      </c>
      <c r="E2202" t="s">
        <v>669</v>
      </c>
      <c r="F2202" t="s">
        <v>1087</v>
      </c>
      <c r="G2202" t="s">
        <v>3843</v>
      </c>
      <c r="H2202" t="s">
        <v>5494</v>
      </c>
      <c r="I2202" t="s">
        <v>6425</v>
      </c>
      <c r="J2202" t="s">
        <v>7169</v>
      </c>
      <c r="K2202">
        <v>10040</v>
      </c>
      <c r="L2202" t="s">
        <v>7220</v>
      </c>
      <c r="N2202" t="s">
        <v>7237</v>
      </c>
      <c r="O2202" t="s">
        <v>7401</v>
      </c>
      <c r="P2202">
        <v>2</v>
      </c>
      <c r="Q2202">
        <v>0</v>
      </c>
      <c r="R2202">
        <v>154.68</v>
      </c>
      <c r="U2202">
        <v>26156</v>
      </c>
      <c r="W2202">
        <v>0.1</v>
      </c>
      <c r="X2202" t="s">
        <v>669</v>
      </c>
      <c r="Y2202" t="s">
        <v>127</v>
      </c>
      <c r="AA2202" t="s">
        <v>10974</v>
      </c>
      <c r="AB2202" t="s">
        <v>441</v>
      </c>
      <c r="AD2202" t="s">
        <v>11098</v>
      </c>
      <c r="AF2202" t="s">
        <v>11118</v>
      </c>
      <c r="AH2202" t="s">
        <v>10974</v>
      </c>
      <c r="AJ2202" t="s">
        <v>11134</v>
      </c>
      <c r="AK2202" t="s">
        <v>7225</v>
      </c>
      <c r="AM2202">
        <v>1231.45</v>
      </c>
      <c r="AO2202">
        <v>44</v>
      </c>
      <c r="AQ2202" t="s">
        <v>11157</v>
      </c>
      <c r="AS2202" t="s">
        <v>11173</v>
      </c>
      <c r="AU2202">
        <v>13</v>
      </c>
      <c r="AW2202" t="s">
        <v>11189</v>
      </c>
      <c r="BA2202" t="s">
        <v>11222</v>
      </c>
      <c r="BE2202" t="s">
        <v>12918</v>
      </c>
      <c r="BG2202" t="s">
        <v>14907</v>
      </c>
      <c r="BJ2202" t="s">
        <v>15615</v>
      </c>
      <c r="BM2202" t="s">
        <v>15651</v>
      </c>
    </row>
    <row r="2203" spans="1:65">
      <c r="A2203" s="1">
        <f>HYPERLINK("https://lsnyc.legalserver.org/matter/dynamic-profile/view/1911491","19-1911491")</f>
        <v>0</v>
      </c>
      <c r="B2203" t="s">
        <v>149</v>
      </c>
      <c r="C2203" t="s">
        <v>245</v>
      </c>
      <c r="D2203" t="s">
        <v>564</v>
      </c>
      <c r="F2203" t="s">
        <v>2047</v>
      </c>
      <c r="G2203" t="s">
        <v>2992</v>
      </c>
      <c r="H2203" t="s">
        <v>5494</v>
      </c>
      <c r="I2203" t="s">
        <v>6422</v>
      </c>
      <c r="J2203" t="s">
        <v>7169</v>
      </c>
      <c r="K2203">
        <v>10040</v>
      </c>
      <c r="N2203" t="s">
        <v>7237</v>
      </c>
      <c r="O2203" t="s">
        <v>8651</v>
      </c>
      <c r="P2203">
        <v>1</v>
      </c>
      <c r="Q2203">
        <v>0</v>
      </c>
      <c r="R2203">
        <v>114.43</v>
      </c>
      <c r="U2203">
        <v>14292</v>
      </c>
      <c r="W2203">
        <v>0.1</v>
      </c>
      <c r="X2203" t="s">
        <v>341</v>
      </c>
      <c r="Y2203" t="s">
        <v>127</v>
      </c>
      <c r="AA2203" t="s">
        <v>10974</v>
      </c>
      <c r="AB2203" t="s">
        <v>564</v>
      </c>
      <c r="AD2203" t="s">
        <v>11085</v>
      </c>
      <c r="AF2203" t="s">
        <v>11118</v>
      </c>
      <c r="AH2203" t="s">
        <v>10974</v>
      </c>
      <c r="AJ2203" t="s">
        <v>11129</v>
      </c>
      <c r="AK2203" t="s">
        <v>7225</v>
      </c>
      <c r="AM2203">
        <v>1230.2</v>
      </c>
      <c r="AO2203">
        <v>44</v>
      </c>
      <c r="AQ2203" t="s">
        <v>11157</v>
      </c>
      <c r="AS2203" t="s">
        <v>11174</v>
      </c>
      <c r="AU2203">
        <v>23</v>
      </c>
      <c r="AW2203" t="s">
        <v>11189</v>
      </c>
      <c r="BA2203" t="s">
        <v>11222</v>
      </c>
      <c r="BE2203" t="s">
        <v>12917</v>
      </c>
      <c r="BF2203" t="s">
        <v>14364</v>
      </c>
      <c r="BM2203" t="s">
        <v>15650</v>
      </c>
    </row>
    <row r="2204" spans="1:65">
      <c r="A2204" s="1">
        <f>HYPERLINK("https://lsnyc.legalserver.org/matter/dynamic-profile/view/1912365","19-1912365")</f>
        <v>0</v>
      </c>
      <c r="B2204" t="s">
        <v>149</v>
      </c>
      <c r="C2204" t="s">
        <v>245</v>
      </c>
      <c r="D2204" t="s">
        <v>737</v>
      </c>
      <c r="F2204" t="s">
        <v>1277</v>
      </c>
      <c r="G2204" t="s">
        <v>1412</v>
      </c>
      <c r="H2204" t="s">
        <v>5494</v>
      </c>
      <c r="I2204" t="s">
        <v>6628</v>
      </c>
      <c r="J2204" t="s">
        <v>7169</v>
      </c>
      <c r="K2204">
        <v>10040</v>
      </c>
      <c r="N2204" t="s">
        <v>7237</v>
      </c>
      <c r="O2204" t="s">
        <v>8653</v>
      </c>
      <c r="P2204">
        <v>4</v>
      </c>
      <c r="Q2204">
        <v>1</v>
      </c>
      <c r="R2204">
        <v>222.07</v>
      </c>
      <c r="U2204">
        <v>67000</v>
      </c>
      <c r="W2204">
        <v>0</v>
      </c>
      <c r="Y2204" t="s">
        <v>127</v>
      </c>
      <c r="AA2204" t="s">
        <v>10974</v>
      </c>
      <c r="AB2204" t="s">
        <v>737</v>
      </c>
      <c r="AD2204" t="s">
        <v>11098</v>
      </c>
      <c r="AF2204" t="s">
        <v>11118</v>
      </c>
      <c r="AH2204" t="s">
        <v>10974</v>
      </c>
      <c r="AJ2204" t="s">
        <v>11129</v>
      </c>
      <c r="AK2204" t="s">
        <v>7225</v>
      </c>
      <c r="AM2204">
        <v>1600</v>
      </c>
      <c r="AO2204">
        <v>44</v>
      </c>
      <c r="AQ2204" t="s">
        <v>11157</v>
      </c>
      <c r="AS2204" t="s">
        <v>11173</v>
      </c>
      <c r="AU2204">
        <v>39</v>
      </c>
      <c r="AW2204" t="s">
        <v>11187</v>
      </c>
      <c r="BA2204" t="s">
        <v>11222</v>
      </c>
      <c r="BE2204" t="s">
        <v>12920</v>
      </c>
      <c r="BF2204" t="s">
        <v>14364</v>
      </c>
      <c r="BM2204" t="s">
        <v>15650</v>
      </c>
    </row>
    <row r="2205" spans="1:65">
      <c r="A2205" s="1">
        <f>HYPERLINK("https://lsnyc.legalserver.org/matter/dynamic-profile/view/1911516","19-1911516")</f>
        <v>0</v>
      </c>
      <c r="B2205" t="s">
        <v>149</v>
      </c>
      <c r="C2205" t="s">
        <v>245</v>
      </c>
      <c r="D2205" t="s">
        <v>564</v>
      </c>
      <c r="F2205" t="s">
        <v>1090</v>
      </c>
      <c r="G2205" t="s">
        <v>2885</v>
      </c>
      <c r="H2205" t="s">
        <v>5494</v>
      </c>
      <c r="I2205" t="s">
        <v>6403</v>
      </c>
      <c r="J2205" t="s">
        <v>7169</v>
      </c>
      <c r="K2205">
        <v>10040</v>
      </c>
      <c r="N2205" t="s">
        <v>7237</v>
      </c>
      <c r="O2205" t="s">
        <v>8654</v>
      </c>
      <c r="P2205">
        <v>1</v>
      </c>
      <c r="Q2205">
        <v>0</v>
      </c>
      <c r="R2205">
        <v>63.51</v>
      </c>
      <c r="U2205">
        <v>7932</v>
      </c>
      <c r="W2205">
        <v>0.1</v>
      </c>
      <c r="X2205" t="s">
        <v>341</v>
      </c>
      <c r="Y2205" t="s">
        <v>127</v>
      </c>
      <c r="AA2205" t="s">
        <v>10974</v>
      </c>
      <c r="AB2205" t="s">
        <v>564</v>
      </c>
      <c r="AD2205" t="s">
        <v>11085</v>
      </c>
      <c r="AF2205" t="s">
        <v>11118</v>
      </c>
      <c r="AH2205" t="s">
        <v>10974</v>
      </c>
      <c r="AJ2205" t="s">
        <v>11129</v>
      </c>
      <c r="AK2205" t="s">
        <v>7225</v>
      </c>
      <c r="AM2205">
        <v>1134.04</v>
      </c>
      <c r="AO2205">
        <v>44</v>
      </c>
      <c r="AQ2205" t="s">
        <v>11157</v>
      </c>
      <c r="AS2205" t="s">
        <v>11174</v>
      </c>
      <c r="AU2205">
        <v>36</v>
      </c>
      <c r="AW2205" t="s">
        <v>11189</v>
      </c>
      <c r="BA2205" t="s">
        <v>11222</v>
      </c>
      <c r="BB2205" t="s">
        <v>11224</v>
      </c>
      <c r="BC2205" t="s">
        <v>11406</v>
      </c>
      <c r="BE2205" t="s">
        <v>12921</v>
      </c>
      <c r="BF2205" t="s">
        <v>14364</v>
      </c>
      <c r="BM2205" t="s">
        <v>15650</v>
      </c>
    </row>
    <row r="2206" spans="1:65">
      <c r="A2206" s="1">
        <f>HYPERLINK("https://lsnyc.legalserver.org/matter/dynamic-profile/view/1897727","19-1897727")</f>
        <v>0</v>
      </c>
      <c r="B2206" t="s">
        <v>149</v>
      </c>
      <c r="C2206" t="s">
        <v>245</v>
      </c>
      <c r="D2206" t="s">
        <v>633</v>
      </c>
      <c r="F2206" t="s">
        <v>1630</v>
      </c>
      <c r="G2206" t="s">
        <v>3140</v>
      </c>
      <c r="H2206" t="s">
        <v>5498</v>
      </c>
      <c r="I2206" t="s">
        <v>6823</v>
      </c>
      <c r="J2206" t="s">
        <v>7169</v>
      </c>
      <c r="K2206">
        <v>10034</v>
      </c>
      <c r="N2206" t="s">
        <v>7237</v>
      </c>
      <c r="O2206" t="s">
        <v>8655</v>
      </c>
      <c r="P2206">
        <v>1</v>
      </c>
      <c r="Q2206">
        <v>0</v>
      </c>
      <c r="R2206">
        <v>199.01</v>
      </c>
      <c r="U2206">
        <v>24856</v>
      </c>
      <c r="W2206">
        <v>6.7</v>
      </c>
      <c r="X2206" t="s">
        <v>528</v>
      </c>
      <c r="Y2206" t="s">
        <v>10892</v>
      </c>
      <c r="AA2206" t="s">
        <v>10974</v>
      </c>
      <c r="AB2206" t="s">
        <v>314</v>
      </c>
      <c r="AD2206" t="s">
        <v>11086</v>
      </c>
      <c r="AF2206" t="s">
        <v>11120</v>
      </c>
      <c r="AH2206" t="s">
        <v>10975</v>
      </c>
      <c r="AJ2206" t="s">
        <v>11140</v>
      </c>
      <c r="AK2206" t="s">
        <v>7225</v>
      </c>
      <c r="AM2206">
        <v>908.41</v>
      </c>
      <c r="AO2206">
        <v>80</v>
      </c>
      <c r="AQ2206" t="s">
        <v>11157</v>
      </c>
      <c r="AS2206" t="s">
        <v>11173</v>
      </c>
      <c r="AU2206">
        <v>22</v>
      </c>
      <c r="AW2206" t="s">
        <v>11189</v>
      </c>
      <c r="BA2206" t="s">
        <v>11222</v>
      </c>
      <c r="BE2206" t="s">
        <v>12922</v>
      </c>
      <c r="BF2206" t="s">
        <v>14364</v>
      </c>
      <c r="BM2206" t="s">
        <v>15650</v>
      </c>
    </row>
    <row r="2207" spans="1:65">
      <c r="A2207" s="1">
        <f>HYPERLINK("https://lsnyc.legalserver.org/matter/dynamic-profile/view/1888169","19-1888169")</f>
        <v>0</v>
      </c>
      <c r="B2207" t="s">
        <v>149</v>
      </c>
      <c r="C2207" t="s">
        <v>245</v>
      </c>
      <c r="D2207" t="s">
        <v>681</v>
      </c>
      <c r="F2207" t="s">
        <v>1093</v>
      </c>
      <c r="G2207" t="s">
        <v>3726</v>
      </c>
      <c r="H2207" t="s">
        <v>5499</v>
      </c>
      <c r="J2207" t="s">
        <v>7169</v>
      </c>
      <c r="K2207">
        <v>10023</v>
      </c>
      <c r="N2207" t="s">
        <v>7237</v>
      </c>
      <c r="O2207" t="s">
        <v>8656</v>
      </c>
      <c r="P2207">
        <v>1</v>
      </c>
      <c r="Q2207">
        <v>0</v>
      </c>
      <c r="R2207">
        <v>0</v>
      </c>
      <c r="U2207">
        <v>0</v>
      </c>
      <c r="W2207">
        <v>103.4</v>
      </c>
      <c r="X2207" t="s">
        <v>264</v>
      </c>
      <c r="Y2207" t="s">
        <v>127</v>
      </c>
      <c r="AA2207" t="s">
        <v>10974</v>
      </c>
      <c r="AB2207" t="s">
        <v>659</v>
      </c>
      <c r="AD2207" t="s">
        <v>11111</v>
      </c>
      <c r="AF2207" t="s">
        <v>11118</v>
      </c>
      <c r="AH2207" t="s">
        <v>10975</v>
      </c>
      <c r="AJ2207" t="s">
        <v>11133</v>
      </c>
      <c r="AK2207" t="s">
        <v>7225</v>
      </c>
      <c r="AM2207">
        <v>3600</v>
      </c>
      <c r="AN2207" t="s">
        <v>11151</v>
      </c>
      <c r="AO2207" t="s">
        <v>11153</v>
      </c>
      <c r="AQ2207" t="s">
        <v>11157</v>
      </c>
      <c r="AS2207" t="s">
        <v>11173</v>
      </c>
      <c r="AU2207">
        <v>1</v>
      </c>
      <c r="AW2207" t="s">
        <v>11187</v>
      </c>
      <c r="BA2207" t="s">
        <v>11222</v>
      </c>
      <c r="BE2207" t="s">
        <v>12923</v>
      </c>
      <c r="BG2207" t="s">
        <v>14910</v>
      </c>
      <c r="BM2207" t="s">
        <v>15650</v>
      </c>
    </row>
    <row r="2208" spans="1:65">
      <c r="A2208" s="1">
        <f>HYPERLINK("https://lsnyc.legalserver.org/matter/dynamic-profile/view/1911604","19-1911604")</f>
        <v>0</v>
      </c>
      <c r="B2208" t="s">
        <v>149</v>
      </c>
      <c r="C2208" t="s">
        <v>245</v>
      </c>
      <c r="D2208" t="s">
        <v>798</v>
      </c>
      <c r="F2208" t="s">
        <v>1125</v>
      </c>
      <c r="G2208" t="s">
        <v>3192</v>
      </c>
      <c r="H2208" t="s">
        <v>5494</v>
      </c>
      <c r="I2208" t="s">
        <v>6422</v>
      </c>
      <c r="J2208" t="s">
        <v>7169</v>
      </c>
      <c r="K2208">
        <v>10040</v>
      </c>
      <c r="N2208" t="s">
        <v>7237</v>
      </c>
      <c r="O2208" t="s">
        <v>8657</v>
      </c>
      <c r="P2208">
        <v>2</v>
      </c>
      <c r="Q2208">
        <v>0</v>
      </c>
      <c r="R2208">
        <v>226.64</v>
      </c>
      <c r="U2208">
        <v>38324</v>
      </c>
      <c r="W2208">
        <v>0</v>
      </c>
      <c r="Y2208" t="s">
        <v>127</v>
      </c>
      <c r="AA2208" t="s">
        <v>10974</v>
      </c>
      <c r="AB2208" t="s">
        <v>798</v>
      </c>
      <c r="AD2208" t="s">
        <v>11098</v>
      </c>
      <c r="AF2208" t="s">
        <v>11118</v>
      </c>
      <c r="AH2208" t="s">
        <v>10974</v>
      </c>
      <c r="AJ2208" t="s">
        <v>11129</v>
      </c>
      <c r="AK2208" t="s">
        <v>7225</v>
      </c>
      <c r="AM2208">
        <v>1231.45</v>
      </c>
      <c r="AO2208">
        <v>44</v>
      </c>
      <c r="AQ2208" t="s">
        <v>11157</v>
      </c>
      <c r="AS2208" t="s">
        <v>11173</v>
      </c>
      <c r="AU2208">
        <v>13</v>
      </c>
      <c r="AW2208" t="s">
        <v>11189</v>
      </c>
      <c r="BA2208" t="s">
        <v>11222</v>
      </c>
      <c r="BE2208" t="s">
        <v>12924</v>
      </c>
      <c r="BF2208" t="s">
        <v>14364</v>
      </c>
      <c r="BM2208" t="s">
        <v>15650</v>
      </c>
    </row>
    <row r="2209" spans="1:66">
      <c r="A2209" s="1">
        <f>HYPERLINK("https://lsnyc.legalserver.org/matter/dynamic-profile/view/0806867","16-0806867")</f>
        <v>0</v>
      </c>
      <c r="B2209" t="s">
        <v>149</v>
      </c>
      <c r="C2209" t="s">
        <v>245</v>
      </c>
      <c r="D2209" t="s">
        <v>709</v>
      </c>
      <c r="F2209" t="s">
        <v>1562</v>
      </c>
      <c r="G2209" t="s">
        <v>3844</v>
      </c>
      <c r="H2209" t="s">
        <v>5495</v>
      </c>
      <c r="I2209" t="s">
        <v>6425</v>
      </c>
      <c r="J2209" t="s">
        <v>7169</v>
      </c>
      <c r="K2209">
        <v>10034</v>
      </c>
      <c r="N2209" t="s">
        <v>7237</v>
      </c>
      <c r="O2209" t="s">
        <v>8658</v>
      </c>
      <c r="P2209">
        <v>2</v>
      </c>
      <c r="Q2209">
        <v>1</v>
      </c>
      <c r="R2209">
        <v>226.88</v>
      </c>
      <c r="U2209">
        <v>45738</v>
      </c>
      <c r="W2209">
        <v>50.44</v>
      </c>
      <c r="X2209" t="s">
        <v>586</v>
      </c>
      <c r="Y2209" t="s">
        <v>10859</v>
      </c>
      <c r="Z2209" t="s">
        <v>10973</v>
      </c>
      <c r="AA2209" t="s">
        <v>10975</v>
      </c>
      <c r="AB2209" t="s">
        <v>10993</v>
      </c>
      <c r="AD2209" t="s">
        <v>11101</v>
      </c>
      <c r="AF2209" t="s">
        <v>11118</v>
      </c>
      <c r="AH2209" t="s">
        <v>10974</v>
      </c>
      <c r="AJ2209" t="s">
        <v>11141</v>
      </c>
      <c r="AK2209" t="s">
        <v>7225</v>
      </c>
      <c r="AM2209">
        <v>921.61</v>
      </c>
      <c r="AO2209">
        <v>44</v>
      </c>
      <c r="AQ2209" t="s">
        <v>11157</v>
      </c>
      <c r="AS2209" t="s">
        <v>11173</v>
      </c>
      <c r="AU2209">
        <v>19</v>
      </c>
      <c r="AW2209" t="s">
        <v>11187</v>
      </c>
      <c r="AZ2209" t="s">
        <v>11221</v>
      </c>
      <c r="BE2209" t="s">
        <v>12925</v>
      </c>
      <c r="BF2209" t="s">
        <v>14364</v>
      </c>
      <c r="BG2209" t="s">
        <v>14911</v>
      </c>
      <c r="BM2209" t="s">
        <v>15650</v>
      </c>
    </row>
    <row r="2210" spans="1:66">
      <c r="A2210" s="1">
        <f>HYPERLINK("https://lsnyc.legalserver.org/matter/dynamic-profile/view/1910445","19-1910445")</f>
        <v>0</v>
      </c>
      <c r="B2210" t="s">
        <v>149</v>
      </c>
      <c r="C2210" t="s">
        <v>245</v>
      </c>
      <c r="D2210" t="s">
        <v>263</v>
      </c>
      <c r="E2210" t="s">
        <v>669</v>
      </c>
      <c r="F2210" t="s">
        <v>2048</v>
      </c>
      <c r="G2210" t="s">
        <v>3845</v>
      </c>
      <c r="H2210" t="s">
        <v>5500</v>
      </c>
      <c r="I2210" t="s">
        <v>6437</v>
      </c>
      <c r="J2210" t="s">
        <v>7169</v>
      </c>
      <c r="K2210">
        <v>10032</v>
      </c>
      <c r="L2210" t="s">
        <v>7216</v>
      </c>
      <c r="N2210" t="s">
        <v>7237</v>
      </c>
      <c r="O2210" t="s">
        <v>8659</v>
      </c>
      <c r="P2210">
        <v>1</v>
      </c>
      <c r="Q2210">
        <v>0</v>
      </c>
      <c r="R2210">
        <v>39.97</v>
      </c>
      <c r="U2210">
        <v>4992</v>
      </c>
      <c r="W2210">
        <v>3.1</v>
      </c>
      <c r="X2210" t="s">
        <v>436</v>
      </c>
      <c r="Y2210" t="s">
        <v>127</v>
      </c>
      <c r="AA2210" t="s">
        <v>10974</v>
      </c>
      <c r="AB2210" t="s">
        <v>263</v>
      </c>
      <c r="AC2210" t="s">
        <v>11081</v>
      </c>
      <c r="AF2210" t="s">
        <v>11121</v>
      </c>
      <c r="AH2210" t="s">
        <v>10975</v>
      </c>
      <c r="AJ2210" t="s">
        <v>11130</v>
      </c>
      <c r="AK2210" t="s">
        <v>7225</v>
      </c>
      <c r="AM2210">
        <v>2195</v>
      </c>
      <c r="AO2210">
        <v>108</v>
      </c>
      <c r="AQ2210" t="s">
        <v>11157</v>
      </c>
      <c r="AS2210" t="s">
        <v>11173</v>
      </c>
      <c r="AU2210">
        <v>1</v>
      </c>
      <c r="AW2210" t="s">
        <v>11187</v>
      </c>
      <c r="BA2210" t="s">
        <v>11222</v>
      </c>
      <c r="BC2210" t="s">
        <v>11407</v>
      </c>
      <c r="BE2210" t="s">
        <v>12926</v>
      </c>
      <c r="BF2210" t="s">
        <v>14364</v>
      </c>
      <c r="BM2210" t="s">
        <v>15651</v>
      </c>
    </row>
    <row r="2211" spans="1:66">
      <c r="A2211" s="1">
        <f>HYPERLINK("https://lsnyc.legalserver.org/matter/dynamic-profile/view/1860272","18-1860272")</f>
        <v>0</v>
      </c>
      <c r="B2211" t="s">
        <v>149</v>
      </c>
      <c r="C2211" t="s">
        <v>245</v>
      </c>
      <c r="D2211" t="s">
        <v>852</v>
      </c>
      <c r="F2211" t="s">
        <v>2049</v>
      </c>
      <c r="G2211" t="s">
        <v>2956</v>
      </c>
      <c r="H2211" t="s">
        <v>5495</v>
      </c>
      <c r="I2211" t="s">
        <v>6493</v>
      </c>
      <c r="J2211" t="s">
        <v>7169</v>
      </c>
      <c r="K2211">
        <v>10034</v>
      </c>
      <c r="N2211" t="s">
        <v>7237</v>
      </c>
      <c r="O2211" t="s">
        <v>8660</v>
      </c>
      <c r="P2211">
        <v>4</v>
      </c>
      <c r="Q2211">
        <v>2</v>
      </c>
      <c r="R2211">
        <v>67.75</v>
      </c>
      <c r="U2211">
        <v>37044</v>
      </c>
      <c r="W2211">
        <v>15.2</v>
      </c>
      <c r="X2211" t="s">
        <v>528</v>
      </c>
      <c r="Y2211" t="s">
        <v>127</v>
      </c>
      <c r="AA2211" t="s">
        <v>10974</v>
      </c>
      <c r="AB2211" t="s">
        <v>852</v>
      </c>
      <c r="AD2211" t="s">
        <v>11086</v>
      </c>
      <c r="AF2211" t="s">
        <v>11120</v>
      </c>
      <c r="AH2211" t="s">
        <v>10975</v>
      </c>
      <c r="AJ2211" t="s">
        <v>11129</v>
      </c>
      <c r="AK2211" t="s">
        <v>7225</v>
      </c>
      <c r="AM2211">
        <v>986</v>
      </c>
      <c r="AO2211">
        <v>44</v>
      </c>
      <c r="AQ2211" t="s">
        <v>11157</v>
      </c>
      <c r="AS2211" t="s">
        <v>11175</v>
      </c>
      <c r="AU2211">
        <v>22</v>
      </c>
      <c r="AW2211" t="s">
        <v>11189</v>
      </c>
      <c r="AZ2211" t="s">
        <v>11221</v>
      </c>
      <c r="BE2211" t="s">
        <v>12927</v>
      </c>
      <c r="BF2211" t="s">
        <v>14364</v>
      </c>
      <c r="BM2211" t="s">
        <v>15650</v>
      </c>
    </row>
    <row r="2212" spans="1:66">
      <c r="A2212" s="1">
        <f>HYPERLINK("https://lsnyc.legalserver.org/matter/dynamic-profile/view/0827315","17-0827315")</f>
        <v>0</v>
      </c>
      <c r="B2212" t="s">
        <v>149</v>
      </c>
      <c r="C2212" t="s">
        <v>245</v>
      </c>
      <c r="D2212" t="s">
        <v>853</v>
      </c>
      <c r="F2212" t="s">
        <v>2050</v>
      </c>
      <c r="G2212" t="s">
        <v>2956</v>
      </c>
      <c r="H2212" t="s">
        <v>5495</v>
      </c>
      <c r="I2212" t="s">
        <v>6415</v>
      </c>
      <c r="J2212" t="s">
        <v>7169</v>
      </c>
      <c r="K2212">
        <v>10034</v>
      </c>
      <c r="N2212" t="s">
        <v>7237</v>
      </c>
      <c r="O2212" t="s">
        <v>8661</v>
      </c>
      <c r="P2212">
        <v>2</v>
      </c>
      <c r="Q2212">
        <v>0</v>
      </c>
      <c r="R2212">
        <v>92.14</v>
      </c>
      <c r="U2212">
        <v>14964</v>
      </c>
      <c r="W2212">
        <v>1.25</v>
      </c>
      <c r="X2212" t="s">
        <v>774</v>
      </c>
      <c r="Y2212" t="s">
        <v>149</v>
      </c>
      <c r="AA2212" t="s">
        <v>10974</v>
      </c>
      <c r="AB2212" t="s">
        <v>10840</v>
      </c>
      <c r="AD2212" t="s">
        <v>11101</v>
      </c>
      <c r="AF2212" t="s">
        <v>11118</v>
      </c>
      <c r="AH2212" t="s">
        <v>10974</v>
      </c>
      <c r="AJ2212" t="s">
        <v>11141</v>
      </c>
      <c r="AK2212" t="s">
        <v>7225</v>
      </c>
      <c r="AM2212">
        <v>1422.5</v>
      </c>
      <c r="AO2212">
        <v>44</v>
      </c>
      <c r="AQ2212" t="s">
        <v>11157</v>
      </c>
      <c r="AS2212" t="s">
        <v>11174</v>
      </c>
      <c r="AU2212">
        <v>14</v>
      </c>
      <c r="AW2212" t="s">
        <v>11189</v>
      </c>
      <c r="AZ2212" t="s">
        <v>11221</v>
      </c>
      <c r="BE2212" t="s">
        <v>12928</v>
      </c>
      <c r="BF2212" t="s">
        <v>14364</v>
      </c>
      <c r="BG2212" t="s">
        <v>14912</v>
      </c>
      <c r="BM2212" t="s">
        <v>15650</v>
      </c>
    </row>
    <row r="2213" spans="1:66">
      <c r="A2213" s="1">
        <f>HYPERLINK("https://lsnyc.legalserver.org/matter/dynamic-profile/view/1912932","19-1912932")</f>
        <v>0</v>
      </c>
      <c r="B2213" t="s">
        <v>149</v>
      </c>
      <c r="C2213" t="s">
        <v>245</v>
      </c>
      <c r="D2213" t="s">
        <v>305</v>
      </c>
      <c r="E2213" t="s">
        <v>669</v>
      </c>
      <c r="F2213" t="s">
        <v>1277</v>
      </c>
      <c r="G2213" t="s">
        <v>1412</v>
      </c>
      <c r="H2213" t="s">
        <v>5494</v>
      </c>
      <c r="I2213" t="s">
        <v>6628</v>
      </c>
      <c r="J2213" t="s">
        <v>7169</v>
      </c>
      <c r="K2213">
        <v>10040</v>
      </c>
      <c r="L2213" t="s">
        <v>7220</v>
      </c>
      <c r="N2213" t="s">
        <v>7237</v>
      </c>
      <c r="O2213" t="s">
        <v>8653</v>
      </c>
      <c r="P2213">
        <v>4</v>
      </c>
      <c r="Q2213">
        <v>1</v>
      </c>
      <c r="R2213">
        <v>222.07</v>
      </c>
      <c r="U2213">
        <v>67000</v>
      </c>
      <c r="W2213">
        <v>0.1</v>
      </c>
      <c r="X2213" t="s">
        <v>669</v>
      </c>
      <c r="Y2213" t="s">
        <v>127</v>
      </c>
      <c r="AA2213" t="s">
        <v>10974</v>
      </c>
      <c r="AB2213" t="s">
        <v>305</v>
      </c>
      <c r="AD2213" t="s">
        <v>11098</v>
      </c>
      <c r="AF2213" t="s">
        <v>11122</v>
      </c>
      <c r="AH2213" t="s">
        <v>10974</v>
      </c>
      <c r="AJ2213" t="s">
        <v>11129</v>
      </c>
      <c r="AK2213" t="s">
        <v>7225</v>
      </c>
      <c r="AM2213">
        <v>1600</v>
      </c>
      <c r="AO2213">
        <v>44</v>
      </c>
      <c r="AQ2213" t="s">
        <v>11157</v>
      </c>
      <c r="AS2213" t="s">
        <v>11173</v>
      </c>
      <c r="AU2213">
        <v>39</v>
      </c>
      <c r="AW2213" t="s">
        <v>11187</v>
      </c>
      <c r="BA2213" t="s">
        <v>11222</v>
      </c>
      <c r="BE2213" t="s">
        <v>12920</v>
      </c>
      <c r="BF2213" t="s">
        <v>14364</v>
      </c>
      <c r="BG2213" t="s">
        <v>14913</v>
      </c>
      <c r="BJ2213" t="s">
        <v>15615</v>
      </c>
      <c r="BM2213" t="s">
        <v>15651</v>
      </c>
    </row>
    <row r="2214" spans="1:66">
      <c r="A2214" s="1">
        <f>HYPERLINK("https://lsnyc.legalserver.org/matter/dynamic-profile/view/0806931","16-0806931")</f>
        <v>0</v>
      </c>
      <c r="B2214" t="s">
        <v>149</v>
      </c>
      <c r="C2214" t="s">
        <v>245</v>
      </c>
      <c r="D2214" t="s">
        <v>709</v>
      </c>
      <c r="F2214" t="s">
        <v>1342</v>
      </c>
      <c r="G2214" t="s">
        <v>3032</v>
      </c>
      <c r="H2214" t="s">
        <v>5495</v>
      </c>
      <c r="I2214" t="s">
        <v>6495</v>
      </c>
      <c r="J2214" t="s">
        <v>7169</v>
      </c>
      <c r="K2214">
        <v>10034</v>
      </c>
      <c r="N2214" t="s">
        <v>7237</v>
      </c>
      <c r="O2214" t="s">
        <v>8662</v>
      </c>
      <c r="P2214">
        <v>2</v>
      </c>
      <c r="Q2214">
        <v>1</v>
      </c>
      <c r="R2214">
        <v>86.48999999999999</v>
      </c>
      <c r="U2214">
        <v>17436</v>
      </c>
      <c r="W2214">
        <v>9.35</v>
      </c>
      <c r="X2214" t="s">
        <v>863</v>
      </c>
      <c r="Y2214" t="s">
        <v>10859</v>
      </c>
      <c r="AA2214" t="s">
        <v>10974</v>
      </c>
      <c r="AB2214" t="s">
        <v>499</v>
      </c>
      <c r="AD2214" t="s">
        <v>11101</v>
      </c>
      <c r="AF2214" t="s">
        <v>11118</v>
      </c>
      <c r="AH2214" t="s">
        <v>10974</v>
      </c>
      <c r="AJ2214" t="s">
        <v>11141</v>
      </c>
      <c r="AK2214" t="s">
        <v>7225</v>
      </c>
      <c r="AM2214">
        <v>858.17</v>
      </c>
      <c r="AO2214">
        <v>44</v>
      </c>
      <c r="AQ2214" t="s">
        <v>11157</v>
      </c>
      <c r="AS2214" t="s">
        <v>11173</v>
      </c>
      <c r="AU2214">
        <v>23</v>
      </c>
      <c r="AW2214" t="s">
        <v>11189</v>
      </c>
      <c r="AZ2214" t="s">
        <v>11221</v>
      </c>
      <c r="BE2214" t="s">
        <v>12929</v>
      </c>
      <c r="BF2214" t="s">
        <v>14364</v>
      </c>
      <c r="BG2214" t="s">
        <v>14908</v>
      </c>
      <c r="BM2214" t="s">
        <v>15650</v>
      </c>
    </row>
    <row r="2215" spans="1:66">
      <c r="A2215" s="1">
        <f>HYPERLINK("https://lsnyc.legalserver.org/matter/dynamic-profile/view/1901019","19-1901019")</f>
        <v>0</v>
      </c>
      <c r="B2215" t="s">
        <v>149</v>
      </c>
      <c r="C2215" t="s">
        <v>245</v>
      </c>
      <c r="D2215" t="s">
        <v>268</v>
      </c>
      <c r="E2215" t="s">
        <v>536</v>
      </c>
      <c r="F2215" t="s">
        <v>2051</v>
      </c>
      <c r="G2215" t="s">
        <v>2956</v>
      </c>
      <c r="H2215" t="s">
        <v>5495</v>
      </c>
      <c r="I2215" t="s">
        <v>6451</v>
      </c>
      <c r="J2215" t="s">
        <v>7169</v>
      </c>
      <c r="K2215">
        <v>10034</v>
      </c>
      <c r="L2215" t="s">
        <v>7219</v>
      </c>
      <c r="N2215" t="s">
        <v>7237</v>
      </c>
      <c r="O2215" t="s">
        <v>8663</v>
      </c>
      <c r="P2215">
        <v>1</v>
      </c>
      <c r="Q2215">
        <v>1</v>
      </c>
      <c r="R2215">
        <v>132.35</v>
      </c>
      <c r="U2215">
        <v>22380</v>
      </c>
      <c r="W2215">
        <v>44.8</v>
      </c>
      <c r="X2215" t="s">
        <v>306</v>
      </c>
      <c r="Y2215" t="s">
        <v>127</v>
      </c>
      <c r="AA2215" t="s">
        <v>10974</v>
      </c>
      <c r="AB2215" t="s">
        <v>268</v>
      </c>
      <c r="AD2215" t="s">
        <v>11085</v>
      </c>
      <c r="AF2215" t="s">
        <v>11118</v>
      </c>
      <c r="AH2215" t="s">
        <v>10975</v>
      </c>
      <c r="AJ2215" t="s">
        <v>11129</v>
      </c>
      <c r="AK2215" t="s">
        <v>7225</v>
      </c>
      <c r="AM2215">
        <v>1695</v>
      </c>
      <c r="AO2215">
        <v>44</v>
      </c>
      <c r="AQ2215" t="s">
        <v>11157</v>
      </c>
      <c r="AS2215" t="s">
        <v>11173</v>
      </c>
      <c r="AU2215">
        <v>7</v>
      </c>
      <c r="AW2215" t="s">
        <v>11189</v>
      </c>
      <c r="BA2215" t="s">
        <v>11222</v>
      </c>
      <c r="BE2215" t="s">
        <v>12930</v>
      </c>
      <c r="BF2215" t="s">
        <v>14364</v>
      </c>
      <c r="BG2215" t="s">
        <v>14914</v>
      </c>
      <c r="BJ2215" t="s">
        <v>15615</v>
      </c>
      <c r="BM2215" t="s">
        <v>15651</v>
      </c>
    </row>
    <row r="2216" spans="1:66">
      <c r="A2216" s="1">
        <f>HYPERLINK("https://lsnyc.legalserver.org/matter/dynamic-profile/view/1909513","19-1909513")</f>
        <v>0</v>
      </c>
      <c r="B2216" t="s">
        <v>149</v>
      </c>
      <c r="C2216" t="s">
        <v>245</v>
      </c>
      <c r="D2216" t="s">
        <v>269</v>
      </c>
      <c r="F2216" t="s">
        <v>2042</v>
      </c>
      <c r="G2216" t="s">
        <v>3021</v>
      </c>
      <c r="H2216" t="s">
        <v>5458</v>
      </c>
      <c r="I2216" t="s">
        <v>6448</v>
      </c>
      <c r="J2216" t="s">
        <v>7169</v>
      </c>
      <c r="K2216">
        <v>10034</v>
      </c>
      <c r="N2216" t="s">
        <v>7237</v>
      </c>
      <c r="O2216" t="s">
        <v>8642</v>
      </c>
      <c r="P2216">
        <v>4</v>
      </c>
      <c r="Q2216">
        <v>0</v>
      </c>
      <c r="R2216">
        <v>171.25</v>
      </c>
      <c r="U2216">
        <v>44096</v>
      </c>
      <c r="W2216">
        <v>1.9</v>
      </c>
      <c r="X2216" t="s">
        <v>737</v>
      </c>
      <c r="Y2216" t="s">
        <v>127</v>
      </c>
      <c r="AA2216" t="s">
        <v>10974</v>
      </c>
      <c r="AB2216" t="s">
        <v>269</v>
      </c>
      <c r="AD2216" t="s">
        <v>11090</v>
      </c>
      <c r="AF2216" t="s">
        <v>11120</v>
      </c>
      <c r="AH2216" t="s">
        <v>10975</v>
      </c>
      <c r="AJ2216" t="s">
        <v>11129</v>
      </c>
      <c r="AK2216" t="s">
        <v>7225</v>
      </c>
      <c r="AM2216">
        <v>1525</v>
      </c>
      <c r="AO2216">
        <v>25</v>
      </c>
      <c r="AQ2216" t="s">
        <v>11157</v>
      </c>
      <c r="AS2216" t="s">
        <v>11173</v>
      </c>
      <c r="AU2216">
        <v>8</v>
      </c>
      <c r="AW2216" t="s">
        <v>11189</v>
      </c>
      <c r="BA2216" t="s">
        <v>11222</v>
      </c>
      <c r="BE2216" t="s">
        <v>12908</v>
      </c>
      <c r="BF2216" t="s">
        <v>14364</v>
      </c>
      <c r="BM2216" t="s">
        <v>15650</v>
      </c>
    </row>
    <row r="2217" spans="1:66">
      <c r="A2217" s="1">
        <f>HYPERLINK("https://lsnyc.legalserver.org/matter/dynamic-profile/view/1911559","19-1911559")</f>
        <v>0</v>
      </c>
      <c r="B2217" t="s">
        <v>149</v>
      </c>
      <c r="C2217" t="s">
        <v>245</v>
      </c>
      <c r="D2217" t="s">
        <v>564</v>
      </c>
      <c r="F2217" t="s">
        <v>1125</v>
      </c>
      <c r="G2217" t="s">
        <v>3192</v>
      </c>
      <c r="H2217" t="s">
        <v>5494</v>
      </c>
      <c r="I2217" t="s">
        <v>6422</v>
      </c>
      <c r="J2217" t="s">
        <v>7169</v>
      </c>
      <c r="K2217">
        <v>10040</v>
      </c>
      <c r="N2217" t="s">
        <v>7237</v>
      </c>
      <c r="O2217" t="s">
        <v>8657</v>
      </c>
      <c r="P2217">
        <v>2</v>
      </c>
      <c r="Q2217">
        <v>0</v>
      </c>
      <c r="R2217">
        <v>226.64</v>
      </c>
      <c r="U2217">
        <v>38324</v>
      </c>
      <c r="W2217">
        <v>0.1</v>
      </c>
      <c r="X2217" t="s">
        <v>341</v>
      </c>
      <c r="Y2217" t="s">
        <v>127</v>
      </c>
      <c r="AA2217" t="s">
        <v>10974</v>
      </c>
      <c r="AB2217" t="s">
        <v>564</v>
      </c>
      <c r="AD2217" t="s">
        <v>11085</v>
      </c>
      <c r="AF2217" t="s">
        <v>11118</v>
      </c>
      <c r="AH2217" t="s">
        <v>10974</v>
      </c>
      <c r="AJ2217" t="s">
        <v>11129</v>
      </c>
      <c r="AK2217" t="s">
        <v>7225</v>
      </c>
      <c r="AM2217">
        <v>1231.45</v>
      </c>
      <c r="AO2217">
        <v>44</v>
      </c>
      <c r="AQ2217" t="s">
        <v>11157</v>
      </c>
      <c r="AS2217" t="s">
        <v>11173</v>
      </c>
      <c r="AU2217">
        <v>13</v>
      </c>
      <c r="AW2217" t="s">
        <v>11189</v>
      </c>
      <c r="BA2217" t="s">
        <v>11222</v>
      </c>
      <c r="BE2217" t="s">
        <v>12924</v>
      </c>
      <c r="BF2217" t="s">
        <v>14364</v>
      </c>
      <c r="BM2217" t="s">
        <v>15650</v>
      </c>
    </row>
    <row r="2218" spans="1:66">
      <c r="A2218" s="1">
        <f>HYPERLINK("https://lsnyc.legalserver.org/matter/dynamic-profile/view/0827345","17-0827345")</f>
        <v>0</v>
      </c>
      <c r="B2218" t="s">
        <v>149</v>
      </c>
      <c r="C2218" t="s">
        <v>245</v>
      </c>
      <c r="D2218" t="s">
        <v>853</v>
      </c>
      <c r="F2218" t="s">
        <v>2052</v>
      </c>
      <c r="G2218" t="s">
        <v>3846</v>
      </c>
      <c r="H2218" t="s">
        <v>5495</v>
      </c>
      <c r="I2218" t="s">
        <v>6404</v>
      </c>
      <c r="J2218" t="s">
        <v>7169</v>
      </c>
      <c r="K2218">
        <v>10034</v>
      </c>
      <c r="N2218" t="s">
        <v>7237</v>
      </c>
      <c r="O2218" t="s">
        <v>8664</v>
      </c>
      <c r="P2218">
        <v>1</v>
      </c>
      <c r="Q2218">
        <v>0</v>
      </c>
      <c r="R2218">
        <v>85.56999999999999</v>
      </c>
      <c r="U2218">
        <v>10320</v>
      </c>
      <c r="W2218">
        <v>0</v>
      </c>
      <c r="Y2218" t="s">
        <v>149</v>
      </c>
      <c r="AA2218" t="s">
        <v>10974</v>
      </c>
      <c r="AB2218" t="s">
        <v>10993</v>
      </c>
      <c r="AD2218" t="s">
        <v>11101</v>
      </c>
      <c r="AF2218" t="s">
        <v>11118</v>
      </c>
      <c r="AH2218" t="s">
        <v>10974</v>
      </c>
      <c r="AJ2218" t="s">
        <v>11141</v>
      </c>
      <c r="AK2218" t="s">
        <v>7225</v>
      </c>
      <c r="AM2218">
        <v>947.1900000000001</v>
      </c>
      <c r="AO2218">
        <v>44</v>
      </c>
      <c r="AQ2218" t="s">
        <v>11157</v>
      </c>
      <c r="AS2218" t="s">
        <v>11173</v>
      </c>
      <c r="AU2218">
        <v>35</v>
      </c>
      <c r="AW2218" t="s">
        <v>11189</v>
      </c>
      <c r="AZ2218" t="s">
        <v>11221</v>
      </c>
      <c r="BE2218" t="s">
        <v>12931</v>
      </c>
      <c r="BF2218" t="s">
        <v>14364</v>
      </c>
      <c r="BG2218" t="s">
        <v>14915</v>
      </c>
      <c r="BM2218" t="s">
        <v>15650</v>
      </c>
    </row>
    <row r="2219" spans="1:66">
      <c r="A2219" s="1">
        <f>HYPERLINK("https://lsnyc.legalserver.org/matter/dynamic-profile/view/1869858","18-1869858")</f>
        <v>0</v>
      </c>
      <c r="B2219" t="s">
        <v>149</v>
      </c>
      <c r="C2219" t="s">
        <v>245</v>
      </c>
      <c r="D2219" t="s">
        <v>298</v>
      </c>
      <c r="E2219" t="s">
        <v>669</v>
      </c>
      <c r="F2219" t="s">
        <v>1882</v>
      </c>
      <c r="G2219" t="s">
        <v>2886</v>
      </c>
      <c r="H2219" t="s">
        <v>5501</v>
      </c>
      <c r="I2219">
        <v>25</v>
      </c>
      <c r="J2219" t="s">
        <v>7169</v>
      </c>
      <c r="K2219">
        <v>10034</v>
      </c>
      <c r="L2219" t="s">
        <v>7217</v>
      </c>
      <c r="N2219" t="s">
        <v>7237</v>
      </c>
      <c r="O2219" t="s">
        <v>8665</v>
      </c>
      <c r="P2219">
        <v>2</v>
      </c>
      <c r="Q2219">
        <v>0</v>
      </c>
      <c r="R2219">
        <v>134.26</v>
      </c>
      <c r="U2219">
        <v>22100</v>
      </c>
      <c r="W2219">
        <v>34.4</v>
      </c>
      <c r="X2219" t="s">
        <v>669</v>
      </c>
      <c r="Y2219" t="s">
        <v>127</v>
      </c>
      <c r="AA2219" t="s">
        <v>10974</v>
      </c>
      <c r="AB2219" t="s">
        <v>298</v>
      </c>
      <c r="AD2219" t="s">
        <v>11096</v>
      </c>
      <c r="AF2219" t="s">
        <v>10384</v>
      </c>
      <c r="AH2219" t="s">
        <v>10975</v>
      </c>
      <c r="AJ2219" t="s">
        <v>11130</v>
      </c>
      <c r="AK2219" t="s">
        <v>7225</v>
      </c>
      <c r="AM2219">
        <v>906.26</v>
      </c>
      <c r="AN2219" t="s">
        <v>11151</v>
      </c>
      <c r="AO2219" t="s">
        <v>11153</v>
      </c>
      <c r="AQ2219" t="s">
        <v>11157</v>
      </c>
      <c r="AS2219" t="s">
        <v>11173</v>
      </c>
      <c r="AU2219">
        <v>20</v>
      </c>
      <c r="AW2219" t="s">
        <v>11187</v>
      </c>
      <c r="BA2219" t="s">
        <v>11222</v>
      </c>
      <c r="BD2219" t="s">
        <v>11667</v>
      </c>
      <c r="BF2219" t="s">
        <v>14364</v>
      </c>
      <c r="BM2219" t="s">
        <v>15651</v>
      </c>
    </row>
    <row r="2220" spans="1:66">
      <c r="A2220" s="1">
        <f>HYPERLINK("https://lsnyc.legalserver.org/matter/dynamic-profile/view/1911493","19-1911493")</f>
        <v>0</v>
      </c>
      <c r="B2220" t="s">
        <v>149</v>
      </c>
      <c r="C2220" t="s">
        <v>245</v>
      </c>
      <c r="D2220" t="s">
        <v>564</v>
      </c>
      <c r="F2220" t="s">
        <v>1087</v>
      </c>
      <c r="G2220" t="s">
        <v>3843</v>
      </c>
      <c r="H2220" t="s">
        <v>5494</v>
      </c>
      <c r="I2220" t="s">
        <v>6425</v>
      </c>
      <c r="J2220" t="s">
        <v>7169</v>
      </c>
      <c r="K2220">
        <v>10040</v>
      </c>
      <c r="N2220" t="s">
        <v>7237</v>
      </c>
      <c r="O2220" t="s">
        <v>7401</v>
      </c>
      <c r="P2220">
        <v>2</v>
      </c>
      <c r="Q2220">
        <v>0</v>
      </c>
      <c r="R2220">
        <v>154.68</v>
      </c>
      <c r="U2220">
        <v>26156</v>
      </c>
      <c r="W2220">
        <v>0.1</v>
      </c>
      <c r="X2220" t="s">
        <v>341</v>
      </c>
      <c r="Y2220" t="s">
        <v>127</v>
      </c>
      <c r="AA2220" t="s">
        <v>10974</v>
      </c>
      <c r="AB2220" t="s">
        <v>564</v>
      </c>
      <c r="AD2220" t="s">
        <v>11085</v>
      </c>
      <c r="AF2220" t="s">
        <v>11118</v>
      </c>
      <c r="AH2220" t="s">
        <v>10974</v>
      </c>
      <c r="AJ2220" t="s">
        <v>11129</v>
      </c>
      <c r="AK2220" t="s">
        <v>7225</v>
      </c>
      <c r="AM2220">
        <v>983.6</v>
      </c>
      <c r="AO2220">
        <v>44</v>
      </c>
      <c r="AQ2220" t="s">
        <v>11157</v>
      </c>
      <c r="AS2220" t="s">
        <v>11175</v>
      </c>
      <c r="AU2220">
        <v>25</v>
      </c>
      <c r="AW2220" t="s">
        <v>11189</v>
      </c>
      <c r="BA2220" t="s">
        <v>11222</v>
      </c>
      <c r="BE2220" t="s">
        <v>12918</v>
      </c>
      <c r="BF2220" t="s">
        <v>14364</v>
      </c>
      <c r="BM2220" t="s">
        <v>15650</v>
      </c>
    </row>
    <row r="2221" spans="1:66">
      <c r="A2221" s="1">
        <f>HYPERLINK("https://lsnyc.legalserver.org/matter/dynamic-profile/view/1912456","19-1912456")</f>
        <v>0</v>
      </c>
      <c r="B2221" t="s">
        <v>149</v>
      </c>
      <c r="C2221" t="s">
        <v>245</v>
      </c>
      <c r="D2221" t="s">
        <v>441</v>
      </c>
      <c r="E2221" t="s">
        <v>669</v>
      </c>
      <c r="F2221" t="s">
        <v>1125</v>
      </c>
      <c r="G2221" t="s">
        <v>3192</v>
      </c>
      <c r="H2221" t="s">
        <v>5494</v>
      </c>
      <c r="I2221" t="s">
        <v>6422</v>
      </c>
      <c r="J2221" t="s">
        <v>7169</v>
      </c>
      <c r="K2221">
        <v>10040</v>
      </c>
      <c r="L2221" t="s">
        <v>7220</v>
      </c>
      <c r="N2221" t="s">
        <v>7237</v>
      </c>
      <c r="O2221" t="s">
        <v>8657</v>
      </c>
      <c r="P2221">
        <v>2</v>
      </c>
      <c r="Q2221">
        <v>0</v>
      </c>
      <c r="R2221">
        <v>103.63</v>
      </c>
      <c r="U2221">
        <v>17524</v>
      </c>
      <c r="W2221">
        <v>1.6</v>
      </c>
      <c r="X2221" t="s">
        <v>669</v>
      </c>
      <c r="Y2221" t="s">
        <v>127</v>
      </c>
      <c r="AA2221" t="s">
        <v>10974</v>
      </c>
      <c r="AB2221" t="s">
        <v>441</v>
      </c>
      <c r="AD2221" t="s">
        <v>11098</v>
      </c>
      <c r="AF2221" t="s">
        <v>11122</v>
      </c>
      <c r="AH2221" t="s">
        <v>10974</v>
      </c>
      <c r="AJ2221" t="s">
        <v>11129</v>
      </c>
      <c r="AK2221" t="s">
        <v>7225</v>
      </c>
      <c r="AM2221">
        <v>1231.45</v>
      </c>
      <c r="AO2221">
        <v>44</v>
      </c>
      <c r="AQ2221" t="s">
        <v>11157</v>
      </c>
      <c r="AS2221" t="s">
        <v>11173</v>
      </c>
      <c r="AU2221">
        <v>13</v>
      </c>
      <c r="AW2221" t="s">
        <v>11189</v>
      </c>
      <c r="BA2221" t="s">
        <v>11222</v>
      </c>
      <c r="BE2221" t="s">
        <v>12924</v>
      </c>
      <c r="BG2221" t="s">
        <v>14907</v>
      </c>
      <c r="BJ2221" t="s">
        <v>15615</v>
      </c>
      <c r="BM2221" t="s">
        <v>15651</v>
      </c>
      <c r="BN2221" t="s">
        <v>15652</v>
      </c>
    </row>
    <row r="2222" spans="1:66">
      <c r="A2222" s="1">
        <f>HYPERLINK("https://lsnyc.legalserver.org/matter/dynamic-profile/view/0806925","16-0806925")</f>
        <v>0</v>
      </c>
      <c r="B2222" t="s">
        <v>149</v>
      </c>
      <c r="C2222" t="s">
        <v>245</v>
      </c>
      <c r="D2222" t="s">
        <v>709</v>
      </c>
      <c r="F2222" t="s">
        <v>2049</v>
      </c>
      <c r="G2222" t="s">
        <v>2956</v>
      </c>
      <c r="H2222" t="s">
        <v>5495</v>
      </c>
      <c r="I2222" t="s">
        <v>6493</v>
      </c>
      <c r="J2222" t="s">
        <v>7169</v>
      </c>
      <c r="K2222">
        <v>10034</v>
      </c>
      <c r="N2222" t="s">
        <v>7237</v>
      </c>
      <c r="O2222" t="s">
        <v>8660</v>
      </c>
      <c r="P2222">
        <v>4</v>
      </c>
      <c r="Q2222">
        <v>2</v>
      </c>
      <c r="R2222">
        <v>68.55</v>
      </c>
      <c r="U2222">
        <v>22332</v>
      </c>
      <c r="W2222">
        <v>306.05</v>
      </c>
      <c r="X2222" t="s">
        <v>336</v>
      </c>
      <c r="Y2222" t="s">
        <v>10859</v>
      </c>
      <c r="AA2222" t="s">
        <v>10974</v>
      </c>
      <c r="AB2222" t="s">
        <v>499</v>
      </c>
      <c r="AD2222" t="s">
        <v>11101</v>
      </c>
      <c r="AF2222" t="s">
        <v>11118</v>
      </c>
      <c r="AH2222" t="s">
        <v>10974</v>
      </c>
      <c r="AJ2222" t="s">
        <v>11141</v>
      </c>
      <c r="AK2222" t="s">
        <v>7225</v>
      </c>
      <c r="AM2222">
        <v>986</v>
      </c>
      <c r="AO2222">
        <v>44</v>
      </c>
      <c r="AQ2222" t="s">
        <v>11157</v>
      </c>
      <c r="AS2222" t="s">
        <v>11175</v>
      </c>
      <c r="AU2222">
        <v>22</v>
      </c>
      <c r="AW2222" t="s">
        <v>11189</v>
      </c>
      <c r="AZ2222" t="s">
        <v>11221</v>
      </c>
      <c r="BE2222" t="s">
        <v>12927</v>
      </c>
      <c r="BF2222" t="s">
        <v>14364</v>
      </c>
      <c r="BG2222" t="s">
        <v>14908</v>
      </c>
      <c r="BM2222" t="s">
        <v>15650</v>
      </c>
    </row>
    <row r="2223" spans="1:66">
      <c r="A2223" s="1">
        <f>HYPERLINK("https://lsnyc.legalserver.org/matter/dynamic-profile/view/1863799","18-1863799")</f>
        <v>0</v>
      </c>
      <c r="B2223" t="s">
        <v>149</v>
      </c>
      <c r="C2223" t="s">
        <v>245</v>
      </c>
      <c r="D2223" t="s">
        <v>350</v>
      </c>
      <c r="F2223" t="s">
        <v>1549</v>
      </c>
      <c r="G2223" t="s">
        <v>3847</v>
      </c>
      <c r="H2223" t="s">
        <v>5497</v>
      </c>
      <c r="I2223" t="s">
        <v>6609</v>
      </c>
      <c r="J2223" t="s">
        <v>7169</v>
      </c>
      <c r="K2223">
        <v>10033</v>
      </c>
      <c r="N2223" t="s">
        <v>7237</v>
      </c>
      <c r="O2223" t="s">
        <v>8666</v>
      </c>
      <c r="P2223">
        <v>1</v>
      </c>
      <c r="Q2223">
        <v>0</v>
      </c>
      <c r="R2223">
        <v>79.08</v>
      </c>
      <c r="S2223" t="s">
        <v>808</v>
      </c>
      <c r="U2223">
        <v>9600</v>
      </c>
      <c r="W2223">
        <v>0</v>
      </c>
      <c r="Y2223" t="s">
        <v>127</v>
      </c>
      <c r="AA2223" t="s">
        <v>10974</v>
      </c>
      <c r="AB2223" t="s">
        <v>350</v>
      </c>
      <c r="AD2223" t="s">
        <v>11096</v>
      </c>
      <c r="AF2223" t="s">
        <v>11122</v>
      </c>
      <c r="AH2223" t="s">
        <v>10974</v>
      </c>
      <c r="AJ2223" t="s">
        <v>11129</v>
      </c>
      <c r="AK2223" t="s">
        <v>7225</v>
      </c>
      <c r="AM2223">
        <v>181</v>
      </c>
      <c r="AO2223">
        <v>20</v>
      </c>
      <c r="AQ2223" t="s">
        <v>11157</v>
      </c>
      <c r="AS2223" t="s">
        <v>11173</v>
      </c>
      <c r="AU2223">
        <v>20</v>
      </c>
      <c r="AW2223" t="s">
        <v>11189</v>
      </c>
      <c r="AZ2223" t="s">
        <v>11221</v>
      </c>
      <c r="BD2223" t="s">
        <v>11667</v>
      </c>
      <c r="BF2223" t="s">
        <v>14364</v>
      </c>
      <c r="BM2223" t="s">
        <v>15650</v>
      </c>
    </row>
    <row r="2224" spans="1:66">
      <c r="A2224" s="1">
        <f>HYPERLINK("https://lsnyc.legalserver.org/matter/dynamic-profile/view/1835437","17-1835437")</f>
        <v>0</v>
      </c>
      <c r="B2224" t="s">
        <v>149</v>
      </c>
      <c r="C2224" t="s">
        <v>245</v>
      </c>
      <c r="D2224" t="s">
        <v>854</v>
      </c>
      <c r="F2224" t="s">
        <v>2053</v>
      </c>
      <c r="G2224" t="s">
        <v>3848</v>
      </c>
      <c r="H2224" t="s">
        <v>5497</v>
      </c>
      <c r="I2224" t="s">
        <v>6448</v>
      </c>
      <c r="J2224" t="s">
        <v>7169</v>
      </c>
      <c r="K2224">
        <v>10033</v>
      </c>
      <c r="N2224" t="s">
        <v>7237</v>
      </c>
      <c r="O2224" t="s">
        <v>8667</v>
      </c>
      <c r="P2224">
        <v>1</v>
      </c>
      <c r="Q2224">
        <v>0</v>
      </c>
      <c r="R2224">
        <v>119.5</v>
      </c>
      <c r="S2224" t="s">
        <v>808</v>
      </c>
      <c r="U2224">
        <v>14412</v>
      </c>
      <c r="W2224">
        <v>0</v>
      </c>
      <c r="Y2224" t="s">
        <v>149</v>
      </c>
      <c r="Z2224" t="s">
        <v>10973</v>
      </c>
      <c r="AA2224" t="s">
        <v>10975</v>
      </c>
      <c r="AB2224" t="s">
        <v>11041</v>
      </c>
      <c r="AC2224" t="s">
        <v>11081</v>
      </c>
      <c r="AF2224" t="s">
        <v>11120</v>
      </c>
      <c r="AH2224" t="s">
        <v>10974</v>
      </c>
      <c r="AJ2224" t="s">
        <v>11139</v>
      </c>
      <c r="AK2224" t="s">
        <v>7225</v>
      </c>
      <c r="AM2224">
        <v>830</v>
      </c>
      <c r="AO2224">
        <v>24</v>
      </c>
      <c r="AQ2224" t="s">
        <v>11157</v>
      </c>
      <c r="AS2224" t="s">
        <v>11175</v>
      </c>
      <c r="AU2224">
        <v>44</v>
      </c>
      <c r="AW2224" t="s">
        <v>11189</v>
      </c>
      <c r="AZ2224" t="s">
        <v>11221</v>
      </c>
      <c r="BE2224" t="s">
        <v>12932</v>
      </c>
      <c r="BF2224" t="s">
        <v>14364</v>
      </c>
      <c r="BG2224" t="s">
        <v>14916</v>
      </c>
      <c r="BM2224" t="s">
        <v>15650</v>
      </c>
    </row>
    <row r="2225" spans="1:67">
      <c r="A2225" s="1">
        <f>HYPERLINK("https://lsnyc.legalserver.org/matter/dynamic-profile/view/1915854","19-1915854")</f>
        <v>0</v>
      </c>
      <c r="B2225" t="s">
        <v>149</v>
      </c>
      <c r="C2225" t="s">
        <v>245</v>
      </c>
      <c r="D2225" t="s">
        <v>539</v>
      </c>
      <c r="F2225" t="s">
        <v>1149</v>
      </c>
      <c r="G2225" t="s">
        <v>2956</v>
      </c>
      <c r="H2225" t="s">
        <v>4763</v>
      </c>
      <c r="I2225">
        <v>33</v>
      </c>
      <c r="J2225" t="s">
        <v>7169</v>
      </c>
      <c r="K2225">
        <v>10034</v>
      </c>
      <c r="N2225" t="s">
        <v>7237</v>
      </c>
      <c r="O2225" t="s">
        <v>8668</v>
      </c>
      <c r="P2225">
        <v>3</v>
      </c>
      <c r="Q2225">
        <v>0</v>
      </c>
      <c r="R2225">
        <v>166.9</v>
      </c>
      <c r="U2225">
        <v>35600</v>
      </c>
      <c r="W2225">
        <v>0</v>
      </c>
      <c r="Y2225" t="s">
        <v>127</v>
      </c>
      <c r="AA2225" t="s">
        <v>10974</v>
      </c>
      <c r="AB2225" t="s">
        <v>539</v>
      </c>
      <c r="AC2225" t="s">
        <v>11081</v>
      </c>
      <c r="AF2225" t="s">
        <v>11121</v>
      </c>
      <c r="AH2225" t="s">
        <v>10975</v>
      </c>
      <c r="AJ2225" t="s">
        <v>11129</v>
      </c>
      <c r="AK2225" t="s">
        <v>7225</v>
      </c>
      <c r="AM2225">
        <v>818</v>
      </c>
      <c r="AO2225">
        <v>25</v>
      </c>
      <c r="AQ2225" t="s">
        <v>11157</v>
      </c>
      <c r="AS2225" t="s">
        <v>11173</v>
      </c>
      <c r="AU2225">
        <v>18</v>
      </c>
      <c r="AW2225" t="s">
        <v>11189</v>
      </c>
      <c r="BA2225" t="s">
        <v>11222</v>
      </c>
      <c r="BE2225" t="s">
        <v>12933</v>
      </c>
      <c r="BF2225" t="s">
        <v>14364</v>
      </c>
      <c r="BM2225" t="s">
        <v>15650</v>
      </c>
    </row>
    <row r="2226" spans="1:67">
      <c r="A2226" s="1">
        <f>HYPERLINK("https://lsnyc.legalserver.org/matter/dynamic-profile/view/1915850","19-1915850")</f>
        <v>0</v>
      </c>
      <c r="B2226" t="s">
        <v>149</v>
      </c>
      <c r="C2226" t="s">
        <v>245</v>
      </c>
      <c r="D2226" t="s">
        <v>539</v>
      </c>
      <c r="F2226" t="s">
        <v>1149</v>
      </c>
      <c r="G2226" t="s">
        <v>2956</v>
      </c>
      <c r="H2226" t="s">
        <v>4763</v>
      </c>
      <c r="I2226">
        <v>33</v>
      </c>
      <c r="J2226" t="s">
        <v>7169</v>
      </c>
      <c r="K2226">
        <v>10034</v>
      </c>
      <c r="N2226" t="s">
        <v>7237</v>
      </c>
      <c r="O2226" t="s">
        <v>8668</v>
      </c>
      <c r="P2226">
        <v>3</v>
      </c>
      <c r="Q2226">
        <v>0</v>
      </c>
      <c r="R2226">
        <v>166.9</v>
      </c>
      <c r="U2226">
        <v>35600</v>
      </c>
      <c r="W2226">
        <v>0</v>
      </c>
      <c r="Y2226" t="s">
        <v>127</v>
      </c>
      <c r="AA2226" t="s">
        <v>10974</v>
      </c>
      <c r="AB2226" t="s">
        <v>539</v>
      </c>
      <c r="AD2226" t="s">
        <v>11098</v>
      </c>
      <c r="AF2226" t="s">
        <v>11121</v>
      </c>
      <c r="AH2226" t="s">
        <v>10975</v>
      </c>
      <c r="AJ2226" t="s">
        <v>11129</v>
      </c>
      <c r="AK2226" t="s">
        <v>7225</v>
      </c>
      <c r="AM2226">
        <v>818</v>
      </c>
      <c r="AO2226">
        <v>25</v>
      </c>
      <c r="AQ2226" t="s">
        <v>11157</v>
      </c>
      <c r="AS2226" t="s">
        <v>11173</v>
      </c>
      <c r="AU2226">
        <v>18</v>
      </c>
      <c r="AW2226" t="s">
        <v>11189</v>
      </c>
      <c r="BA2226" t="s">
        <v>11222</v>
      </c>
      <c r="BE2226" t="s">
        <v>12933</v>
      </c>
      <c r="BF2226" t="s">
        <v>14364</v>
      </c>
      <c r="BM2226" t="s">
        <v>15650</v>
      </c>
    </row>
    <row r="2227" spans="1:67">
      <c r="A2227" s="1">
        <f>HYPERLINK("https://lsnyc.legalserver.org/matter/dynamic-profile/view/0827352","17-0827352")</f>
        <v>0</v>
      </c>
      <c r="B2227" t="s">
        <v>149</v>
      </c>
      <c r="C2227" t="s">
        <v>245</v>
      </c>
      <c r="D2227" t="s">
        <v>853</v>
      </c>
      <c r="F2227" t="s">
        <v>2054</v>
      </c>
      <c r="G2227" t="s">
        <v>3849</v>
      </c>
      <c r="H2227" t="s">
        <v>5495</v>
      </c>
      <c r="I2227" t="s">
        <v>6466</v>
      </c>
      <c r="J2227" t="s">
        <v>7169</v>
      </c>
      <c r="K2227">
        <v>10034</v>
      </c>
      <c r="N2227" t="s">
        <v>7237</v>
      </c>
      <c r="O2227" t="s">
        <v>8669</v>
      </c>
      <c r="P2227">
        <v>1</v>
      </c>
      <c r="Q2227">
        <v>1</v>
      </c>
      <c r="R2227">
        <v>80.05</v>
      </c>
      <c r="U2227">
        <v>13000</v>
      </c>
      <c r="W2227">
        <v>0</v>
      </c>
      <c r="Y2227" t="s">
        <v>149</v>
      </c>
      <c r="AA2227" t="s">
        <v>10974</v>
      </c>
      <c r="AB2227" t="s">
        <v>10993</v>
      </c>
      <c r="AD2227" t="s">
        <v>11101</v>
      </c>
      <c r="AF2227" t="s">
        <v>11118</v>
      </c>
      <c r="AH2227" t="s">
        <v>10974</v>
      </c>
      <c r="AJ2227" t="s">
        <v>11130</v>
      </c>
      <c r="AK2227" t="s">
        <v>7225</v>
      </c>
      <c r="AM2227">
        <v>890.8200000000001</v>
      </c>
      <c r="AO2227">
        <v>44</v>
      </c>
      <c r="AQ2227" t="s">
        <v>11157</v>
      </c>
      <c r="AS2227" t="s">
        <v>11173</v>
      </c>
      <c r="AU2227">
        <v>24</v>
      </c>
      <c r="AW2227" t="s">
        <v>11189</v>
      </c>
      <c r="AZ2227" t="s">
        <v>11221</v>
      </c>
      <c r="BD2227" t="s">
        <v>11667</v>
      </c>
      <c r="BF2227" t="s">
        <v>14364</v>
      </c>
      <c r="BG2227" t="s">
        <v>14917</v>
      </c>
      <c r="BM2227" t="s">
        <v>15650</v>
      </c>
    </row>
    <row r="2228" spans="1:67">
      <c r="A2228" s="1">
        <f>HYPERLINK("https://lsnyc.legalserver.org/matter/dynamic-profile/view/1834512","17-1834512")</f>
        <v>0</v>
      </c>
      <c r="B2228" t="s">
        <v>149</v>
      </c>
      <c r="C2228" t="s">
        <v>245</v>
      </c>
      <c r="D2228" t="s">
        <v>652</v>
      </c>
      <c r="F2228" t="s">
        <v>1738</v>
      </c>
      <c r="G2228" t="s">
        <v>3591</v>
      </c>
      <c r="H2228" t="s">
        <v>5411</v>
      </c>
      <c r="I2228" t="s">
        <v>6436</v>
      </c>
      <c r="J2228" t="s">
        <v>7169</v>
      </c>
      <c r="K2228">
        <v>10034</v>
      </c>
      <c r="N2228" t="s">
        <v>7237</v>
      </c>
      <c r="O2228" t="s">
        <v>8250</v>
      </c>
      <c r="P2228">
        <v>1</v>
      </c>
      <c r="Q2228">
        <v>0</v>
      </c>
      <c r="R2228">
        <v>99.5</v>
      </c>
      <c r="U2228">
        <v>12000</v>
      </c>
      <c r="W2228">
        <v>81.5</v>
      </c>
      <c r="X2228" t="s">
        <v>685</v>
      </c>
      <c r="Y2228" t="s">
        <v>10859</v>
      </c>
      <c r="AA2228" t="s">
        <v>10974</v>
      </c>
      <c r="AB2228" t="s">
        <v>809</v>
      </c>
      <c r="AD2228" t="s">
        <v>11083</v>
      </c>
      <c r="AF2228" t="s">
        <v>11118</v>
      </c>
      <c r="AH2228" t="s">
        <v>10975</v>
      </c>
      <c r="AJ2228" t="s">
        <v>11129</v>
      </c>
      <c r="AK2228" t="s">
        <v>7225</v>
      </c>
      <c r="AM2228">
        <v>900</v>
      </c>
      <c r="AO2228">
        <v>48</v>
      </c>
      <c r="AQ2228" t="s">
        <v>11157</v>
      </c>
      <c r="AS2228" t="s">
        <v>11175</v>
      </c>
      <c r="AT2228" t="s">
        <v>11184</v>
      </c>
      <c r="AU2228">
        <v>0</v>
      </c>
      <c r="AW2228" t="s">
        <v>11187</v>
      </c>
      <c r="AY2228" t="s">
        <v>11213</v>
      </c>
      <c r="BA2228" t="s">
        <v>11222</v>
      </c>
      <c r="BE2228" t="s">
        <v>12934</v>
      </c>
      <c r="BG2228" t="s">
        <v>14918</v>
      </c>
      <c r="BM2228" t="s">
        <v>15650</v>
      </c>
    </row>
    <row r="2229" spans="1:67">
      <c r="A2229" s="1">
        <f>HYPERLINK("https://lsnyc.legalserver.org/matter/dynamic-profile/view/1911549","19-1911549")</f>
        <v>0</v>
      </c>
      <c r="B2229" t="s">
        <v>149</v>
      </c>
      <c r="C2229" t="s">
        <v>245</v>
      </c>
      <c r="D2229" t="s">
        <v>564</v>
      </c>
      <c r="F2229" t="s">
        <v>1277</v>
      </c>
      <c r="G2229" t="s">
        <v>1412</v>
      </c>
      <c r="H2229" t="s">
        <v>5494</v>
      </c>
      <c r="I2229" t="s">
        <v>6628</v>
      </c>
      <c r="J2229" t="s">
        <v>7169</v>
      </c>
      <c r="K2229">
        <v>10040</v>
      </c>
      <c r="N2229" t="s">
        <v>7237</v>
      </c>
      <c r="O2229" t="s">
        <v>8653</v>
      </c>
      <c r="P2229">
        <v>4</v>
      </c>
      <c r="Q2229">
        <v>2</v>
      </c>
      <c r="R2229">
        <v>193.7</v>
      </c>
      <c r="U2229">
        <v>67000</v>
      </c>
      <c r="W2229">
        <v>0.1</v>
      </c>
      <c r="X2229" t="s">
        <v>341</v>
      </c>
      <c r="Y2229" t="s">
        <v>127</v>
      </c>
      <c r="AA2229" t="s">
        <v>10974</v>
      </c>
      <c r="AB2229" t="s">
        <v>564</v>
      </c>
      <c r="AD2229" t="s">
        <v>11085</v>
      </c>
      <c r="AF2229" t="s">
        <v>11118</v>
      </c>
      <c r="AH2229" t="s">
        <v>10974</v>
      </c>
      <c r="AJ2229" t="s">
        <v>11129</v>
      </c>
      <c r="AK2229" t="s">
        <v>7225</v>
      </c>
      <c r="AM2229">
        <v>1600</v>
      </c>
      <c r="AO2229">
        <v>44</v>
      </c>
      <c r="AQ2229" t="s">
        <v>11157</v>
      </c>
      <c r="AS2229" t="s">
        <v>11173</v>
      </c>
      <c r="AU2229">
        <v>39</v>
      </c>
      <c r="AW2229" t="s">
        <v>11187</v>
      </c>
      <c r="BA2229" t="s">
        <v>11222</v>
      </c>
      <c r="BE2229" t="s">
        <v>12920</v>
      </c>
      <c r="BF2229" t="s">
        <v>14364</v>
      </c>
      <c r="BM2229" t="s">
        <v>15650</v>
      </c>
    </row>
    <row r="2230" spans="1:67">
      <c r="A2230" s="1">
        <f>HYPERLINK("https://lsnyc.legalserver.org/matter/dynamic-profile/view/1875137","18-1875137")</f>
        <v>0</v>
      </c>
      <c r="B2230" t="s">
        <v>149</v>
      </c>
      <c r="C2230" t="s">
        <v>245</v>
      </c>
      <c r="D2230" t="s">
        <v>844</v>
      </c>
      <c r="E2230" t="s">
        <v>264</v>
      </c>
      <c r="F2230" t="s">
        <v>1464</v>
      </c>
      <c r="G2230" t="s">
        <v>3165</v>
      </c>
      <c r="H2230" t="s">
        <v>5502</v>
      </c>
      <c r="I2230">
        <v>51</v>
      </c>
      <c r="J2230" t="s">
        <v>7169</v>
      </c>
      <c r="K2230">
        <v>10032</v>
      </c>
      <c r="L2230" t="s">
        <v>7219</v>
      </c>
      <c r="N2230" t="s">
        <v>7237</v>
      </c>
      <c r="O2230" t="s">
        <v>8670</v>
      </c>
      <c r="P2230">
        <v>1</v>
      </c>
      <c r="Q2230">
        <v>0</v>
      </c>
      <c r="R2230">
        <v>82.37</v>
      </c>
      <c r="U2230">
        <v>10000</v>
      </c>
      <c r="W2230">
        <v>47.2</v>
      </c>
      <c r="X2230" t="s">
        <v>266</v>
      </c>
      <c r="Y2230" t="s">
        <v>10862</v>
      </c>
      <c r="AA2230" t="s">
        <v>10974</v>
      </c>
      <c r="AB2230" t="s">
        <v>922</v>
      </c>
      <c r="AD2230" t="s">
        <v>11082</v>
      </c>
      <c r="AF2230" t="s">
        <v>11118</v>
      </c>
      <c r="AH2230" t="s">
        <v>10975</v>
      </c>
      <c r="AJ2230" t="s">
        <v>11138</v>
      </c>
      <c r="AK2230" t="s">
        <v>7225</v>
      </c>
      <c r="AM2230">
        <v>1600</v>
      </c>
      <c r="AO2230">
        <v>39</v>
      </c>
      <c r="AQ2230" t="s">
        <v>11164</v>
      </c>
      <c r="AS2230" t="s">
        <v>11173</v>
      </c>
      <c r="AU2230">
        <v>40</v>
      </c>
      <c r="AW2230" t="s">
        <v>11187</v>
      </c>
      <c r="BA2230" t="s">
        <v>11222</v>
      </c>
      <c r="BE2230" t="s">
        <v>12935</v>
      </c>
      <c r="BG2230" t="s">
        <v>14919</v>
      </c>
      <c r="BH2230" t="s">
        <v>15605</v>
      </c>
      <c r="BJ2230" t="s">
        <v>15615</v>
      </c>
      <c r="BM2230" t="s">
        <v>15651</v>
      </c>
      <c r="BN2230" t="s">
        <v>15652</v>
      </c>
      <c r="BO2230" t="s">
        <v>15696</v>
      </c>
    </row>
    <row r="2231" spans="1:67">
      <c r="A2231" s="1">
        <f>HYPERLINK("https://lsnyc.legalserver.org/matter/dynamic-profile/view/1877605","18-1877605")</f>
        <v>0</v>
      </c>
      <c r="B2231" t="s">
        <v>149</v>
      </c>
      <c r="C2231" t="s">
        <v>245</v>
      </c>
      <c r="D2231" t="s">
        <v>669</v>
      </c>
      <c r="E2231" t="s">
        <v>669</v>
      </c>
      <c r="F2231" t="s">
        <v>2055</v>
      </c>
      <c r="G2231" t="s">
        <v>3478</v>
      </c>
      <c r="H2231" t="s">
        <v>5503</v>
      </c>
      <c r="I2231" t="s">
        <v>6824</v>
      </c>
      <c r="J2231" t="s">
        <v>7169</v>
      </c>
      <c r="K2231">
        <v>10032</v>
      </c>
      <c r="L2231" t="s">
        <v>7216</v>
      </c>
      <c r="N2231" t="s">
        <v>7237</v>
      </c>
      <c r="O2231" t="s">
        <v>8671</v>
      </c>
      <c r="P2231">
        <v>2</v>
      </c>
      <c r="Q2231">
        <v>0</v>
      </c>
      <c r="R2231">
        <v>273.39</v>
      </c>
      <c r="U2231">
        <v>45000</v>
      </c>
      <c r="W2231">
        <v>0.1</v>
      </c>
      <c r="X2231" t="s">
        <v>778</v>
      </c>
      <c r="Y2231" t="s">
        <v>149</v>
      </c>
      <c r="AA2231" t="s">
        <v>10974</v>
      </c>
      <c r="AD2231" t="s">
        <v>11083</v>
      </c>
      <c r="AF2231" t="s">
        <v>11119</v>
      </c>
      <c r="AH2231" t="s">
        <v>10975</v>
      </c>
      <c r="AI2231" t="s">
        <v>11126</v>
      </c>
      <c r="AK2231" t="s">
        <v>7225</v>
      </c>
      <c r="AM2231">
        <v>1584</v>
      </c>
      <c r="AN2231" t="s">
        <v>11151</v>
      </c>
      <c r="AO2231" t="s">
        <v>11153</v>
      </c>
      <c r="AQ2231" t="s">
        <v>11159</v>
      </c>
      <c r="AR2231" t="s">
        <v>11172</v>
      </c>
      <c r="AT2231" t="s">
        <v>11184</v>
      </c>
      <c r="AU2231">
        <v>0</v>
      </c>
      <c r="AW2231" t="s">
        <v>11189</v>
      </c>
      <c r="AX2231" t="s">
        <v>11212</v>
      </c>
      <c r="AZ2231" t="s">
        <v>11221</v>
      </c>
      <c r="BE2231" t="s">
        <v>12936</v>
      </c>
      <c r="BF2231" t="s">
        <v>14364</v>
      </c>
      <c r="BG2231" t="s">
        <v>14920</v>
      </c>
      <c r="BM2231" t="s">
        <v>15651</v>
      </c>
    </row>
    <row r="2232" spans="1:67">
      <c r="A2232" s="1">
        <f>HYPERLINK("https://lsnyc.legalserver.org/matter/dynamic-profile/view/0785179","15-0785179")</f>
        <v>0</v>
      </c>
      <c r="B2232" t="s">
        <v>149</v>
      </c>
      <c r="C2232" t="s">
        <v>245</v>
      </c>
      <c r="D2232" t="s">
        <v>855</v>
      </c>
      <c r="F2232" t="s">
        <v>2056</v>
      </c>
      <c r="G2232" t="s">
        <v>2692</v>
      </c>
      <c r="H2232" t="s">
        <v>5504</v>
      </c>
      <c r="I2232" t="s">
        <v>6440</v>
      </c>
      <c r="J2232" t="s">
        <v>7169</v>
      </c>
      <c r="K2232">
        <v>10035</v>
      </c>
      <c r="N2232" t="s">
        <v>7237</v>
      </c>
      <c r="O2232" t="s">
        <v>8672</v>
      </c>
      <c r="P2232">
        <v>2</v>
      </c>
      <c r="Q2232">
        <v>0</v>
      </c>
      <c r="R2232">
        <v>70.73</v>
      </c>
      <c r="U2232">
        <v>11268</v>
      </c>
      <c r="W2232">
        <v>120.75</v>
      </c>
      <c r="X2232" t="s">
        <v>528</v>
      </c>
      <c r="Y2232" t="s">
        <v>10859</v>
      </c>
      <c r="Z2232" t="s">
        <v>10972</v>
      </c>
      <c r="AA2232" t="s">
        <v>10976</v>
      </c>
      <c r="AB2232" t="s">
        <v>11042</v>
      </c>
      <c r="AD2232" t="s">
        <v>11106</v>
      </c>
      <c r="AF2232" t="s">
        <v>11122</v>
      </c>
      <c r="AG2232" t="s">
        <v>11124</v>
      </c>
      <c r="AJ2232" t="s">
        <v>11130</v>
      </c>
      <c r="AK2232" t="s">
        <v>7225</v>
      </c>
      <c r="AM2232">
        <v>331</v>
      </c>
      <c r="AO2232">
        <v>10</v>
      </c>
      <c r="AQ2232" t="s">
        <v>11157</v>
      </c>
      <c r="AS2232" t="s">
        <v>11174</v>
      </c>
      <c r="AT2232" t="s">
        <v>11184</v>
      </c>
      <c r="AU2232">
        <v>0</v>
      </c>
      <c r="AW2232" t="s">
        <v>11187</v>
      </c>
      <c r="AZ2232" t="s">
        <v>11221</v>
      </c>
      <c r="BE2232" t="s">
        <v>12937</v>
      </c>
      <c r="BF2232" t="s">
        <v>14364</v>
      </c>
      <c r="BG2232" t="s">
        <v>14921</v>
      </c>
      <c r="BM2232" t="s">
        <v>15650</v>
      </c>
    </row>
    <row r="2233" spans="1:67">
      <c r="A2233" s="1">
        <f>HYPERLINK("https://lsnyc.legalserver.org/matter/dynamic-profile/view/0827330","17-0827330")</f>
        <v>0</v>
      </c>
      <c r="B2233" t="s">
        <v>149</v>
      </c>
      <c r="C2233" t="s">
        <v>245</v>
      </c>
      <c r="D2233" t="s">
        <v>853</v>
      </c>
      <c r="F2233" t="s">
        <v>2051</v>
      </c>
      <c r="G2233" t="s">
        <v>2956</v>
      </c>
      <c r="H2233" t="s">
        <v>5495</v>
      </c>
      <c r="I2233" t="s">
        <v>6451</v>
      </c>
      <c r="J2233" t="s">
        <v>7169</v>
      </c>
      <c r="K2233">
        <v>10034</v>
      </c>
      <c r="N2233" t="s">
        <v>7237</v>
      </c>
      <c r="O2233" t="s">
        <v>8673</v>
      </c>
      <c r="P2233">
        <v>1</v>
      </c>
      <c r="Q2233">
        <v>0</v>
      </c>
      <c r="R2233">
        <v>185.57</v>
      </c>
      <c r="U2233">
        <v>22380</v>
      </c>
      <c r="W2233">
        <v>29.8</v>
      </c>
      <c r="X2233" t="s">
        <v>591</v>
      </c>
      <c r="Y2233" t="s">
        <v>149</v>
      </c>
      <c r="AA2233" t="s">
        <v>10974</v>
      </c>
      <c r="AB2233" t="s">
        <v>10840</v>
      </c>
      <c r="AD2233" t="s">
        <v>11101</v>
      </c>
      <c r="AF2233" t="s">
        <v>11118</v>
      </c>
      <c r="AH2233" t="s">
        <v>10974</v>
      </c>
      <c r="AJ2233" t="s">
        <v>11141</v>
      </c>
      <c r="AK2233" t="s">
        <v>7225</v>
      </c>
      <c r="AM2233">
        <v>1695</v>
      </c>
      <c r="AO2233">
        <v>44</v>
      </c>
      <c r="AQ2233" t="s">
        <v>11157</v>
      </c>
      <c r="AS2233" t="s">
        <v>11173</v>
      </c>
      <c r="AU2233">
        <v>5</v>
      </c>
      <c r="AW2233" t="s">
        <v>11189</v>
      </c>
      <c r="AZ2233" t="s">
        <v>11221</v>
      </c>
      <c r="BD2233" t="s">
        <v>11667</v>
      </c>
      <c r="BF2233" t="s">
        <v>14364</v>
      </c>
      <c r="BG2233" t="s">
        <v>14915</v>
      </c>
      <c r="BM2233" t="s">
        <v>15650</v>
      </c>
    </row>
    <row r="2234" spans="1:67">
      <c r="A2234" s="1">
        <f>HYPERLINK("https://lsnyc.legalserver.org/matter/dynamic-profile/view/0806911","16-0806911")</f>
        <v>0</v>
      </c>
      <c r="B2234" t="s">
        <v>149</v>
      </c>
      <c r="C2234" t="s">
        <v>245</v>
      </c>
      <c r="D2234" t="s">
        <v>709</v>
      </c>
      <c r="E2234" t="s">
        <v>264</v>
      </c>
      <c r="F2234" t="s">
        <v>2057</v>
      </c>
      <c r="G2234" t="s">
        <v>1762</v>
      </c>
      <c r="H2234" t="s">
        <v>5495</v>
      </c>
      <c r="I2234" t="s">
        <v>6573</v>
      </c>
      <c r="J2234" t="s">
        <v>7169</v>
      </c>
      <c r="K2234">
        <v>10034</v>
      </c>
      <c r="L2234" t="s">
        <v>7216</v>
      </c>
      <c r="N2234" t="s">
        <v>7237</v>
      </c>
      <c r="O2234" t="s">
        <v>8674</v>
      </c>
      <c r="P2234">
        <v>1</v>
      </c>
      <c r="Q2234">
        <v>3</v>
      </c>
      <c r="R2234">
        <v>47.95</v>
      </c>
      <c r="U2234">
        <v>11650.88</v>
      </c>
      <c r="W2234">
        <v>1.2</v>
      </c>
      <c r="X2234" t="s">
        <v>10831</v>
      </c>
      <c r="Y2234" t="s">
        <v>10859</v>
      </c>
      <c r="AA2234" t="s">
        <v>10974</v>
      </c>
      <c r="AB2234" t="s">
        <v>499</v>
      </c>
      <c r="AD2234" t="s">
        <v>11101</v>
      </c>
      <c r="AF2234" t="s">
        <v>11118</v>
      </c>
      <c r="AH2234" t="s">
        <v>10974</v>
      </c>
      <c r="AJ2234" t="s">
        <v>11141</v>
      </c>
      <c r="AK2234" t="s">
        <v>7225</v>
      </c>
      <c r="AM2234">
        <v>850.41</v>
      </c>
      <c r="AO2234">
        <v>44</v>
      </c>
      <c r="AQ2234" t="s">
        <v>11157</v>
      </c>
      <c r="AS2234" t="s">
        <v>11173</v>
      </c>
      <c r="AU2234">
        <v>23</v>
      </c>
      <c r="AW2234" t="s">
        <v>11187</v>
      </c>
      <c r="AZ2234" t="s">
        <v>11221</v>
      </c>
      <c r="BB2234" t="s">
        <v>11224</v>
      </c>
      <c r="BC2234" t="s">
        <v>11408</v>
      </c>
      <c r="BD2234" t="s">
        <v>11667</v>
      </c>
      <c r="BF2234" t="s">
        <v>14364</v>
      </c>
      <c r="BG2234" t="s">
        <v>14908</v>
      </c>
      <c r="BJ2234" t="s">
        <v>15615</v>
      </c>
      <c r="BM2234" t="s">
        <v>15651</v>
      </c>
    </row>
    <row r="2235" spans="1:67">
      <c r="A2235" s="1">
        <f>HYPERLINK("https://lsnyc.legalserver.org/matter/dynamic-profile/view/1833670","17-1833670")</f>
        <v>0</v>
      </c>
      <c r="B2235" t="s">
        <v>149</v>
      </c>
      <c r="C2235" t="s">
        <v>245</v>
      </c>
      <c r="D2235" t="s">
        <v>856</v>
      </c>
      <c r="E2235" t="s">
        <v>301</v>
      </c>
      <c r="F2235" t="s">
        <v>1577</v>
      </c>
      <c r="G2235" t="s">
        <v>3850</v>
      </c>
      <c r="H2235" t="s">
        <v>5505</v>
      </c>
      <c r="I2235" t="s">
        <v>6495</v>
      </c>
      <c r="J2235" t="s">
        <v>7169</v>
      </c>
      <c r="K2235">
        <v>10034</v>
      </c>
      <c r="L2235" t="s">
        <v>7219</v>
      </c>
      <c r="N2235" t="s">
        <v>7237</v>
      </c>
      <c r="O2235" t="s">
        <v>8675</v>
      </c>
      <c r="P2235">
        <v>1</v>
      </c>
      <c r="Q2235">
        <v>0</v>
      </c>
      <c r="R2235">
        <v>35.32</v>
      </c>
      <c r="U2235">
        <v>4260</v>
      </c>
      <c r="W2235">
        <v>96.31999999999999</v>
      </c>
      <c r="X2235" t="s">
        <v>301</v>
      </c>
      <c r="Y2235" t="s">
        <v>10859</v>
      </c>
      <c r="AA2235" t="s">
        <v>10974</v>
      </c>
      <c r="AB2235" t="s">
        <v>859</v>
      </c>
      <c r="AD2235" t="s">
        <v>11083</v>
      </c>
      <c r="AF2235" t="s">
        <v>11118</v>
      </c>
      <c r="AH2235" t="s">
        <v>10975</v>
      </c>
      <c r="AJ2235" t="s">
        <v>11130</v>
      </c>
      <c r="AK2235" t="s">
        <v>7225</v>
      </c>
      <c r="AM2235">
        <v>996</v>
      </c>
      <c r="AO2235">
        <v>85</v>
      </c>
      <c r="AQ2235" t="s">
        <v>11157</v>
      </c>
      <c r="AS2235" t="s">
        <v>11173</v>
      </c>
      <c r="AU2235">
        <v>30</v>
      </c>
      <c r="AW2235" t="s">
        <v>11187</v>
      </c>
      <c r="AZ2235" t="s">
        <v>11221</v>
      </c>
      <c r="BE2235" t="s">
        <v>12938</v>
      </c>
      <c r="BG2235" t="s">
        <v>14922</v>
      </c>
      <c r="BH2235" t="s">
        <v>15605</v>
      </c>
      <c r="BJ2235" t="s">
        <v>15615</v>
      </c>
      <c r="BL2235" t="s">
        <v>15648</v>
      </c>
      <c r="BM2235" t="s">
        <v>15651</v>
      </c>
    </row>
    <row r="2236" spans="1:67">
      <c r="A2236" s="1">
        <f>HYPERLINK("https://lsnyc.legalserver.org/matter/dynamic-profile/view/1906762","19-1906762")</f>
        <v>0</v>
      </c>
      <c r="B2236" t="s">
        <v>149</v>
      </c>
      <c r="C2236" t="s">
        <v>245</v>
      </c>
      <c r="D2236" t="s">
        <v>733</v>
      </c>
      <c r="E2236" t="s">
        <v>669</v>
      </c>
      <c r="F2236" t="s">
        <v>1150</v>
      </c>
      <c r="G2236" t="s">
        <v>1805</v>
      </c>
      <c r="H2236" t="s">
        <v>5506</v>
      </c>
      <c r="I2236">
        <v>12</v>
      </c>
      <c r="J2236" t="s">
        <v>7169</v>
      </c>
      <c r="K2236">
        <v>10034</v>
      </c>
      <c r="L2236" t="s">
        <v>7219</v>
      </c>
      <c r="N2236" t="s">
        <v>7237</v>
      </c>
      <c r="O2236" t="s">
        <v>8676</v>
      </c>
      <c r="P2236">
        <v>3</v>
      </c>
      <c r="Q2236">
        <v>0</v>
      </c>
      <c r="R2236">
        <v>164.41</v>
      </c>
      <c r="U2236">
        <v>35068.8</v>
      </c>
      <c r="W2236">
        <v>12.3</v>
      </c>
      <c r="X2236" t="s">
        <v>262</v>
      </c>
      <c r="Y2236" t="s">
        <v>127</v>
      </c>
      <c r="AA2236" t="s">
        <v>10974</v>
      </c>
      <c r="AB2236" t="s">
        <v>733</v>
      </c>
      <c r="AD2236" t="s">
        <v>11082</v>
      </c>
      <c r="AF2236" t="s">
        <v>11118</v>
      </c>
      <c r="AH2236" t="s">
        <v>10975</v>
      </c>
      <c r="AJ2236" t="s">
        <v>11129</v>
      </c>
      <c r="AK2236" t="s">
        <v>7225</v>
      </c>
      <c r="AM2236">
        <v>889</v>
      </c>
      <c r="AO2236">
        <v>22</v>
      </c>
      <c r="AQ2236" t="s">
        <v>11157</v>
      </c>
      <c r="AS2236" t="s">
        <v>11174</v>
      </c>
      <c r="AU2236">
        <v>27</v>
      </c>
      <c r="AW2236" t="s">
        <v>11189</v>
      </c>
      <c r="AY2236" t="s">
        <v>11213</v>
      </c>
      <c r="BA2236" t="s">
        <v>11222</v>
      </c>
      <c r="BE2236" t="s">
        <v>12939</v>
      </c>
      <c r="BG2236" t="s">
        <v>14923</v>
      </c>
      <c r="BH2236" t="s">
        <v>15605</v>
      </c>
      <c r="BJ2236" t="s">
        <v>15615</v>
      </c>
      <c r="BL2236" t="s">
        <v>15648</v>
      </c>
      <c r="BM2236" t="s">
        <v>15651</v>
      </c>
    </row>
    <row r="2237" spans="1:67">
      <c r="A2237" s="1">
        <f>HYPERLINK("https://lsnyc.legalserver.org/matter/dynamic-profile/view/1841830","17-1841830")</f>
        <v>0</v>
      </c>
      <c r="B2237" t="s">
        <v>149</v>
      </c>
      <c r="C2237" t="s">
        <v>245</v>
      </c>
      <c r="D2237" t="s">
        <v>496</v>
      </c>
      <c r="F2237" t="s">
        <v>2058</v>
      </c>
      <c r="G2237" t="s">
        <v>3798</v>
      </c>
      <c r="H2237" t="s">
        <v>5507</v>
      </c>
      <c r="I2237" t="s">
        <v>6507</v>
      </c>
      <c r="J2237" t="s">
        <v>7169</v>
      </c>
      <c r="K2237">
        <v>10034</v>
      </c>
      <c r="N2237" t="s">
        <v>7237</v>
      </c>
      <c r="O2237" t="s">
        <v>8677</v>
      </c>
      <c r="P2237">
        <v>1</v>
      </c>
      <c r="Q2237">
        <v>0</v>
      </c>
      <c r="R2237">
        <v>53.9</v>
      </c>
      <c r="U2237">
        <v>6500</v>
      </c>
      <c r="W2237">
        <v>0</v>
      </c>
      <c r="Y2237" t="s">
        <v>127</v>
      </c>
      <c r="AA2237" t="s">
        <v>10974</v>
      </c>
      <c r="AB2237" t="s">
        <v>348</v>
      </c>
      <c r="AD2237" t="s">
        <v>11083</v>
      </c>
      <c r="AF2237" t="s">
        <v>11118</v>
      </c>
      <c r="AH2237" t="s">
        <v>10975</v>
      </c>
      <c r="AJ2237" t="s">
        <v>11130</v>
      </c>
      <c r="AK2237" t="s">
        <v>7225</v>
      </c>
      <c r="AM2237">
        <v>1067.3</v>
      </c>
      <c r="AO2237">
        <v>49</v>
      </c>
      <c r="AQ2237" t="s">
        <v>11157</v>
      </c>
      <c r="AS2237" t="s">
        <v>11173</v>
      </c>
      <c r="AU2237">
        <v>14</v>
      </c>
      <c r="AW2237" t="s">
        <v>11189</v>
      </c>
      <c r="AZ2237" t="s">
        <v>11221</v>
      </c>
      <c r="BE2237" t="s">
        <v>12940</v>
      </c>
      <c r="BG2237" t="s">
        <v>14924</v>
      </c>
      <c r="BM2237" t="s">
        <v>15650</v>
      </c>
    </row>
    <row r="2238" spans="1:67">
      <c r="A2238" s="1">
        <f>HYPERLINK("https://lsnyc.legalserver.org/matter/dynamic-profile/view/1911557","19-1911557")</f>
        <v>0</v>
      </c>
      <c r="B2238" t="s">
        <v>149</v>
      </c>
      <c r="C2238" t="s">
        <v>245</v>
      </c>
      <c r="D2238" t="s">
        <v>564</v>
      </c>
      <c r="F2238" t="s">
        <v>2059</v>
      </c>
      <c r="G2238" t="s">
        <v>3851</v>
      </c>
      <c r="H2238" t="s">
        <v>5494</v>
      </c>
      <c r="I2238" t="s">
        <v>6421</v>
      </c>
      <c r="J2238" t="s">
        <v>7169</v>
      </c>
      <c r="K2238">
        <v>10040</v>
      </c>
      <c r="N2238" t="s">
        <v>7237</v>
      </c>
      <c r="O2238" t="s">
        <v>8678</v>
      </c>
      <c r="P2238">
        <v>1</v>
      </c>
      <c r="Q2238">
        <v>0</v>
      </c>
      <c r="R2238">
        <v>187.64</v>
      </c>
      <c r="U2238">
        <v>23436</v>
      </c>
      <c r="W2238">
        <v>0.1</v>
      </c>
      <c r="X2238" t="s">
        <v>341</v>
      </c>
      <c r="Y2238" t="s">
        <v>127</v>
      </c>
      <c r="AA2238" t="s">
        <v>10974</v>
      </c>
      <c r="AB2238" t="s">
        <v>564</v>
      </c>
      <c r="AD2238" t="s">
        <v>11085</v>
      </c>
      <c r="AF2238" t="s">
        <v>11118</v>
      </c>
      <c r="AH2238" t="s">
        <v>10974</v>
      </c>
      <c r="AJ2238" t="s">
        <v>11130</v>
      </c>
      <c r="AK2238" t="s">
        <v>7225</v>
      </c>
      <c r="AM2238">
        <v>700</v>
      </c>
      <c r="AO2238">
        <v>44</v>
      </c>
      <c r="AQ2238" t="s">
        <v>11157</v>
      </c>
      <c r="AS2238" t="s">
        <v>11173</v>
      </c>
      <c r="AU2238">
        <v>47</v>
      </c>
      <c r="AW2238" t="s">
        <v>11189</v>
      </c>
      <c r="BA2238" t="s">
        <v>11222</v>
      </c>
      <c r="BE2238" t="s">
        <v>12941</v>
      </c>
      <c r="BF2238" t="s">
        <v>14364</v>
      </c>
      <c r="BM2238" t="s">
        <v>15650</v>
      </c>
    </row>
    <row r="2239" spans="1:67">
      <c r="A2239" s="1">
        <f>HYPERLINK("https://lsnyc.legalserver.org/matter/dynamic-profile/view/0795538","16-0795538")</f>
        <v>0</v>
      </c>
      <c r="B2239" t="s">
        <v>149</v>
      </c>
      <c r="C2239" t="s">
        <v>245</v>
      </c>
      <c r="D2239" t="s">
        <v>857</v>
      </c>
      <c r="E2239" t="s">
        <v>264</v>
      </c>
      <c r="F2239" t="s">
        <v>2060</v>
      </c>
      <c r="G2239" t="s">
        <v>3843</v>
      </c>
      <c r="H2239" t="s">
        <v>5508</v>
      </c>
      <c r="I2239" t="s">
        <v>6825</v>
      </c>
      <c r="J2239" t="s">
        <v>7169</v>
      </c>
      <c r="K2239">
        <v>10034</v>
      </c>
      <c r="L2239" t="s">
        <v>7216</v>
      </c>
      <c r="N2239" t="s">
        <v>7237</v>
      </c>
      <c r="O2239" t="s">
        <v>8679</v>
      </c>
      <c r="P2239">
        <v>2</v>
      </c>
      <c r="Q2239">
        <v>0</v>
      </c>
      <c r="R2239">
        <v>97.93000000000001</v>
      </c>
      <c r="U2239">
        <v>15600</v>
      </c>
      <c r="W2239">
        <v>4.75</v>
      </c>
      <c r="X2239" t="s">
        <v>10834</v>
      </c>
      <c r="Y2239" t="s">
        <v>179</v>
      </c>
      <c r="Z2239" t="s">
        <v>10972</v>
      </c>
      <c r="AA2239" t="s">
        <v>10976</v>
      </c>
      <c r="AB2239" t="s">
        <v>957</v>
      </c>
      <c r="AD2239" t="s">
        <v>11086</v>
      </c>
      <c r="AF2239" t="s">
        <v>11119</v>
      </c>
      <c r="AG2239" t="s">
        <v>11124</v>
      </c>
      <c r="AJ2239" t="s">
        <v>11147</v>
      </c>
      <c r="AK2239" t="s">
        <v>7225</v>
      </c>
      <c r="AL2239" t="s">
        <v>11150</v>
      </c>
      <c r="AM2239">
        <v>0</v>
      </c>
      <c r="AN2239" t="s">
        <v>11151</v>
      </c>
      <c r="AO2239" t="s">
        <v>11153</v>
      </c>
      <c r="AQ2239" t="s">
        <v>11156</v>
      </c>
      <c r="AR2239" t="s">
        <v>11172</v>
      </c>
      <c r="AU2239">
        <v>17</v>
      </c>
      <c r="AW2239" t="s">
        <v>11189</v>
      </c>
      <c r="AZ2239" t="s">
        <v>11221</v>
      </c>
      <c r="BE2239" t="s">
        <v>12942</v>
      </c>
      <c r="BF2239" t="s">
        <v>14364</v>
      </c>
      <c r="BM2239" t="s">
        <v>15651</v>
      </c>
    </row>
    <row r="2240" spans="1:67">
      <c r="A2240" s="1">
        <f>HYPERLINK("https://lsnyc.legalserver.org/matter/dynamic-profile/view/1863774","18-1863774")</f>
        <v>0</v>
      </c>
      <c r="B2240" t="s">
        <v>149</v>
      </c>
      <c r="C2240" t="s">
        <v>245</v>
      </c>
      <c r="D2240" t="s">
        <v>350</v>
      </c>
      <c r="F2240" t="s">
        <v>1122</v>
      </c>
      <c r="G2240" t="s">
        <v>3000</v>
      </c>
      <c r="H2240" t="s">
        <v>5497</v>
      </c>
      <c r="I2240" t="s">
        <v>6412</v>
      </c>
      <c r="J2240" t="s">
        <v>7169</v>
      </c>
      <c r="K2240">
        <v>10033</v>
      </c>
      <c r="N2240" t="s">
        <v>7237</v>
      </c>
      <c r="O2240" t="s">
        <v>8680</v>
      </c>
      <c r="P2240">
        <v>1</v>
      </c>
      <c r="Q2240">
        <v>0</v>
      </c>
      <c r="R2240">
        <v>81.05</v>
      </c>
      <c r="S2240" t="s">
        <v>808</v>
      </c>
      <c r="U2240">
        <v>9840</v>
      </c>
      <c r="W2240">
        <v>0</v>
      </c>
      <c r="Y2240" t="s">
        <v>127</v>
      </c>
      <c r="AA2240" t="s">
        <v>10974</v>
      </c>
      <c r="AB2240" t="s">
        <v>350</v>
      </c>
      <c r="AD2240" t="s">
        <v>11096</v>
      </c>
      <c r="AF2240" t="s">
        <v>11118</v>
      </c>
      <c r="AH2240" t="s">
        <v>10974</v>
      </c>
      <c r="AJ2240" t="s">
        <v>11129</v>
      </c>
      <c r="AK2240" t="s">
        <v>7225</v>
      </c>
      <c r="AM2240">
        <v>778</v>
      </c>
      <c r="AO2240">
        <v>24</v>
      </c>
      <c r="AQ2240" t="s">
        <v>11157</v>
      </c>
      <c r="AS2240" t="s">
        <v>11173</v>
      </c>
      <c r="AU2240">
        <v>43</v>
      </c>
      <c r="AW2240" t="s">
        <v>11189</v>
      </c>
      <c r="AZ2240" t="s">
        <v>11221</v>
      </c>
      <c r="BE2240" t="s">
        <v>12943</v>
      </c>
      <c r="BF2240" t="s">
        <v>14364</v>
      </c>
      <c r="BG2240" t="s">
        <v>14925</v>
      </c>
      <c r="BM2240" t="s">
        <v>15650</v>
      </c>
    </row>
    <row r="2241" spans="1:65">
      <c r="A2241" s="1">
        <f>HYPERLINK("https://lsnyc.legalserver.org/matter/dynamic-profile/view/1863789","18-1863789")</f>
        <v>0</v>
      </c>
      <c r="B2241" t="s">
        <v>149</v>
      </c>
      <c r="C2241" t="s">
        <v>245</v>
      </c>
      <c r="D2241" t="s">
        <v>350</v>
      </c>
      <c r="F2241" t="s">
        <v>1270</v>
      </c>
      <c r="G2241" t="s">
        <v>3852</v>
      </c>
      <c r="H2241" t="s">
        <v>5497</v>
      </c>
      <c r="I2241" t="s">
        <v>6410</v>
      </c>
      <c r="J2241" t="s">
        <v>7169</v>
      </c>
      <c r="K2241">
        <v>10033</v>
      </c>
      <c r="N2241" t="s">
        <v>7237</v>
      </c>
      <c r="O2241" t="s">
        <v>8681</v>
      </c>
      <c r="P2241">
        <v>1</v>
      </c>
      <c r="Q2241">
        <v>0</v>
      </c>
      <c r="R2241">
        <v>81.05</v>
      </c>
      <c r="S2241" t="s">
        <v>808</v>
      </c>
      <c r="U2241">
        <v>9840</v>
      </c>
      <c r="W2241">
        <v>0</v>
      </c>
      <c r="Y2241" t="s">
        <v>127</v>
      </c>
      <c r="AA2241" t="s">
        <v>10974</v>
      </c>
      <c r="AB2241" t="s">
        <v>350</v>
      </c>
      <c r="AD2241" t="s">
        <v>11096</v>
      </c>
      <c r="AF2241" t="s">
        <v>11122</v>
      </c>
      <c r="AH2241" t="s">
        <v>10974</v>
      </c>
      <c r="AJ2241" t="s">
        <v>11129</v>
      </c>
      <c r="AK2241" t="s">
        <v>7225</v>
      </c>
      <c r="AM2241">
        <v>310</v>
      </c>
      <c r="AO2241">
        <v>20</v>
      </c>
      <c r="AQ2241" t="s">
        <v>11157</v>
      </c>
      <c r="AS2241" t="s">
        <v>11173</v>
      </c>
      <c r="AU2241">
        <v>20</v>
      </c>
      <c r="AW2241" t="s">
        <v>11189</v>
      </c>
      <c r="AZ2241" t="s">
        <v>11221</v>
      </c>
      <c r="BE2241" t="s">
        <v>12944</v>
      </c>
      <c r="BF2241" t="s">
        <v>14364</v>
      </c>
      <c r="BM2241" t="s">
        <v>15650</v>
      </c>
    </row>
    <row r="2242" spans="1:65">
      <c r="A2242" s="1">
        <f>HYPERLINK("https://lsnyc.legalserver.org/matter/dynamic-profile/view/1834629","17-1834629")</f>
        <v>0</v>
      </c>
      <c r="B2242" t="s">
        <v>149</v>
      </c>
      <c r="C2242" t="s">
        <v>245</v>
      </c>
      <c r="D2242" t="s">
        <v>858</v>
      </c>
      <c r="F2242" t="s">
        <v>2052</v>
      </c>
      <c r="G2242" t="s">
        <v>2985</v>
      </c>
      <c r="H2242" t="s">
        <v>5497</v>
      </c>
      <c r="I2242" t="s">
        <v>6501</v>
      </c>
      <c r="J2242" t="s">
        <v>7169</v>
      </c>
      <c r="K2242">
        <v>10033</v>
      </c>
      <c r="N2242" t="s">
        <v>7237</v>
      </c>
      <c r="O2242" t="s">
        <v>8682</v>
      </c>
      <c r="P2242">
        <v>1</v>
      </c>
      <c r="Q2242">
        <v>0</v>
      </c>
      <c r="R2242">
        <v>54.43</v>
      </c>
      <c r="S2242" t="s">
        <v>808</v>
      </c>
      <c r="U2242">
        <v>6564</v>
      </c>
      <c r="W2242">
        <v>0</v>
      </c>
      <c r="Y2242" t="s">
        <v>10859</v>
      </c>
      <c r="AA2242" t="s">
        <v>10974</v>
      </c>
      <c r="AB2242" t="s">
        <v>860</v>
      </c>
      <c r="AD2242" t="s">
        <v>11086</v>
      </c>
      <c r="AF2242" t="s">
        <v>11120</v>
      </c>
      <c r="AH2242" t="s">
        <v>10974</v>
      </c>
      <c r="AJ2242" t="s">
        <v>11134</v>
      </c>
      <c r="AK2242" t="s">
        <v>7225</v>
      </c>
      <c r="AL2242" t="s">
        <v>11150</v>
      </c>
      <c r="AM2242">
        <v>0</v>
      </c>
      <c r="AO2242">
        <v>24</v>
      </c>
      <c r="AQ2242" t="s">
        <v>11157</v>
      </c>
      <c r="AS2242" t="s">
        <v>11175</v>
      </c>
      <c r="AU2242">
        <v>40</v>
      </c>
      <c r="AW2242" t="s">
        <v>11189</v>
      </c>
      <c r="AZ2242" t="s">
        <v>11221</v>
      </c>
      <c r="BE2242" t="s">
        <v>12945</v>
      </c>
      <c r="BF2242" t="s">
        <v>14364</v>
      </c>
      <c r="BG2242" t="s">
        <v>14916</v>
      </c>
      <c r="BM2242" t="s">
        <v>15650</v>
      </c>
    </row>
    <row r="2243" spans="1:65">
      <c r="A2243" s="1">
        <f>HYPERLINK("https://lsnyc.legalserver.org/matter/dynamic-profile/view/1911533","19-1911533")</f>
        <v>0</v>
      </c>
      <c r="B2243" t="s">
        <v>149</v>
      </c>
      <c r="C2243" t="s">
        <v>245</v>
      </c>
      <c r="D2243" t="s">
        <v>564</v>
      </c>
      <c r="F2243" t="s">
        <v>2061</v>
      </c>
      <c r="G2243" t="s">
        <v>3231</v>
      </c>
      <c r="H2243" t="s">
        <v>5494</v>
      </c>
      <c r="J2243" t="s">
        <v>7169</v>
      </c>
      <c r="K2243">
        <v>10040</v>
      </c>
      <c r="N2243" t="s">
        <v>7237</v>
      </c>
      <c r="O2243" t="s">
        <v>8683</v>
      </c>
      <c r="P2243">
        <v>3</v>
      </c>
      <c r="Q2243">
        <v>0</v>
      </c>
      <c r="R2243">
        <v>173.46</v>
      </c>
      <c r="U2243">
        <v>37000</v>
      </c>
      <c r="W2243">
        <v>0.1</v>
      </c>
      <c r="X2243" t="s">
        <v>341</v>
      </c>
      <c r="Y2243" t="s">
        <v>127</v>
      </c>
      <c r="AA2243" t="s">
        <v>10974</v>
      </c>
      <c r="AB2243" t="s">
        <v>564</v>
      </c>
      <c r="AD2243" t="s">
        <v>11085</v>
      </c>
      <c r="AF2243" t="s">
        <v>11118</v>
      </c>
      <c r="AH2243" t="s">
        <v>10974</v>
      </c>
      <c r="AJ2243" t="s">
        <v>11129</v>
      </c>
      <c r="AK2243" t="s">
        <v>7225</v>
      </c>
      <c r="AM2243">
        <v>10296</v>
      </c>
      <c r="AO2243">
        <v>44</v>
      </c>
      <c r="AQ2243" t="s">
        <v>11157</v>
      </c>
      <c r="AS2243" t="s">
        <v>11173</v>
      </c>
      <c r="AU2243">
        <v>11</v>
      </c>
      <c r="AW2243" t="s">
        <v>11189</v>
      </c>
      <c r="BA2243" t="s">
        <v>11222</v>
      </c>
      <c r="BE2243" t="s">
        <v>12946</v>
      </c>
      <c r="BF2243" t="s">
        <v>14364</v>
      </c>
      <c r="BM2243" t="s">
        <v>15650</v>
      </c>
    </row>
    <row r="2244" spans="1:65">
      <c r="A2244" s="1">
        <f>HYPERLINK("https://lsnyc.legalserver.org/matter/dynamic-profile/view/1912332","19-1912332")</f>
        <v>0</v>
      </c>
      <c r="B2244" t="s">
        <v>149</v>
      </c>
      <c r="C2244" t="s">
        <v>245</v>
      </c>
      <c r="D2244" t="s">
        <v>737</v>
      </c>
      <c r="F2244" t="s">
        <v>2061</v>
      </c>
      <c r="G2244" t="s">
        <v>3231</v>
      </c>
      <c r="H2244" t="s">
        <v>5494</v>
      </c>
      <c r="J2244" t="s">
        <v>7169</v>
      </c>
      <c r="K2244">
        <v>10040</v>
      </c>
      <c r="N2244" t="s">
        <v>7237</v>
      </c>
      <c r="O2244" t="s">
        <v>8683</v>
      </c>
      <c r="P2244">
        <v>3</v>
      </c>
      <c r="Q2244">
        <v>0</v>
      </c>
      <c r="R2244">
        <v>173.46</v>
      </c>
      <c r="U2244">
        <v>37000</v>
      </c>
      <c r="W2244">
        <v>0</v>
      </c>
      <c r="Y2244" t="s">
        <v>127</v>
      </c>
      <c r="AA2244" t="s">
        <v>10974</v>
      </c>
      <c r="AB2244" t="s">
        <v>737</v>
      </c>
      <c r="AD2244" t="s">
        <v>11098</v>
      </c>
      <c r="AF2244" t="s">
        <v>11118</v>
      </c>
      <c r="AH2244" t="s">
        <v>10974</v>
      </c>
      <c r="AJ2244" t="s">
        <v>11129</v>
      </c>
      <c r="AK2244" t="s">
        <v>7225</v>
      </c>
      <c r="AM2244">
        <v>1296</v>
      </c>
      <c r="AO2244">
        <v>44</v>
      </c>
      <c r="AQ2244" t="s">
        <v>11157</v>
      </c>
      <c r="AS2244" t="s">
        <v>11173</v>
      </c>
      <c r="AU2244">
        <v>11</v>
      </c>
      <c r="AW2244" t="s">
        <v>11189</v>
      </c>
      <c r="BA2244" t="s">
        <v>11222</v>
      </c>
      <c r="BE2244" t="s">
        <v>12946</v>
      </c>
      <c r="BF2244" t="s">
        <v>14364</v>
      </c>
      <c r="BM2244" t="s">
        <v>15650</v>
      </c>
    </row>
    <row r="2245" spans="1:65">
      <c r="A2245" s="1">
        <f>HYPERLINK("https://lsnyc.legalserver.org/matter/dynamic-profile/view/1913565","19-1913565")</f>
        <v>0</v>
      </c>
      <c r="B2245" t="s">
        <v>149</v>
      </c>
      <c r="C2245" t="s">
        <v>245</v>
      </c>
      <c r="D2245" t="s">
        <v>293</v>
      </c>
      <c r="F2245" t="s">
        <v>1577</v>
      </c>
      <c r="G2245" t="s">
        <v>3850</v>
      </c>
      <c r="H2245" t="s">
        <v>5505</v>
      </c>
      <c r="I2245" t="s">
        <v>6495</v>
      </c>
      <c r="J2245" t="s">
        <v>7169</v>
      </c>
      <c r="K2245">
        <v>10034</v>
      </c>
      <c r="N2245" t="s">
        <v>7237</v>
      </c>
      <c r="O2245" t="s">
        <v>8675</v>
      </c>
      <c r="P2245">
        <v>1</v>
      </c>
      <c r="Q2245">
        <v>0</v>
      </c>
      <c r="R2245">
        <v>34.11</v>
      </c>
      <c r="U2245">
        <v>4260</v>
      </c>
      <c r="W2245">
        <v>2.5</v>
      </c>
      <c r="X2245" t="s">
        <v>735</v>
      </c>
      <c r="Y2245" t="s">
        <v>127</v>
      </c>
      <c r="AA2245" t="s">
        <v>10974</v>
      </c>
      <c r="AB2245" t="s">
        <v>293</v>
      </c>
      <c r="AC2245" t="s">
        <v>11081</v>
      </c>
      <c r="AF2245" t="s">
        <v>11121</v>
      </c>
      <c r="AH2245" t="s">
        <v>10975</v>
      </c>
      <c r="AJ2245" t="s">
        <v>11129</v>
      </c>
      <c r="AK2245" t="s">
        <v>7225</v>
      </c>
      <c r="AL2245" t="s">
        <v>11150</v>
      </c>
      <c r="AM2245">
        <v>0</v>
      </c>
      <c r="AO2245">
        <v>85</v>
      </c>
      <c r="AQ2245" t="s">
        <v>11157</v>
      </c>
      <c r="AS2245" t="s">
        <v>11173</v>
      </c>
      <c r="AU2245">
        <v>32</v>
      </c>
      <c r="AW2245" t="s">
        <v>11187</v>
      </c>
      <c r="BA2245" t="s">
        <v>11222</v>
      </c>
      <c r="BE2245" t="s">
        <v>12938</v>
      </c>
      <c r="BF2245" t="s">
        <v>14364</v>
      </c>
      <c r="BM2245" t="s">
        <v>15650</v>
      </c>
    </row>
    <row r="2246" spans="1:65">
      <c r="A2246" s="1">
        <f>HYPERLINK("https://lsnyc.legalserver.org/matter/dynamic-profile/view/1903289","19-1903289")</f>
        <v>0</v>
      </c>
      <c r="B2246" t="s">
        <v>149</v>
      </c>
      <c r="C2246" t="s">
        <v>245</v>
      </c>
      <c r="D2246" t="s">
        <v>571</v>
      </c>
      <c r="F2246" t="s">
        <v>2062</v>
      </c>
      <c r="G2246" t="s">
        <v>3853</v>
      </c>
      <c r="H2246" t="s">
        <v>5509</v>
      </c>
      <c r="I2246" t="s">
        <v>6507</v>
      </c>
      <c r="J2246" t="s">
        <v>7169</v>
      </c>
      <c r="K2246">
        <v>10033</v>
      </c>
      <c r="N2246" t="s">
        <v>7237</v>
      </c>
      <c r="O2246" t="s">
        <v>8684</v>
      </c>
      <c r="P2246">
        <v>1</v>
      </c>
      <c r="Q2246">
        <v>0</v>
      </c>
      <c r="R2246">
        <v>760.61</v>
      </c>
      <c r="U2246">
        <v>95000</v>
      </c>
      <c r="W2246">
        <v>0</v>
      </c>
      <c r="Y2246" t="s">
        <v>127</v>
      </c>
      <c r="AA2246" t="s">
        <v>10974</v>
      </c>
      <c r="AB2246" t="s">
        <v>571</v>
      </c>
      <c r="AD2246" t="s">
        <v>11090</v>
      </c>
      <c r="AF2246" t="s">
        <v>11119</v>
      </c>
      <c r="AH2246" t="s">
        <v>10975</v>
      </c>
      <c r="AJ2246" t="s">
        <v>11130</v>
      </c>
      <c r="AK2246" t="s">
        <v>7225</v>
      </c>
      <c r="AM2246">
        <v>1800</v>
      </c>
      <c r="AO2246">
        <v>689</v>
      </c>
      <c r="AQ2246" t="s">
        <v>11157</v>
      </c>
      <c r="AS2246" t="s">
        <v>11173</v>
      </c>
      <c r="AU2246">
        <v>5</v>
      </c>
      <c r="AW2246" t="s">
        <v>11187</v>
      </c>
      <c r="BA2246" t="s">
        <v>11222</v>
      </c>
      <c r="BE2246" t="s">
        <v>12947</v>
      </c>
      <c r="BF2246" t="s">
        <v>14364</v>
      </c>
      <c r="BM2246" t="s">
        <v>15650</v>
      </c>
    </row>
    <row r="2247" spans="1:65">
      <c r="A2247" s="1">
        <f>HYPERLINK("https://lsnyc.legalserver.org/matter/dynamic-profile/view/1912491","19-1912491")</f>
        <v>0</v>
      </c>
      <c r="B2247" t="s">
        <v>149</v>
      </c>
      <c r="C2247" t="s">
        <v>245</v>
      </c>
      <c r="D2247" t="s">
        <v>441</v>
      </c>
      <c r="E2247" t="s">
        <v>669</v>
      </c>
      <c r="F2247" t="s">
        <v>2061</v>
      </c>
      <c r="G2247" t="s">
        <v>3231</v>
      </c>
      <c r="H2247" t="s">
        <v>5494</v>
      </c>
      <c r="J2247" t="s">
        <v>7169</v>
      </c>
      <c r="K2247">
        <v>10040</v>
      </c>
      <c r="L2247" t="s">
        <v>7220</v>
      </c>
      <c r="N2247" t="s">
        <v>7237</v>
      </c>
      <c r="O2247" t="s">
        <v>8683</v>
      </c>
      <c r="P2247">
        <v>3</v>
      </c>
      <c r="Q2247">
        <v>0</v>
      </c>
      <c r="R2247">
        <v>173.46</v>
      </c>
      <c r="U2247">
        <v>37000</v>
      </c>
      <c r="W2247">
        <v>0.6</v>
      </c>
      <c r="X2247" t="s">
        <v>669</v>
      </c>
      <c r="Y2247" t="s">
        <v>127</v>
      </c>
      <c r="AA2247" t="s">
        <v>10974</v>
      </c>
      <c r="AB2247" t="s">
        <v>441</v>
      </c>
      <c r="AD2247" t="s">
        <v>11098</v>
      </c>
      <c r="AF2247" t="s">
        <v>11122</v>
      </c>
      <c r="AH2247" t="s">
        <v>10974</v>
      </c>
      <c r="AJ2247" t="s">
        <v>11129</v>
      </c>
      <c r="AK2247" t="s">
        <v>7225</v>
      </c>
      <c r="AM2247">
        <v>1296</v>
      </c>
      <c r="AO2247">
        <v>44</v>
      </c>
      <c r="AP2247" t="s">
        <v>11155</v>
      </c>
      <c r="AS2247" t="s">
        <v>11173</v>
      </c>
      <c r="AU2247">
        <v>11</v>
      </c>
      <c r="AW2247" t="s">
        <v>11189</v>
      </c>
      <c r="BA2247" t="s">
        <v>11222</v>
      </c>
      <c r="BE2247" t="s">
        <v>12946</v>
      </c>
      <c r="BF2247" t="s">
        <v>14364</v>
      </c>
      <c r="BG2247" t="s">
        <v>14913</v>
      </c>
      <c r="BJ2247" t="s">
        <v>15615</v>
      </c>
      <c r="BM2247" t="s">
        <v>15651</v>
      </c>
    </row>
    <row r="2248" spans="1:65">
      <c r="A2248" s="1">
        <f>HYPERLINK("https://lsnyc.legalserver.org/matter/dynamic-profile/view/1834655","17-1834655")</f>
        <v>0</v>
      </c>
      <c r="B2248" t="s">
        <v>149</v>
      </c>
      <c r="C2248" t="s">
        <v>245</v>
      </c>
      <c r="D2248" t="s">
        <v>858</v>
      </c>
      <c r="F2248" t="s">
        <v>1270</v>
      </c>
      <c r="G2248" t="s">
        <v>3852</v>
      </c>
      <c r="H2248" t="s">
        <v>5497</v>
      </c>
      <c r="I2248" t="s">
        <v>6410</v>
      </c>
      <c r="J2248" t="s">
        <v>7169</v>
      </c>
      <c r="K2248">
        <v>10033</v>
      </c>
      <c r="N2248" t="s">
        <v>7237</v>
      </c>
      <c r="O2248" t="s">
        <v>8681</v>
      </c>
      <c r="P2248">
        <v>1</v>
      </c>
      <c r="Q2248">
        <v>0</v>
      </c>
      <c r="R2248">
        <v>81.59</v>
      </c>
      <c r="S2248" t="s">
        <v>808</v>
      </c>
      <c r="U2248">
        <v>9840</v>
      </c>
      <c r="W2248">
        <v>0</v>
      </c>
      <c r="Y2248" t="s">
        <v>10859</v>
      </c>
      <c r="AA2248" t="s">
        <v>10974</v>
      </c>
      <c r="AB2248" t="s">
        <v>860</v>
      </c>
      <c r="AD2248" t="s">
        <v>11086</v>
      </c>
      <c r="AF2248" t="s">
        <v>11120</v>
      </c>
      <c r="AH2248" t="s">
        <v>10974</v>
      </c>
      <c r="AJ2248" t="s">
        <v>11134</v>
      </c>
      <c r="AK2248" t="s">
        <v>7225</v>
      </c>
      <c r="AL2248" t="s">
        <v>11150</v>
      </c>
      <c r="AM2248">
        <v>0</v>
      </c>
      <c r="AO2248">
        <v>24</v>
      </c>
      <c r="AQ2248" t="s">
        <v>11157</v>
      </c>
      <c r="AS2248" t="s">
        <v>11174</v>
      </c>
      <c r="AU2248">
        <v>20</v>
      </c>
      <c r="AW2248" t="s">
        <v>11189</v>
      </c>
      <c r="AZ2248" t="s">
        <v>11221</v>
      </c>
      <c r="BE2248" t="s">
        <v>12944</v>
      </c>
      <c r="BF2248" t="s">
        <v>14364</v>
      </c>
      <c r="BG2248" t="s">
        <v>14916</v>
      </c>
      <c r="BM2248" t="s">
        <v>15650</v>
      </c>
    </row>
    <row r="2249" spans="1:65">
      <c r="A2249" s="1">
        <f>HYPERLINK("https://lsnyc.legalserver.org/matter/dynamic-profile/view/1836709","17-1836709")</f>
        <v>0</v>
      </c>
      <c r="B2249" t="s">
        <v>149</v>
      </c>
      <c r="C2249" t="s">
        <v>245</v>
      </c>
      <c r="D2249" t="s">
        <v>859</v>
      </c>
      <c r="E2249" t="s">
        <v>669</v>
      </c>
      <c r="F2249" t="s">
        <v>2063</v>
      </c>
      <c r="G2249" t="s">
        <v>1827</v>
      </c>
      <c r="H2249" t="s">
        <v>5477</v>
      </c>
      <c r="I2249">
        <v>45</v>
      </c>
      <c r="J2249" t="s">
        <v>7169</v>
      </c>
      <c r="K2249">
        <v>10034</v>
      </c>
      <c r="L2249" t="s">
        <v>7218</v>
      </c>
      <c r="N2249" t="s">
        <v>7237</v>
      </c>
      <c r="O2249" t="s">
        <v>8685</v>
      </c>
      <c r="P2249">
        <v>1</v>
      </c>
      <c r="Q2249">
        <v>1</v>
      </c>
      <c r="R2249">
        <v>54.9</v>
      </c>
      <c r="U2249">
        <v>8916</v>
      </c>
      <c r="W2249">
        <v>49.3</v>
      </c>
      <c r="X2249" t="s">
        <v>669</v>
      </c>
      <c r="Y2249" t="s">
        <v>149</v>
      </c>
      <c r="AA2249" t="s">
        <v>10974</v>
      </c>
      <c r="AB2249" t="s">
        <v>11043</v>
      </c>
      <c r="AD2249" t="s">
        <v>11101</v>
      </c>
      <c r="AF2249" t="s">
        <v>11118</v>
      </c>
      <c r="AH2249" t="s">
        <v>10975</v>
      </c>
      <c r="AJ2249" t="s">
        <v>11130</v>
      </c>
      <c r="AK2249" t="s">
        <v>7225</v>
      </c>
      <c r="AM2249">
        <v>152.03</v>
      </c>
      <c r="AO2249">
        <v>52</v>
      </c>
      <c r="AQ2249" t="s">
        <v>11157</v>
      </c>
      <c r="AR2249" t="s">
        <v>11172</v>
      </c>
      <c r="AU2249">
        <v>6</v>
      </c>
      <c r="AW2249" t="s">
        <v>11187</v>
      </c>
      <c r="AZ2249" t="s">
        <v>11221</v>
      </c>
      <c r="BE2249" t="s">
        <v>12948</v>
      </c>
      <c r="BF2249" t="s">
        <v>14364</v>
      </c>
      <c r="BG2249" t="s">
        <v>14926</v>
      </c>
      <c r="BJ2249" t="s">
        <v>15615</v>
      </c>
      <c r="BM2249" t="s">
        <v>15651</v>
      </c>
    </row>
    <row r="2250" spans="1:65">
      <c r="A2250" s="1">
        <f>HYPERLINK("https://lsnyc.legalserver.org/matter/dynamic-profile/view/1835019","17-1835019")</f>
        <v>0</v>
      </c>
      <c r="B2250" t="s">
        <v>149</v>
      </c>
      <c r="C2250" t="s">
        <v>245</v>
      </c>
      <c r="D2250" t="s">
        <v>860</v>
      </c>
      <c r="F2250" t="s">
        <v>1122</v>
      </c>
      <c r="G2250" t="s">
        <v>3000</v>
      </c>
      <c r="H2250" t="s">
        <v>5497</v>
      </c>
      <c r="I2250" t="s">
        <v>6412</v>
      </c>
      <c r="J2250" t="s">
        <v>7169</v>
      </c>
      <c r="K2250">
        <v>10033</v>
      </c>
      <c r="N2250" t="s">
        <v>7237</v>
      </c>
      <c r="O2250" t="s">
        <v>8680</v>
      </c>
      <c r="P2250">
        <v>1</v>
      </c>
      <c r="Q2250">
        <v>0</v>
      </c>
      <c r="R2250">
        <v>81.59</v>
      </c>
      <c r="S2250" t="s">
        <v>808</v>
      </c>
      <c r="U2250">
        <v>9840</v>
      </c>
      <c r="W2250">
        <v>0</v>
      </c>
      <c r="Y2250" t="s">
        <v>149</v>
      </c>
      <c r="AA2250" t="s">
        <v>10974</v>
      </c>
      <c r="AB2250" t="s">
        <v>10811</v>
      </c>
      <c r="AD2250" t="s">
        <v>11096</v>
      </c>
      <c r="AF2250" t="s">
        <v>11120</v>
      </c>
      <c r="AH2250" t="s">
        <v>10974</v>
      </c>
      <c r="AJ2250" t="s">
        <v>11139</v>
      </c>
      <c r="AK2250" t="s">
        <v>7225</v>
      </c>
      <c r="AM2250">
        <v>778</v>
      </c>
      <c r="AO2250">
        <v>24</v>
      </c>
      <c r="AQ2250" t="s">
        <v>11157</v>
      </c>
      <c r="AR2250" t="s">
        <v>11172</v>
      </c>
      <c r="AU2250">
        <v>43</v>
      </c>
      <c r="AW2250" t="s">
        <v>11189</v>
      </c>
      <c r="AZ2250" t="s">
        <v>11221</v>
      </c>
      <c r="BE2250" t="s">
        <v>12943</v>
      </c>
      <c r="BF2250" t="s">
        <v>14364</v>
      </c>
      <c r="BM2250" t="s">
        <v>15650</v>
      </c>
    </row>
    <row r="2251" spans="1:65">
      <c r="A2251" s="1">
        <f>HYPERLINK("https://lsnyc.legalserver.org/matter/dynamic-profile/view/0822647","16-0822647")</f>
        <v>0</v>
      </c>
      <c r="B2251" t="s">
        <v>149</v>
      </c>
      <c r="C2251" t="s">
        <v>245</v>
      </c>
      <c r="D2251" t="s">
        <v>281</v>
      </c>
      <c r="F2251" t="s">
        <v>1155</v>
      </c>
      <c r="G2251" t="s">
        <v>3168</v>
      </c>
      <c r="H2251" t="s">
        <v>5458</v>
      </c>
      <c r="I2251" t="s">
        <v>6413</v>
      </c>
      <c r="J2251" t="s">
        <v>7169</v>
      </c>
      <c r="K2251">
        <v>10034</v>
      </c>
      <c r="N2251" t="s">
        <v>7237</v>
      </c>
      <c r="O2251" t="s">
        <v>8686</v>
      </c>
      <c r="P2251">
        <v>3</v>
      </c>
      <c r="Q2251">
        <v>0</v>
      </c>
      <c r="R2251">
        <v>193.45</v>
      </c>
      <c r="U2251">
        <v>78000</v>
      </c>
      <c r="W2251">
        <v>0</v>
      </c>
      <c r="Y2251" t="s">
        <v>10859</v>
      </c>
      <c r="AA2251" t="s">
        <v>10974</v>
      </c>
      <c r="AB2251" t="s">
        <v>481</v>
      </c>
      <c r="AD2251" t="s">
        <v>11096</v>
      </c>
      <c r="AF2251" t="s">
        <v>11122</v>
      </c>
      <c r="AH2251" t="s">
        <v>10974</v>
      </c>
      <c r="AJ2251" t="s">
        <v>11134</v>
      </c>
      <c r="AK2251" t="s">
        <v>7225</v>
      </c>
      <c r="AM2251">
        <v>1040</v>
      </c>
      <c r="AO2251">
        <v>22</v>
      </c>
      <c r="AQ2251" t="s">
        <v>11157</v>
      </c>
      <c r="AS2251" t="s">
        <v>11173</v>
      </c>
      <c r="AU2251">
        <v>31</v>
      </c>
      <c r="AW2251" t="s">
        <v>11189</v>
      </c>
      <c r="AZ2251" t="s">
        <v>11221</v>
      </c>
      <c r="BD2251" t="s">
        <v>11667</v>
      </c>
      <c r="BF2251" t="s">
        <v>14364</v>
      </c>
      <c r="BM2251" t="s">
        <v>15650</v>
      </c>
    </row>
    <row r="2252" spans="1:65">
      <c r="A2252" s="1">
        <f>HYPERLINK("https://lsnyc.legalserver.org/matter/dynamic-profile/view/1905550","19-1905550")</f>
        <v>0</v>
      </c>
      <c r="B2252" t="s">
        <v>149</v>
      </c>
      <c r="C2252" t="s">
        <v>245</v>
      </c>
      <c r="D2252" t="s">
        <v>546</v>
      </c>
      <c r="F2252" t="s">
        <v>1781</v>
      </c>
      <c r="G2252" t="s">
        <v>2886</v>
      </c>
      <c r="H2252" t="s">
        <v>4919</v>
      </c>
      <c r="I2252" t="s">
        <v>6433</v>
      </c>
      <c r="J2252" t="s">
        <v>7169</v>
      </c>
      <c r="K2252">
        <v>10035</v>
      </c>
      <c r="N2252" t="s">
        <v>7237</v>
      </c>
      <c r="O2252" t="s">
        <v>8603</v>
      </c>
      <c r="P2252">
        <v>3</v>
      </c>
      <c r="Q2252">
        <v>1</v>
      </c>
      <c r="R2252">
        <v>166.99</v>
      </c>
      <c r="U2252">
        <v>43000</v>
      </c>
      <c r="W2252">
        <v>6.5</v>
      </c>
      <c r="X2252" t="s">
        <v>801</v>
      </c>
      <c r="Y2252" t="s">
        <v>127</v>
      </c>
      <c r="AA2252" t="s">
        <v>10974</v>
      </c>
      <c r="AB2252" t="s">
        <v>546</v>
      </c>
      <c r="AD2252" t="s">
        <v>11084</v>
      </c>
      <c r="AF2252" t="s">
        <v>11118</v>
      </c>
      <c r="AH2252" t="s">
        <v>10975</v>
      </c>
      <c r="AJ2252" t="s">
        <v>11129</v>
      </c>
      <c r="AK2252" t="s">
        <v>7225</v>
      </c>
      <c r="AM2252">
        <v>1575</v>
      </c>
      <c r="AO2252">
        <v>10</v>
      </c>
      <c r="AQ2252" t="s">
        <v>11157</v>
      </c>
      <c r="AS2252" t="s">
        <v>11173</v>
      </c>
      <c r="AT2252" t="s">
        <v>11184</v>
      </c>
      <c r="AU2252">
        <v>0</v>
      </c>
      <c r="AW2252" t="s">
        <v>11187</v>
      </c>
      <c r="BA2252" t="s">
        <v>11222</v>
      </c>
      <c r="BE2252" t="s">
        <v>12949</v>
      </c>
      <c r="BG2252" t="s">
        <v>14927</v>
      </c>
      <c r="BM2252" t="s">
        <v>15650</v>
      </c>
    </row>
    <row r="2253" spans="1:65">
      <c r="A2253" s="1">
        <f>HYPERLINK("https://lsnyc.legalserver.org/matter/dynamic-profile/view/0806919","16-0806919")</f>
        <v>0</v>
      </c>
      <c r="B2253" t="s">
        <v>149</v>
      </c>
      <c r="C2253" t="s">
        <v>245</v>
      </c>
      <c r="D2253" t="s">
        <v>709</v>
      </c>
      <c r="F2253" t="s">
        <v>1098</v>
      </c>
      <c r="G2253" t="s">
        <v>2964</v>
      </c>
      <c r="H2253" t="s">
        <v>5495</v>
      </c>
      <c r="I2253" t="s">
        <v>6417</v>
      </c>
      <c r="J2253" t="s">
        <v>7169</v>
      </c>
      <c r="K2253">
        <v>10034</v>
      </c>
      <c r="N2253" t="s">
        <v>7237</v>
      </c>
      <c r="O2253" t="s">
        <v>8687</v>
      </c>
      <c r="P2253">
        <v>2</v>
      </c>
      <c r="Q2253">
        <v>0</v>
      </c>
      <c r="R2253">
        <v>89.89</v>
      </c>
      <c r="U2253">
        <v>14400</v>
      </c>
      <c r="W2253">
        <v>26.1</v>
      </c>
      <c r="X2253" t="s">
        <v>698</v>
      </c>
      <c r="Y2253" t="s">
        <v>10859</v>
      </c>
      <c r="AA2253" t="s">
        <v>10974</v>
      </c>
      <c r="AB2253" t="s">
        <v>499</v>
      </c>
      <c r="AD2253" t="s">
        <v>11101</v>
      </c>
      <c r="AF2253" t="s">
        <v>11118</v>
      </c>
      <c r="AH2253" t="s">
        <v>10974</v>
      </c>
      <c r="AJ2253" t="s">
        <v>11141</v>
      </c>
      <c r="AK2253" t="s">
        <v>7225</v>
      </c>
      <c r="AM2253">
        <v>629.17</v>
      </c>
      <c r="AO2253">
        <v>44</v>
      </c>
      <c r="AQ2253" t="s">
        <v>11157</v>
      </c>
      <c r="AS2253" t="s">
        <v>11173</v>
      </c>
      <c r="AU2253">
        <v>29</v>
      </c>
      <c r="AW2253" t="s">
        <v>11189</v>
      </c>
      <c r="AZ2253" t="s">
        <v>11221</v>
      </c>
      <c r="BE2253" t="s">
        <v>12950</v>
      </c>
      <c r="BF2253" t="s">
        <v>14364</v>
      </c>
      <c r="BG2253" t="s">
        <v>14908</v>
      </c>
      <c r="BM2253" t="s">
        <v>15650</v>
      </c>
    </row>
    <row r="2254" spans="1:65">
      <c r="A2254" s="1">
        <f>HYPERLINK("https://lsnyc.legalserver.org/matter/dynamic-profile/view/1834816","17-1834816")</f>
        <v>0</v>
      </c>
      <c r="B2254" t="s">
        <v>149</v>
      </c>
      <c r="C2254" t="s">
        <v>245</v>
      </c>
      <c r="D2254" t="s">
        <v>861</v>
      </c>
      <c r="F2254" t="s">
        <v>1122</v>
      </c>
      <c r="G2254" t="s">
        <v>3032</v>
      </c>
      <c r="H2254" t="s">
        <v>5497</v>
      </c>
      <c r="I2254" t="s">
        <v>6424</v>
      </c>
      <c r="J2254" t="s">
        <v>7169</v>
      </c>
      <c r="K2254">
        <v>10033</v>
      </c>
      <c r="N2254" t="s">
        <v>7237</v>
      </c>
      <c r="O2254" t="s">
        <v>8688</v>
      </c>
      <c r="P2254">
        <v>1</v>
      </c>
      <c r="Q2254">
        <v>0</v>
      </c>
      <c r="R2254">
        <v>69.7</v>
      </c>
      <c r="S2254" t="s">
        <v>808</v>
      </c>
      <c r="U2254">
        <v>8406.360000000001</v>
      </c>
      <c r="W2254">
        <v>0.5</v>
      </c>
      <c r="X2254" t="s">
        <v>442</v>
      </c>
      <c r="Y2254" t="s">
        <v>10859</v>
      </c>
      <c r="AA2254" t="s">
        <v>10974</v>
      </c>
      <c r="AB2254" t="s">
        <v>860</v>
      </c>
      <c r="AD2254" t="s">
        <v>11086</v>
      </c>
      <c r="AF2254" t="s">
        <v>11120</v>
      </c>
      <c r="AH2254" t="s">
        <v>10974</v>
      </c>
      <c r="AJ2254" t="s">
        <v>11134</v>
      </c>
      <c r="AK2254" t="s">
        <v>7225</v>
      </c>
      <c r="AL2254" t="s">
        <v>11150</v>
      </c>
      <c r="AM2254">
        <v>0</v>
      </c>
      <c r="AO2254">
        <v>24</v>
      </c>
      <c r="AQ2254" t="s">
        <v>11157</v>
      </c>
      <c r="AS2254" t="s">
        <v>11173</v>
      </c>
      <c r="AU2254">
        <v>17</v>
      </c>
      <c r="AW2254" t="s">
        <v>11189</v>
      </c>
      <c r="AZ2254" t="s">
        <v>11221</v>
      </c>
      <c r="BE2254" t="s">
        <v>12951</v>
      </c>
      <c r="BF2254" t="s">
        <v>14364</v>
      </c>
      <c r="BG2254" t="s">
        <v>14916</v>
      </c>
      <c r="BM2254" t="s">
        <v>15650</v>
      </c>
    </row>
    <row r="2255" spans="1:65">
      <c r="A2255" s="1">
        <f>HYPERLINK("https://lsnyc.legalserver.org/matter/dynamic-profile/view/1912405","19-1912405")</f>
        <v>0</v>
      </c>
      <c r="B2255" t="s">
        <v>149</v>
      </c>
      <c r="C2255" t="s">
        <v>245</v>
      </c>
      <c r="D2255" t="s">
        <v>441</v>
      </c>
      <c r="F2255" t="s">
        <v>2064</v>
      </c>
      <c r="G2255" t="s">
        <v>3718</v>
      </c>
      <c r="H2255" t="s">
        <v>5494</v>
      </c>
      <c r="I2255" t="s">
        <v>6409</v>
      </c>
      <c r="J2255" t="s">
        <v>7169</v>
      </c>
      <c r="K2255">
        <v>10040</v>
      </c>
      <c r="N2255" t="s">
        <v>7237</v>
      </c>
      <c r="O2255" t="s">
        <v>8689</v>
      </c>
      <c r="P2255">
        <v>1</v>
      </c>
      <c r="Q2255">
        <v>0</v>
      </c>
      <c r="R2255">
        <v>100.39</v>
      </c>
      <c r="U2255">
        <v>12539</v>
      </c>
      <c r="W2255">
        <v>0</v>
      </c>
      <c r="Y2255" t="s">
        <v>127</v>
      </c>
      <c r="AA2255" t="s">
        <v>10974</v>
      </c>
      <c r="AB2255" t="s">
        <v>441</v>
      </c>
      <c r="AD2255" t="s">
        <v>11098</v>
      </c>
      <c r="AF2255" t="s">
        <v>11118</v>
      </c>
      <c r="AH2255" t="s">
        <v>10974</v>
      </c>
      <c r="AJ2255" t="s">
        <v>11129</v>
      </c>
      <c r="AK2255" t="s">
        <v>7225</v>
      </c>
      <c r="AM2255">
        <v>211</v>
      </c>
      <c r="AO2255">
        <v>44</v>
      </c>
      <c r="AQ2255" t="s">
        <v>11157</v>
      </c>
      <c r="AS2255" t="s">
        <v>11174</v>
      </c>
      <c r="AU2255">
        <v>24</v>
      </c>
      <c r="AW2255" t="s">
        <v>11189</v>
      </c>
      <c r="BA2255" t="s">
        <v>11222</v>
      </c>
      <c r="BE2255" t="s">
        <v>12952</v>
      </c>
      <c r="BF2255" t="s">
        <v>14364</v>
      </c>
      <c r="BM2255" t="s">
        <v>15650</v>
      </c>
    </row>
    <row r="2256" spans="1:65">
      <c r="A2256" s="1">
        <f>HYPERLINK("https://lsnyc.legalserver.org/matter/dynamic-profile/view/1911547","19-1911547")</f>
        <v>0</v>
      </c>
      <c r="B2256" t="s">
        <v>149</v>
      </c>
      <c r="C2256" t="s">
        <v>245</v>
      </c>
      <c r="D2256" t="s">
        <v>564</v>
      </c>
      <c r="F2256" t="s">
        <v>1115</v>
      </c>
      <c r="G2256" t="s">
        <v>3854</v>
      </c>
      <c r="H2256" t="s">
        <v>5494</v>
      </c>
      <c r="I2256" t="s">
        <v>6448</v>
      </c>
      <c r="J2256" t="s">
        <v>7169</v>
      </c>
      <c r="K2256">
        <v>10040</v>
      </c>
      <c r="N2256" t="s">
        <v>7237</v>
      </c>
      <c r="O2256" t="s">
        <v>8690</v>
      </c>
      <c r="P2256">
        <v>2</v>
      </c>
      <c r="Q2256">
        <v>1</v>
      </c>
      <c r="R2256">
        <v>93.76000000000001</v>
      </c>
      <c r="U2256">
        <v>20000</v>
      </c>
      <c r="W2256">
        <v>0.1</v>
      </c>
      <c r="X2256" t="s">
        <v>341</v>
      </c>
      <c r="Y2256" t="s">
        <v>127</v>
      </c>
      <c r="AA2256" t="s">
        <v>10974</v>
      </c>
      <c r="AB2256" t="s">
        <v>564</v>
      </c>
      <c r="AD2256" t="s">
        <v>11085</v>
      </c>
      <c r="AF2256" t="s">
        <v>11121</v>
      </c>
      <c r="AH2256" t="s">
        <v>10974</v>
      </c>
      <c r="AJ2256" t="s">
        <v>11129</v>
      </c>
      <c r="AK2256" t="s">
        <v>7225</v>
      </c>
      <c r="AM2256">
        <v>952</v>
      </c>
      <c r="AO2256">
        <v>44</v>
      </c>
      <c r="AQ2256" t="s">
        <v>11157</v>
      </c>
      <c r="AS2256" t="s">
        <v>11173</v>
      </c>
      <c r="AU2256">
        <v>24</v>
      </c>
      <c r="AW2256" t="s">
        <v>11189</v>
      </c>
      <c r="BA2256" t="s">
        <v>11222</v>
      </c>
      <c r="BE2256" t="s">
        <v>12953</v>
      </c>
      <c r="BF2256" t="s">
        <v>14364</v>
      </c>
      <c r="BM2256" t="s">
        <v>15650</v>
      </c>
    </row>
    <row r="2257" spans="1:65">
      <c r="A2257" s="1">
        <f>HYPERLINK("https://lsnyc.legalserver.org/matter/dynamic-profile/view/1912938","19-1912938")</f>
        <v>0</v>
      </c>
      <c r="B2257" t="s">
        <v>149</v>
      </c>
      <c r="C2257" t="s">
        <v>245</v>
      </c>
      <c r="D2257" t="s">
        <v>305</v>
      </c>
      <c r="E2257" t="s">
        <v>669</v>
      </c>
      <c r="F2257" t="s">
        <v>2064</v>
      </c>
      <c r="G2257" t="s">
        <v>3718</v>
      </c>
      <c r="H2257" t="s">
        <v>5494</v>
      </c>
      <c r="I2257" t="s">
        <v>6409</v>
      </c>
      <c r="J2257" t="s">
        <v>7169</v>
      </c>
      <c r="K2257">
        <v>10040</v>
      </c>
      <c r="L2257" t="s">
        <v>7220</v>
      </c>
      <c r="N2257" t="s">
        <v>7237</v>
      </c>
      <c r="O2257" t="s">
        <v>8689</v>
      </c>
      <c r="P2257">
        <v>1</v>
      </c>
      <c r="Q2257">
        <v>0</v>
      </c>
      <c r="R2257">
        <v>100.39</v>
      </c>
      <c r="U2257">
        <v>12539</v>
      </c>
      <c r="W2257">
        <v>0.1</v>
      </c>
      <c r="X2257" t="s">
        <v>669</v>
      </c>
      <c r="Y2257" t="s">
        <v>127</v>
      </c>
      <c r="AA2257" t="s">
        <v>10974</v>
      </c>
      <c r="AB2257" t="s">
        <v>305</v>
      </c>
      <c r="AD2257" t="s">
        <v>11098</v>
      </c>
      <c r="AF2257" t="s">
        <v>11122</v>
      </c>
      <c r="AH2257" t="s">
        <v>10974</v>
      </c>
      <c r="AJ2257" t="s">
        <v>11129</v>
      </c>
      <c r="AK2257" t="s">
        <v>7225</v>
      </c>
      <c r="AM2257">
        <v>211</v>
      </c>
      <c r="AO2257">
        <v>44</v>
      </c>
      <c r="AQ2257" t="s">
        <v>11157</v>
      </c>
      <c r="AS2257" t="s">
        <v>11174</v>
      </c>
      <c r="AU2257">
        <v>24</v>
      </c>
      <c r="AW2257" t="s">
        <v>11189</v>
      </c>
      <c r="BA2257" t="s">
        <v>11222</v>
      </c>
      <c r="BE2257" t="s">
        <v>12952</v>
      </c>
      <c r="BF2257" t="s">
        <v>14364</v>
      </c>
      <c r="BG2257" t="s">
        <v>14913</v>
      </c>
      <c r="BJ2257" t="s">
        <v>15615</v>
      </c>
      <c r="BM2257" t="s">
        <v>15651</v>
      </c>
    </row>
    <row r="2258" spans="1:65">
      <c r="A2258" s="1">
        <f>HYPERLINK("https://lsnyc.legalserver.org/matter/dynamic-profile/view/1914002","19-1914002")</f>
        <v>0</v>
      </c>
      <c r="B2258" t="s">
        <v>149</v>
      </c>
      <c r="C2258" t="s">
        <v>245</v>
      </c>
      <c r="D2258" t="s">
        <v>333</v>
      </c>
      <c r="E2258" t="s">
        <v>436</v>
      </c>
      <c r="F2258" t="s">
        <v>1439</v>
      </c>
      <c r="G2258" t="s">
        <v>3782</v>
      </c>
      <c r="H2258" t="s">
        <v>5510</v>
      </c>
      <c r="I2258">
        <v>31</v>
      </c>
      <c r="J2258" t="s">
        <v>7169</v>
      </c>
      <c r="K2258">
        <v>10034</v>
      </c>
      <c r="L2258" t="s">
        <v>7216</v>
      </c>
      <c r="N2258" t="s">
        <v>7237</v>
      </c>
      <c r="O2258" t="s">
        <v>8691</v>
      </c>
      <c r="P2258">
        <v>2</v>
      </c>
      <c r="Q2258">
        <v>1</v>
      </c>
      <c r="R2258">
        <v>31.62</v>
      </c>
      <c r="U2258">
        <v>6744</v>
      </c>
      <c r="W2258">
        <v>1</v>
      </c>
      <c r="X2258" t="s">
        <v>436</v>
      </c>
      <c r="Y2258" t="s">
        <v>127</v>
      </c>
      <c r="AA2258" t="s">
        <v>10974</v>
      </c>
      <c r="AB2258" t="s">
        <v>333</v>
      </c>
      <c r="AD2258" t="s">
        <v>11086</v>
      </c>
      <c r="AF2258" t="s">
        <v>11119</v>
      </c>
      <c r="AH2258" t="s">
        <v>10975</v>
      </c>
      <c r="AJ2258" t="s">
        <v>11129</v>
      </c>
      <c r="AK2258" t="s">
        <v>7225</v>
      </c>
      <c r="AM2258">
        <v>1100</v>
      </c>
      <c r="AO2258">
        <v>20</v>
      </c>
      <c r="AQ2258" t="s">
        <v>11157</v>
      </c>
      <c r="AS2258" t="s">
        <v>11173</v>
      </c>
      <c r="AU2258">
        <v>20</v>
      </c>
      <c r="AW2258" t="s">
        <v>11189</v>
      </c>
      <c r="BA2258" t="s">
        <v>11222</v>
      </c>
      <c r="BE2258" t="s">
        <v>12954</v>
      </c>
      <c r="BF2258" t="s">
        <v>14364</v>
      </c>
      <c r="BM2258" t="s">
        <v>15651</v>
      </c>
    </row>
    <row r="2259" spans="1:65">
      <c r="A2259" s="1">
        <f>HYPERLINK("https://lsnyc.legalserver.org/matter/dynamic-profile/view/1912334","19-1912334")</f>
        <v>0</v>
      </c>
      <c r="B2259" t="s">
        <v>149</v>
      </c>
      <c r="C2259" t="s">
        <v>245</v>
      </c>
      <c r="D2259" t="s">
        <v>737</v>
      </c>
      <c r="F2259" t="s">
        <v>1115</v>
      </c>
      <c r="G2259" t="s">
        <v>3854</v>
      </c>
      <c r="H2259" t="s">
        <v>5494</v>
      </c>
      <c r="I2259" t="s">
        <v>6448</v>
      </c>
      <c r="J2259" t="s">
        <v>7169</v>
      </c>
      <c r="K2259">
        <v>10040</v>
      </c>
      <c r="N2259" t="s">
        <v>7237</v>
      </c>
      <c r="O2259" t="s">
        <v>8690</v>
      </c>
      <c r="P2259">
        <v>2</v>
      </c>
      <c r="Q2259">
        <v>1</v>
      </c>
      <c r="R2259">
        <v>93.76000000000001</v>
      </c>
      <c r="U2259">
        <v>20000</v>
      </c>
      <c r="W2259">
        <v>0</v>
      </c>
      <c r="Y2259" t="s">
        <v>127</v>
      </c>
      <c r="AA2259" t="s">
        <v>10974</v>
      </c>
      <c r="AB2259" t="s">
        <v>737</v>
      </c>
      <c r="AD2259" t="s">
        <v>11098</v>
      </c>
      <c r="AF2259" t="s">
        <v>11118</v>
      </c>
      <c r="AH2259" t="s">
        <v>10974</v>
      </c>
      <c r="AJ2259" t="s">
        <v>11129</v>
      </c>
      <c r="AK2259" t="s">
        <v>7225</v>
      </c>
      <c r="AM2259">
        <v>952</v>
      </c>
      <c r="AO2259">
        <v>44</v>
      </c>
      <c r="AQ2259" t="s">
        <v>11157</v>
      </c>
      <c r="AS2259" t="s">
        <v>11173</v>
      </c>
      <c r="AU2259">
        <v>24</v>
      </c>
      <c r="AW2259" t="s">
        <v>11189</v>
      </c>
      <c r="BA2259" t="s">
        <v>11222</v>
      </c>
      <c r="BE2259" t="s">
        <v>12953</v>
      </c>
      <c r="BF2259" t="s">
        <v>14364</v>
      </c>
      <c r="BM2259" t="s">
        <v>15650</v>
      </c>
    </row>
    <row r="2260" spans="1:65">
      <c r="A2260" s="1">
        <f>HYPERLINK("https://lsnyc.legalserver.org/matter/dynamic-profile/view/1833181","17-1833181")</f>
        <v>0</v>
      </c>
      <c r="B2260" t="s">
        <v>149</v>
      </c>
      <c r="C2260" t="s">
        <v>245</v>
      </c>
      <c r="D2260" t="s">
        <v>390</v>
      </c>
      <c r="E2260" t="s">
        <v>266</v>
      </c>
      <c r="F2260" t="s">
        <v>2065</v>
      </c>
      <c r="G2260" t="s">
        <v>3855</v>
      </c>
      <c r="H2260" t="s">
        <v>5511</v>
      </c>
      <c r="I2260" t="s">
        <v>6826</v>
      </c>
      <c r="J2260" t="s">
        <v>7169</v>
      </c>
      <c r="K2260">
        <v>10034</v>
      </c>
      <c r="L2260" t="s">
        <v>7219</v>
      </c>
      <c r="N2260" t="s">
        <v>7237</v>
      </c>
      <c r="O2260" t="s">
        <v>8692</v>
      </c>
      <c r="P2260">
        <v>1</v>
      </c>
      <c r="Q2260">
        <v>0</v>
      </c>
      <c r="R2260">
        <v>258.71</v>
      </c>
      <c r="S2260" t="s">
        <v>10255</v>
      </c>
      <c r="U2260">
        <v>31200</v>
      </c>
      <c r="W2260">
        <v>196.07</v>
      </c>
      <c r="X2260" t="s">
        <v>266</v>
      </c>
      <c r="Y2260" t="s">
        <v>10875</v>
      </c>
      <c r="AA2260" t="s">
        <v>10974</v>
      </c>
      <c r="AB2260" t="s">
        <v>357</v>
      </c>
      <c r="AD2260" t="s">
        <v>11085</v>
      </c>
      <c r="AF2260" t="s">
        <v>11118</v>
      </c>
      <c r="AH2260" t="s">
        <v>10975</v>
      </c>
      <c r="AJ2260" t="s">
        <v>11131</v>
      </c>
      <c r="AK2260" t="s">
        <v>7225</v>
      </c>
      <c r="AM2260">
        <v>769.0700000000001</v>
      </c>
      <c r="AO2260">
        <v>60</v>
      </c>
      <c r="AQ2260" t="s">
        <v>11157</v>
      </c>
      <c r="AS2260" t="s">
        <v>11173</v>
      </c>
      <c r="AU2260">
        <v>7</v>
      </c>
      <c r="AW2260" t="s">
        <v>11208</v>
      </c>
      <c r="AY2260" t="s">
        <v>11213</v>
      </c>
      <c r="BA2260" t="s">
        <v>11222</v>
      </c>
      <c r="BE2260" t="s">
        <v>12955</v>
      </c>
      <c r="BG2260" t="s">
        <v>14928</v>
      </c>
      <c r="BJ2260" t="s">
        <v>15615</v>
      </c>
      <c r="BM2260" t="s">
        <v>15651</v>
      </c>
    </row>
    <row r="2261" spans="1:65">
      <c r="A2261" s="1">
        <f>HYPERLINK("https://lsnyc.legalserver.org/matter/dynamic-profile/view/1863816","18-1863816")</f>
        <v>0</v>
      </c>
      <c r="B2261" t="s">
        <v>149</v>
      </c>
      <c r="C2261" t="s">
        <v>245</v>
      </c>
      <c r="D2261" t="s">
        <v>350</v>
      </c>
      <c r="F2261" t="s">
        <v>2066</v>
      </c>
      <c r="G2261" t="s">
        <v>3165</v>
      </c>
      <c r="H2261" t="s">
        <v>5497</v>
      </c>
      <c r="I2261" t="s">
        <v>6423</v>
      </c>
      <c r="J2261" t="s">
        <v>7169</v>
      </c>
      <c r="K2261">
        <v>10033</v>
      </c>
      <c r="N2261" t="s">
        <v>7237</v>
      </c>
      <c r="O2261" t="s">
        <v>8693</v>
      </c>
      <c r="P2261">
        <v>1</v>
      </c>
      <c r="Q2261">
        <v>0</v>
      </c>
      <c r="R2261">
        <v>140.03</v>
      </c>
      <c r="S2261" t="s">
        <v>808</v>
      </c>
      <c r="U2261">
        <v>17000</v>
      </c>
      <c r="W2261">
        <v>18.7</v>
      </c>
      <c r="X2261" t="s">
        <v>270</v>
      </c>
      <c r="Y2261" t="s">
        <v>127</v>
      </c>
      <c r="AA2261" t="s">
        <v>10974</v>
      </c>
      <c r="AB2261" t="s">
        <v>350</v>
      </c>
      <c r="AD2261" t="s">
        <v>11096</v>
      </c>
      <c r="AF2261" t="s">
        <v>11122</v>
      </c>
      <c r="AH2261" t="s">
        <v>10974</v>
      </c>
      <c r="AJ2261" t="s">
        <v>11129</v>
      </c>
      <c r="AK2261" t="s">
        <v>7225</v>
      </c>
      <c r="AM2261">
        <v>1432.54</v>
      </c>
      <c r="AO2261">
        <v>20</v>
      </c>
      <c r="AQ2261" t="s">
        <v>11157</v>
      </c>
      <c r="AS2261" t="s">
        <v>11173</v>
      </c>
      <c r="AU2261">
        <v>11</v>
      </c>
      <c r="AW2261" t="s">
        <v>11187</v>
      </c>
      <c r="BA2261" t="s">
        <v>11222</v>
      </c>
      <c r="BE2261" t="s">
        <v>12956</v>
      </c>
      <c r="BF2261" t="s">
        <v>14364</v>
      </c>
      <c r="BM2261" t="s">
        <v>15650</v>
      </c>
    </row>
    <row r="2262" spans="1:65">
      <c r="A2262" s="1">
        <f>HYPERLINK("https://lsnyc.legalserver.org/matter/dynamic-profile/view/1911553","19-1911553")</f>
        <v>0</v>
      </c>
      <c r="B2262" t="s">
        <v>149</v>
      </c>
      <c r="C2262" t="s">
        <v>245</v>
      </c>
      <c r="D2262" t="s">
        <v>564</v>
      </c>
      <c r="F2262" t="s">
        <v>2064</v>
      </c>
      <c r="G2262" t="s">
        <v>3718</v>
      </c>
      <c r="H2262" t="s">
        <v>5494</v>
      </c>
      <c r="I2262" t="s">
        <v>6409</v>
      </c>
      <c r="J2262" t="s">
        <v>7169</v>
      </c>
      <c r="K2262">
        <v>10040</v>
      </c>
      <c r="N2262" t="s">
        <v>7237</v>
      </c>
      <c r="O2262" t="s">
        <v>8689</v>
      </c>
      <c r="P2262">
        <v>1</v>
      </c>
      <c r="Q2262">
        <v>0</v>
      </c>
      <c r="R2262">
        <v>100.39</v>
      </c>
      <c r="U2262">
        <v>12539</v>
      </c>
      <c r="W2262">
        <v>0.1</v>
      </c>
      <c r="X2262" t="s">
        <v>341</v>
      </c>
      <c r="Y2262" t="s">
        <v>127</v>
      </c>
      <c r="AA2262" t="s">
        <v>10974</v>
      </c>
      <c r="AB2262" t="s">
        <v>564</v>
      </c>
      <c r="AD2262" t="s">
        <v>11085</v>
      </c>
      <c r="AF2262" t="s">
        <v>11118</v>
      </c>
      <c r="AH2262" t="s">
        <v>10974</v>
      </c>
      <c r="AJ2262" t="s">
        <v>11129</v>
      </c>
      <c r="AK2262" t="s">
        <v>7225</v>
      </c>
      <c r="AM2262">
        <v>211</v>
      </c>
      <c r="AO2262">
        <v>44</v>
      </c>
      <c r="AQ2262" t="s">
        <v>11157</v>
      </c>
      <c r="AS2262" t="s">
        <v>11174</v>
      </c>
      <c r="AU2262">
        <v>24</v>
      </c>
      <c r="AW2262" t="s">
        <v>11189</v>
      </c>
      <c r="BA2262" t="s">
        <v>11222</v>
      </c>
      <c r="BE2262" t="s">
        <v>12952</v>
      </c>
      <c r="BF2262" t="s">
        <v>14364</v>
      </c>
      <c r="BM2262" t="s">
        <v>15650</v>
      </c>
    </row>
    <row r="2263" spans="1:65">
      <c r="A2263" s="1">
        <f>HYPERLINK("https://lsnyc.legalserver.org/matter/dynamic-profile/view/1912336","19-1912336")</f>
        <v>0</v>
      </c>
      <c r="B2263" t="s">
        <v>149</v>
      </c>
      <c r="C2263" t="s">
        <v>245</v>
      </c>
      <c r="D2263" t="s">
        <v>737</v>
      </c>
      <c r="F2263" t="s">
        <v>1090</v>
      </c>
      <c r="G2263" t="s">
        <v>2885</v>
      </c>
      <c r="H2263" t="s">
        <v>5494</v>
      </c>
      <c r="I2263" t="s">
        <v>6403</v>
      </c>
      <c r="J2263" t="s">
        <v>7169</v>
      </c>
      <c r="K2263">
        <v>10040</v>
      </c>
      <c r="N2263" t="s">
        <v>7237</v>
      </c>
      <c r="O2263" t="s">
        <v>8654</v>
      </c>
      <c r="P2263">
        <v>1</v>
      </c>
      <c r="Q2263">
        <v>0</v>
      </c>
      <c r="R2263">
        <v>59.72</v>
      </c>
      <c r="U2263">
        <v>7459.2</v>
      </c>
      <c r="W2263">
        <v>0</v>
      </c>
      <c r="Y2263" t="s">
        <v>127</v>
      </c>
      <c r="AA2263" t="s">
        <v>10974</v>
      </c>
      <c r="AB2263" t="s">
        <v>737</v>
      </c>
      <c r="AD2263" t="s">
        <v>11098</v>
      </c>
      <c r="AF2263" t="s">
        <v>11118</v>
      </c>
      <c r="AH2263" t="s">
        <v>10974</v>
      </c>
      <c r="AJ2263" t="s">
        <v>11129</v>
      </c>
      <c r="AK2263" t="s">
        <v>7225</v>
      </c>
      <c r="AM2263">
        <v>1134.04</v>
      </c>
      <c r="AO2263">
        <v>44</v>
      </c>
      <c r="AQ2263" t="s">
        <v>11157</v>
      </c>
      <c r="AS2263" t="s">
        <v>11174</v>
      </c>
      <c r="AU2263">
        <v>36</v>
      </c>
      <c r="AW2263" t="s">
        <v>11189</v>
      </c>
      <c r="BA2263" t="s">
        <v>11222</v>
      </c>
      <c r="BB2263" t="s">
        <v>11224</v>
      </c>
      <c r="BC2263" t="s">
        <v>11406</v>
      </c>
      <c r="BE2263" t="s">
        <v>12921</v>
      </c>
      <c r="BF2263" t="s">
        <v>14364</v>
      </c>
      <c r="BM2263" t="s">
        <v>15650</v>
      </c>
    </row>
    <row r="2264" spans="1:65">
      <c r="A2264" s="1">
        <f>HYPERLINK("https://lsnyc.legalserver.org/matter/dynamic-profile/view/0793777","15-0793777")</f>
        <v>0</v>
      </c>
      <c r="B2264" t="s">
        <v>149</v>
      </c>
      <c r="C2264" t="s">
        <v>245</v>
      </c>
      <c r="D2264" t="s">
        <v>862</v>
      </c>
      <c r="E2264" t="s">
        <v>264</v>
      </c>
      <c r="F2264" t="s">
        <v>2067</v>
      </c>
      <c r="G2264" t="s">
        <v>2885</v>
      </c>
      <c r="H2264" t="s">
        <v>5469</v>
      </c>
      <c r="I2264" t="s">
        <v>6401</v>
      </c>
      <c r="J2264" t="s">
        <v>7169</v>
      </c>
      <c r="K2264">
        <v>10034</v>
      </c>
      <c r="L2264" t="s">
        <v>7216</v>
      </c>
      <c r="N2264" t="s">
        <v>7237</v>
      </c>
      <c r="O2264" t="s">
        <v>8694</v>
      </c>
      <c r="P2264">
        <v>1</v>
      </c>
      <c r="Q2264">
        <v>0</v>
      </c>
      <c r="R2264">
        <v>81.56</v>
      </c>
      <c r="U2264">
        <v>9600</v>
      </c>
      <c r="W2264">
        <v>0.75</v>
      </c>
      <c r="X2264" t="s">
        <v>862</v>
      </c>
      <c r="Y2264" t="s">
        <v>179</v>
      </c>
      <c r="Z2264" t="s">
        <v>10972</v>
      </c>
      <c r="AA2264" t="s">
        <v>10975</v>
      </c>
      <c r="AD2264" t="s">
        <v>11086</v>
      </c>
      <c r="AF2264" t="s">
        <v>11119</v>
      </c>
      <c r="AH2264" t="s">
        <v>10975</v>
      </c>
      <c r="AJ2264" t="s">
        <v>11130</v>
      </c>
      <c r="AK2264" t="s">
        <v>7225</v>
      </c>
      <c r="AM2264">
        <v>692</v>
      </c>
      <c r="AO2264">
        <v>46</v>
      </c>
      <c r="AQ2264" t="s">
        <v>11157</v>
      </c>
      <c r="AR2264" t="s">
        <v>11172</v>
      </c>
      <c r="AU2264">
        <v>9</v>
      </c>
      <c r="AW2264" t="s">
        <v>11189</v>
      </c>
      <c r="AX2264" t="s">
        <v>11212</v>
      </c>
      <c r="AZ2264" t="s">
        <v>11221</v>
      </c>
      <c r="BE2264" t="s">
        <v>12957</v>
      </c>
      <c r="BF2264" t="s">
        <v>14364</v>
      </c>
      <c r="BM2264" t="s">
        <v>15651</v>
      </c>
    </row>
    <row r="2265" spans="1:65">
      <c r="A2265" s="1">
        <f>HYPERLINK("https://lsnyc.legalserver.org/matter/dynamic-profile/view/1912943","19-1912943")</f>
        <v>0</v>
      </c>
      <c r="B2265" t="s">
        <v>149</v>
      </c>
      <c r="C2265" t="s">
        <v>245</v>
      </c>
      <c r="D2265" t="s">
        <v>305</v>
      </c>
      <c r="E2265" t="s">
        <v>669</v>
      </c>
      <c r="F2265" t="s">
        <v>1090</v>
      </c>
      <c r="G2265" t="s">
        <v>2885</v>
      </c>
      <c r="H2265" t="s">
        <v>5494</v>
      </c>
      <c r="I2265" t="s">
        <v>6403</v>
      </c>
      <c r="J2265" t="s">
        <v>7169</v>
      </c>
      <c r="K2265">
        <v>10040</v>
      </c>
      <c r="L2265" t="s">
        <v>7220</v>
      </c>
      <c r="N2265" t="s">
        <v>7237</v>
      </c>
      <c r="O2265" t="s">
        <v>8654</v>
      </c>
      <c r="P2265">
        <v>1</v>
      </c>
      <c r="Q2265">
        <v>0</v>
      </c>
      <c r="R2265">
        <v>59.72</v>
      </c>
      <c r="U2265">
        <v>7459.2</v>
      </c>
      <c r="W2265">
        <v>0.1</v>
      </c>
      <c r="X2265" t="s">
        <v>669</v>
      </c>
      <c r="Y2265" t="s">
        <v>127</v>
      </c>
      <c r="AA2265" t="s">
        <v>10974</v>
      </c>
      <c r="AB2265" t="s">
        <v>305</v>
      </c>
      <c r="AD2265" t="s">
        <v>11098</v>
      </c>
      <c r="AF2265" t="s">
        <v>11118</v>
      </c>
      <c r="AH2265" t="s">
        <v>10974</v>
      </c>
      <c r="AJ2265" t="s">
        <v>11129</v>
      </c>
      <c r="AK2265" t="s">
        <v>7225</v>
      </c>
      <c r="AM2265">
        <v>1134.04</v>
      </c>
      <c r="AO2265">
        <v>44</v>
      </c>
      <c r="AQ2265" t="s">
        <v>11157</v>
      </c>
      <c r="AS2265" t="s">
        <v>11174</v>
      </c>
      <c r="AU2265">
        <v>36</v>
      </c>
      <c r="AW2265" t="s">
        <v>11189</v>
      </c>
      <c r="BA2265" t="s">
        <v>11222</v>
      </c>
      <c r="BE2265" t="s">
        <v>12921</v>
      </c>
      <c r="BF2265" t="s">
        <v>14364</v>
      </c>
      <c r="BG2265" t="s">
        <v>14913</v>
      </c>
      <c r="BJ2265" t="s">
        <v>15615</v>
      </c>
      <c r="BM2265" t="s">
        <v>15651</v>
      </c>
    </row>
    <row r="2266" spans="1:65">
      <c r="A2266" s="1">
        <f>HYPERLINK("https://lsnyc.legalserver.org/matter/dynamic-profile/view/1912409","19-1912409")</f>
        <v>0</v>
      </c>
      <c r="B2266" t="s">
        <v>149</v>
      </c>
      <c r="C2266" t="s">
        <v>245</v>
      </c>
      <c r="D2266" t="s">
        <v>441</v>
      </c>
      <c r="F2266" t="s">
        <v>2046</v>
      </c>
      <c r="G2266" t="s">
        <v>2308</v>
      </c>
      <c r="H2266" t="s">
        <v>5493</v>
      </c>
      <c r="I2266" t="s">
        <v>6822</v>
      </c>
      <c r="J2266" t="s">
        <v>7169</v>
      </c>
      <c r="K2266">
        <v>10040</v>
      </c>
      <c r="N2266" t="s">
        <v>7237</v>
      </c>
      <c r="O2266" t="s">
        <v>8649</v>
      </c>
      <c r="P2266">
        <v>2</v>
      </c>
      <c r="Q2266">
        <v>2</v>
      </c>
      <c r="R2266">
        <v>50.49</v>
      </c>
      <c r="U2266">
        <v>13000</v>
      </c>
      <c r="W2266">
        <v>0</v>
      </c>
      <c r="Y2266" t="s">
        <v>127</v>
      </c>
      <c r="AA2266" t="s">
        <v>10974</v>
      </c>
      <c r="AB2266" t="s">
        <v>441</v>
      </c>
      <c r="AD2266" t="s">
        <v>11098</v>
      </c>
      <c r="AF2266" t="s">
        <v>11118</v>
      </c>
      <c r="AH2266" t="s">
        <v>10974</v>
      </c>
      <c r="AJ2266" t="s">
        <v>11129</v>
      </c>
      <c r="AK2266" t="s">
        <v>7225</v>
      </c>
      <c r="AM2266">
        <v>995.92</v>
      </c>
      <c r="AO2266">
        <v>44</v>
      </c>
      <c r="AQ2266" t="s">
        <v>11157</v>
      </c>
      <c r="AS2266" t="s">
        <v>11173</v>
      </c>
      <c r="AU2266">
        <v>15</v>
      </c>
      <c r="AW2266" t="s">
        <v>11189</v>
      </c>
      <c r="BA2266" t="s">
        <v>11222</v>
      </c>
      <c r="BC2266" t="s">
        <v>11405</v>
      </c>
      <c r="BE2266" t="s">
        <v>12914</v>
      </c>
      <c r="BF2266" t="s">
        <v>14364</v>
      </c>
      <c r="BM2266" t="s">
        <v>15650</v>
      </c>
    </row>
    <row r="2267" spans="1:65">
      <c r="A2267" s="1">
        <f>HYPERLINK("https://lsnyc.legalserver.org/matter/dynamic-profile/view/1834800","17-1834800")</f>
        <v>0</v>
      </c>
      <c r="B2267" t="s">
        <v>149</v>
      </c>
      <c r="C2267" t="s">
        <v>245</v>
      </c>
      <c r="D2267" t="s">
        <v>861</v>
      </c>
      <c r="F2267" t="s">
        <v>1451</v>
      </c>
      <c r="G2267" t="s">
        <v>2985</v>
      </c>
      <c r="H2267" t="s">
        <v>5497</v>
      </c>
      <c r="I2267" t="s">
        <v>6415</v>
      </c>
      <c r="J2267" t="s">
        <v>7169</v>
      </c>
      <c r="K2267">
        <v>10033</v>
      </c>
      <c r="N2267" t="s">
        <v>7237</v>
      </c>
      <c r="O2267" t="s">
        <v>8695</v>
      </c>
      <c r="P2267">
        <v>4</v>
      </c>
      <c r="Q2267">
        <v>0</v>
      </c>
      <c r="R2267">
        <v>60.57</v>
      </c>
      <c r="S2267" t="s">
        <v>808</v>
      </c>
      <c r="U2267">
        <v>14900</v>
      </c>
      <c r="W2267">
        <v>0</v>
      </c>
      <c r="Y2267" t="s">
        <v>10859</v>
      </c>
      <c r="AA2267" t="s">
        <v>10974</v>
      </c>
      <c r="AB2267" t="s">
        <v>809</v>
      </c>
      <c r="AD2267" t="s">
        <v>11086</v>
      </c>
      <c r="AF2267" t="s">
        <v>11120</v>
      </c>
      <c r="AH2267" t="s">
        <v>10974</v>
      </c>
      <c r="AJ2267" t="s">
        <v>11134</v>
      </c>
      <c r="AK2267" t="s">
        <v>7225</v>
      </c>
      <c r="AL2267" t="s">
        <v>11150</v>
      </c>
      <c r="AM2267">
        <v>0</v>
      </c>
      <c r="AO2267">
        <v>20</v>
      </c>
      <c r="AQ2267" t="s">
        <v>11157</v>
      </c>
      <c r="AS2267" t="s">
        <v>11174</v>
      </c>
      <c r="AU2267">
        <v>20</v>
      </c>
      <c r="AW2267" t="s">
        <v>11189</v>
      </c>
      <c r="AZ2267" t="s">
        <v>11221</v>
      </c>
      <c r="BE2267" t="s">
        <v>12958</v>
      </c>
      <c r="BF2267" t="s">
        <v>14364</v>
      </c>
      <c r="BM2267" t="s">
        <v>15650</v>
      </c>
    </row>
    <row r="2268" spans="1:65">
      <c r="A2268" s="1">
        <f>HYPERLINK("https://lsnyc.legalserver.org/matter/dynamic-profile/view/1834576","17-1834576")</f>
        <v>0</v>
      </c>
      <c r="B2268" t="s">
        <v>149</v>
      </c>
      <c r="C2268" t="s">
        <v>245</v>
      </c>
      <c r="D2268" t="s">
        <v>858</v>
      </c>
      <c r="F2268" t="s">
        <v>1549</v>
      </c>
      <c r="G2268" t="s">
        <v>3847</v>
      </c>
      <c r="H2268" t="s">
        <v>5497</v>
      </c>
      <c r="I2268" t="s">
        <v>6609</v>
      </c>
      <c r="J2268" t="s">
        <v>7169</v>
      </c>
      <c r="K2268">
        <v>10033</v>
      </c>
      <c r="N2268" t="s">
        <v>7237</v>
      </c>
      <c r="O2268" t="s">
        <v>8666</v>
      </c>
      <c r="P2268">
        <v>1</v>
      </c>
      <c r="Q2268">
        <v>0</v>
      </c>
      <c r="R2268">
        <v>79.59999999999999</v>
      </c>
      <c r="S2268" t="s">
        <v>808</v>
      </c>
      <c r="U2268">
        <v>9600</v>
      </c>
      <c r="W2268">
        <v>0</v>
      </c>
      <c r="Y2268" t="s">
        <v>10859</v>
      </c>
      <c r="AA2268" t="s">
        <v>10974</v>
      </c>
      <c r="AB2268" t="s">
        <v>860</v>
      </c>
      <c r="AD2268" t="s">
        <v>11101</v>
      </c>
      <c r="AF2268" t="s">
        <v>11118</v>
      </c>
      <c r="AH2268" t="s">
        <v>10974</v>
      </c>
      <c r="AJ2268" t="s">
        <v>11137</v>
      </c>
      <c r="AK2268" t="s">
        <v>7225</v>
      </c>
      <c r="AL2268" t="s">
        <v>11150</v>
      </c>
      <c r="AM2268">
        <v>0</v>
      </c>
      <c r="AO2268">
        <v>24</v>
      </c>
      <c r="AQ2268" t="s">
        <v>11157</v>
      </c>
      <c r="AS2268" t="s">
        <v>11174</v>
      </c>
      <c r="AU2268">
        <v>20</v>
      </c>
      <c r="AW2268" t="s">
        <v>11189</v>
      </c>
      <c r="AZ2268" t="s">
        <v>11221</v>
      </c>
      <c r="BD2268" t="s">
        <v>11667</v>
      </c>
      <c r="BF2268" t="s">
        <v>14364</v>
      </c>
      <c r="BG2268" t="s">
        <v>14916</v>
      </c>
      <c r="BM2268" t="s">
        <v>15650</v>
      </c>
    </row>
    <row r="2269" spans="1:65">
      <c r="A2269" s="1">
        <f>HYPERLINK("https://lsnyc.legalserver.org/matter/dynamic-profile/view/1834572","17-1834572")</f>
        <v>0</v>
      </c>
      <c r="B2269" t="s">
        <v>149</v>
      </c>
      <c r="C2269" t="s">
        <v>245</v>
      </c>
      <c r="D2269" t="s">
        <v>858</v>
      </c>
      <c r="F2269" t="s">
        <v>1549</v>
      </c>
      <c r="G2269" t="s">
        <v>3847</v>
      </c>
      <c r="H2269" t="s">
        <v>5497</v>
      </c>
      <c r="I2269" t="s">
        <v>6609</v>
      </c>
      <c r="J2269" t="s">
        <v>7169</v>
      </c>
      <c r="K2269">
        <v>10033</v>
      </c>
      <c r="N2269" t="s">
        <v>7237</v>
      </c>
      <c r="O2269" t="s">
        <v>8666</v>
      </c>
      <c r="P2269">
        <v>1</v>
      </c>
      <c r="Q2269">
        <v>0</v>
      </c>
      <c r="R2269">
        <v>79.59999999999999</v>
      </c>
      <c r="S2269" t="s">
        <v>808</v>
      </c>
      <c r="U2269">
        <v>9600</v>
      </c>
      <c r="W2269">
        <v>0</v>
      </c>
      <c r="Y2269" t="s">
        <v>10859</v>
      </c>
      <c r="AA2269" t="s">
        <v>10974</v>
      </c>
      <c r="AB2269" t="s">
        <v>348</v>
      </c>
      <c r="AD2269" t="s">
        <v>11101</v>
      </c>
      <c r="AF2269" t="s">
        <v>11120</v>
      </c>
      <c r="AH2269" t="s">
        <v>10974</v>
      </c>
      <c r="AJ2269" t="s">
        <v>11130</v>
      </c>
      <c r="AK2269" t="s">
        <v>7225</v>
      </c>
      <c r="AM2269">
        <v>181</v>
      </c>
      <c r="AO2269">
        <v>25</v>
      </c>
      <c r="AQ2269" t="s">
        <v>11157</v>
      </c>
      <c r="AS2269" t="s">
        <v>11174</v>
      </c>
      <c r="AU2269">
        <v>20</v>
      </c>
      <c r="AW2269" t="s">
        <v>11189</v>
      </c>
      <c r="AZ2269" t="s">
        <v>11221</v>
      </c>
      <c r="BD2269" t="s">
        <v>11667</v>
      </c>
      <c r="BF2269" t="s">
        <v>14364</v>
      </c>
      <c r="BM2269" t="s">
        <v>15650</v>
      </c>
    </row>
    <row r="2270" spans="1:65">
      <c r="A2270" s="1">
        <f>HYPERLINK("https://lsnyc.legalserver.org/matter/dynamic-profile/view/1897679","19-1897679")</f>
        <v>0</v>
      </c>
      <c r="B2270" t="s">
        <v>150</v>
      </c>
      <c r="C2270" t="s">
        <v>249</v>
      </c>
      <c r="D2270" t="s">
        <v>584</v>
      </c>
      <c r="F2270" t="s">
        <v>1596</v>
      </c>
      <c r="G2270" t="s">
        <v>3856</v>
      </c>
      <c r="H2270" t="s">
        <v>5512</v>
      </c>
      <c r="I2270" t="s">
        <v>6827</v>
      </c>
      <c r="J2270" t="s">
        <v>7179</v>
      </c>
      <c r="K2270">
        <v>10308</v>
      </c>
      <c r="N2270" t="s">
        <v>7237</v>
      </c>
      <c r="O2270" t="s">
        <v>8696</v>
      </c>
      <c r="P2270">
        <v>1</v>
      </c>
      <c r="Q2270">
        <v>0</v>
      </c>
      <c r="R2270">
        <v>230.58</v>
      </c>
      <c r="S2270" t="s">
        <v>666</v>
      </c>
      <c r="T2270" t="s">
        <v>10276</v>
      </c>
      <c r="U2270">
        <v>28800</v>
      </c>
      <c r="W2270">
        <v>7.4</v>
      </c>
      <c r="X2270" t="s">
        <v>669</v>
      </c>
      <c r="Y2270" t="s">
        <v>10881</v>
      </c>
      <c r="AA2270" t="s">
        <v>10974</v>
      </c>
      <c r="AB2270" t="s">
        <v>584</v>
      </c>
      <c r="AD2270" t="s">
        <v>11086</v>
      </c>
      <c r="AF2270" t="s">
        <v>11120</v>
      </c>
      <c r="AH2270" t="s">
        <v>10975</v>
      </c>
      <c r="AJ2270" t="s">
        <v>11130</v>
      </c>
      <c r="AK2270" t="s">
        <v>7225</v>
      </c>
      <c r="AM2270">
        <v>888</v>
      </c>
      <c r="AN2270" t="s">
        <v>11151</v>
      </c>
      <c r="AO2270" t="s">
        <v>11153</v>
      </c>
      <c r="AQ2270" t="s">
        <v>11164</v>
      </c>
      <c r="AS2270" t="s">
        <v>11173</v>
      </c>
      <c r="AU2270">
        <v>46</v>
      </c>
      <c r="AW2270" t="s">
        <v>11187</v>
      </c>
      <c r="BA2270" t="s">
        <v>11222</v>
      </c>
      <c r="BE2270" t="s">
        <v>11236</v>
      </c>
      <c r="BF2270" t="s">
        <v>14364</v>
      </c>
      <c r="BG2270" t="s">
        <v>11086</v>
      </c>
      <c r="BM2270" t="s">
        <v>15650</v>
      </c>
    </row>
    <row r="2271" spans="1:65">
      <c r="A2271" s="1">
        <f>HYPERLINK("https://lsnyc.legalserver.org/matter/dynamic-profile/view/1891847","19-1891847")</f>
        <v>0</v>
      </c>
      <c r="B2271" t="s">
        <v>150</v>
      </c>
      <c r="C2271" t="s">
        <v>249</v>
      </c>
      <c r="D2271" t="s">
        <v>863</v>
      </c>
      <c r="F2271" t="s">
        <v>2068</v>
      </c>
      <c r="G2271" t="s">
        <v>3857</v>
      </c>
      <c r="H2271" t="s">
        <v>5513</v>
      </c>
      <c r="J2271" t="s">
        <v>7179</v>
      </c>
      <c r="K2271">
        <v>10301</v>
      </c>
      <c r="N2271" t="s">
        <v>7237</v>
      </c>
      <c r="O2271" t="s">
        <v>8697</v>
      </c>
      <c r="P2271">
        <v>2</v>
      </c>
      <c r="Q2271">
        <v>0</v>
      </c>
      <c r="R2271">
        <v>36.33</v>
      </c>
      <c r="U2271">
        <v>6144</v>
      </c>
      <c r="W2271">
        <v>14.2</v>
      </c>
      <c r="X2271" t="s">
        <v>528</v>
      </c>
      <c r="Y2271" t="s">
        <v>10896</v>
      </c>
      <c r="AA2271" t="s">
        <v>10974</v>
      </c>
      <c r="AB2271" t="s">
        <v>863</v>
      </c>
      <c r="AD2271" t="s">
        <v>11082</v>
      </c>
      <c r="AF2271" t="s">
        <v>11118</v>
      </c>
      <c r="AH2271" t="s">
        <v>10975</v>
      </c>
      <c r="AJ2271" t="s">
        <v>11104</v>
      </c>
      <c r="AK2271" t="s">
        <v>7225</v>
      </c>
      <c r="AM2271">
        <v>911</v>
      </c>
      <c r="AO2271">
        <v>20</v>
      </c>
      <c r="AQ2271" t="s">
        <v>11157</v>
      </c>
      <c r="AS2271" t="s">
        <v>11173</v>
      </c>
      <c r="AU2271">
        <v>3</v>
      </c>
      <c r="AW2271" t="s">
        <v>11187</v>
      </c>
      <c r="AY2271" t="s">
        <v>11213</v>
      </c>
      <c r="AZ2271" t="s">
        <v>11221</v>
      </c>
      <c r="BE2271" t="s">
        <v>12959</v>
      </c>
      <c r="BG2271" t="s">
        <v>14929</v>
      </c>
      <c r="BM2271" t="s">
        <v>15650</v>
      </c>
    </row>
    <row r="2272" spans="1:65">
      <c r="A2272" s="1">
        <f>HYPERLINK("https://lsnyc.legalserver.org/matter/dynamic-profile/view/1898098","19-1898098")</f>
        <v>0</v>
      </c>
      <c r="B2272" t="s">
        <v>150</v>
      </c>
      <c r="C2272" t="s">
        <v>249</v>
      </c>
      <c r="D2272" t="s">
        <v>800</v>
      </c>
      <c r="F2272" t="s">
        <v>1294</v>
      </c>
      <c r="G2272" t="s">
        <v>3308</v>
      </c>
      <c r="H2272" t="s">
        <v>5514</v>
      </c>
      <c r="I2272" t="s">
        <v>6414</v>
      </c>
      <c r="J2272" t="s">
        <v>7179</v>
      </c>
      <c r="K2272">
        <v>10301</v>
      </c>
      <c r="N2272" t="s">
        <v>7237</v>
      </c>
      <c r="O2272" t="s">
        <v>8698</v>
      </c>
      <c r="P2272">
        <v>2</v>
      </c>
      <c r="Q2272">
        <v>2</v>
      </c>
      <c r="R2272">
        <v>109.1</v>
      </c>
      <c r="U2272">
        <v>28092</v>
      </c>
      <c r="W2272">
        <v>41.2</v>
      </c>
      <c r="X2272" t="s">
        <v>528</v>
      </c>
      <c r="Y2272" t="s">
        <v>10881</v>
      </c>
      <c r="AA2272" t="s">
        <v>10974</v>
      </c>
      <c r="AB2272" t="s">
        <v>800</v>
      </c>
      <c r="AD2272" t="s">
        <v>11084</v>
      </c>
      <c r="AF2272" t="s">
        <v>11118</v>
      </c>
      <c r="AH2272" t="s">
        <v>10975</v>
      </c>
      <c r="AJ2272" t="s">
        <v>11138</v>
      </c>
      <c r="AK2272" t="s">
        <v>7225</v>
      </c>
      <c r="AM2272">
        <v>2186</v>
      </c>
      <c r="AO2272">
        <v>2</v>
      </c>
      <c r="AQ2272" t="s">
        <v>11156</v>
      </c>
      <c r="AS2272" t="s">
        <v>11174</v>
      </c>
      <c r="AU2272">
        <v>2</v>
      </c>
      <c r="AW2272" t="s">
        <v>11187</v>
      </c>
      <c r="AY2272" t="s">
        <v>11213</v>
      </c>
      <c r="BA2272" t="s">
        <v>11222</v>
      </c>
      <c r="BE2272" t="s">
        <v>12960</v>
      </c>
      <c r="BF2272" t="s">
        <v>14364</v>
      </c>
      <c r="BM2272" t="s">
        <v>15650</v>
      </c>
    </row>
    <row r="2273" spans="1:67">
      <c r="A2273" s="1">
        <f>HYPERLINK("https://lsnyc.legalserver.org/matter/dynamic-profile/view/1873666","18-1873666")</f>
        <v>0</v>
      </c>
      <c r="B2273" t="s">
        <v>150</v>
      </c>
      <c r="C2273" t="s">
        <v>249</v>
      </c>
      <c r="D2273" t="s">
        <v>864</v>
      </c>
      <c r="F2273" t="s">
        <v>2069</v>
      </c>
      <c r="G2273" t="s">
        <v>3858</v>
      </c>
      <c r="H2273" t="s">
        <v>5515</v>
      </c>
      <c r="I2273">
        <v>418</v>
      </c>
      <c r="J2273" t="s">
        <v>7179</v>
      </c>
      <c r="K2273">
        <v>10304</v>
      </c>
      <c r="N2273" t="s">
        <v>7241</v>
      </c>
      <c r="O2273" t="s">
        <v>8699</v>
      </c>
      <c r="P2273">
        <v>1</v>
      </c>
      <c r="Q2273">
        <v>0</v>
      </c>
      <c r="R2273">
        <v>5.52</v>
      </c>
      <c r="U2273">
        <v>670.6</v>
      </c>
      <c r="W2273">
        <v>28.35</v>
      </c>
      <c r="X2273" t="s">
        <v>449</v>
      </c>
      <c r="Y2273" t="s">
        <v>10896</v>
      </c>
      <c r="Z2273" t="s">
        <v>10972</v>
      </c>
      <c r="AA2273" t="s">
        <v>10976</v>
      </c>
      <c r="AB2273" t="s">
        <v>864</v>
      </c>
      <c r="AC2273" t="s">
        <v>11081</v>
      </c>
      <c r="AF2273" t="s">
        <v>11118</v>
      </c>
      <c r="AH2273" t="s">
        <v>10975</v>
      </c>
      <c r="AI2273" t="s">
        <v>11126</v>
      </c>
      <c r="AK2273" t="s">
        <v>7225</v>
      </c>
      <c r="AL2273" t="s">
        <v>11150</v>
      </c>
      <c r="AM2273">
        <v>0</v>
      </c>
      <c r="AN2273" t="s">
        <v>11151</v>
      </c>
      <c r="AO2273" t="s">
        <v>11153</v>
      </c>
      <c r="AP2273" t="s">
        <v>11155</v>
      </c>
      <c r="AR2273" t="s">
        <v>11172</v>
      </c>
      <c r="AT2273" t="s">
        <v>11184</v>
      </c>
      <c r="AU2273">
        <v>0</v>
      </c>
      <c r="AW2273" t="s">
        <v>11199</v>
      </c>
      <c r="AZ2273" t="s">
        <v>11221</v>
      </c>
      <c r="BD2273" t="s">
        <v>11667</v>
      </c>
      <c r="BF2273" t="s">
        <v>14364</v>
      </c>
      <c r="BM2273" t="s">
        <v>15650</v>
      </c>
    </row>
    <row r="2274" spans="1:67">
      <c r="A2274" s="1">
        <f>HYPERLINK("https://lsnyc.legalserver.org/matter/dynamic-profile/view/1881986","18-1881986")</f>
        <v>0</v>
      </c>
      <c r="B2274" t="s">
        <v>150</v>
      </c>
      <c r="C2274" t="s">
        <v>249</v>
      </c>
      <c r="D2274" t="s">
        <v>466</v>
      </c>
      <c r="F2274" t="s">
        <v>2070</v>
      </c>
      <c r="G2274" t="s">
        <v>1099</v>
      </c>
      <c r="H2274" t="s">
        <v>5516</v>
      </c>
      <c r="I2274" t="s">
        <v>6495</v>
      </c>
      <c r="J2274" t="s">
        <v>7179</v>
      </c>
      <c r="K2274">
        <v>10304</v>
      </c>
      <c r="N2274" t="s">
        <v>7237</v>
      </c>
      <c r="O2274" t="s">
        <v>8700</v>
      </c>
      <c r="P2274">
        <v>2</v>
      </c>
      <c r="Q2274">
        <v>0</v>
      </c>
      <c r="R2274">
        <v>59.78</v>
      </c>
      <c r="U2274">
        <v>9840</v>
      </c>
      <c r="W2274">
        <v>35.95</v>
      </c>
      <c r="X2274" t="s">
        <v>436</v>
      </c>
      <c r="Y2274" t="s">
        <v>10895</v>
      </c>
      <c r="AA2274" t="s">
        <v>10974</v>
      </c>
      <c r="AB2274" t="s">
        <v>466</v>
      </c>
      <c r="AD2274" t="s">
        <v>11082</v>
      </c>
      <c r="AF2274" t="s">
        <v>11118</v>
      </c>
      <c r="AH2274" t="s">
        <v>10975</v>
      </c>
      <c r="AJ2274" t="s">
        <v>11135</v>
      </c>
      <c r="AK2274" t="s">
        <v>7225</v>
      </c>
      <c r="AM2274">
        <v>141</v>
      </c>
      <c r="AO2274">
        <v>132</v>
      </c>
      <c r="AQ2274" t="s">
        <v>11161</v>
      </c>
      <c r="AS2274" t="s">
        <v>11174</v>
      </c>
      <c r="AU2274">
        <v>18</v>
      </c>
      <c r="AW2274" t="s">
        <v>11187</v>
      </c>
      <c r="AY2274" t="s">
        <v>11213</v>
      </c>
      <c r="AZ2274" t="s">
        <v>11221</v>
      </c>
      <c r="BE2274" t="s">
        <v>12961</v>
      </c>
      <c r="BG2274" t="s">
        <v>14930</v>
      </c>
      <c r="BM2274" t="s">
        <v>15650</v>
      </c>
    </row>
    <row r="2275" spans="1:67">
      <c r="A2275" s="1">
        <f>HYPERLINK("https://lsnyc.legalserver.org/matter/dynamic-profile/view/1896853","19-1896853")</f>
        <v>0</v>
      </c>
      <c r="B2275" t="s">
        <v>150</v>
      </c>
      <c r="C2275" t="s">
        <v>249</v>
      </c>
      <c r="D2275" t="s">
        <v>529</v>
      </c>
      <c r="F2275" t="s">
        <v>2071</v>
      </c>
      <c r="G2275" t="s">
        <v>2130</v>
      </c>
      <c r="H2275" t="s">
        <v>5517</v>
      </c>
      <c r="I2275">
        <v>1</v>
      </c>
      <c r="J2275" t="s">
        <v>7179</v>
      </c>
      <c r="K2275">
        <v>10304</v>
      </c>
      <c r="N2275" t="s">
        <v>7237</v>
      </c>
      <c r="O2275" t="s">
        <v>8701</v>
      </c>
      <c r="P2275">
        <v>1</v>
      </c>
      <c r="Q2275">
        <v>1</v>
      </c>
      <c r="R2275">
        <v>96.87</v>
      </c>
      <c r="U2275">
        <v>16380</v>
      </c>
      <c r="W2275">
        <v>5.4</v>
      </c>
      <c r="X2275" t="s">
        <v>614</v>
      </c>
      <c r="Y2275" t="s">
        <v>10881</v>
      </c>
      <c r="AA2275" t="s">
        <v>10974</v>
      </c>
      <c r="AD2275" t="s">
        <v>11083</v>
      </c>
      <c r="AE2275" t="s">
        <v>11117</v>
      </c>
      <c r="AH2275" t="s">
        <v>10975</v>
      </c>
      <c r="AJ2275" t="s">
        <v>11135</v>
      </c>
      <c r="AK2275" t="s">
        <v>7225</v>
      </c>
      <c r="AM2275">
        <v>1900</v>
      </c>
      <c r="AN2275" t="s">
        <v>11151</v>
      </c>
      <c r="AO2275" t="s">
        <v>11153</v>
      </c>
      <c r="AQ2275" t="s">
        <v>11156</v>
      </c>
      <c r="AS2275" t="s">
        <v>11174</v>
      </c>
      <c r="AU2275">
        <v>5</v>
      </c>
      <c r="AW2275" t="s">
        <v>11187</v>
      </c>
      <c r="AY2275" t="s">
        <v>11213</v>
      </c>
      <c r="AZ2275" t="s">
        <v>11221</v>
      </c>
      <c r="BE2275" t="s">
        <v>12962</v>
      </c>
      <c r="BG2275" t="s">
        <v>14931</v>
      </c>
      <c r="BM2275" t="s">
        <v>15650</v>
      </c>
    </row>
    <row r="2276" spans="1:67">
      <c r="A2276" s="1">
        <f>HYPERLINK("https://lsnyc.legalserver.org/matter/dynamic-profile/view/1914014","19-1914014")</f>
        <v>0</v>
      </c>
      <c r="B2276" t="s">
        <v>150</v>
      </c>
      <c r="C2276" t="s">
        <v>249</v>
      </c>
      <c r="D2276" t="s">
        <v>333</v>
      </c>
      <c r="F2276" t="s">
        <v>2072</v>
      </c>
      <c r="G2276" t="s">
        <v>3859</v>
      </c>
      <c r="H2276" t="s">
        <v>5516</v>
      </c>
      <c r="J2276" t="s">
        <v>7179</v>
      </c>
      <c r="K2276">
        <v>10304</v>
      </c>
      <c r="N2276" t="s">
        <v>7237</v>
      </c>
      <c r="O2276" t="s">
        <v>8702</v>
      </c>
      <c r="P2276">
        <v>1</v>
      </c>
      <c r="Q2276">
        <v>1</v>
      </c>
      <c r="R2276">
        <v>17.46</v>
      </c>
      <c r="U2276">
        <v>2952</v>
      </c>
      <c r="W2276">
        <v>1.6</v>
      </c>
      <c r="X2276" t="s">
        <v>497</v>
      </c>
      <c r="Y2276" t="s">
        <v>10881</v>
      </c>
      <c r="AA2276" t="s">
        <v>10974</v>
      </c>
      <c r="AD2276" t="s">
        <v>11098</v>
      </c>
      <c r="AE2276" t="s">
        <v>11117</v>
      </c>
      <c r="AH2276" t="s">
        <v>10974</v>
      </c>
      <c r="AJ2276" t="s">
        <v>11104</v>
      </c>
      <c r="AK2276" t="s">
        <v>7225</v>
      </c>
      <c r="AM2276">
        <v>1395</v>
      </c>
      <c r="AN2276" t="s">
        <v>11151</v>
      </c>
      <c r="AO2276" t="s">
        <v>11153</v>
      </c>
      <c r="AQ2276" t="s">
        <v>11157</v>
      </c>
      <c r="AS2276" t="s">
        <v>11174</v>
      </c>
      <c r="AU2276">
        <v>-1</v>
      </c>
      <c r="AV2276" t="s">
        <v>11186</v>
      </c>
      <c r="AX2276" t="s">
        <v>11212</v>
      </c>
      <c r="BA2276" t="s">
        <v>11222</v>
      </c>
      <c r="BE2276" t="s">
        <v>12963</v>
      </c>
      <c r="BF2276" t="s">
        <v>14364</v>
      </c>
      <c r="BG2276" t="s">
        <v>14410</v>
      </c>
      <c r="BM2276" t="s">
        <v>15650</v>
      </c>
    </row>
    <row r="2277" spans="1:67">
      <c r="A2277" s="1">
        <f>HYPERLINK("https://lsnyc.legalserver.org/matter/dynamic-profile/view/1906862","19-1906862")</f>
        <v>0</v>
      </c>
      <c r="B2277" t="s">
        <v>150</v>
      </c>
      <c r="C2277" t="s">
        <v>249</v>
      </c>
      <c r="D2277" t="s">
        <v>797</v>
      </c>
      <c r="F2277" t="s">
        <v>1580</v>
      </c>
      <c r="G2277" t="s">
        <v>3423</v>
      </c>
      <c r="H2277" t="s">
        <v>5518</v>
      </c>
      <c r="I2277" t="s">
        <v>6828</v>
      </c>
      <c r="J2277" t="s">
        <v>7179</v>
      </c>
      <c r="K2277">
        <v>10301</v>
      </c>
      <c r="N2277" t="s">
        <v>7237</v>
      </c>
      <c r="O2277" t="s">
        <v>8703</v>
      </c>
      <c r="P2277">
        <v>1</v>
      </c>
      <c r="Q2277">
        <v>2</v>
      </c>
      <c r="R2277">
        <v>85.33</v>
      </c>
      <c r="U2277">
        <v>18200</v>
      </c>
      <c r="W2277">
        <v>16.15</v>
      </c>
      <c r="X2277" t="s">
        <v>528</v>
      </c>
      <c r="Y2277" t="s">
        <v>10881</v>
      </c>
      <c r="AA2277" t="s">
        <v>10974</v>
      </c>
      <c r="AB2277" t="s">
        <v>797</v>
      </c>
      <c r="AD2277" t="s">
        <v>11082</v>
      </c>
      <c r="AF2277" t="s">
        <v>11118</v>
      </c>
      <c r="AH2277" t="s">
        <v>10975</v>
      </c>
      <c r="AJ2277" t="s">
        <v>11129</v>
      </c>
      <c r="AK2277" t="s">
        <v>7225</v>
      </c>
      <c r="AL2277" t="s">
        <v>11150</v>
      </c>
      <c r="AM2277">
        <v>0</v>
      </c>
      <c r="AO2277">
        <v>454</v>
      </c>
      <c r="AP2277" t="s">
        <v>11155</v>
      </c>
      <c r="AS2277" t="s">
        <v>11173</v>
      </c>
      <c r="AU2277">
        <v>-1</v>
      </c>
      <c r="AW2277" t="s">
        <v>3528</v>
      </c>
      <c r="AY2277" t="s">
        <v>11213</v>
      </c>
      <c r="BA2277" t="s">
        <v>11222</v>
      </c>
      <c r="BE2277" t="s">
        <v>12964</v>
      </c>
      <c r="BG2277" t="s">
        <v>14932</v>
      </c>
      <c r="BM2277" t="s">
        <v>15650</v>
      </c>
    </row>
    <row r="2278" spans="1:67">
      <c r="A2278" s="1">
        <f>HYPERLINK("https://lsnyc.legalserver.org/matter/dynamic-profile/view/1914295","19-1914295")</f>
        <v>0</v>
      </c>
      <c r="B2278" t="s">
        <v>150</v>
      </c>
      <c r="C2278" t="s">
        <v>249</v>
      </c>
      <c r="D2278" t="s">
        <v>264</v>
      </c>
      <c r="F2278" t="s">
        <v>1213</v>
      </c>
      <c r="G2278" t="s">
        <v>3017</v>
      </c>
      <c r="H2278" t="s">
        <v>5519</v>
      </c>
      <c r="I2278" t="s">
        <v>6654</v>
      </c>
      <c r="J2278" t="s">
        <v>7179</v>
      </c>
      <c r="K2278">
        <v>10301</v>
      </c>
      <c r="M2278" t="s">
        <v>7225</v>
      </c>
      <c r="N2278" t="s">
        <v>7237</v>
      </c>
      <c r="O2278" t="s">
        <v>8120</v>
      </c>
      <c r="P2278">
        <v>4</v>
      </c>
      <c r="Q2278">
        <v>0</v>
      </c>
      <c r="R2278">
        <v>89.8</v>
      </c>
      <c r="U2278">
        <v>23124</v>
      </c>
      <c r="W2278">
        <v>1.25</v>
      </c>
      <c r="X2278" t="s">
        <v>436</v>
      </c>
      <c r="Y2278" t="s">
        <v>10881</v>
      </c>
      <c r="AA2278" t="s">
        <v>10974</v>
      </c>
      <c r="AB2278" t="s">
        <v>264</v>
      </c>
      <c r="AD2278" t="s">
        <v>11086</v>
      </c>
      <c r="AF2278" t="s">
        <v>11119</v>
      </c>
      <c r="AH2278" t="s">
        <v>10975</v>
      </c>
      <c r="AJ2278" t="s">
        <v>11140</v>
      </c>
      <c r="AK2278" t="s">
        <v>7225</v>
      </c>
      <c r="AM2278">
        <v>2300</v>
      </c>
      <c r="AO2278">
        <v>2</v>
      </c>
      <c r="AQ2278" t="s">
        <v>11156</v>
      </c>
      <c r="AS2278" t="s">
        <v>11174</v>
      </c>
      <c r="AU2278">
        <v>2</v>
      </c>
      <c r="AW2278" t="s">
        <v>11187</v>
      </c>
      <c r="AY2278" t="s">
        <v>11213</v>
      </c>
      <c r="BA2278" t="s">
        <v>11222</v>
      </c>
      <c r="BE2278" t="s">
        <v>12965</v>
      </c>
      <c r="BF2278" t="s">
        <v>14364</v>
      </c>
      <c r="BG2278" t="s">
        <v>14411</v>
      </c>
      <c r="BK2278" t="s">
        <v>11104</v>
      </c>
      <c r="BM2278" t="s">
        <v>15650</v>
      </c>
      <c r="BN2278" t="s">
        <v>15652</v>
      </c>
      <c r="BO2278" t="s">
        <v>15697</v>
      </c>
    </row>
    <row r="2279" spans="1:67">
      <c r="A2279" s="1">
        <f>HYPERLINK("https://lsnyc.legalserver.org/matter/dynamic-profile/view/1915350","19-1915350")</f>
        <v>0</v>
      </c>
      <c r="B2279" t="s">
        <v>150</v>
      </c>
      <c r="C2279" t="s">
        <v>249</v>
      </c>
      <c r="D2279" t="s">
        <v>638</v>
      </c>
      <c r="F2279" t="s">
        <v>1333</v>
      </c>
      <c r="G2279" t="s">
        <v>3860</v>
      </c>
      <c r="H2279" t="s">
        <v>5360</v>
      </c>
      <c r="I2279" t="s">
        <v>6829</v>
      </c>
      <c r="J2279" t="s">
        <v>7179</v>
      </c>
      <c r="K2279">
        <v>10304</v>
      </c>
      <c r="N2279" t="s">
        <v>7237</v>
      </c>
      <c r="O2279" t="s">
        <v>8704</v>
      </c>
      <c r="P2279">
        <v>2</v>
      </c>
      <c r="Q2279">
        <v>0</v>
      </c>
      <c r="R2279">
        <v>96.87</v>
      </c>
      <c r="U2279">
        <v>16380</v>
      </c>
      <c r="W2279">
        <v>1.8</v>
      </c>
      <c r="X2279" t="s">
        <v>638</v>
      </c>
      <c r="Y2279" t="s">
        <v>10881</v>
      </c>
      <c r="AA2279" t="s">
        <v>10974</v>
      </c>
      <c r="AB2279" t="s">
        <v>638</v>
      </c>
      <c r="AD2279" t="s">
        <v>11086</v>
      </c>
      <c r="AF2279" t="s">
        <v>11119</v>
      </c>
      <c r="AH2279" t="s">
        <v>10975</v>
      </c>
      <c r="AJ2279" t="s">
        <v>11140</v>
      </c>
      <c r="AK2279" t="s">
        <v>7225</v>
      </c>
      <c r="AM2279">
        <v>650</v>
      </c>
      <c r="AN2279" t="s">
        <v>11151</v>
      </c>
      <c r="AO2279" t="s">
        <v>11153</v>
      </c>
      <c r="AQ2279" t="s">
        <v>11161</v>
      </c>
      <c r="AR2279" t="s">
        <v>11172</v>
      </c>
      <c r="AU2279">
        <v>8</v>
      </c>
      <c r="AW2279" t="s">
        <v>11187</v>
      </c>
      <c r="BA2279" t="s">
        <v>11222</v>
      </c>
      <c r="BE2279" t="s">
        <v>12966</v>
      </c>
      <c r="BF2279" t="s">
        <v>14364</v>
      </c>
      <c r="BG2279" t="s">
        <v>14411</v>
      </c>
      <c r="BK2279" t="s">
        <v>11104</v>
      </c>
      <c r="BM2279" t="s">
        <v>15650</v>
      </c>
      <c r="BN2279" t="s">
        <v>15652</v>
      </c>
      <c r="BO2279" t="s">
        <v>15698</v>
      </c>
    </row>
    <row r="2280" spans="1:67">
      <c r="A2280" s="1">
        <f>HYPERLINK("https://lsnyc.legalserver.org/matter/dynamic-profile/view/1913118","19-1913118")</f>
        <v>0</v>
      </c>
      <c r="B2280" t="s">
        <v>150</v>
      </c>
      <c r="C2280" t="s">
        <v>249</v>
      </c>
      <c r="D2280" t="s">
        <v>333</v>
      </c>
      <c r="F2280" t="s">
        <v>2073</v>
      </c>
      <c r="G2280" t="s">
        <v>3334</v>
      </c>
      <c r="H2280" t="s">
        <v>5520</v>
      </c>
      <c r="I2280" t="s">
        <v>6830</v>
      </c>
      <c r="J2280" t="s">
        <v>7179</v>
      </c>
      <c r="K2280">
        <v>10304</v>
      </c>
      <c r="N2280" t="s">
        <v>7237</v>
      </c>
      <c r="O2280" t="s">
        <v>8705</v>
      </c>
      <c r="P2280">
        <v>2</v>
      </c>
      <c r="Q2280">
        <v>0</v>
      </c>
      <c r="R2280">
        <v>221.41</v>
      </c>
      <c r="U2280">
        <v>37440</v>
      </c>
      <c r="W2280">
        <v>5.3</v>
      </c>
      <c r="X2280" t="s">
        <v>262</v>
      </c>
      <c r="Y2280" t="s">
        <v>10881</v>
      </c>
      <c r="Z2280" t="s">
        <v>10972</v>
      </c>
      <c r="AA2280" t="s">
        <v>10976</v>
      </c>
      <c r="AD2280" t="s">
        <v>11086</v>
      </c>
      <c r="AE2280" t="s">
        <v>11117</v>
      </c>
      <c r="AH2280" t="s">
        <v>10974</v>
      </c>
      <c r="AJ2280" t="s">
        <v>11144</v>
      </c>
      <c r="AK2280" t="s">
        <v>7225</v>
      </c>
      <c r="AM2280">
        <v>692</v>
      </c>
      <c r="AN2280" t="s">
        <v>11151</v>
      </c>
      <c r="AO2280" t="s">
        <v>11153</v>
      </c>
      <c r="AQ2280" t="s">
        <v>11161</v>
      </c>
      <c r="AS2280" t="s">
        <v>11173</v>
      </c>
      <c r="AU2280">
        <v>14</v>
      </c>
      <c r="AV2280" t="s">
        <v>11186</v>
      </c>
      <c r="AX2280" t="s">
        <v>11212</v>
      </c>
      <c r="AZ2280" t="s">
        <v>11221</v>
      </c>
      <c r="BE2280" t="s">
        <v>12967</v>
      </c>
      <c r="BF2280" t="s">
        <v>14364</v>
      </c>
      <c r="BG2280" t="s">
        <v>14411</v>
      </c>
      <c r="BM2280" t="s">
        <v>15650</v>
      </c>
    </row>
    <row r="2281" spans="1:67">
      <c r="A2281" s="1">
        <f>HYPERLINK("https://lsnyc.legalserver.org/matter/dynamic-profile/view/1911458","19-1911458")</f>
        <v>0</v>
      </c>
      <c r="B2281" t="s">
        <v>150</v>
      </c>
      <c r="C2281" t="s">
        <v>249</v>
      </c>
      <c r="D2281" t="s">
        <v>564</v>
      </c>
      <c r="F2281" t="s">
        <v>1280</v>
      </c>
      <c r="G2281" t="s">
        <v>3822</v>
      </c>
      <c r="H2281" t="s">
        <v>5521</v>
      </c>
      <c r="I2281" t="s">
        <v>6831</v>
      </c>
      <c r="J2281" t="s">
        <v>7179</v>
      </c>
      <c r="K2281">
        <v>10301</v>
      </c>
      <c r="N2281" t="s">
        <v>7237</v>
      </c>
      <c r="O2281" t="s">
        <v>8706</v>
      </c>
      <c r="P2281">
        <v>1</v>
      </c>
      <c r="Q2281">
        <v>2</v>
      </c>
      <c r="R2281">
        <v>165.78</v>
      </c>
      <c r="U2281">
        <v>35360</v>
      </c>
      <c r="W2281">
        <v>3.05</v>
      </c>
      <c r="X2281" t="s">
        <v>638</v>
      </c>
      <c r="Y2281" t="s">
        <v>10911</v>
      </c>
      <c r="AA2281" t="s">
        <v>10974</v>
      </c>
      <c r="AB2281" t="s">
        <v>798</v>
      </c>
      <c r="AD2281" t="s">
        <v>11086</v>
      </c>
      <c r="AF2281" t="s">
        <v>11119</v>
      </c>
      <c r="AH2281" t="s">
        <v>10975</v>
      </c>
      <c r="AJ2281" t="s">
        <v>11143</v>
      </c>
      <c r="AK2281" t="s">
        <v>7225</v>
      </c>
      <c r="AM2281">
        <v>1595</v>
      </c>
      <c r="AO2281">
        <v>224</v>
      </c>
      <c r="AQ2281" t="s">
        <v>11161</v>
      </c>
      <c r="AS2281" t="s">
        <v>11174</v>
      </c>
      <c r="AU2281">
        <v>3</v>
      </c>
      <c r="AW2281" t="s">
        <v>11187</v>
      </c>
      <c r="AY2281" t="s">
        <v>11213</v>
      </c>
      <c r="BA2281" t="s">
        <v>11222</v>
      </c>
      <c r="BE2281" t="s">
        <v>12968</v>
      </c>
      <c r="BF2281" t="s">
        <v>14364</v>
      </c>
      <c r="BG2281" t="s">
        <v>14410</v>
      </c>
      <c r="BK2281" t="s">
        <v>11104</v>
      </c>
      <c r="BM2281" t="s">
        <v>15650</v>
      </c>
      <c r="BO2281" t="s">
        <v>15699</v>
      </c>
    </row>
    <row r="2282" spans="1:67">
      <c r="A2282" s="1">
        <f>HYPERLINK("https://lsnyc.legalserver.org/matter/dynamic-profile/view/1897501","19-1897501")</f>
        <v>0</v>
      </c>
      <c r="B2282" t="s">
        <v>151</v>
      </c>
      <c r="C2282" t="s">
        <v>247</v>
      </c>
      <c r="D2282" t="s">
        <v>664</v>
      </c>
      <c r="F2282" t="s">
        <v>1294</v>
      </c>
      <c r="G2282" t="s">
        <v>3861</v>
      </c>
      <c r="H2282" t="s">
        <v>5522</v>
      </c>
      <c r="I2282" t="s">
        <v>6420</v>
      </c>
      <c r="J2282" t="s">
        <v>7195</v>
      </c>
      <c r="K2282">
        <v>11102</v>
      </c>
      <c r="N2282" t="s">
        <v>7237</v>
      </c>
      <c r="O2282" t="s">
        <v>8707</v>
      </c>
      <c r="P2282">
        <v>1</v>
      </c>
      <c r="Q2282">
        <v>0</v>
      </c>
      <c r="R2282">
        <v>75.31999999999999</v>
      </c>
      <c r="U2282">
        <v>9408</v>
      </c>
      <c r="W2282">
        <v>1.8</v>
      </c>
      <c r="X2282" t="s">
        <v>341</v>
      </c>
      <c r="Y2282" t="s">
        <v>76</v>
      </c>
      <c r="AA2282" t="s">
        <v>10974</v>
      </c>
      <c r="AB2282" t="s">
        <v>664</v>
      </c>
      <c r="AD2282" t="s">
        <v>11100</v>
      </c>
      <c r="AF2282" t="s">
        <v>10384</v>
      </c>
      <c r="AH2282" t="s">
        <v>10975</v>
      </c>
      <c r="AJ2282" t="s">
        <v>11141</v>
      </c>
      <c r="AK2282" t="s">
        <v>7225</v>
      </c>
      <c r="AM2282">
        <v>1048.94</v>
      </c>
      <c r="AO2282">
        <v>6</v>
      </c>
      <c r="AQ2282" t="s">
        <v>11157</v>
      </c>
      <c r="AS2282" t="s">
        <v>11175</v>
      </c>
      <c r="AU2282">
        <v>30</v>
      </c>
      <c r="AW2282" t="s">
        <v>11187</v>
      </c>
      <c r="BA2282" t="s">
        <v>11222</v>
      </c>
      <c r="BE2282" t="s">
        <v>12969</v>
      </c>
      <c r="BF2282" t="s">
        <v>14364</v>
      </c>
      <c r="BG2282" t="s">
        <v>14410</v>
      </c>
      <c r="BM2282" t="s">
        <v>15650</v>
      </c>
    </row>
    <row r="2283" spans="1:67">
      <c r="A2283" s="1">
        <f>HYPERLINK("https://lsnyc.legalserver.org/matter/dynamic-profile/view/0804515","16-0804515")</f>
        <v>0</v>
      </c>
      <c r="B2283" t="s">
        <v>151</v>
      </c>
      <c r="C2283" t="s">
        <v>247</v>
      </c>
      <c r="D2283" t="s">
        <v>865</v>
      </c>
      <c r="F2283" t="s">
        <v>2074</v>
      </c>
      <c r="G2283" t="s">
        <v>3366</v>
      </c>
      <c r="H2283" t="s">
        <v>5523</v>
      </c>
      <c r="I2283" t="s">
        <v>6832</v>
      </c>
      <c r="J2283" t="s">
        <v>7177</v>
      </c>
      <c r="K2283">
        <v>11434</v>
      </c>
      <c r="N2283" t="s">
        <v>7237</v>
      </c>
      <c r="O2283" t="s">
        <v>8708</v>
      </c>
      <c r="P2283">
        <v>1</v>
      </c>
      <c r="Q2283">
        <v>0</v>
      </c>
      <c r="R2283">
        <v>134.68</v>
      </c>
      <c r="U2283">
        <v>16000</v>
      </c>
      <c r="V2283" t="s">
        <v>10414</v>
      </c>
      <c r="W2283">
        <v>55.1</v>
      </c>
      <c r="X2283" t="s">
        <v>426</v>
      </c>
      <c r="Y2283" t="s">
        <v>188</v>
      </c>
      <c r="AA2283" t="s">
        <v>10974</v>
      </c>
      <c r="AB2283" t="s">
        <v>374</v>
      </c>
      <c r="AD2283" t="s">
        <v>11082</v>
      </c>
      <c r="AF2283" t="s">
        <v>11118</v>
      </c>
      <c r="AH2283" t="s">
        <v>10975</v>
      </c>
      <c r="AJ2283" t="s">
        <v>11140</v>
      </c>
      <c r="AK2283" t="s">
        <v>7225</v>
      </c>
      <c r="AM2283">
        <v>1148.98</v>
      </c>
      <c r="AO2283">
        <v>100</v>
      </c>
      <c r="AQ2283" t="s">
        <v>11158</v>
      </c>
      <c r="AS2283" t="s">
        <v>11173</v>
      </c>
      <c r="AU2283">
        <v>10</v>
      </c>
      <c r="AW2283" t="s">
        <v>11187</v>
      </c>
      <c r="AZ2283" t="s">
        <v>11221</v>
      </c>
      <c r="BC2283" t="s">
        <v>11228</v>
      </c>
      <c r="BE2283" t="s">
        <v>12970</v>
      </c>
      <c r="BF2283" t="s">
        <v>14364</v>
      </c>
      <c r="BG2283" t="s">
        <v>14933</v>
      </c>
      <c r="BM2283" t="s">
        <v>15650</v>
      </c>
    </row>
    <row r="2284" spans="1:67">
      <c r="A2284" s="1">
        <f>HYPERLINK("https://lsnyc.legalserver.org/matter/dynamic-profile/view/1909431","19-1909431")</f>
        <v>0</v>
      </c>
      <c r="B2284" t="s">
        <v>151</v>
      </c>
      <c r="C2284" t="s">
        <v>247</v>
      </c>
      <c r="D2284" t="s">
        <v>270</v>
      </c>
      <c r="F2284" t="s">
        <v>1284</v>
      </c>
      <c r="G2284" t="s">
        <v>2885</v>
      </c>
      <c r="H2284" t="s">
        <v>5524</v>
      </c>
      <c r="I2284" t="s">
        <v>6413</v>
      </c>
      <c r="J2284" t="s">
        <v>7181</v>
      </c>
      <c r="K2284">
        <v>11101</v>
      </c>
      <c r="N2284" t="s">
        <v>7237</v>
      </c>
      <c r="O2284" t="s">
        <v>8709</v>
      </c>
      <c r="P2284">
        <v>2</v>
      </c>
      <c r="Q2284">
        <v>0</v>
      </c>
      <c r="R2284">
        <v>88.7</v>
      </c>
      <c r="U2284">
        <v>15000</v>
      </c>
      <c r="W2284">
        <v>1.2</v>
      </c>
      <c r="X2284" t="s">
        <v>426</v>
      </c>
      <c r="Y2284" t="s">
        <v>10870</v>
      </c>
      <c r="AA2284" t="s">
        <v>10974</v>
      </c>
      <c r="AB2284" t="s">
        <v>270</v>
      </c>
      <c r="AD2284" t="s">
        <v>11098</v>
      </c>
      <c r="AF2284" t="s">
        <v>10384</v>
      </c>
      <c r="AH2284" t="s">
        <v>10975</v>
      </c>
      <c r="AJ2284" t="s">
        <v>11129</v>
      </c>
      <c r="AK2284" t="s">
        <v>7225</v>
      </c>
      <c r="AL2284" t="s">
        <v>11150</v>
      </c>
      <c r="AM2284">
        <v>0</v>
      </c>
      <c r="AO2284">
        <v>45</v>
      </c>
      <c r="AP2284" t="s">
        <v>11155</v>
      </c>
      <c r="AR2284" t="s">
        <v>11172</v>
      </c>
      <c r="AT2284" t="s">
        <v>11184</v>
      </c>
      <c r="AU2284">
        <v>0</v>
      </c>
      <c r="AW2284" t="s">
        <v>11187</v>
      </c>
      <c r="AY2284" t="s">
        <v>11213</v>
      </c>
      <c r="BA2284" t="s">
        <v>11222</v>
      </c>
      <c r="BE2284" t="s">
        <v>12971</v>
      </c>
      <c r="BG2284" t="s">
        <v>14934</v>
      </c>
      <c r="BM2284" t="s">
        <v>15650</v>
      </c>
    </row>
    <row r="2285" spans="1:67">
      <c r="A2285" s="1">
        <f>HYPERLINK("https://lsnyc.legalserver.org/matter/dynamic-profile/view/1907285","19-1907285")</f>
        <v>0</v>
      </c>
      <c r="B2285" t="s">
        <v>151</v>
      </c>
      <c r="C2285" t="s">
        <v>247</v>
      </c>
      <c r="D2285" t="s">
        <v>655</v>
      </c>
      <c r="F2285" t="s">
        <v>2028</v>
      </c>
      <c r="G2285" t="s">
        <v>3862</v>
      </c>
      <c r="H2285" t="s">
        <v>5525</v>
      </c>
      <c r="I2285" t="s">
        <v>6408</v>
      </c>
      <c r="J2285" t="s">
        <v>7195</v>
      </c>
      <c r="K2285">
        <v>11106</v>
      </c>
      <c r="N2285" t="s">
        <v>7237</v>
      </c>
      <c r="O2285" t="s">
        <v>8710</v>
      </c>
      <c r="P2285">
        <v>1</v>
      </c>
      <c r="Q2285">
        <v>1</v>
      </c>
      <c r="R2285">
        <v>0</v>
      </c>
      <c r="S2285" t="s">
        <v>10254</v>
      </c>
      <c r="T2285" t="s">
        <v>10275</v>
      </c>
      <c r="U2285">
        <v>0</v>
      </c>
      <c r="W2285">
        <v>3.65</v>
      </c>
      <c r="X2285" t="s">
        <v>327</v>
      </c>
      <c r="Y2285" t="s">
        <v>151</v>
      </c>
      <c r="AA2285" t="s">
        <v>10974</v>
      </c>
      <c r="AB2285" t="s">
        <v>655</v>
      </c>
      <c r="AD2285" t="s">
        <v>11082</v>
      </c>
      <c r="AF2285" t="s">
        <v>11119</v>
      </c>
      <c r="AH2285" t="s">
        <v>10975</v>
      </c>
      <c r="AJ2285" t="s">
        <v>11133</v>
      </c>
      <c r="AK2285" t="s">
        <v>11149</v>
      </c>
      <c r="AM2285">
        <v>474</v>
      </c>
      <c r="AO2285">
        <v>6</v>
      </c>
      <c r="AQ2285" t="s">
        <v>11157</v>
      </c>
      <c r="AS2285" t="s">
        <v>11173</v>
      </c>
      <c r="AU2285">
        <v>1</v>
      </c>
      <c r="AW2285" t="s">
        <v>11187</v>
      </c>
      <c r="AY2285" t="s">
        <v>11213</v>
      </c>
      <c r="BA2285" t="s">
        <v>11223</v>
      </c>
      <c r="BB2285" t="s">
        <v>11224</v>
      </c>
      <c r="BC2285" t="s">
        <v>11409</v>
      </c>
      <c r="BE2285" t="s">
        <v>12972</v>
      </c>
      <c r="BG2285" t="s">
        <v>14935</v>
      </c>
      <c r="BM2285" t="s">
        <v>15650</v>
      </c>
    </row>
    <row r="2286" spans="1:67">
      <c r="A2286" s="1">
        <f>HYPERLINK("https://lsnyc.legalserver.org/matter/dynamic-profile/view/1905345","19-1905345")</f>
        <v>0</v>
      </c>
      <c r="B2286" t="s">
        <v>151</v>
      </c>
      <c r="C2286" t="s">
        <v>247</v>
      </c>
      <c r="D2286" t="s">
        <v>866</v>
      </c>
      <c r="F2286" t="s">
        <v>2075</v>
      </c>
      <c r="G2286" t="s">
        <v>3863</v>
      </c>
      <c r="H2286" t="s">
        <v>5526</v>
      </c>
      <c r="I2286" t="s">
        <v>6497</v>
      </c>
      <c r="J2286" t="s">
        <v>7198</v>
      </c>
      <c r="K2286">
        <v>11374</v>
      </c>
      <c r="N2286" t="s">
        <v>7237</v>
      </c>
      <c r="O2286" t="s">
        <v>8711</v>
      </c>
      <c r="P2286">
        <v>4</v>
      </c>
      <c r="Q2286">
        <v>1</v>
      </c>
      <c r="R2286">
        <v>34.47</v>
      </c>
      <c r="U2286">
        <v>10400</v>
      </c>
      <c r="W2286">
        <v>2.15</v>
      </c>
      <c r="X2286" t="s">
        <v>266</v>
      </c>
      <c r="Y2286" t="s">
        <v>10875</v>
      </c>
      <c r="AA2286" t="s">
        <v>10974</v>
      </c>
      <c r="AB2286" t="s">
        <v>866</v>
      </c>
      <c r="AD2286" t="s">
        <v>11082</v>
      </c>
      <c r="AF2286" t="s">
        <v>11119</v>
      </c>
      <c r="AH2286" t="s">
        <v>10974</v>
      </c>
      <c r="AJ2286" t="s">
        <v>11138</v>
      </c>
      <c r="AK2286" t="s">
        <v>7225</v>
      </c>
      <c r="AL2286" t="s">
        <v>11150</v>
      </c>
      <c r="AM2286">
        <v>0</v>
      </c>
      <c r="AO2286">
        <v>47</v>
      </c>
      <c r="AQ2286" t="s">
        <v>11168</v>
      </c>
      <c r="AS2286" t="s">
        <v>11173</v>
      </c>
      <c r="AU2286">
        <v>16</v>
      </c>
      <c r="AW2286" t="s">
        <v>11187</v>
      </c>
      <c r="AY2286" t="s">
        <v>11213</v>
      </c>
      <c r="BA2286" t="s">
        <v>11222</v>
      </c>
      <c r="BE2286" t="s">
        <v>12973</v>
      </c>
      <c r="BG2286" t="s">
        <v>14936</v>
      </c>
      <c r="BM2286" t="s">
        <v>15650</v>
      </c>
    </row>
    <row r="2287" spans="1:67">
      <c r="A2287" s="1">
        <f>HYPERLINK("https://lsnyc.legalserver.org/matter/dynamic-profile/view/1903835","19-1903835")</f>
        <v>0</v>
      </c>
      <c r="B2287" t="s">
        <v>151</v>
      </c>
      <c r="C2287" t="s">
        <v>247</v>
      </c>
      <c r="D2287" t="s">
        <v>260</v>
      </c>
      <c r="F2287" t="s">
        <v>2076</v>
      </c>
      <c r="G2287" t="s">
        <v>2877</v>
      </c>
      <c r="H2287" t="s">
        <v>5527</v>
      </c>
      <c r="I2287" t="s">
        <v>6658</v>
      </c>
      <c r="J2287" t="s">
        <v>7184</v>
      </c>
      <c r="K2287">
        <v>11372</v>
      </c>
      <c r="N2287" t="s">
        <v>7237</v>
      </c>
      <c r="O2287" t="s">
        <v>8712</v>
      </c>
      <c r="P2287">
        <v>4</v>
      </c>
      <c r="Q2287">
        <v>2</v>
      </c>
      <c r="R2287">
        <v>59.68</v>
      </c>
      <c r="U2287">
        <v>20643.96</v>
      </c>
      <c r="W2287">
        <v>26.05</v>
      </c>
      <c r="X2287" t="s">
        <v>297</v>
      </c>
      <c r="Y2287" t="s">
        <v>151</v>
      </c>
      <c r="AA2287" t="s">
        <v>10974</v>
      </c>
      <c r="AB2287" t="s">
        <v>280</v>
      </c>
      <c r="AD2287" t="s">
        <v>11101</v>
      </c>
      <c r="AF2287" t="s">
        <v>11118</v>
      </c>
      <c r="AH2287" t="s">
        <v>10975</v>
      </c>
      <c r="AJ2287" t="s">
        <v>11129</v>
      </c>
      <c r="AK2287" t="s">
        <v>7225</v>
      </c>
      <c r="AM2287">
        <v>909.0599999999999</v>
      </c>
      <c r="AO2287">
        <v>20</v>
      </c>
      <c r="AQ2287" t="s">
        <v>11157</v>
      </c>
      <c r="AS2287" t="s">
        <v>11173</v>
      </c>
      <c r="AU2287">
        <v>38</v>
      </c>
      <c r="AW2287" t="s">
        <v>11189</v>
      </c>
      <c r="AY2287" t="s">
        <v>11213</v>
      </c>
      <c r="BA2287" t="s">
        <v>11222</v>
      </c>
      <c r="BC2287" t="s">
        <v>11410</v>
      </c>
      <c r="BE2287" t="s">
        <v>12974</v>
      </c>
      <c r="BF2287" t="s">
        <v>14364</v>
      </c>
      <c r="BG2287" t="s">
        <v>14937</v>
      </c>
      <c r="BM2287" t="s">
        <v>15650</v>
      </c>
    </row>
    <row r="2288" spans="1:67">
      <c r="A2288" s="1">
        <f>HYPERLINK("https://lsnyc.legalserver.org/matter/dynamic-profile/view/1907060","19-1907060")</f>
        <v>0</v>
      </c>
      <c r="B2288" t="s">
        <v>151</v>
      </c>
      <c r="C2288" t="s">
        <v>247</v>
      </c>
      <c r="D2288" t="s">
        <v>653</v>
      </c>
      <c r="F2288" t="s">
        <v>1759</v>
      </c>
      <c r="G2288" t="s">
        <v>3864</v>
      </c>
      <c r="H2288" t="s">
        <v>5528</v>
      </c>
      <c r="I2288">
        <v>2</v>
      </c>
      <c r="J2288" t="s">
        <v>7178</v>
      </c>
      <c r="K2288">
        <v>11385</v>
      </c>
      <c r="N2288" t="s">
        <v>7237</v>
      </c>
      <c r="O2288" t="s">
        <v>8713</v>
      </c>
      <c r="P2288">
        <v>5</v>
      </c>
      <c r="Q2288">
        <v>0</v>
      </c>
      <c r="R2288">
        <v>5.6</v>
      </c>
      <c r="U2288">
        <v>1690</v>
      </c>
      <c r="W2288">
        <v>8.1</v>
      </c>
      <c r="X2288" t="s">
        <v>925</v>
      </c>
      <c r="Y2288" t="s">
        <v>76</v>
      </c>
      <c r="AA2288" t="s">
        <v>10974</v>
      </c>
      <c r="AD2288" t="s">
        <v>11086</v>
      </c>
      <c r="AF2288" t="s">
        <v>10384</v>
      </c>
      <c r="AH2288" t="s">
        <v>10975</v>
      </c>
      <c r="AJ2288" t="s">
        <v>11141</v>
      </c>
      <c r="AK2288" t="s">
        <v>7225</v>
      </c>
      <c r="AM2288">
        <v>1495</v>
      </c>
      <c r="AO2288">
        <v>6</v>
      </c>
      <c r="AQ2288" t="s">
        <v>11157</v>
      </c>
      <c r="AS2288" t="s">
        <v>11174</v>
      </c>
      <c r="AU2288">
        <v>10</v>
      </c>
      <c r="AW2288" t="s">
        <v>11187</v>
      </c>
      <c r="AY2288" t="s">
        <v>11213</v>
      </c>
      <c r="BA2288" t="s">
        <v>11222</v>
      </c>
      <c r="BE2288" t="s">
        <v>12975</v>
      </c>
      <c r="BF2288" t="s">
        <v>14364</v>
      </c>
      <c r="BG2288" t="s">
        <v>14410</v>
      </c>
      <c r="BM2288" t="s">
        <v>15650</v>
      </c>
    </row>
    <row r="2289" spans="1:67">
      <c r="A2289" s="1">
        <f>HYPERLINK("https://lsnyc.legalserver.org/matter/dynamic-profile/view/1900646","19-1900646")</f>
        <v>0</v>
      </c>
      <c r="B2289" t="s">
        <v>151</v>
      </c>
      <c r="C2289" t="s">
        <v>247</v>
      </c>
      <c r="D2289" t="s">
        <v>549</v>
      </c>
      <c r="F2289" t="s">
        <v>2077</v>
      </c>
      <c r="G2289" t="s">
        <v>3865</v>
      </c>
      <c r="H2289" t="s">
        <v>4969</v>
      </c>
      <c r="I2289" t="s">
        <v>6833</v>
      </c>
      <c r="J2289" t="s">
        <v>7182</v>
      </c>
      <c r="K2289">
        <v>11101</v>
      </c>
      <c r="N2289" t="s">
        <v>7237</v>
      </c>
      <c r="O2289" t="s">
        <v>8128</v>
      </c>
      <c r="P2289">
        <v>1</v>
      </c>
      <c r="Q2289">
        <v>0</v>
      </c>
      <c r="R2289">
        <v>76.86</v>
      </c>
      <c r="U2289">
        <v>9600</v>
      </c>
      <c r="W2289">
        <v>15.7</v>
      </c>
      <c r="X2289" t="s">
        <v>598</v>
      </c>
      <c r="Y2289" t="s">
        <v>10939</v>
      </c>
      <c r="AA2289" t="s">
        <v>10974</v>
      </c>
      <c r="AB2289" t="s">
        <v>549</v>
      </c>
      <c r="AD2289" t="s">
        <v>11082</v>
      </c>
      <c r="AF2289" t="s">
        <v>11118</v>
      </c>
      <c r="AH2289" t="s">
        <v>10974</v>
      </c>
      <c r="AJ2289" t="s">
        <v>11138</v>
      </c>
      <c r="AK2289" t="s">
        <v>7225</v>
      </c>
      <c r="AM2289">
        <v>1268</v>
      </c>
      <c r="AO2289">
        <v>200</v>
      </c>
      <c r="AQ2289" t="s">
        <v>11157</v>
      </c>
      <c r="AS2289" t="s">
        <v>11178</v>
      </c>
      <c r="AU2289">
        <v>2</v>
      </c>
      <c r="AW2289" t="s">
        <v>11189</v>
      </c>
      <c r="AY2289" t="s">
        <v>11213</v>
      </c>
      <c r="BA2289" t="s">
        <v>11222</v>
      </c>
      <c r="BB2289" t="s">
        <v>11224</v>
      </c>
      <c r="BC2289" t="s">
        <v>11411</v>
      </c>
      <c r="BE2289" t="s">
        <v>12976</v>
      </c>
      <c r="BG2289" t="s">
        <v>14938</v>
      </c>
      <c r="BI2289" t="s">
        <v>15611</v>
      </c>
      <c r="BK2289" t="s">
        <v>15620</v>
      </c>
      <c r="BM2289" t="s">
        <v>15650</v>
      </c>
      <c r="BN2289" t="s">
        <v>15652</v>
      </c>
      <c r="BO2289" t="s">
        <v>15700</v>
      </c>
    </row>
    <row r="2290" spans="1:67">
      <c r="A2290" s="1">
        <f>HYPERLINK("https://lsnyc.legalserver.org/matter/dynamic-profile/view/1908713","19-1908713")</f>
        <v>0</v>
      </c>
      <c r="B2290" t="s">
        <v>151</v>
      </c>
      <c r="C2290" t="s">
        <v>247</v>
      </c>
      <c r="D2290" t="s">
        <v>421</v>
      </c>
      <c r="F2290" t="s">
        <v>1901</v>
      </c>
      <c r="G2290" t="s">
        <v>3226</v>
      </c>
      <c r="H2290" t="s">
        <v>5529</v>
      </c>
      <c r="I2290" t="s">
        <v>6405</v>
      </c>
      <c r="J2290" t="s">
        <v>7190</v>
      </c>
      <c r="K2290">
        <v>11377</v>
      </c>
      <c r="N2290" t="s">
        <v>7237</v>
      </c>
      <c r="O2290" t="s">
        <v>8714</v>
      </c>
      <c r="P2290">
        <v>1</v>
      </c>
      <c r="Q2290">
        <v>3</v>
      </c>
      <c r="R2290">
        <v>30.29</v>
      </c>
      <c r="S2290" t="s">
        <v>10254</v>
      </c>
      <c r="T2290" t="s">
        <v>10275</v>
      </c>
      <c r="U2290">
        <v>7800</v>
      </c>
      <c r="W2290">
        <v>1.75</v>
      </c>
      <c r="X2290" t="s">
        <v>426</v>
      </c>
      <c r="Y2290" t="s">
        <v>151</v>
      </c>
      <c r="AA2290" t="s">
        <v>10974</v>
      </c>
      <c r="AB2290" t="s">
        <v>11044</v>
      </c>
      <c r="AD2290" t="s">
        <v>11083</v>
      </c>
      <c r="AF2290" t="s">
        <v>11119</v>
      </c>
      <c r="AH2290" t="s">
        <v>10975</v>
      </c>
      <c r="AJ2290" t="s">
        <v>11133</v>
      </c>
      <c r="AK2290" t="s">
        <v>11149</v>
      </c>
      <c r="AM2290">
        <v>720</v>
      </c>
      <c r="AO2290">
        <v>6</v>
      </c>
      <c r="AQ2290" t="s">
        <v>11157</v>
      </c>
      <c r="AR2290" t="s">
        <v>11172</v>
      </c>
      <c r="AU2290">
        <v>9</v>
      </c>
      <c r="AW2290" t="s">
        <v>11189</v>
      </c>
      <c r="AY2290" t="s">
        <v>11213</v>
      </c>
      <c r="BA2290" t="s">
        <v>11223</v>
      </c>
      <c r="BC2290" t="s">
        <v>11412</v>
      </c>
      <c r="BD2290" t="s">
        <v>11667</v>
      </c>
      <c r="BG2290" t="s">
        <v>14939</v>
      </c>
      <c r="BM2290" t="s">
        <v>15650</v>
      </c>
    </row>
    <row r="2291" spans="1:67">
      <c r="A2291" s="1">
        <f>HYPERLINK("https://lsnyc.legalserver.org/matter/dynamic-profile/view/1900061","19-1900061")</f>
        <v>0</v>
      </c>
      <c r="B2291" t="s">
        <v>151</v>
      </c>
      <c r="C2291" t="s">
        <v>247</v>
      </c>
      <c r="D2291" t="s">
        <v>314</v>
      </c>
      <c r="F2291" t="s">
        <v>2078</v>
      </c>
      <c r="G2291" t="s">
        <v>3866</v>
      </c>
      <c r="H2291" t="s">
        <v>5530</v>
      </c>
      <c r="I2291" t="s">
        <v>6816</v>
      </c>
      <c r="J2291" t="s">
        <v>7173</v>
      </c>
      <c r="K2291">
        <v>11367</v>
      </c>
      <c r="N2291" t="s">
        <v>7237</v>
      </c>
      <c r="O2291" t="s">
        <v>8715</v>
      </c>
      <c r="P2291">
        <v>1</v>
      </c>
      <c r="Q2291">
        <v>0</v>
      </c>
      <c r="R2291">
        <v>0</v>
      </c>
      <c r="U2291">
        <v>0</v>
      </c>
      <c r="W2291">
        <v>23.7</v>
      </c>
      <c r="X2291" t="s">
        <v>436</v>
      </c>
      <c r="Y2291" t="s">
        <v>10939</v>
      </c>
      <c r="AA2291" t="s">
        <v>10974</v>
      </c>
      <c r="AB2291" t="s">
        <v>314</v>
      </c>
      <c r="AD2291" t="s">
        <v>11082</v>
      </c>
      <c r="AF2291" t="s">
        <v>11118</v>
      </c>
      <c r="AH2291" t="s">
        <v>10974</v>
      </c>
      <c r="AJ2291" t="s">
        <v>11138</v>
      </c>
      <c r="AK2291" t="s">
        <v>7225</v>
      </c>
      <c r="AM2291">
        <v>1358</v>
      </c>
      <c r="AO2291">
        <v>12</v>
      </c>
      <c r="AQ2291" t="s">
        <v>11157</v>
      </c>
      <c r="AS2291" t="s">
        <v>11173</v>
      </c>
      <c r="AU2291">
        <v>8</v>
      </c>
      <c r="AW2291" t="s">
        <v>11187</v>
      </c>
      <c r="AY2291" t="s">
        <v>11213</v>
      </c>
      <c r="BA2291" t="s">
        <v>11222</v>
      </c>
      <c r="BB2291" t="s">
        <v>11224</v>
      </c>
      <c r="BC2291" t="s">
        <v>11236</v>
      </c>
      <c r="BE2291" t="s">
        <v>12977</v>
      </c>
      <c r="BG2291" t="s">
        <v>14940</v>
      </c>
      <c r="BM2291" t="s">
        <v>15650</v>
      </c>
    </row>
    <row r="2292" spans="1:67">
      <c r="A2292" s="1">
        <f>HYPERLINK("https://lsnyc.legalserver.org/matter/dynamic-profile/view/1906765","19-1906765")</f>
        <v>0</v>
      </c>
      <c r="B2292" t="s">
        <v>151</v>
      </c>
      <c r="C2292" t="s">
        <v>247</v>
      </c>
      <c r="D2292" t="s">
        <v>733</v>
      </c>
      <c r="F2292" t="s">
        <v>2079</v>
      </c>
      <c r="G2292" t="s">
        <v>3867</v>
      </c>
      <c r="H2292" t="s">
        <v>5531</v>
      </c>
      <c r="J2292" t="s">
        <v>7172</v>
      </c>
      <c r="K2292">
        <v>11691</v>
      </c>
      <c r="N2292" t="s">
        <v>7237</v>
      </c>
      <c r="O2292" t="s">
        <v>8716</v>
      </c>
      <c r="P2292">
        <v>1</v>
      </c>
      <c r="Q2292">
        <v>0</v>
      </c>
      <c r="R2292">
        <v>38.43</v>
      </c>
      <c r="U2292">
        <v>4800</v>
      </c>
      <c r="W2292">
        <v>7.75</v>
      </c>
      <c r="X2292" t="s">
        <v>669</v>
      </c>
      <c r="Y2292" t="s">
        <v>10888</v>
      </c>
      <c r="Z2292" t="s">
        <v>10972</v>
      </c>
      <c r="AA2292" t="s">
        <v>10976</v>
      </c>
      <c r="AD2292" t="s">
        <v>11086</v>
      </c>
      <c r="AF2292" t="s">
        <v>11118</v>
      </c>
      <c r="AG2292" t="s">
        <v>11124</v>
      </c>
      <c r="AI2292" t="s">
        <v>11126</v>
      </c>
      <c r="AK2292" t="s">
        <v>7225</v>
      </c>
      <c r="AM2292">
        <v>1650</v>
      </c>
      <c r="AN2292" t="s">
        <v>11151</v>
      </c>
      <c r="AO2292" t="s">
        <v>11153</v>
      </c>
      <c r="AQ2292" t="s">
        <v>11164</v>
      </c>
      <c r="AS2292" t="s">
        <v>11173</v>
      </c>
      <c r="AU2292">
        <v>2</v>
      </c>
      <c r="AW2292" t="s">
        <v>11187</v>
      </c>
      <c r="AX2292" t="s">
        <v>11212</v>
      </c>
      <c r="AZ2292" t="s">
        <v>11221</v>
      </c>
      <c r="BE2292" t="s">
        <v>12978</v>
      </c>
      <c r="BF2292" t="s">
        <v>14364</v>
      </c>
      <c r="BM2292" t="s">
        <v>15650</v>
      </c>
    </row>
    <row r="2293" spans="1:67">
      <c r="A2293" s="1">
        <f>HYPERLINK("https://lsnyc.legalserver.org/matter/dynamic-profile/view/1914453","19-1914453")</f>
        <v>0</v>
      </c>
      <c r="B2293" t="s">
        <v>151</v>
      </c>
      <c r="C2293" t="s">
        <v>247</v>
      </c>
      <c r="D2293" t="s">
        <v>497</v>
      </c>
      <c r="F2293" t="s">
        <v>1382</v>
      </c>
      <c r="G2293" t="s">
        <v>3868</v>
      </c>
      <c r="H2293" t="s">
        <v>5532</v>
      </c>
      <c r="J2293" t="s">
        <v>7199</v>
      </c>
      <c r="K2293">
        <v>11421</v>
      </c>
      <c r="N2293" t="s">
        <v>7237</v>
      </c>
      <c r="O2293" t="s">
        <v>8717</v>
      </c>
      <c r="P2293">
        <v>2</v>
      </c>
      <c r="Q2293">
        <v>2</v>
      </c>
      <c r="R2293">
        <v>86.70999999999999</v>
      </c>
      <c r="U2293">
        <v>22329</v>
      </c>
      <c r="W2293">
        <v>2.75</v>
      </c>
      <c r="X2293" t="s">
        <v>449</v>
      </c>
      <c r="Y2293" t="s">
        <v>202</v>
      </c>
      <c r="AA2293" t="s">
        <v>10974</v>
      </c>
      <c r="AB2293" t="s">
        <v>497</v>
      </c>
      <c r="AD2293" t="s">
        <v>11083</v>
      </c>
      <c r="AF2293" t="s">
        <v>11119</v>
      </c>
      <c r="AH2293" t="s">
        <v>10975</v>
      </c>
      <c r="AJ2293" t="s">
        <v>11138</v>
      </c>
      <c r="AK2293" t="s">
        <v>7225</v>
      </c>
      <c r="AM2293">
        <v>2400</v>
      </c>
      <c r="AO2293">
        <v>2</v>
      </c>
      <c r="AQ2293" t="s">
        <v>11156</v>
      </c>
      <c r="AR2293" t="s">
        <v>11172</v>
      </c>
      <c r="AU2293">
        <v>2</v>
      </c>
      <c r="AV2293" t="s">
        <v>11186</v>
      </c>
      <c r="AY2293" t="s">
        <v>11214</v>
      </c>
      <c r="AZ2293" t="s">
        <v>11221</v>
      </c>
      <c r="BE2293" t="s">
        <v>12979</v>
      </c>
      <c r="BG2293" t="s">
        <v>14941</v>
      </c>
      <c r="BM2293" t="s">
        <v>15650</v>
      </c>
    </row>
    <row r="2294" spans="1:67">
      <c r="A2294" s="1">
        <f>HYPERLINK("https://lsnyc.legalserver.org/matter/dynamic-profile/view/1901880","19-1901880")</f>
        <v>0</v>
      </c>
      <c r="B2294" t="s">
        <v>151</v>
      </c>
      <c r="C2294" t="s">
        <v>247</v>
      </c>
      <c r="D2294" t="s">
        <v>430</v>
      </c>
      <c r="F2294" t="s">
        <v>2080</v>
      </c>
      <c r="G2294" t="s">
        <v>3869</v>
      </c>
      <c r="H2294" t="s">
        <v>5533</v>
      </c>
      <c r="J2294" t="s">
        <v>7173</v>
      </c>
      <c r="K2294">
        <v>11367</v>
      </c>
      <c r="N2294" t="s">
        <v>7237</v>
      </c>
      <c r="O2294" t="s">
        <v>8718</v>
      </c>
      <c r="P2294">
        <v>1</v>
      </c>
      <c r="Q2294">
        <v>2</v>
      </c>
      <c r="R2294">
        <v>0</v>
      </c>
      <c r="S2294" t="s">
        <v>10254</v>
      </c>
      <c r="T2294" t="s">
        <v>10275</v>
      </c>
      <c r="U2294">
        <v>0</v>
      </c>
      <c r="W2294">
        <v>19.95</v>
      </c>
      <c r="X2294" t="s">
        <v>426</v>
      </c>
      <c r="Y2294" t="s">
        <v>151</v>
      </c>
      <c r="AA2294" t="s">
        <v>10974</v>
      </c>
      <c r="AB2294" t="s">
        <v>701</v>
      </c>
      <c r="AD2294" t="s">
        <v>11083</v>
      </c>
      <c r="AF2294" t="s">
        <v>11118</v>
      </c>
      <c r="AH2294" t="s">
        <v>10975</v>
      </c>
      <c r="AJ2294" t="s">
        <v>11133</v>
      </c>
      <c r="AK2294" t="s">
        <v>11149</v>
      </c>
      <c r="AM2294">
        <v>1900</v>
      </c>
      <c r="AO2294">
        <v>2</v>
      </c>
      <c r="AQ2294" t="s">
        <v>11156</v>
      </c>
      <c r="AS2294" t="s">
        <v>11173</v>
      </c>
      <c r="AU2294">
        <v>4</v>
      </c>
      <c r="AW2294" t="s">
        <v>11190</v>
      </c>
      <c r="AY2294" t="s">
        <v>11213</v>
      </c>
      <c r="BA2294" t="s">
        <v>11222</v>
      </c>
      <c r="BB2294" t="s">
        <v>11224</v>
      </c>
      <c r="BC2294" t="s">
        <v>11236</v>
      </c>
      <c r="BE2294" t="s">
        <v>11236</v>
      </c>
      <c r="BF2294" t="s">
        <v>14364</v>
      </c>
      <c r="BG2294" t="s">
        <v>14942</v>
      </c>
      <c r="BM2294" t="s">
        <v>15650</v>
      </c>
    </row>
    <row r="2295" spans="1:67">
      <c r="A2295" s="1">
        <f>HYPERLINK("https://lsnyc.legalserver.org/matter/dynamic-profile/view/1904943","19-1904943")</f>
        <v>0</v>
      </c>
      <c r="B2295" t="s">
        <v>151</v>
      </c>
      <c r="C2295" t="s">
        <v>247</v>
      </c>
      <c r="D2295" t="s">
        <v>328</v>
      </c>
      <c r="F2295" t="s">
        <v>2081</v>
      </c>
      <c r="G2295" t="s">
        <v>3870</v>
      </c>
      <c r="H2295" t="s">
        <v>5534</v>
      </c>
      <c r="I2295" t="s">
        <v>6407</v>
      </c>
      <c r="J2295" t="s">
        <v>7190</v>
      </c>
      <c r="K2295">
        <v>11377</v>
      </c>
      <c r="N2295" t="s">
        <v>7239</v>
      </c>
      <c r="O2295" t="s">
        <v>8719</v>
      </c>
      <c r="P2295">
        <v>1</v>
      </c>
      <c r="Q2295">
        <v>2</v>
      </c>
      <c r="R2295">
        <v>124.67</v>
      </c>
      <c r="S2295" t="s">
        <v>10254</v>
      </c>
      <c r="T2295" t="s">
        <v>10275</v>
      </c>
      <c r="U2295">
        <v>26592</v>
      </c>
      <c r="W2295">
        <v>5.25</v>
      </c>
      <c r="X2295" t="s">
        <v>422</v>
      </c>
      <c r="Y2295" t="s">
        <v>151</v>
      </c>
      <c r="AA2295" t="s">
        <v>10974</v>
      </c>
      <c r="AB2295" t="s">
        <v>328</v>
      </c>
      <c r="AD2295" t="s">
        <v>11086</v>
      </c>
      <c r="AF2295" t="s">
        <v>10384</v>
      </c>
      <c r="AH2295" t="s">
        <v>10975</v>
      </c>
      <c r="AJ2295" t="s">
        <v>11133</v>
      </c>
      <c r="AK2295" t="s">
        <v>11149</v>
      </c>
      <c r="AM2295">
        <v>400</v>
      </c>
      <c r="AO2295">
        <v>72</v>
      </c>
      <c r="AQ2295" t="s">
        <v>11166</v>
      </c>
      <c r="AS2295" t="s">
        <v>11173</v>
      </c>
      <c r="AU2295">
        <v>-1</v>
      </c>
      <c r="AW2295" t="s">
        <v>11187</v>
      </c>
      <c r="AY2295" t="s">
        <v>11213</v>
      </c>
      <c r="BA2295" t="s">
        <v>11222</v>
      </c>
      <c r="BE2295" t="s">
        <v>12980</v>
      </c>
      <c r="BF2295" t="s">
        <v>14364</v>
      </c>
      <c r="BM2295" t="s">
        <v>15650</v>
      </c>
    </row>
    <row r="2296" spans="1:67">
      <c r="A2296" s="1">
        <f>HYPERLINK("https://lsnyc.legalserver.org/matter/dynamic-profile/view/1898093","19-1898093")</f>
        <v>0</v>
      </c>
      <c r="B2296" t="s">
        <v>151</v>
      </c>
      <c r="C2296" t="s">
        <v>247</v>
      </c>
      <c r="D2296" t="s">
        <v>529</v>
      </c>
      <c r="F2296" t="s">
        <v>1794</v>
      </c>
      <c r="G2296" t="s">
        <v>3582</v>
      </c>
      <c r="H2296" t="s">
        <v>5300</v>
      </c>
      <c r="I2296" t="s">
        <v>6413</v>
      </c>
      <c r="J2296" t="s">
        <v>7188</v>
      </c>
      <c r="K2296">
        <v>11365</v>
      </c>
      <c r="N2296" t="s">
        <v>7239</v>
      </c>
      <c r="O2296" t="s">
        <v>8227</v>
      </c>
      <c r="P2296">
        <v>1</v>
      </c>
      <c r="Q2296">
        <v>2</v>
      </c>
      <c r="R2296">
        <v>58.17</v>
      </c>
      <c r="S2296" t="s">
        <v>10254</v>
      </c>
      <c r="T2296" t="s">
        <v>10275</v>
      </c>
      <c r="U2296">
        <v>12408</v>
      </c>
      <c r="W2296">
        <v>13.65</v>
      </c>
      <c r="X2296" t="s">
        <v>528</v>
      </c>
      <c r="Y2296" t="s">
        <v>151</v>
      </c>
      <c r="AA2296" t="s">
        <v>10974</v>
      </c>
      <c r="AB2296" t="s">
        <v>529</v>
      </c>
      <c r="AD2296" t="s">
        <v>11084</v>
      </c>
      <c r="AF2296" t="s">
        <v>11120</v>
      </c>
      <c r="AH2296" t="s">
        <v>10975</v>
      </c>
      <c r="AJ2296" t="s">
        <v>11133</v>
      </c>
      <c r="AK2296" t="s">
        <v>11149</v>
      </c>
      <c r="AM2296">
        <v>532</v>
      </c>
      <c r="AO2296">
        <v>701</v>
      </c>
      <c r="AQ2296" t="s">
        <v>11166</v>
      </c>
      <c r="AS2296" t="s">
        <v>11173</v>
      </c>
      <c r="AU2296">
        <v>13</v>
      </c>
      <c r="AW2296" t="s">
        <v>11187</v>
      </c>
      <c r="AY2296" t="s">
        <v>11213</v>
      </c>
      <c r="AZ2296" t="s">
        <v>11221</v>
      </c>
      <c r="BC2296" t="s">
        <v>11413</v>
      </c>
      <c r="BE2296" t="s">
        <v>12528</v>
      </c>
      <c r="BF2296" t="s">
        <v>14364</v>
      </c>
      <c r="BM2296" t="s">
        <v>15650</v>
      </c>
    </row>
    <row r="2297" spans="1:67">
      <c r="A2297" s="1">
        <f>HYPERLINK("https://lsnyc.legalserver.org/matter/dynamic-profile/view/1911427","19-1911427")</f>
        <v>0</v>
      </c>
      <c r="B2297" t="s">
        <v>151</v>
      </c>
      <c r="C2297" t="s">
        <v>247</v>
      </c>
      <c r="D2297" t="s">
        <v>601</v>
      </c>
      <c r="F2297" t="s">
        <v>2082</v>
      </c>
      <c r="G2297" t="s">
        <v>3197</v>
      </c>
      <c r="H2297" t="s">
        <v>5535</v>
      </c>
      <c r="I2297" t="s">
        <v>6834</v>
      </c>
      <c r="J2297" t="s">
        <v>7200</v>
      </c>
      <c r="K2297">
        <v>11416</v>
      </c>
      <c r="N2297" t="s">
        <v>7237</v>
      </c>
      <c r="O2297" t="s">
        <v>8720</v>
      </c>
      <c r="P2297">
        <v>1</v>
      </c>
      <c r="Q2297">
        <v>1</v>
      </c>
      <c r="R2297">
        <v>153.76</v>
      </c>
      <c r="S2297" t="s">
        <v>10254</v>
      </c>
      <c r="T2297" t="s">
        <v>10275</v>
      </c>
      <c r="U2297">
        <v>26000</v>
      </c>
      <c r="V2297" t="s">
        <v>10496</v>
      </c>
      <c r="W2297">
        <v>6.3</v>
      </c>
      <c r="X2297" t="s">
        <v>426</v>
      </c>
      <c r="Y2297" t="s">
        <v>151</v>
      </c>
      <c r="Z2297" t="s">
        <v>10973</v>
      </c>
      <c r="AA2297" t="s">
        <v>10975</v>
      </c>
      <c r="AB2297" t="s">
        <v>601</v>
      </c>
      <c r="AD2297" t="s">
        <v>11083</v>
      </c>
      <c r="AF2297" t="s">
        <v>11118</v>
      </c>
      <c r="AH2297" t="s">
        <v>10975</v>
      </c>
      <c r="AJ2297" t="s">
        <v>11133</v>
      </c>
      <c r="AK2297" t="s">
        <v>11149</v>
      </c>
      <c r="AM2297">
        <v>2300</v>
      </c>
      <c r="AO2297">
        <v>3</v>
      </c>
      <c r="AQ2297" t="s">
        <v>11156</v>
      </c>
      <c r="AR2297" t="s">
        <v>11172</v>
      </c>
      <c r="AU2297">
        <v>1</v>
      </c>
      <c r="AW2297" t="s">
        <v>11189</v>
      </c>
      <c r="AY2297" t="s">
        <v>11213</v>
      </c>
      <c r="BA2297" t="s">
        <v>11222</v>
      </c>
      <c r="BD2297" t="s">
        <v>11667</v>
      </c>
      <c r="BG2297" t="s">
        <v>14943</v>
      </c>
      <c r="BK2297" t="s">
        <v>11104</v>
      </c>
      <c r="BM2297" t="s">
        <v>15650</v>
      </c>
    </row>
    <row r="2298" spans="1:67">
      <c r="A2298" s="1">
        <f>HYPERLINK("https://lsnyc.legalserver.org/matter/dynamic-profile/view/1913165","19-1913165")</f>
        <v>0</v>
      </c>
      <c r="B2298" t="s">
        <v>151</v>
      </c>
      <c r="C2298" t="s">
        <v>247</v>
      </c>
      <c r="D2298" t="s">
        <v>801</v>
      </c>
      <c r="F2298" t="s">
        <v>2083</v>
      </c>
      <c r="G2298" t="s">
        <v>3871</v>
      </c>
      <c r="H2298" t="s">
        <v>5536</v>
      </c>
      <c r="J2298" t="s">
        <v>7201</v>
      </c>
      <c r="K2298">
        <v>11378</v>
      </c>
      <c r="N2298" t="s">
        <v>7237</v>
      </c>
      <c r="O2298" t="s">
        <v>8709</v>
      </c>
      <c r="P2298">
        <v>1</v>
      </c>
      <c r="Q2298">
        <v>1</v>
      </c>
      <c r="R2298">
        <v>63.87</v>
      </c>
      <c r="S2298" t="s">
        <v>10254</v>
      </c>
      <c r="T2298" t="s">
        <v>10275</v>
      </c>
      <c r="U2298">
        <v>10800</v>
      </c>
      <c r="W2298">
        <v>3.15</v>
      </c>
      <c r="X2298" t="s">
        <v>297</v>
      </c>
      <c r="Y2298" t="s">
        <v>151</v>
      </c>
      <c r="AA2298" t="s">
        <v>10974</v>
      </c>
      <c r="AB2298" t="s">
        <v>801</v>
      </c>
      <c r="AD2298" t="s">
        <v>11083</v>
      </c>
      <c r="AF2298" t="s">
        <v>10384</v>
      </c>
      <c r="AH2298" t="s">
        <v>10975</v>
      </c>
      <c r="AJ2298" t="s">
        <v>11133</v>
      </c>
      <c r="AK2298" t="s">
        <v>11149</v>
      </c>
      <c r="AM2298">
        <v>800</v>
      </c>
      <c r="AO2298">
        <v>3</v>
      </c>
      <c r="AP2298" t="s">
        <v>11155</v>
      </c>
      <c r="AR2298" t="s">
        <v>11172</v>
      </c>
      <c r="AU2298">
        <v>5</v>
      </c>
      <c r="AW2298" t="s">
        <v>11187</v>
      </c>
      <c r="AY2298" t="s">
        <v>11213</v>
      </c>
      <c r="AZ2298" t="s">
        <v>11221</v>
      </c>
      <c r="BA2298" t="s">
        <v>11173</v>
      </c>
      <c r="BE2298" t="s">
        <v>12981</v>
      </c>
      <c r="BG2298" t="s">
        <v>14944</v>
      </c>
      <c r="BM2298" t="s">
        <v>15650</v>
      </c>
    </row>
    <row r="2299" spans="1:67">
      <c r="A2299" s="1">
        <f>HYPERLINK("https://lsnyc.legalserver.org/matter/dynamic-profile/view/1915642","19-1915642")</f>
        <v>0</v>
      </c>
      <c r="B2299" t="s">
        <v>151</v>
      </c>
      <c r="C2299" t="s">
        <v>247</v>
      </c>
      <c r="D2299" t="s">
        <v>528</v>
      </c>
      <c r="F2299" t="s">
        <v>2084</v>
      </c>
      <c r="G2299" t="s">
        <v>2125</v>
      </c>
      <c r="H2299" t="s">
        <v>5537</v>
      </c>
      <c r="J2299" t="s">
        <v>7177</v>
      </c>
      <c r="K2299">
        <v>11432</v>
      </c>
      <c r="N2299" t="s">
        <v>7237</v>
      </c>
      <c r="O2299" t="s">
        <v>8721</v>
      </c>
      <c r="P2299">
        <v>2</v>
      </c>
      <c r="Q2299">
        <v>1</v>
      </c>
      <c r="R2299">
        <v>187.53</v>
      </c>
      <c r="U2299">
        <v>40000</v>
      </c>
      <c r="W2299">
        <v>1</v>
      </c>
      <c r="X2299" t="s">
        <v>528</v>
      </c>
      <c r="Y2299" t="s">
        <v>151</v>
      </c>
      <c r="AA2299" t="s">
        <v>10974</v>
      </c>
      <c r="AB2299" t="s">
        <v>528</v>
      </c>
      <c r="AD2299" t="s">
        <v>11086</v>
      </c>
      <c r="AF2299" t="s">
        <v>11121</v>
      </c>
      <c r="AH2299" t="s">
        <v>10975</v>
      </c>
      <c r="AJ2299" t="s">
        <v>11133</v>
      </c>
      <c r="AK2299" t="s">
        <v>11149</v>
      </c>
      <c r="AM2299">
        <v>2100</v>
      </c>
      <c r="AO2299">
        <v>24</v>
      </c>
      <c r="AQ2299" t="s">
        <v>11156</v>
      </c>
      <c r="AR2299" t="s">
        <v>11172</v>
      </c>
      <c r="AU2299">
        <v>1</v>
      </c>
      <c r="AW2299" t="s">
        <v>11187</v>
      </c>
      <c r="BA2299" t="s">
        <v>11222</v>
      </c>
      <c r="BE2299" t="s">
        <v>12982</v>
      </c>
      <c r="BF2299" t="s">
        <v>14364</v>
      </c>
      <c r="BM2299" t="s">
        <v>15650</v>
      </c>
    </row>
    <row r="2300" spans="1:67">
      <c r="A2300" s="1">
        <f>HYPERLINK("https://lsnyc.legalserver.org/matter/dynamic-profile/view/1910900","19-1910900")</f>
        <v>0</v>
      </c>
      <c r="B2300" t="s">
        <v>151</v>
      </c>
      <c r="C2300" t="s">
        <v>247</v>
      </c>
      <c r="D2300" t="s">
        <v>384</v>
      </c>
      <c r="F2300" t="s">
        <v>2082</v>
      </c>
      <c r="G2300" t="s">
        <v>3226</v>
      </c>
      <c r="H2300" t="s">
        <v>5538</v>
      </c>
      <c r="I2300" t="s">
        <v>6424</v>
      </c>
      <c r="J2300" t="s">
        <v>7176</v>
      </c>
      <c r="K2300">
        <v>11368</v>
      </c>
      <c r="N2300" t="s">
        <v>7237</v>
      </c>
      <c r="O2300" t="s">
        <v>8722</v>
      </c>
      <c r="P2300">
        <v>1</v>
      </c>
      <c r="Q2300">
        <v>4</v>
      </c>
      <c r="R2300">
        <v>0</v>
      </c>
      <c r="S2300" t="s">
        <v>10254</v>
      </c>
      <c r="T2300" t="s">
        <v>10275</v>
      </c>
      <c r="U2300">
        <v>0</v>
      </c>
      <c r="W2300">
        <v>2.7</v>
      </c>
      <c r="X2300" t="s">
        <v>548</v>
      </c>
      <c r="Y2300" t="s">
        <v>151</v>
      </c>
      <c r="AA2300" t="s">
        <v>10974</v>
      </c>
      <c r="AB2300" t="s">
        <v>384</v>
      </c>
      <c r="AD2300" t="s">
        <v>11086</v>
      </c>
      <c r="AF2300" t="s">
        <v>11119</v>
      </c>
      <c r="AH2300" t="s">
        <v>10975</v>
      </c>
      <c r="AJ2300" t="s">
        <v>11133</v>
      </c>
      <c r="AK2300" t="s">
        <v>11149</v>
      </c>
      <c r="AM2300">
        <v>2000</v>
      </c>
      <c r="AO2300">
        <v>11</v>
      </c>
      <c r="AP2300" t="s">
        <v>11155</v>
      </c>
      <c r="AR2300" t="s">
        <v>11172</v>
      </c>
      <c r="AU2300">
        <v>1</v>
      </c>
      <c r="AW2300" t="s">
        <v>11189</v>
      </c>
      <c r="AZ2300" t="s">
        <v>11221</v>
      </c>
      <c r="BA2300" t="s">
        <v>11173</v>
      </c>
      <c r="BE2300" t="s">
        <v>12983</v>
      </c>
      <c r="BF2300" t="s">
        <v>14364</v>
      </c>
      <c r="BM2300" t="s">
        <v>15650</v>
      </c>
    </row>
    <row r="2301" spans="1:67">
      <c r="A2301" s="1">
        <f>HYPERLINK("https://lsnyc.legalserver.org/matter/dynamic-profile/view/1903528","19-1903528")</f>
        <v>0</v>
      </c>
      <c r="B2301" t="s">
        <v>151</v>
      </c>
      <c r="C2301" t="s">
        <v>247</v>
      </c>
      <c r="D2301" t="s">
        <v>267</v>
      </c>
      <c r="F2301" t="s">
        <v>1493</v>
      </c>
      <c r="G2301" t="s">
        <v>3872</v>
      </c>
      <c r="H2301" t="s">
        <v>5539</v>
      </c>
      <c r="I2301" t="s">
        <v>6835</v>
      </c>
      <c r="J2301" t="s">
        <v>7177</v>
      </c>
      <c r="K2301">
        <v>11436</v>
      </c>
      <c r="N2301" t="s">
        <v>7237</v>
      </c>
      <c r="O2301" t="s">
        <v>8723</v>
      </c>
      <c r="P2301">
        <v>5</v>
      </c>
      <c r="Q2301">
        <v>1</v>
      </c>
      <c r="R2301">
        <v>52.04</v>
      </c>
      <c r="U2301">
        <v>18000</v>
      </c>
      <c r="W2301">
        <v>23.1</v>
      </c>
      <c r="X2301" t="s">
        <v>528</v>
      </c>
      <c r="Y2301" t="s">
        <v>10875</v>
      </c>
      <c r="AA2301" t="s">
        <v>10974</v>
      </c>
      <c r="AB2301" t="s">
        <v>267</v>
      </c>
      <c r="AD2301" t="s">
        <v>11083</v>
      </c>
      <c r="AF2301" t="s">
        <v>11118</v>
      </c>
      <c r="AH2301" t="s">
        <v>10975</v>
      </c>
      <c r="AJ2301" t="s">
        <v>11138</v>
      </c>
      <c r="AK2301" t="s">
        <v>7225</v>
      </c>
      <c r="AM2301">
        <v>1700</v>
      </c>
      <c r="AO2301">
        <v>2</v>
      </c>
      <c r="AQ2301" t="s">
        <v>11161</v>
      </c>
      <c r="AS2301" t="s">
        <v>11174</v>
      </c>
      <c r="AU2301">
        <v>3</v>
      </c>
      <c r="AW2301" t="s">
        <v>11187</v>
      </c>
      <c r="AY2301" t="s">
        <v>11213</v>
      </c>
      <c r="BA2301" t="s">
        <v>11222</v>
      </c>
      <c r="BC2301" t="s">
        <v>11414</v>
      </c>
      <c r="BE2301" t="s">
        <v>12984</v>
      </c>
      <c r="BF2301" t="s">
        <v>14364</v>
      </c>
      <c r="BG2301" t="s">
        <v>14945</v>
      </c>
      <c r="BM2301" t="s">
        <v>15650</v>
      </c>
    </row>
    <row r="2302" spans="1:67">
      <c r="A2302" s="1">
        <f>HYPERLINK("https://lsnyc.legalserver.org/matter/dynamic-profile/view/1913156","19-1913156")</f>
        <v>0</v>
      </c>
      <c r="B2302" t="s">
        <v>151</v>
      </c>
      <c r="C2302" t="s">
        <v>247</v>
      </c>
      <c r="D2302" t="s">
        <v>801</v>
      </c>
      <c r="F2302" t="s">
        <v>1153</v>
      </c>
      <c r="G2302" t="s">
        <v>3873</v>
      </c>
      <c r="H2302" t="s">
        <v>5540</v>
      </c>
      <c r="J2302" t="s">
        <v>7177</v>
      </c>
      <c r="K2302">
        <v>11434</v>
      </c>
      <c r="N2302" t="s">
        <v>7237</v>
      </c>
      <c r="O2302" t="s">
        <v>8724</v>
      </c>
      <c r="P2302">
        <v>1</v>
      </c>
      <c r="Q2302">
        <v>0</v>
      </c>
      <c r="R2302">
        <v>0</v>
      </c>
      <c r="S2302" t="s">
        <v>10254</v>
      </c>
      <c r="T2302" t="s">
        <v>10275</v>
      </c>
      <c r="U2302">
        <v>0</v>
      </c>
      <c r="W2302">
        <v>1.7</v>
      </c>
      <c r="X2302" t="s">
        <v>548</v>
      </c>
      <c r="Y2302" t="s">
        <v>151</v>
      </c>
      <c r="AA2302" t="s">
        <v>10974</v>
      </c>
      <c r="AB2302" t="s">
        <v>801</v>
      </c>
      <c r="AD2302" t="s">
        <v>11083</v>
      </c>
      <c r="AF2302" t="s">
        <v>11119</v>
      </c>
      <c r="AH2302" t="s">
        <v>10975</v>
      </c>
      <c r="AJ2302" t="s">
        <v>11133</v>
      </c>
      <c r="AK2302" t="s">
        <v>11149</v>
      </c>
      <c r="AL2302" t="s">
        <v>11150</v>
      </c>
      <c r="AM2302">
        <v>0</v>
      </c>
      <c r="AO2302">
        <v>2</v>
      </c>
      <c r="AP2302" t="s">
        <v>11155</v>
      </c>
      <c r="AS2302" t="s">
        <v>11174</v>
      </c>
      <c r="AT2302" t="s">
        <v>11184</v>
      </c>
      <c r="AU2302">
        <v>0</v>
      </c>
      <c r="AW2302" t="s">
        <v>11187</v>
      </c>
      <c r="AY2302" t="s">
        <v>11218</v>
      </c>
      <c r="AZ2302" t="s">
        <v>11221</v>
      </c>
      <c r="BA2302" t="s">
        <v>11173</v>
      </c>
      <c r="BE2302" t="s">
        <v>12985</v>
      </c>
      <c r="BG2302" t="s">
        <v>14946</v>
      </c>
      <c r="BM2302" t="s">
        <v>15650</v>
      </c>
    </row>
    <row r="2303" spans="1:67">
      <c r="A2303" s="1">
        <f>HYPERLINK("https://lsnyc.legalserver.org/matter/dynamic-profile/view/1908679","19-1908679")</f>
        <v>0</v>
      </c>
      <c r="B2303" t="s">
        <v>151</v>
      </c>
      <c r="C2303" t="s">
        <v>247</v>
      </c>
      <c r="D2303" t="s">
        <v>421</v>
      </c>
      <c r="F2303" t="s">
        <v>1303</v>
      </c>
      <c r="G2303" t="s">
        <v>3874</v>
      </c>
      <c r="H2303" t="s">
        <v>5541</v>
      </c>
      <c r="J2303" t="s">
        <v>7200</v>
      </c>
      <c r="K2303">
        <v>11416</v>
      </c>
      <c r="N2303" t="s">
        <v>7237</v>
      </c>
      <c r="O2303" t="s">
        <v>8725</v>
      </c>
      <c r="P2303">
        <v>3</v>
      </c>
      <c r="Q2303">
        <v>0</v>
      </c>
      <c r="R2303">
        <v>82.36</v>
      </c>
      <c r="S2303" t="s">
        <v>10254</v>
      </c>
      <c r="T2303" t="s">
        <v>10275</v>
      </c>
      <c r="U2303">
        <v>17568</v>
      </c>
      <c r="W2303">
        <v>1.6</v>
      </c>
      <c r="X2303" t="s">
        <v>265</v>
      </c>
      <c r="Y2303" t="s">
        <v>151</v>
      </c>
      <c r="AA2303" t="s">
        <v>10974</v>
      </c>
      <c r="AB2303" t="s">
        <v>578</v>
      </c>
      <c r="AD2303" t="s">
        <v>11086</v>
      </c>
      <c r="AF2303" t="s">
        <v>11119</v>
      </c>
      <c r="AH2303" t="s">
        <v>10975</v>
      </c>
      <c r="AJ2303" t="s">
        <v>11133</v>
      </c>
      <c r="AK2303" t="s">
        <v>11149</v>
      </c>
      <c r="AM2303">
        <v>880</v>
      </c>
      <c r="AO2303">
        <v>1</v>
      </c>
      <c r="AQ2303" t="s">
        <v>11156</v>
      </c>
      <c r="AS2303" t="s">
        <v>11173</v>
      </c>
      <c r="AU2303">
        <v>20</v>
      </c>
      <c r="AW2303" t="s">
        <v>11187</v>
      </c>
      <c r="AY2303" t="s">
        <v>11213</v>
      </c>
      <c r="BA2303" t="s">
        <v>11222</v>
      </c>
      <c r="BE2303" t="s">
        <v>12986</v>
      </c>
      <c r="BF2303" t="s">
        <v>14364</v>
      </c>
      <c r="BM2303" t="s">
        <v>15650</v>
      </c>
    </row>
    <row r="2304" spans="1:67">
      <c r="A2304" s="1">
        <f>HYPERLINK("https://lsnyc.legalserver.org/matter/dynamic-profile/view/1906517","19-1906517")</f>
        <v>0</v>
      </c>
      <c r="B2304" t="s">
        <v>151</v>
      </c>
      <c r="C2304" t="s">
        <v>247</v>
      </c>
      <c r="D2304" t="s">
        <v>731</v>
      </c>
      <c r="F2304" t="s">
        <v>2085</v>
      </c>
      <c r="G2304" t="s">
        <v>3875</v>
      </c>
      <c r="H2304" t="s">
        <v>4969</v>
      </c>
      <c r="I2304" t="s">
        <v>6836</v>
      </c>
      <c r="J2304" t="s">
        <v>7181</v>
      </c>
      <c r="K2304">
        <v>11101</v>
      </c>
      <c r="N2304" t="s">
        <v>7237</v>
      </c>
      <c r="O2304" t="s">
        <v>8726</v>
      </c>
      <c r="P2304">
        <v>1</v>
      </c>
      <c r="Q2304">
        <v>0</v>
      </c>
      <c r="R2304">
        <v>182.55</v>
      </c>
      <c r="U2304">
        <v>22800</v>
      </c>
      <c r="W2304">
        <v>7.07</v>
      </c>
      <c r="X2304" t="s">
        <v>327</v>
      </c>
      <c r="Y2304" t="s">
        <v>10875</v>
      </c>
      <c r="AA2304" t="s">
        <v>10974</v>
      </c>
      <c r="AB2304" t="s">
        <v>731</v>
      </c>
      <c r="AD2304" t="s">
        <v>11082</v>
      </c>
      <c r="AF2304" t="s">
        <v>11118</v>
      </c>
      <c r="AH2304" t="s">
        <v>10974</v>
      </c>
      <c r="AJ2304" t="s">
        <v>11138</v>
      </c>
      <c r="AK2304" t="s">
        <v>7225</v>
      </c>
      <c r="AM2304">
        <v>1558</v>
      </c>
      <c r="AO2304">
        <v>900</v>
      </c>
      <c r="AQ2304" t="s">
        <v>11157</v>
      </c>
      <c r="AS2304" t="s">
        <v>11177</v>
      </c>
      <c r="AU2304">
        <v>1</v>
      </c>
      <c r="AW2304" t="s">
        <v>11187</v>
      </c>
      <c r="AY2304" t="s">
        <v>11214</v>
      </c>
      <c r="BA2304" t="s">
        <v>11222</v>
      </c>
      <c r="BB2304" t="s">
        <v>11224</v>
      </c>
      <c r="BC2304" t="s">
        <v>11415</v>
      </c>
      <c r="BE2304" t="s">
        <v>12987</v>
      </c>
      <c r="BG2304" t="s">
        <v>14947</v>
      </c>
      <c r="BK2304" t="s">
        <v>11104</v>
      </c>
      <c r="BM2304" t="s">
        <v>15650</v>
      </c>
      <c r="BN2304" t="s">
        <v>15652</v>
      </c>
      <c r="BO2304" t="s">
        <v>15701</v>
      </c>
    </row>
    <row r="2305" spans="1:67">
      <c r="A2305" s="1">
        <f>HYPERLINK("https://lsnyc.legalserver.org/matter/dynamic-profile/view/1907318","19-1907318")</f>
        <v>0</v>
      </c>
      <c r="B2305" t="s">
        <v>151</v>
      </c>
      <c r="C2305" t="s">
        <v>247</v>
      </c>
      <c r="D2305" t="s">
        <v>655</v>
      </c>
      <c r="F2305" t="s">
        <v>1122</v>
      </c>
      <c r="G2305" t="s">
        <v>2962</v>
      </c>
      <c r="H2305" t="s">
        <v>5542</v>
      </c>
      <c r="I2305" t="s">
        <v>6432</v>
      </c>
      <c r="J2305" t="s">
        <v>7178</v>
      </c>
      <c r="K2305">
        <v>11385</v>
      </c>
      <c r="N2305" t="s">
        <v>7237</v>
      </c>
      <c r="O2305" t="s">
        <v>8727</v>
      </c>
      <c r="P2305">
        <v>1</v>
      </c>
      <c r="Q2305">
        <v>3</v>
      </c>
      <c r="R2305">
        <v>96.93000000000001</v>
      </c>
      <c r="S2305" t="s">
        <v>10254</v>
      </c>
      <c r="T2305" t="s">
        <v>10275</v>
      </c>
      <c r="U2305">
        <v>24960</v>
      </c>
      <c r="W2305">
        <v>2.4</v>
      </c>
      <c r="X2305" t="s">
        <v>426</v>
      </c>
      <c r="Y2305" t="s">
        <v>151</v>
      </c>
      <c r="AA2305" t="s">
        <v>10974</v>
      </c>
      <c r="AB2305" t="s">
        <v>655</v>
      </c>
      <c r="AD2305" t="s">
        <v>11097</v>
      </c>
      <c r="AF2305" t="s">
        <v>10384</v>
      </c>
      <c r="AH2305" t="s">
        <v>10975</v>
      </c>
      <c r="AJ2305" t="s">
        <v>11133</v>
      </c>
      <c r="AK2305" t="s">
        <v>11149</v>
      </c>
      <c r="AM2305">
        <v>1734</v>
      </c>
      <c r="AO2305">
        <v>6</v>
      </c>
      <c r="AQ2305" t="s">
        <v>11157</v>
      </c>
      <c r="AS2305" t="s">
        <v>11173</v>
      </c>
      <c r="AU2305">
        <v>4</v>
      </c>
      <c r="AW2305" t="s">
        <v>11189</v>
      </c>
      <c r="AY2305" t="s">
        <v>11218</v>
      </c>
      <c r="BA2305" t="s">
        <v>11222</v>
      </c>
      <c r="BB2305" t="s">
        <v>11224</v>
      </c>
      <c r="BC2305" t="s">
        <v>11236</v>
      </c>
      <c r="BE2305" t="s">
        <v>11236</v>
      </c>
      <c r="BG2305" t="s">
        <v>14948</v>
      </c>
      <c r="BM2305" t="s">
        <v>15650</v>
      </c>
    </row>
    <row r="2306" spans="1:67">
      <c r="A2306" s="1">
        <f>HYPERLINK("https://lsnyc.legalserver.org/matter/dynamic-profile/view/1910966","19-1910966")</f>
        <v>0</v>
      </c>
      <c r="B2306" t="s">
        <v>151</v>
      </c>
      <c r="C2306" t="s">
        <v>247</v>
      </c>
      <c r="D2306" t="s">
        <v>384</v>
      </c>
      <c r="F2306" t="s">
        <v>1237</v>
      </c>
      <c r="G2306" t="s">
        <v>3140</v>
      </c>
      <c r="H2306" t="s">
        <v>5543</v>
      </c>
      <c r="I2306" t="s">
        <v>6837</v>
      </c>
      <c r="J2306" t="s">
        <v>7177</v>
      </c>
      <c r="K2306">
        <v>11435</v>
      </c>
      <c r="N2306" t="s">
        <v>7237</v>
      </c>
      <c r="O2306" t="s">
        <v>8728</v>
      </c>
      <c r="P2306">
        <v>1</v>
      </c>
      <c r="Q2306">
        <v>0</v>
      </c>
      <c r="R2306">
        <v>69.58</v>
      </c>
      <c r="S2306" t="s">
        <v>10254</v>
      </c>
      <c r="T2306" t="s">
        <v>10275</v>
      </c>
      <c r="U2306">
        <v>8690</v>
      </c>
      <c r="W2306">
        <v>1</v>
      </c>
      <c r="X2306" t="s">
        <v>345</v>
      </c>
      <c r="Y2306" t="s">
        <v>151</v>
      </c>
      <c r="AA2306" t="s">
        <v>10974</v>
      </c>
      <c r="AB2306" t="s">
        <v>263</v>
      </c>
      <c r="AD2306" t="s">
        <v>11086</v>
      </c>
      <c r="AF2306" t="s">
        <v>11119</v>
      </c>
      <c r="AH2306" t="s">
        <v>10975</v>
      </c>
      <c r="AJ2306" t="s">
        <v>11133</v>
      </c>
      <c r="AK2306" t="s">
        <v>11149</v>
      </c>
      <c r="AM2306">
        <v>1800</v>
      </c>
      <c r="AO2306">
        <v>2</v>
      </c>
      <c r="AQ2306" t="s">
        <v>11156</v>
      </c>
      <c r="AR2306" t="s">
        <v>11172</v>
      </c>
      <c r="AU2306">
        <v>1</v>
      </c>
      <c r="AW2306" t="s">
        <v>11187</v>
      </c>
      <c r="BA2306" t="s">
        <v>11222</v>
      </c>
      <c r="BE2306" t="s">
        <v>12988</v>
      </c>
      <c r="BF2306" t="s">
        <v>14364</v>
      </c>
      <c r="BM2306" t="s">
        <v>15650</v>
      </c>
    </row>
    <row r="2307" spans="1:67">
      <c r="A2307" s="1">
        <f>HYPERLINK("https://lsnyc.legalserver.org/matter/dynamic-profile/view/1913818","19-1913818")</f>
        <v>0</v>
      </c>
      <c r="B2307" t="s">
        <v>151</v>
      </c>
      <c r="C2307" t="s">
        <v>247</v>
      </c>
      <c r="D2307" t="s">
        <v>735</v>
      </c>
      <c r="F2307" t="s">
        <v>1648</v>
      </c>
      <c r="G2307" t="s">
        <v>3876</v>
      </c>
      <c r="H2307" t="s">
        <v>5544</v>
      </c>
      <c r="I2307" t="s">
        <v>6613</v>
      </c>
      <c r="J2307" t="s">
        <v>7181</v>
      </c>
      <c r="K2307">
        <v>11101</v>
      </c>
      <c r="N2307" t="s">
        <v>7237</v>
      </c>
      <c r="O2307" t="s">
        <v>8729</v>
      </c>
      <c r="P2307">
        <v>2</v>
      </c>
      <c r="Q2307">
        <v>1</v>
      </c>
      <c r="R2307">
        <v>207.22</v>
      </c>
      <c r="T2307" t="s">
        <v>10276</v>
      </c>
      <c r="U2307">
        <v>44200</v>
      </c>
      <c r="W2307">
        <v>3.2</v>
      </c>
      <c r="X2307" t="s">
        <v>426</v>
      </c>
      <c r="Y2307" t="s">
        <v>151</v>
      </c>
      <c r="AA2307" t="s">
        <v>10974</v>
      </c>
      <c r="AB2307" t="s">
        <v>735</v>
      </c>
      <c r="AD2307" t="s">
        <v>11101</v>
      </c>
      <c r="AF2307" t="s">
        <v>10384</v>
      </c>
      <c r="AH2307" t="s">
        <v>10975</v>
      </c>
      <c r="AJ2307" t="s">
        <v>11141</v>
      </c>
      <c r="AK2307" t="s">
        <v>7225</v>
      </c>
      <c r="AM2307">
        <v>1540</v>
      </c>
      <c r="AO2307">
        <v>30</v>
      </c>
      <c r="AQ2307" t="s">
        <v>11157</v>
      </c>
      <c r="AR2307" t="s">
        <v>11172</v>
      </c>
      <c r="AU2307">
        <v>11</v>
      </c>
      <c r="AW2307" t="s">
        <v>11198</v>
      </c>
      <c r="AY2307" t="s">
        <v>11213</v>
      </c>
      <c r="AZ2307" t="s">
        <v>11221</v>
      </c>
      <c r="BE2307" t="s">
        <v>12989</v>
      </c>
      <c r="BG2307" t="s">
        <v>14949</v>
      </c>
      <c r="BM2307" t="s">
        <v>15650</v>
      </c>
    </row>
    <row r="2308" spans="1:67">
      <c r="A2308" s="1">
        <f>HYPERLINK("https://lsnyc.legalserver.org/matter/dynamic-profile/view/1906016","19-1906016")</f>
        <v>0</v>
      </c>
      <c r="B2308" t="s">
        <v>151</v>
      </c>
      <c r="C2308" t="s">
        <v>247</v>
      </c>
      <c r="D2308" t="s">
        <v>394</v>
      </c>
      <c r="F2308" t="s">
        <v>1280</v>
      </c>
      <c r="G2308" t="s">
        <v>3877</v>
      </c>
      <c r="H2308" t="s">
        <v>4815</v>
      </c>
      <c r="I2308" t="s">
        <v>6452</v>
      </c>
      <c r="J2308" t="s">
        <v>7173</v>
      </c>
      <c r="K2308">
        <v>11354</v>
      </c>
      <c r="N2308" t="s">
        <v>7237</v>
      </c>
      <c r="O2308" t="s">
        <v>8730</v>
      </c>
      <c r="P2308">
        <v>3</v>
      </c>
      <c r="Q2308">
        <v>0</v>
      </c>
      <c r="R2308">
        <v>48.38</v>
      </c>
      <c r="U2308">
        <v>10320</v>
      </c>
      <c r="W2308">
        <v>0.4</v>
      </c>
      <c r="X2308" t="s">
        <v>10835</v>
      </c>
      <c r="Y2308" t="s">
        <v>10870</v>
      </c>
      <c r="Z2308" t="s">
        <v>10972</v>
      </c>
      <c r="AA2308" t="s">
        <v>10976</v>
      </c>
      <c r="AD2308" t="s">
        <v>11098</v>
      </c>
      <c r="AF2308" t="s">
        <v>11122</v>
      </c>
      <c r="AH2308" t="s">
        <v>10974</v>
      </c>
      <c r="AJ2308" t="s">
        <v>11144</v>
      </c>
      <c r="AK2308" t="s">
        <v>7225</v>
      </c>
      <c r="AM2308">
        <v>1025</v>
      </c>
      <c r="AO2308">
        <v>91</v>
      </c>
      <c r="AQ2308" t="s">
        <v>11157</v>
      </c>
      <c r="AS2308" t="s">
        <v>11173</v>
      </c>
      <c r="AU2308">
        <v>34</v>
      </c>
      <c r="AW2308" t="s">
        <v>11189</v>
      </c>
      <c r="AY2308" t="s">
        <v>11213</v>
      </c>
      <c r="AZ2308" t="s">
        <v>11221</v>
      </c>
      <c r="BE2308" t="s">
        <v>11236</v>
      </c>
      <c r="BG2308" t="s">
        <v>14401</v>
      </c>
      <c r="BM2308" t="s">
        <v>15650</v>
      </c>
    </row>
    <row r="2309" spans="1:67">
      <c r="A2309" s="1">
        <f>HYPERLINK("https://lsnyc.legalserver.org/matter/dynamic-profile/view/1908743","19-1908743")</f>
        <v>0</v>
      </c>
      <c r="B2309" t="s">
        <v>151</v>
      </c>
      <c r="C2309" t="s">
        <v>247</v>
      </c>
      <c r="D2309" t="s">
        <v>421</v>
      </c>
      <c r="F2309" t="s">
        <v>1868</v>
      </c>
      <c r="G2309" t="s">
        <v>3878</v>
      </c>
      <c r="H2309" t="s">
        <v>5545</v>
      </c>
      <c r="I2309" t="s">
        <v>6551</v>
      </c>
      <c r="J2309" t="s">
        <v>7202</v>
      </c>
      <c r="K2309">
        <v>11104</v>
      </c>
      <c r="N2309" t="s">
        <v>7237</v>
      </c>
      <c r="O2309" t="s">
        <v>8731</v>
      </c>
      <c r="P2309">
        <v>1</v>
      </c>
      <c r="Q2309">
        <v>0</v>
      </c>
      <c r="R2309">
        <v>560.45</v>
      </c>
      <c r="S2309" t="s">
        <v>10254</v>
      </c>
      <c r="T2309" t="s">
        <v>10275</v>
      </c>
      <c r="U2309">
        <v>70000</v>
      </c>
      <c r="W2309">
        <v>1.5</v>
      </c>
      <c r="X2309" t="s">
        <v>265</v>
      </c>
      <c r="Y2309" t="s">
        <v>151</v>
      </c>
      <c r="AA2309" t="s">
        <v>10974</v>
      </c>
      <c r="AB2309" t="s">
        <v>421</v>
      </c>
      <c r="AD2309" t="s">
        <v>11086</v>
      </c>
      <c r="AF2309" t="s">
        <v>11119</v>
      </c>
      <c r="AH2309" t="s">
        <v>10975</v>
      </c>
      <c r="AJ2309" t="s">
        <v>11133</v>
      </c>
      <c r="AK2309" t="s">
        <v>11149</v>
      </c>
      <c r="AM2309">
        <v>2015</v>
      </c>
      <c r="AO2309">
        <v>95</v>
      </c>
      <c r="AQ2309" t="s">
        <v>11157</v>
      </c>
      <c r="AR2309" t="s">
        <v>11172</v>
      </c>
      <c r="AU2309">
        <v>-1</v>
      </c>
      <c r="AW2309" t="s">
        <v>11187</v>
      </c>
      <c r="BA2309" t="s">
        <v>11222</v>
      </c>
      <c r="BE2309" t="s">
        <v>12990</v>
      </c>
      <c r="BF2309" t="s">
        <v>14364</v>
      </c>
      <c r="BM2309" t="s">
        <v>15650</v>
      </c>
    </row>
    <row r="2310" spans="1:67">
      <c r="A2310" s="1">
        <f>HYPERLINK("https://lsnyc.legalserver.org/matter/dynamic-profile/view/1910919","19-1910919")</f>
        <v>0</v>
      </c>
      <c r="B2310" t="s">
        <v>152</v>
      </c>
      <c r="C2310" t="s">
        <v>248</v>
      </c>
      <c r="D2310" t="s">
        <v>384</v>
      </c>
      <c r="F2310" t="s">
        <v>2086</v>
      </c>
      <c r="G2310" t="s">
        <v>3879</v>
      </c>
      <c r="H2310" t="s">
        <v>5546</v>
      </c>
      <c r="I2310" t="s">
        <v>6464</v>
      </c>
      <c r="J2310" t="s">
        <v>7174</v>
      </c>
      <c r="K2310">
        <v>11208</v>
      </c>
      <c r="N2310" t="s">
        <v>7237</v>
      </c>
      <c r="O2310" t="s">
        <v>8732</v>
      </c>
      <c r="P2310">
        <v>1</v>
      </c>
      <c r="Q2310">
        <v>0</v>
      </c>
      <c r="R2310">
        <v>291.43</v>
      </c>
      <c r="U2310">
        <v>36400</v>
      </c>
      <c r="W2310">
        <v>0</v>
      </c>
      <c r="Y2310" t="s">
        <v>101</v>
      </c>
      <c r="Z2310" t="s">
        <v>10972</v>
      </c>
      <c r="AA2310" t="s">
        <v>10975</v>
      </c>
      <c r="AD2310" t="s">
        <v>11083</v>
      </c>
      <c r="AF2310" t="s">
        <v>11121</v>
      </c>
      <c r="AH2310" t="s">
        <v>10975</v>
      </c>
      <c r="AJ2310" t="s">
        <v>11140</v>
      </c>
      <c r="AK2310" t="s">
        <v>7225</v>
      </c>
      <c r="AM2310">
        <v>1300</v>
      </c>
      <c r="AO2310">
        <v>2</v>
      </c>
      <c r="AQ2310" t="s">
        <v>11156</v>
      </c>
      <c r="AS2310" t="s">
        <v>11173</v>
      </c>
      <c r="AU2310">
        <v>1</v>
      </c>
      <c r="AW2310" t="s">
        <v>11187</v>
      </c>
      <c r="AX2310" t="s">
        <v>11212</v>
      </c>
      <c r="AZ2310" t="s">
        <v>11221</v>
      </c>
      <c r="BA2310" t="s">
        <v>11173</v>
      </c>
      <c r="BC2310" t="s">
        <v>11173</v>
      </c>
      <c r="BE2310" t="s">
        <v>12991</v>
      </c>
      <c r="BG2310" t="s">
        <v>14950</v>
      </c>
      <c r="BM2310" t="s">
        <v>15650</v>
      </c>
    </row>
    <row r="2311" spans="1:67">
      <c r="A2311" s="1">
        <f>HYPERLINK("https://lsnyc.legalserver.org/matter/dynamic-profile/view/1911435","19-1911435")</f>
        <v>0</v>
      </c>
      <c r="B2311" t="s">
        <v>152</v>
      </c>
      <c r="C2311" t="s">
        <v>248</v>
      </c>
      <c r="D2311" t="s">
        <v>601</v>
      </c>
      <c r="F2311" t="s">
        <v>1602</v>
      </c>
      <c r="G2311" t="s">
        <v>3504</v>
      </c>
      <c r="H2311" t="s">
        <v>5547</v>
      </c>
      <c r="I2311" t="s">
        <v>6654</v>
      </c>
      <c r="J2311" t="s">
        <v>7174</v>
      </c>
      <c r="K2311">
        <v>11208</v>
      </c>
      <c r="N2311" t="s">
        <v>7237</v>
      </c>
      <c r="O2311" t="s">
        <v>8733</v>
      </c>
      <c r="P2311">
        <v>2</v>
      </c>
      <c r="Q2311">
        <v>1</v>
      </c>
      <c r="R2311">
        <v>146.27</v>
      </c>
      <c r="U2311">
        <v>31200</v>
      </c>
      <c r="W2311">
        <v>0.6</v>
      </c>
      <c r="X2311" t="s">
        <v>601</v>
      </c>
      <c r="Y2311" t="s">
        <v>10911</v>
      </c>
      <c r="Z2311" t="s">
        <v>10972</v>
      </c>
      <c r="AA2311" t="s">
        <v>10975</v>
      </c>
      <c r="AD2311" t="s">
        <v>11083</v>
      </c>
      <c r="AF2311" t="s">
        <v>11121</v>
      </c>
      <c r="AH2311" t="s">
        <v>10975</v>
      </c>
      <c r="AJ2311" t="s">
        <v>11104</v>
      </c>
      <c r="AK2311" t="s">
        <v>7225</v>
      </c>
      <c r="AM2311">
        <v>1300</v>
      </c>
      <c r="AO2311">
        <v>3</v>
      </c>
      <c r="AQ2311" t="s">
        <v>11156</v>
      </c>
      <c r="AS2311" t="s">
        <v>11173</v>
      </c>
      <c r="AU2311">
        <v>2</v>
      </c>
      <c r="AW2311" t="s">
        <v>11189</v>
      </c>
      <c r="AY2311" t="s">
        <v>11213</v>
      </c>
      <c r="AZ2311" t="s">
        <v>11221</v>
      </c>
      <c r="BA2311" t="s">
        <v>11173</v>
      </c>
      <c r="BC2311" t="s">
        <v>11228</v>
      </c>
      <c r="BE2311" t="s">
        <v>11236</v>
      </c>
      <c r="BG2311" t="s">
        <v>14951</v>
      </c>
      <c r="BM2311" t="s">
        <v>15650</v>
      </c>
    </row>
    <row r="2312" spans="1:67">
      <c r="A2312" s="1">
        <f>HYPERLINK("https://lsnyc.legalserver.org/matter/dynamic-profile/view/1895303","19-1895303")</f>
        <v>0</v>
      </c>
      <c r="B2312" t="s">
        <v>152</v>
      </c>
      <c r="C2312" t="s">
        <v>248</v>
      </c>
      <c r="D2312" t="s">
        <v>299</v>
      </c>
      <c r="F2312" t="s">
        <v>1855</v>
      </c>
      <c r="G2312" t="s">
        <v>3652</v>
      </c>
      <c r="H2312" t="s">
        <v>5368</v>
      </c>
      <c r="I2312" t="s">
        <v>6412</v>
      </c>
      <c r="J2312" t="s">
        <v>7174</v>
      </c>
      <c r="K2312">
        <v>11213</v>
      </c>
      <c r="N2312" t="s">
        <v>7242</v>
      </c>
      <c r="O2312" t="s">
        <v>8326</v>
      </c>
      <c r="P2312">
        <v>4</v>
      </c>
      <c r="Q2312">
        <v>0</v>
      </c>
      <c r="R2312">
        <v>186.06</v>
      </c>
      <c r="U2312">
        <v>47909.8</v>
      </c>
      <c r="W2312">
        <v>105.3</v>
      </c>
      <c r="X2312" t="s">
        <v>301</v>
      </c>
      <c r="Y2312" t="s">
        <v>101</v>
      </c>
      <c r="AA2312" t="s">
        <v>10974</v>
      </c>
      <c r="AB2312" t="s">
        <v>299</v>
      </c>
      <c r="AD2312" t="s">
        <v>11097</v>
      </c>
      <c r="AF2312" t="s">
        <v>11123</v>
      </c>
      <c r="AH2312" t="s">
        <v>10974</v>
      </c>
      <c r="AJ2312" t="s">
        <v>11144</v>
      </c>
      <c r="AK2312" t="s">
        <v>7225</v>
      </c>
      <c r="AM2312">
        <v>1507.16</v>
      </c>
      <c r="AO2312">
        <v>19</v>
      </c>
      <c r="AQ2312" t="s">
        <v>11157</v>
      </c>
      <c r="AS2312" t="s">
        <v>11174</v>
      </c>
      <c r="AU2312">
        <v>22</v>
      </c>
      <c r="AW2312" t="s">
        <v>11187</v>
      </c>
      <c r="AY2312" t="s">
        <v>11213</v>
      </c>
      <c r="AZ2312" t="s">
        <v>11221</v>
      </c>
      <c r="BE2312" t="s">
        <v>12617</v>
      </c>
      <c r="BG2312" t="s">
        <v>14393</v>
      </c>
      <c r="BM2312" t="s">
        <v>15650</v>
      </c>
    </row>
    <row r="2313" spans="1:67">
      <c r="A2313" s="1">
        <f>HYPERLINK("https://lsnyc.legalserver.org/matter/dynamic-profile/view/1899623","19-1899623")</f>
        <v>0</v>
      </c>
      <c r="B2313" t="s">
        <v>152</v>
      </c>
      <c r="C2313" t="s">
        <v>246</v>
      </c>
      <c r="D2313" t="s">
        <v>431</v>
      </c>
      <c r="F2313" t="s">
        <v>1383</v>
      </c>
      <c r="G2313" t="s">
        <v>3036</v>
      </c>
      <c r="H2313" t="s">
        <v>5548</v>
      </c>
      <c r="I2313" t="s">
        <v>6425</v>
      </c>
      <c r="J2313" t="s">
        <v>7170</v>
      </c>
      <c r="K2313">
        <v>10456</v>
      </c>
      <c r="N2313" t="s">
        <v>7237</v>
      </c>
      <c r="O2313" t="s">
        <v>8734</v>
      </c>
      <c r="P2313">
        <v>1</v>
      </c>
      <c r="Q2313">
        <v>0</v>
      </c>
      <c r="R2313">
        <v>120.96</v>
      </c>
      <c r="U2313">
        <v>15108</v>
      </c>
      <c r="W2313">
        <v>0</v>
      </c>
      <c r="Y2313" t="s">
        <v>10865</v>
      </c>
      <c r="AA2313" t="s">
        <v>10974</v>
      </c>
      <c r="AB2313" t="s">
        <v>10979</v>
      </c>
      <c r="AD2313" t="s">
        <v>11086</v>
      </c>
      <c r="AF2313" t="s">
        <v>11119</v>
      </c>
      <c r="AH2313" t="s">
        <v>10975</v>
      </c>
      <c r="AJ2313" t="s">
        <v>11134</v>
      </c>
      <c r="AK2313" t="s">
        <v>7225</v>
      </c>
      <c r="AM2313">
        <v>879</v>
      </c>
      <c r="AO2313">
        <v>46</v>
      </c>
      <c r="AQ2313" t="s">
        <v>11156</v>
      </c>
      <c r="AS2313" t="s">
        <v>11173</v>
      </c>
      <c r="AU2313">
        <v>30</v>
      </c>
      <c r="AW2313" t="s">
        <v>11189</v>
      </c>
      <c r="BA2313" t="s">
        <v>11222</v>
      </c>
      <c r="BE2313" t="s">
        <v>12992</v>
      </c>
      <c r="BF2313" t="s">
        <v>14364</v>
      </c>
      <c r="BM2313" t="s">
        <v>15650</v>
      </c>
    </row>
    <row r="2314" spans="1:67">
      <c r="A2314" s="1">
        <f>HYPERLINK("https://lsnyc.legalserver.org/matter/dynamic-profile/view/1899593","19-1899593")</f>
        <v>0</v>
      </c>
      <c r="B2314" t="s">
        <v>152</v>
      </c>
      <c r="C2314" t="s">
        <v>246</v>
      </c>
      <c r="D2314" t="s">
        <v>431</v>
      </c>
      <c r="F2314" t="s">
        <v>1122</v>
      </c>
      <c r="G2314" t="s">
        <v>2884</v>
      </c>
      <c r="H2314" t="s">
        <v>5549</v>
      </c>
      <c r="I2314">
        <v>6</v>
      </c>
      <c r="J2314" t="s">
        <v>7170</v>
      </c>
      <c r="K2314">
        <v>10452</v>
      </c>
      <c r="N2314" t="s">
        <v>7237</v>
      </c>
      <c r="O2314" t="s">
        <v>8735</v>
      </c>
      <c r="P2314">
        <v>3</v>
      </c>
      <c r="Q2314">
        <v>1</v>
      </c>
      <c r="R2314">
        <v>91.68000000000001</v>
      </c>
      <c r="U2314">
        <v>23608</v>
      </c>
      <c r="W2314">
        <v>0.25</v>
      </c>
      <c r="X2314" t="s">
        <v>314</v>
      </c>
      <c r="Y2314" t="s">
        <v>10865</v>
      </c>
      <c r="AA2314" t="s">
        <v>10974</v>
      </c>
      <c r="AB2314" t="s">
        <v>10979</v>
      </c>
      <c r="AD2314" t="s">
        <v>11093</v>
      </c>
      <c r="AF2314" t="s">
        <v>11119</v>
      </c>
      <c r="AH2314" t="s">
        <v>10975</v>
      </c>
      <c r="AJ2314" t="s">
        <v>11134</v>
      </c>
      <c r="AK2314" t="s">
        <v>7225</v>
      </c>
      <c r="AM2314">
        <v>2000</v>
      </c>
      <c r="AO2314">
        <v>2</v>
      </c>
      <c r="AQ2314" t="s">
        <v>11164</v>
      </c>
      <c r="AS2314" t="s">
        <v>11173</v>
      </c>
      <c r="AU2314">
        <v>1</v>
      </c>
      <c r="AW2314" t="s">
        <v>11189</v>
      </c>
      <c r="BA2314" t="s">
        <v>11222</v>
      </c>
      <c r="BD2314" t="s">
        <v>11667</v>
      </c>
      <c r="BF2314" t="s">
        <v>14364</v>
      </c>
      <c r="BM2314" t="s">
        <v>15650</v>
      </c>
    </row>
    <row r="2315" spans="1:67">
      <c r="A2315" s="1">
        <f>HYPERLINK("https://lsnyc.legalserver.org/matter/dynamic-profile/view/1890017","19-1890017")</f>
        <v>0</v>
      </c>
      <c r="B2315" t="s">
        <v>152</v>
      </c>
      <c r="C2315" t="s">
        <v>246</v>
      </c>
      <c r="D2315" t="s">
        <v>482</v>
      </c>
      <c r="F2315" t="s">
        <v>1705</v>
      </c>
      <c r="G2315" t="s">
        <v>3481</v>
      </c>
      <c r="H2315" t="s">
        <v>5235</v>
      </c>
      <c r="I2315">
        <v>3</v>
      </c>
      <c r="J2315" t="s">
        <v>7170</v>
      </c>
      <c r="K2315">
        <v>10462</v>
      </c>
      <c r="N2315" t="s">
        <v>7237</v>
      </c>
      <c r="O2315" t="s">
        <v>8069</v>
      </c>
      <c r="P2315">
        <v>1</v>
      </c>
      <c r="Q2315">
        <v>0</v>
      </c>
      <c r="R2315">
        <v>101.75</v>
      </c>
      <c r="U2315">
        <v>12708</v>
      </c>
      <c r="V2315" t="s">
        <v>10497</v>
      </c>
      <c r="W2315">
        <v>2</v>
      </c>
      <c r="X2315" t="s">
        <v>306</v>
      </c>
      <c r="Y2315" t="s">
        <v>10904</v>
      </c>
      <c r="AA2315" t="s">
        <v>10974</v>
      </c>
      <c r="AB2315" t="s">
        <v>482</v>
      </c>
      <c r="AD2315" t="s">
        <v>11085</v>
      </c>
      <c r="AF2315" t="s">
        <v>10384</v>
      </c>
      <c r="AG2315" t="s">
        <v>11124</v>
      </c>
      <c r="AI2315" t="s">
        <v>11126</v>
      </c>
      <c r="AK2315" t="s">
        <v>7225</v>
      </c>
      <c r="AM2315">
        <v>800</v>
      </c>
      <c r="AN2315" t="s">
        <v>11151</v>
      </c>
      <c r="AO2315" t="s">
        <v>11153</v>
      </c>
      <c r="AP2315" t="s">
        <v>11155</v>
      </c>
      <c r="AS2315" t="s">
        <v>11178</v>
      </c>
      <c r="AU2315">
        <v>1</v>
      </c>
      <c r="AW2315" t="s">
        <v>11187</v>
      </c>
      <c r="BA2315" t="s">
        <v>11222</v>
      </c>
      <c r="BE2315" t="s">
        <v>12385</v>
      </c>
      <c r="BG2315" t="s">
        <v>14952</v>
      </c>
      <c r="BM2315" t="s">
        <v>15650</v>
      </c>
    </row>
    <row r="2316" spans="1:67">
      <c r="A2316" s="1">
        <f>HYPERLINK("https://lsnyc.legalserver.org/matter/dynamic-profile/view/1833135","17-1833135")</f>
        <v>0</v>
      </c>
      <c r="B2316" t="s">
        <v>152</v>
      </c>
      <c r="C2316" t="s">
        <v>246</v>
      </c>
      <c r="D2316" t="s">
        <v>390</v>
      </c>
      <c r="F2316" t="s">
        <v>1239</v>
      </c>
      <c r="G2316" t="s">
        <v>3880</v>
      </c>
      <c r="H2316" t="s">
        <v>5550</v>
      </c>
      <c r="I2316" t="s">
        <v>6440</v>
      </c>
      <c r="J2316" t="s">
        <v>7170</v>
      </c>
      <c r="K2316">
        <v>10467</v>
      </c>
      <c r="N2316" t="s">
        <v>7244</v>
      </c>
      <c r="O2316" t="s">
        <v>8736</v>
      </c>
      <c r="P2316">
        <v>2</v>
      </c>
      <c r="Q2316">
        <v>0</v>
      </c>
      <c r="R2316">
        <v>128.27</v>
      </c>
      <c r="U2316">
        <v>23626</v>
      </c>
      <c r="W2316">
        <v>648.15</v>
      </c>
      <c r="X2316" t="s">
        <v>334</v>
      </c>
      <c r="Y2316" t="s">
        <v>10900</v>
      </c>
      <c r="AA2316" t="s">
        <v>10974</v>
      </c>
      <c r="AB2316" t="s">
        <v>694</v>
      </c>
      <c r="AD2316" t="s">
        <v>11109</v>
      </c>
      <c r="AF2316" t="s">
        <v>11123</v>
      </c>
      <c r="AH2316" t="s">
        <v>10975</v>
      </c>
      <c r="AJ2316" t="s">
        <v>11129</v>
      </c>
      <c r="AK2316" t="s">
        <v>7225</v>
      </c>
      <c r="AM2316">
        <v>983.34</v>
      </c>
      <c r="AN2316" t="s">
        <v>11151</v>
      </c>
      <c r="AO2316" t="s">
        <v>11153</v>
      </c>
      <c r="AQ2316" t="s">
        <v>11157</v>
      </c>
      <c r="AS2316" t="s">
        <v>11175</v>
      </c>
      <c r="AU2316">
        <v>9</v>
      </c>
      <c r="AW2316" t="s">
        <v>11187</v>
      </c>
      <c r="AZ2316" t="s">
        <v>11221</v>
      </c>
      <c r="BE2316" t="s">
        <v>12993</v>
      </c>
      <c r="BF2316" t="s">
        <v>14364</v>
      </c>
      <c r="BM2316" t="s">
        <v>15650</v>
      </c>
    </row>
    <row r="2317" spans="1:67">
      <c r="A2317" s="1">
        <f>HYPERLINK("https://lsnyc.legalserver.org/matter/dynamic-profile/view/1900959","19-1900959")</f>
        <v>0</v>
      </c>
      <c r="B2317" t="s">
        <v>152</v>
      </c>
      <c r="C2317" t="s">
        <v>248</v>
      </c>
      <c r="D2317" t="s">
        <v>268</v>
      </c>
      <c r="F2317" t="s">
        <v>1869</v>
      </c>
      <c r="G2317" t="s">
        <v>3125</v>
      </c>
      <c r="H2317" t="s">
        <v>5368</v>
      </c>
      <c r="I2317" t="s">
        <v>6410</v>
      </c>
      <c r="J2317" t="s">
        <v>7174</v>
      </c>
      <c r="K2317">
        <v>11213</v>
      </c>
      <c r="N2317" t="s">
        <v>7242</v>
      </c>
      <c r="O2317" t="s">
        <v>8357</v>
      </c>
      <c r="P2317">
        <v>2</v>
      </c>
      <c r="Q2317">
        <v>1</v>
      </c>
      <c r="R2317">
        <v>118.97</v>
      </c>
      <c r="U2317">
        <v>25376</v>
      </c>
      <c r="V2317" t="s">
        <v>10498</v>
      </c>
      <c r="W2317">
        <v>0.5</v>
      </c>
      <c r="X2317" t="s">
        <v>328</v>
      </c>
      <c r="Y2317" t="s">
        <v>225</v>
      </c>
      <c r="AA2317" t="s">
        <v>10974</v>
      </c>
      <c r="AB2317" t="s">
        <v>800</v>
      </c>
      <c r="AD2317" t="s">
        <v>11097</v>
      </c>
      <c r="AF2317" t="s">
        <v>11123</v>
      </c>
      <c r="AH2317" t="s">
        <v>10974</v>
      </c>
      <c r="AI2317" t="s">
        <v>11126</v>
      </c>
      <c r="AK2317" t="s">
        <v>7225</v>
      </c>
      <c r="AM2317">
        <v>560</v>
      </c>
      <c r="AO2317">
        <v>19</v>
      </c>
      <c r="AQ2317" t="s">
        <v>11157</v>
      </c>
      <c r="AS2317" t="s">
        <v>11173</v>
      </c>
      <c r="AU2317">
        <v>18</v>
      </c>
      <c r="AW2317" t="s">
        <v>11187</v>
      </c>
      <c r="BA2317" t="s">
        <v>11222</v>
      </c>
      <c r="BE2317" t="s">
        <v>12645</v>
      </c>
      <c r="BF2317" t="s">
        <v>14364</v>
      </c>
      <c r="BG2317" t="s">
        <v>14396</v>
      </c>
      <c r="BM2317" t="s">
        <v>15650</v>
      </c>
    </row>
    <row r="2318" spans="1:67">
      <c r="A2318" s="1">
        <f>HYPERLINK("https://lsnyc.legalserver.org/matter/dynamic-profile/view/0795762","16-0795762")</f>
        <v>0</v>
      </c>
      <c r="B2318" t="s">
        <v>152</v>
      </c>
      <c r="C2318" t="s">
        <v>246</v>
      </c>
      <c r="D2318" t="s">
        <v>867</v>
      </c>
      <c r="F2318" t="s">
        <v>1122</v>
      </c>
      <c r="G2318" t="s">
        <v>3152</v>
      </c>
      <c r="H2318" t="s">
        <v>5551</v>
      </c>
      <c r="I2318" t="s">
        <v>6409</v>
      </c>
      <c r="J2318" t="s">
        <v>7170</v>
      </c>
      <c r="K2318">
        <v>10453</v>
      </c>
      <c r="N2318" t="s">
        <v>7237</v>
      </c>
      <c r="O2318" t="s">
        <v>8737</v>
      </c>
      <c r="P2318">
        <v>2</v>
      </c>
      <c r="Q2318">
        <v>0</v>
      </c>
      <c r="R2318">
        <v>67.8</v>
      </c>
      <c r="U2318">
        <v>10800</v>
      </c>
      <c r="W2318">
        <v>317.65</v>
      </c>
      <c r="X2318" t="s">
        <v>432</v>
      </c>
      <c r="Y2318" t="s">
        <v>10888</v>
      </c>
      <c r="AA2318" t="s">
        <v>10974</v>
      </c>
      <c r="AB2318" t="s">
        <v>10996</v>
      </c>
      <c r="AD2318" t="s">
        <v>11082</v>
      </c>
      <c r="AF2318" t="s">
        <v>11118</v>
      </c>
      <c r="AG2318" t="s">
        <v>11124</v>
      </c>
      <c r="AJ2318" t="s">
        <v>11136</v>
      </c>
      <c r="AK2318" t="s">
        <v>7225</v>
      </c>
      <c r="AM2318">
        <v>652</v>
      </c>
      <c r="AN2318" t="s">
        <v>11151</v>
      </c>
      <c r="AO2318" t="s">
        <v>11153</v>
      </c>
      <c r="AQ2318" t="s">
        <v>11157</v>
      </c>
      <c r="AS2318" t="s">
        <v>11175</v>
      </c>
      <c r="AU2318">
        <v>45</v>
      </c>
      <c r="AW2318" t="s">
        <v>11189</v>
      </c>
      <c r="AZ2318" t="s">
        <v>11221</v>
      </c>
      <c r="BE2318" t="s">
        <v>12994</v>
      </c>
      <c r="BG2318" t="s">
        <v>14953</v>
      </c>
      <c r="BI2318" t="s">
        <v>15611</v>
      </c>
      <c r="BK2318" t="s">
        <v>15620</v>
      </c>
      <c r="BM2318" t="s">
        <v>15650</v>
      </c>
      <c r="BN2318" t="s">
        <v>15652</v>
      </c>
      <c r="BO2318" t="s">
        <v>15702</v>
      </c>
    </row>
    <row r="2319" spans="1:67">
      <c r="A2319" s="1">
        <f>HYPERLINK("https://lsnyc.legalserver.org/matter/dynamic-profile/view/1886946","19-1886946")</f>
        <v>0</v>
      </c>
      <c r="B2319" t="s">
        <v>152</v>
      </c>
      <c r="C2319" t="s">
        <v>246</v>
      </c>
      <c r="D2319" t="s">
        <v>621</v>
      </c>
      <c r="F2319" t="s">
        <v>2087</v>
      </c>
      <c r="G2319" t="s">
        <v>3115</v>
      </c>
      <c r="H2319" t="s">
        <v>4848</v>
      </c>
      <c r="I2319" t="s">
        <v>6838</v>
      </c>
      <c r="J2319" t="s">
        <v>7170</v>
      </c>
      <c r="K2319">
        <v>10457</v>
      </c>
      <c r="N2319" t="s">
        <v>7237</v>
      </c>
      <c r="O2319" t="s">
        <v>8738</v>
      </c>
      <c r="P2319">
        <v>2</v>
      </c>
      <c r="Q2319">
        <v>0</v>
      </c>
      <c r="R2319">
        <v>61.36</v>
      </c>
      <c r="U2319">
        <v>10100</v>
      </c>
      <c r="W2319">
        <v>3.35</v>
      </c>
      <c r="X2319" t="s">
        <v>354</v>
      </c>
      <c r="Y2319" t="s">
        <v>10864</v>
      </c>
      <c r="AA2319" t="s">
        <v>10974</v>
      </c>
      <c r="AB2319" t="s">
        <v>621</v>
      </c>
      <c r="AD2319" t="s">
        <v>11102</v>
      </c>
      <c r="AF2319" t="s">
        <v>11119</v>
      </c>
      <c r="AH2319" t="s">
        <v>10975</v>
      </c>
      <c r="AJ2319" t="s">
        <v>11138</v>
      </c>
      <c r="AK2319" t="s">
        <v>7225</v>
      </c>
      <c r="AM2319">
        <v>1100</v>
      </c>
      <c r="AO2319">
        <v>300</v>
      </c>
      <c r="AQ2319" t="s">
        <v>11164</v>
      </c>
      <c r="AR2319" t="s">
        <v>11172</v>
      </c>
      <c r="AT2319" t="s">
        <v>11184</v>
      </c>
      <c r="AU2319">
        <v>0</v>
      </c>
      <c r="AW2319" t="s">
        <v>11189</v>
      </c>
      <c r="AY2319" t="s">
        <v>11218</v>
      </c>
      <c r="AZ2319" t="s">
        <v>11221</v>
      </c>
      <c r="BE2319" t="s">
        <v>12995</v>
      </c>
      <c r="BG2319" t="s">
        <v>14954</v>
      </c>
      <c r="BM2319" t="s">
        <v>15650</v>
      </c>
    </row>
    <row r="2320" spans="1:67">
      <c r="A2320" s="1">
        <f>HYPERLINK("https://lsnyc.legalserver.org/matter/dynamic-profile/view/0797188","16-0797188")</f>
        <v>0</v>
      </c>
      <c r="B2320" t="s">
        <v>152</v>
      </c>
      <c r="C2320" t="s">
        <v>246</v>
      </c>
      <c r="D2320" t="s">
        <v>868</v>
      </c>
      <c r="F2320" t="s">
        <v>2088</v>
      </c>
      <c r="G2320" t="s">
        <v>2962</v>
      </c>
      <c r="H2320" t="s">
        <v>4975</v>
      </c>
      <c r="I2320" t="s">
        <v>6839</v>
      </c>
      <c r="J2320" t="s">
        <v>7170</v>
      </c>
      <c r="K2320">
        <v>10452</v>
      </c>
      <c r="N2320" t="s">
        <v>7237</v>
      </c>
      <c r="O2320" t="s">
        <v>8739</v>
      </c>
      <c r="P2320">
        <v>2</v>
      </c>
      <c r="Q2320">
        <v>0</v>
      </c>
      <c r="R2320">
        <v>169.49</v>
      </c>
      <c r="U2320">
        <v>27000</v>
      </c>
      <c r="W2320">
        <v>336.08</v>
      </c>
      <c r="X2320" t="s">
        <v>638</v>
      </c>
      <c r="Y2320" t="s">
        <v>138</v>
      </c>
      <c r="AA2320" t="s">
        <v>10974</v>
      </c>
      <c r="AB2320" t="s">
        <v>10996</v>
      </c>
      <c r="AD2320" t="s">
        <v>11082</v>
      </c>
      <c r="AF2320" t="s">
        <v>11118</v>
      </c>
      <c r="AH2320" t="s">
        <v>10975</v>
      </c>
      <c r="AJ2320" t="s">
        <v>11141</v>
      </c>
      <c r="AK2320" t="s">
        <v>7225</v>
      </c>
      <c r="AM2320">
        <v>1495</v>
      </c>
      <c r="AN2320" t="s">
        <v>11151</v>
      </c>
      <c r="AO2320" t="s">
        <v>11153</v>
      </c>
      <c r="AQ2320" t="s">
        <v>11157</v>
      </c>
      <c r="AS2320" t="s">
        <v>11174</v>
      </c>
      <c r="AU2320">
        <v>8</v>
      </c>
      <c r="AW2320" t="s">
        <v>11187</v>
      </c>
      <c r="AZ2320" t="s">
        <v>11221</v>
      </c>
      <c r="BE2320" t="s">
        <v>12996</v>
      </c>
      <c r="BG2320" t="s">
        <v>14955</v>
      </c>
      <c r="BM2320" t="s">
        <v>15650</v>
      </c>
    </row>
    <row r="2321" spans="1:67">
      <c r="A2321" s="1">
        <f>HYPERLINK("https://lsnyc.legalserver.org/matter/dynamic-profile/view/0810651","16-0810651")</f>
        <v>0</v>
      </c>
      <c r="B2321" t="s">
        <v>152</v>
      </c>
      <c r="C2321" t="s">
        <v>246</v>
      </c>
      <c r="D2321" t="s">
        <v>283</v>
      </c>
      <c r="F2321" t="s">
        <v>1149</v>
      </c>
      <c r="G2321" t="s">
        <v>3881</v>
      </c>
      <c r="H2321" t="s">
        <v>5552</v>
      </c>
      <c r="I2321" t="s">
        <v>6573</v>
      </c>
      <c r="J2321" t="s">
        <v>7170</v>
      </c>
      <c r="K2321">
        <v>10453</v>
      </c>
      <c r="N2321" t="s">
        <v>7237</v>
      </c>
      <c r="O2321" t="s">
        <v>7255</v>
      </c>
      <c r="P2321">
        <v>1</v>
      </c>
      <c r="Q2321">
        <v>0</v>
      </c>
      <c r="R2321">
        <v>98.43000000000001</v>
      </c>
      <c r="U2321">
        <v>11693.76</v>
      </c>
      <c r="W2321">
        <v>129.7</v>
      </c>
      <c r="X2321" t="s">
        <v>472</v>
      </c>
      <c r="Y2321" t="s">
        <v>185</v>
      </c>
      <c r="AA2321" t="s">
        <v>10974</v>
      </c>
      <c r="AB2321" t="s">
        <v>283</v>
      </c>
      <c r="AD2321" t="s">
        <v>11082</v>
      </c>
      <c r="AF2321" t="s">
        <v>11118</v>
      </c>
      <c r="AG2321" t="s">
        <v>11124</v>
      </c>
      <c r="AJ2321" t="s">
        <v>11141</v>
      </c>
      <c r="AK2321" t="s">
        <v>7225</v>
      </c>
      <c r="AM2321">
        <v>964.97</v>
      </c>
      <c r="AO2321">
        <v>71</v>
      </c>
      <c r="AQ2321" t="s">
        <v>11157</v>
      </c>
      <c r="AS2321" t="s">
        <v>11175</v>
      </c>
      <c r="AU2321">
        <v>12</v>
      </c>
      <c r="AW2321" t="s">
        <v>11189</v>
      </c>
      <c r="AZ2321" t="s">
        <v>11221</v>
      </c>
      <c r="BE2321" t="s">
        <v>12997</v>
      </c>
      <c r="BG2321" t="s">
        <v>14956</v>
      </c>
      <c r="BM2321" t="s">
        <v>15650</v>
      </c>
    </row>
    <row r="2322" spans="1:67">
      <c r="A2322" s="1">
        <f>HYPERLINK("https://lsnyc.legalserver.org/matter/dynamic-profile/view/0803743","16-0803743")</f>
        <v>0</v>
      </c>
      <c r="B2322" t="s">
        <v>152</v>
      </c>
      <c r="C2322" t="s">
        <v>246</v>
      </c>
      <c r="D2322" t="s">
        <v>869</v>
      </c>
      <c r="F2322" t="s">
        <v>1101</v>
      </c>
      <c r="G2322" t="s">
        <v>2962</v>
      </c>
      <c r="H2322" t="s">
        <v>5553</v>
      </c>
      <c r="I2322" t="s">
        <v>6425</v>
      </c>
      <c r="J2322" t="s">
        <v>7170</v>
      </c>
      <c r="K2322">
        <v>10452</v>
      </c>
      <c r="N2322" t="s">
        <v>7237</v>
      </c>
      <c r="O2322" t="s">
        <v>8740</v>
      </c>
      <c r="P2322">
        <v>1</v>
      </c>
      <c r="Q2322">
        <v>0</v>
      </c>
      <c r="R2322">
        <v>20</v>
      </c>
      <c r="U2322">
        <v>2376</v>
      </c>
      <c r="W2322">
        <v>10.1</v>
      </c>
      <c r="X2322" t="s">
        <v>466</v>
      </c>
      <c r="Y2322" t="s">
        <v>10868</v>
      </c>
      <c r="AA2322" t="s">
        <v>10974</v>
      </c>
      <c r="AB2322" t="s">
        <v>11045</v>
      </c>
      <c r="AD2322" t="s">
        <v>11083</v>
      </c>
      <c r="AF2322" t="s">
        <v>11118</v>
      </c>
      <c r="AG2322" t="s">
        <v>11124</v>
      </c>
      <c r="AJ2322" t="s">
        <v>11130</v>
      </c>
      <c r="AK2322" t="s">
        <v>7225</v>
      </c>
      <c r="AM2322">
        <v>1309</v>
      </c>
      <c r="AO2322">
        <v>24</v>
      </c>
      <c r="AQ2322" t="s">
        <v>11157</v>
      </c>
      <c r="AS2322" t="s">
        <v>11173</v>
      </c>
      <c r="AU2322">
        <v>2</v>
      </c>
      <c r="AW2322" t="s">
        <v>11187</v>
      </c>
      <c r="AZ2322" t="s">
        <v>11221</v>
      </c>
      <c r="BE2322" t="s">
        <v>12998</v>
      </c>
      <c r="BG2322" t="s">
        <v>14957</v>
      </c>
      <c r="BM2322" t="s">
        <v>15650</v>
      </c>
      <c r="BO2322" t="s">
        <v>15656</v>
      </c>
    </row>
    <row r="2323" spans="1:67">
      <c r="A2323" s="1">
        <f>HYPERLINK("https://lsnyc.legalserver.org/matter/dynamic-profile/view/1884754","18-1884754")</f>
        <v>0</v>
      </c>
      <c r="B2323" t="s">
        <v>152</v>
      </c>
      <c r="C2323" t="s">
        <v>246</v>
      </c>
      <c r="D2323" t="s">
        <v>446</v>
      </c>
      <c r="F2323" t="s">
        <v>2089</v>
      </c>
      <c r="G2323" t="s">
        <v>3882</v>
      </c>
      <c r="H2323" t="s">
        <v>5554</v>
      </c>
      <c r="I2323" t="s">
        <v>6609</v>
      </c>
      <c r="J2323" t="s">
        <v>7170</v>
      </c>
      <c r="K2323">
        <v>10458</v>
      </c>
      <c r="N2323" t="s">
        <v>7237</v>
      </c>
      <c r="O2323" t="s">
        <v>8741</v>
      </c>
      <c r="P2323">
        <v>1</v>
      </c>
      <c r="Q2323">
        <v>0</v>
      </c>
      <c r="R2323">
        <v>29.24</v>
      </c>
      <c r="U2323">
        <v>3550</v>
      </c>
      <c r="V2323" t="s">
        <v>10499</v>
      </c>
      <c r="W2323">
        <v>0</v>
      </c>
      <c r="Y2323" t="s">
        <v>10897</v>
      </c>
      <c r="AA2323" t="s">
        <v>10974</v>
      </c>
      <c r="AB2323" t="s">
        <v>10979</v>
      </c>
      <c r="AD2323" t="s">
        <v>11101</v>
      </c>
      <c r="AF2323" t="s">
        <v>11119</v>
      </c>
      <c r="AH2323" t="s">
        <v>10975</v>
      </c>
      <c r="AJ2323" t="s">
        <v>11141</v>
      </c>
      <c r="AK2323" t="s">
        <v>7225</v>
      </c>
      <c r="AM2323">
        <v>921</v>
      </c>
      <c r="AN2323" t="s">
        <v>11151</v>
      </c>
      <c r="AO2323" t="s">
        <v>11153</v>
      </c>
      <c r="AQ2323" t="s">
        <v>11157</v>
      </c>
      <c r="AS2323" t="s">
        <v>11173</v>
      </c>
      <c r="AT2323" t="s">
        <v>11184</v>
      </c>
      <c r="AU2323">
        <v>0</v>
      </c>
      <c r="AW2323" t="s">
        <v>11189</v>
      </c>
      <c r="BA2323" t="s">
        <v>11222</v>
      </c>
      <c r="BE2323" t="s">
        <v>12999</v>
      </c>
      <c r="BF2323" t="s">
        <v>14364</v>
      </c>
      <c r="BM2323" t="s">
        <v>15650</v>
      </c>
    </row>
    <row r="2324" spans="1:67">
      <c r="A2324" s="1">
        <f>HYPERLINK("https://lsnyc.legalserver.org/matter/dynamic-profile/view/0826864","17-0826864")</f>
        <v>0</v>
      </c>
      <c r="B2324" t="s">
        <v>152</v>
      </c>
      <c r="C2324" t="s">
        <v>246</v>
      </c>
      <c r="D2324" t="s">
        <v>870</v>
      </c>
      <c r="F2324" t="s">
        <v>2090</v>
      </c>
      <c r="G2324" t="s">
        <v>3883</v>
      </c>
      <c r="H2324" t="s">
        <v>5555</v>
      </c>
      <c r="I2324" t="s">
        <v>6425</v>
      </c>
      <c r="J2324" t="s">
        <v>7170</v>
      </c>
      <c r="K2324">
        <v>10455</v>
      </c>
      <c r="N2324" t="s">
        <v>7239</v>
      </c>
      <c r="O2324" t="s">
        <v>8742</v>
      </c>
      <c r="P2324">
        <v>1</v>
      </c>
      <c r="Q2324">
        <v>0</v>
      </c>
      <c r="R2324">
        <v>73.13</v>
      </c>
      <c r="S2324" t="s">
        <v>10254</v>
      </c>
      <c r="T2324" t="s">
        <v>10275</v>
      </c>
      <c r="U2324">
        <v>8820</v>
      </c>
      <c r="W2324">
        <v>127.1</v>
      </c>
      <c r="X2324" t="s">
        <v>1017</v>
      </c>
      <c r="Y2324" t="s">
        <v>10868</v>
      </c>
      <c r="AA2324" t="s">
        <v>10974</v>
      </c>
      <c r="AB2324" t="s">
        <v>870</v>
      </c>
      <c r="AD2324" t="s">
        <v>11082</v>
      </c>
      <c r="AF2324" t="s">
        <v>11118</v>
      </c>
      <c r="AH2324" t="s">
        <v>10975</v>
      </c>
      <c r="AJ2324" t="s">
        <v>11133</v>
      </c>
      <c r="AK2324" t="s">
        <v>11149</v>
      </c>
      <c r="AM2324">
        <v>184</v>
      </c>
      <c r="AO2324">
        <v>463</v>
      </c>
      <c r="AQ2324" t="s">
        <v>11169</v>
      </c>
      <c r="AS2324" t="s">
        <v>11104</v>
      </c>
      <c r="AU2324">
        <v>19</v>
      </c>
      <c r="AW2324" t="s">
        <v>11187</v>
      </c>
      <c r="AZ2324" t="s">
        <v>11221</v>
      </c>
      <c r="BE2324" t="s">
        <v>13000</v>
      </c>
      <c r="BG2324" t="s">
        <v>14958</v>
      </c>
      <c r="BI2324" t="s">
        <v>15606</v>
      </c>
      <c r="BK2324" t="s">
        <v>15620</v>
      </c>
      <c r="BM2324" t="s">
        <v>15650</v>
      </c>
      <c r="BN2324" t="s">
        <v>15652</v>
      </c>
      <c r="BO2324" t="s">
        <v>15703</v>
      </c>
    </row>
    <row r="2325" spans="1:67">
      <c r="A2325" s="1">
        <f>HYPERLINK("https://lsnyc.legalserver.org/matter/dynamic-profile/view/1899630","19-1899630")</f>
        <v>0</v>
      </c>
      <c r="B2325" t="s">
        <v>152</v>
      </c>
      <c r="C2325" t="s">
        <v>246</v>
      </c>
      <c r="D2325" t="s">
        <v>431</v>
      </c>
      <c r="F2325" t="s">
        <v>1629</v>
      </c>
      <c r="G2325" t="s">
        <v>3608</v>
      </c>
      <c r="H2325" t="s">
        <v>5556</v>
      </c>
      <c r="I2325" t="s">
        <v>6708</v>
      </c>
      <c r="J2325" t="s">
        <v>7170</v>
      </c>
      <c r="K2325">
        <v>10455</v>
      </c>
      <c r="N2325" t="s">
        <v>7237</v>
      </c>
      <c r="O2325" t="s">
        <v>8743</v>
      </c>
      <c r="P2325">
        <v>1</v>
      </c>
      <c r="Q2325">
        <v>0</v>
      </c>
      <c r="R2325">
        <v>243.49</v>
      </c>
      <c r="U2325">
        <v>30411.84</v>
      </c>
      <c r="W2325">
        <v>0</v>
      </c>
      <c r="Y2325" t="s">
        <v>10865</v>
      </c>
      <c r="AA2325" t="s">
        <v>10974</v>
      </c>
      <c r="AB2325" t="s">
        <v>10979</v>
      </c>
      <c r="AD2325" t="s">
        <v>11112</v>
      </c>
      <c r="AF2325" t="s">
        <v>11119</v>
      </c>
      <c r="AH2325" t="s">
        <v>10975</v>
      </c>
      <c r="AJ2325" t="s">
        <v>11135</v>
      </c>
      <c r="AK2325" t="s">
        <v>7225</v>
      </c>
      <c r="AM2325">
        <v>1008</v>
      </c>
      <c r="AO2325">
        <v>143</v>
      </c>
      <c r="AQ2325" t="s">
        <v>11166</v>
      </c>
      <c r="AS2325" t="s">
        <v>11173</v>
      </c>
      <c r="AU2325">
        <v>5</v>
      </c>
      <c r="AW2325" t="s">
        <v>11187</v>
      </c>
      <c r="BA2325" t="s">
        <v>11222</v>
      </c>
      <c r="BE2325" t="s">
        <v>13001</v>
      </c>
      <c r="BF2325" t="s">
        <v>14364</v>
      </c>
      <c r="BM2325" t="s">
        <v>15650</v>
      </c>
    </row>
    <row r="2326" spans="1:67">
      <c r="A2326" s="1">
        <f>HYPERLINK("https://lsnyc.legalserver.org/matter/dynamic-profile/view/1890006","19-1890006")</f>
        <v>0</v>
      </c>
      <c r="B2326" t="s">
        <v>152</v>
      </c>
      <c r="C2326" t="s">
        <v>246</v>
      </c>
      <c r="D2326" t="s">
        <v>482</v>
      </c>
      <c r="F2326" t="s">
        <v>1282</v>
      </c>
      <c r="G2326" t="s">
        <v>3884</v>
      </c>
      <c r="H2326" t="s">
        <v>5557</v>
      </c>
      <c r="I2326" t="s">
        <v>6840</v>
      </c>
      <c r="J2326" t="s">
        <v>7170</v>
      </c>
      <c r="K2326">
        <v>10466</v>
      </c>
      <c r="N2326" t="s">
        <v>7237</v>
      </c>
      <c r="O2326" t="s">
        <v>8744</v>
      </c>
      <c r="P2326">
        <v>1</v>
      </c>
      <c r="Q2326">
        <v>0</v>
      </c>
      <c r="R2326">
        <v>62.45</v>
      </c>
      <c r="U2326">
        <v>7800</v>
      </c>
      <c r="W2326">
        <v>0</v>
      </c>
      <c r="Y2326" t="s">
        <v>10904</v>
      </c>
      <c r="AA2326" t="s">
        <v>10974</v>
      </c>
      <c r="AB2326" t="s">
        <v>10979</v>
      </c>
      <c r="AC2326" t="s">
        <v>11081</v>
      </c>
      <c r="AF2326" t="s">
        <v>11119</v>
      </c>
      <c r="AH2326" t="s">
        <v>10975</v>
      </c>
      <c r="AJ2326" t="s">
        <v>11141</v>
      </c>
      <c r="AK2326" t="s">
        <v>7225</v>
      </c>
      <c r="AM2326">
        <v>700</v>
      </c>
      <c r="AN2326" t="s">
        <v>11151</v>
      </c>
      <c r="AO2326" t="s">
        <v>11153</v>
      </c>
      <c r="AQ2326" t="s">
        <v>11164</v>
      </c>
      <c r="AR2326" t="s">
        <v>11172</v>
      </c>
      <c r="AU2326">
        <v>1</v>
      </c>
      <c r="AW2326" t="s">
        <v>11187</v>
      </c>
      <c r="BA2326" t="s">
        <v>11222</v>
      </c>
      <c r="BE2326" t="s">
        <v>11236</v>
      </c>
      <c r="BF2326" t="s">
        <v>14364</v>
      </c>
      <c r="BM2326" t="s">
        <v>15650</v>
      </c>
    </row>
    <row r="2327" spans="1:67">
      <c r="A2327" s="1">
        <f>HYPERLINK("https://lsnyc.legalserver.org/matter/dynamic-profile/view/1899597","19-1899597")</f>
        <v>0</v>
      </c>
      <c r="B2327" t="s">
        <v>152</v>
      </c>
      <c r="C2327" t="s">
        <v>246</v>
      </c>
      <c r="D2327" t="s">
        <v>431</v>
      </c>
      <c r="F2327" t="s">
        <v>2091</v>
      </c>
      <c r="G2327" t="s">
        <v>2913</v>
      </c>
      <c r="H2327" t="s">
        <v>5558</v>
      </c>
      <c r="I2327" t="s">
        <v>6618</v>
      </c>
      <c r="J2327" t="s">
        <v>7170</v>
      </c>
      <c r="K2327">
        <v>10470</v>
      </c>
      <c r="N2327" t="s">
        <v>7237</v>
      </c>
      <c r="O2327" t="s">
        <v>8745</v>
      </c>
      <c r="P2327">
        <v>1</v>
      </c>
      <c r="Q2327">
        <v>0</v>
      </c>
      <c r="R2327">
        <v>0</v>
      </c>
      <c r="U2327">
        <v>0</v>
      </c>
      <c r="W2327">
        <v>0</v>
      </c>
      <c r="Y2327" t="s">
        <v>10865</v>
      </c>
      <c r="AA2327" t="s">
        <v>10974</v>
      </c>
      <c r="AB2327" t="s">
        <v>10979</v>
      </c>
      <c r="AD2327" t="s">
        <v>11082</v>
      </c>
      <c r="AF2327" t="s">
        <v>11119</v>
      </c>
      <c r="AH2327" t="s">
        <v>10975</v>
      </c>
      <c r="AJ2327" t="s">
        <v>11134</v>
      </c>
      <c r="AK2327" t="s">
        <v>7225</v>
      </c>
      <c r="AL2327" t="s">
        <v>11150</v>
      </c>
      <c r="AM2327">
        <v>0</v>
      </c>
      <c r="AO2327">
        <v>61</v>
      </c>
      <c r="AQ2327" t="s">
        <v>11164</v>
      </c>
      <c r="AS2327" t="s">
        <v>11173</v>
      </c>
      <c r="AT2327" t="s">
        <v>11184</v>
      </c>
      <c r="AU2327">
        <v>0</v>
      </c>
      <c r="AW2327" t="s">
        <v>11187</v>
      </c>
      <c r="BA2327" t="s">
        <v>11222</v>
      </c>
      <c r="BD2327" t="s">
        <v>11667</v>
      </c>
      <c r="BF2327" t="s">
        <v>14364</v>
      </c>
      <c r="BM2327" t="s">
        <v>15650</v>
      </c>
    </row>
    <row r="2328" spans="1:67">
      <c r="A2328" s="1">
        <f>HYPERLINK("https://lsnyc.legalserver.org/matter/dynamic-profile/view/1895307","19-1895307")</f>
        <v>0</v>
      </c>
      <c r="B2328" t="s">
        <v>152</v>
      </c>
      <c r="C2328" t="s">
        <v>248</v>
      </c>
      <c r="D2328" t="s">
        <v>299</v>
      </c>
      <c r="F2328" t="s">
        <v>1877</v>
      </c>
      <c r="G2328" t="s">
        <v>3467</v>
      </c>
      <c r="H2328" t="s">
        <v>5368</v>
      </c>
      <c r="I2328" t="s">
        <v>6425</v>
      </c>
      <c r="J2328" t="s">
        <v>7174</v>
      </c>
      <c r="K2328">
        <v>11213</v>
      </c>
      <c r="N2328" t="s">
        <v>7242</v>
      </c>
      <c r="O2328" t="s">
        <v>8371</v>
      </c>
      <c r="P2328">
        <v>3</v>
      </c>
      <c r="Q2328">
        <v>3</v>
      </c>
      <c r="R2328">
        <v>52.62</v>
      </c>
      <c r="U2328">
        <v>18200</v>
      </c>
      <c r="W2328">
        <v>1.6</v>
      </c>
      <c r="X2328" t="s">
        <v>433</v>
      </c>
      <c r="Y2328" t="s">
        <v>101</v>
      </c>
      <c r="AA2328" t="s">
        <v>10974</v>
      </c>
      <c r="AB2328" t="s">
        <v>299</v>
      </c>
      <c r="AD2328" t="s">
        <v>11097</v>
      </c>
      <c r="AF2328" t="s">
        <v>11123</v>
      </c>
      <c r="AH2328" t="s">
        <v>10974</v>
      </c>
      <c r="AJ2328" t="s">
        <v>11144</v>
      </c>
      <c r="AK2328" t="s">
        <v>7225</v>
      </c>
      <c r="AM2328">
        <v>951</v>
      </c>
      <c r="AO2328">
        <v>19</v>
      </c>
      <c r="AQ2328" t="s">
        <v>11157</v>
      </c>
      <c r="AS2328" t="s">
        <v>11175</v>
      </c>
      <c r="AU2328">
        <v>16</v>
      </c>
      <c r="AW2328" t="s">
        <v>11187</v>
      </c>
      <c r="AZ2328" t="s">
        <v>11221</v>
      </c>
      <c r="BE2328" t="s">
        <v>12658</v>
      </c>
      <c r="BG2328" t="s">
        <v>14393</v>
      </c>
      <c r="BM2328" t="s">
        <v>15650</v>
      </c>
    </row>
    <row r="2329" spans="1:67">
      <c r="A2329" s="1">
        <f>HYPERLINK("https://lsnyc.legalserver.org/matter/dynamic-profile/view/1904281","19-1904281")</f>
        <v>0</v>
      </c>
      <c r="B2329" t="s">
        <v>152</v>
      </c>
      <c r="C2329" t="s">
        <v>248</v>
      </c>
      <c r="D2329" t="s">
        <v>512</v>
      </c>
      <c r="F2329" t="s">
        <v>1282</v>
      </c>
      <c r="G2329" t="s">
        <v>2905</v>
      </c>
      <c r="H2329" t="s">
        <v>5559</v>
      </c>
      <c r="I2329" t="s">
        <v>6420</v>
      </c>
      <c r="J2329" t="s">
        <v>7174</v>
      </c>
      <c r="K2329">
        <v>11212</v>
      </c>
      <c r="N2329" t="s">
        <v>7237</v>
      </c>
      <c r="O2329" t="s">
        <v>8746</v>
      </c>
      <c r="P2329">
        <v>4</v>
      </c>
      <c r="Q2329">
        <v>0</v>
      </c>
      <c r="R2329">
        <v>111.01</v>
      </c>
      <c r="U2329">
        <v>28584</v>
      </c>
      <c r="W2329">
        <v>1</v>
      </c>
      <c r="X2329" t="s">
        <v>512</v>
      </c>
      <c r="Y2329" t="s">
        <v>10873</v>
      </c>
      <c r="AA2329" t="s">
        <v>10974</v>
      </c>
      <c r="AB2329" t="s">
        <v>337</v>
      </c>
      <c r="AD2329" t="s">
        <v>11083</v>
      </c>
      <c r="AF2329" t="s">
        <v>10384</v>
      </c>
      <c r="AH2329" t="s">
        <v>10975</v>
      </c>
      <c r="AJ2329" t="s">
        <v>11143</v>
      </c>
      <c r="AK2329" t="s">
        <v>7225</v>
      </c>
      <c r="AM2329">
        <v>1800</v>
      </c>
      <c r="AO2329">
        <v>4</v>
      </c>
      <c r="AQ2329" t="s">
        <v>11156</v>
      </c>
      <c r="AS2329" t="s">
        <v>11177</v>
      </c>
      <c r="AU2329">
        <v>4</v>
      </c>
      <c r="AW2329" t="s">
        <v>11187</v>
      </c>
      <c r="AY2329" t="s">
        <v>11213</v>
      </c>
      <c r="BA2329" t="s">
        <v>11223</v>
      </c>
      <c r="BB2329" t="s">
        <v>11224</v>
      </c>
      <c r="BC2329" t="s">
        <v>11416</v>
      </c>
      <c r="BE2329" t="s">
        <v>13002</v>
      </c>
      <c r="BG2329" t="s">
        <v>14959</v>
      </c>
      <c r="BM2329" t="s">
        <v>15650</v>
      </c>
    </row>
    <row r="2330" spans="1:67">
      <c r="A2330" s="1">
        <f>HYPERLINK("https://lsnyc.legalserver.org/matter/dynamic-profile/view/1899633","19-1899633")</f>
        <v>0</v>
      </c>
      <c r="B2330" t="s">
        <v>152</v>
      </c>
      <c r="C2330" t="s">
        <v>246</v>
      </c>
      <c r="D2330" t="s">
        <v>431</v>
      </c>
      <c r="F2330" t="s">
        <v>1790</v>
      </c>
      <c r="G2330" t="s">
        <v>3579</v>
      </c>
      <c r="H2330" t="s">
        <v>5295</v>
      </c>
      <c r="I2330" t="s">
        <v>6596</v>
      </c>
      <c r="J2330" t="s">
        <v>7170</v>
      </c>
      <c r="K2330">
        <v>10467</v>
      </c>
      <c r="N2330" t="s">
        <v>7237</v>
      </c>
      <c r="O2330" t="s">
        <v>8222</v>
      </c>
      <c r="P2330">
        <v>2</v>
      </c>
      <c r="Q2330">
        <v>0</v>
      </c>
      <c r="R2330">
        <v>65.06999999999999</v>
      </c>
      <c r="U2330">
        <v>11004</v>
      </c>
      <c r="W2330">
        <v>0</v>
      </c>
      <c r="Y2330" t="s">
        <v>10865</v>
      </c>
      <c r="AA2330" t="s">
        <v>10974</v>
      </c>
      <c r="AB2330" t="s">
        <v>10979</v>
      </c>
      <c r="AC2330" t="s">
        <v>11081</v>
      </c>
      <c r="AF2330" t="s">
        <v>11119</v>
      </c>
      <c r="AH2330" t="s">
        <v>10975</v>
      </c>
      <c r="AJ2330" t="s">
        <v>11134</v>
      </c>
      <c r="AK2330" t="s">
        <v>7225</v>
      </c>
      <c r="AM2330">
        <v>1531.65</v>
      </c>
      <c r="AO2330">
        <v>65</v>
      </c>
      <c r="AQ2330" t="s">
        <v>11157</v>
      </c>
      <c r="AS2330" t="s">
        <v>11174</v>
      </c>
      <c r="AU2330">
        <v>15</v>
      </c>
      <c r="AW2330" t="s">
        <v>11187</v>
      </c>
      <c r="BA2330" t="s">
        <v>11222</v>
      </c>
      <c r="BB2330" t="s">
        <v>11224</v>
      </c>
      <c r="BC2330">
        <v>4043580</v>
      </c>
      <c r="BE2330" t="s">
        <v>12524</v>
      </c>
      <c r="BF2330" t="s">
        <v>14364</v>
      </c>
      <c r="BM2330" t="s">
        <v>15650</v>
      </c>
    </row>
    <row r="2331" spans="1:67">
      <c r="A2331" s="1">
        <f>HYPERLINK("https://lsnyc.legalserver.org/matter/dynamic-profile/view/1895319","19-1895319")</f>
        <v>0</v>
      </c>
      <c r="B2331" t="s">
        <v>152</v>
      </c>
      <c r="C2331" t="s">
        <v>248</v>
      </c>
      <c r="D2331" t="s">
        <v>299</v>
      </c>
      <c r="F2331" t="s">
        <v>1577</v>
      </c>
      <c r="G2331" t="s">
        <v>3665</v>
      </c>
      <c r="H2331" t="s">
        <v>5368</v>
      </c>
      <c r="I2331" t="s">
        <v>6466</v>
      </c>
      <c r="J2331" t="s">
        <v>7174</v>
      </c>
      <c r="K2331">
        <v>11213</v>
      </c>
      <c r="N2331" t="s">
        <v>7242</v>
      </c>
      <c r="O2331" t="s">
        <v>8351</v>
      </c>
      <c r="P2331">
        <v>2</v>
      </c>
      <c r="Q2331">
        <v>1</v>
      </c>
      <c r="R2331">
        <v>234.41</v>
      </c>
      <c r="U2331">
        <v>50000</v>
      </c>
      <c r="V2331" t="s">
        <v>10500</v>
      </c>
      <c r="W2331">
        <v>1.8</v>
      </c>
      <c r="X2331" t="s">
        <v>315</v>
      </c>
      <c r="Y2331" t="s">
        <v>101</v>
      </c>
      <c r="AA2331" t="s">
        <v>10974</v>
      </c>
      <c r="AB2331" t="s">
        <v>299</v>
      </c>
      <c r="AD2331" t="s">
        <v>11097</v>
      </c>
      <c r="AF2331" t="s">
        <v>11123</v>
      </c>
      <c r="AH2331" t="s">
        <v>10974</v>
      </c>
      <c r="AJ2331" t="s">
        <v>11144</v>
      </c>
      <c r="AK2331" t="s">
        <v>7225</v>
      </c>
      <c r="AM2331">
        <v>693</v>
      </c>
      <c r="AO2331">
        <v>19</v>
      </c>
      <c r="AQ2331" t="s">
        <v>11157</v>
      </c>
      <c r="AS2331" t="s">
        <v>11173</v>
      </c>
      <c r="AU2331">
        <v>20</v>
      </c>
      <c r="AW2331" t="s">
        <v>11187</v>
      </c>
      <c r="AY2331" t="s">
        <v>11213</v>
      </c>
      <c r="AZ2331" t="s">
        <v>11221</v>
      </c>
      <c r="BE2331" t="s">
        <v>12640</v>
      </c>
      <c r="BF2331" t="s">
        <v>14364</v>
      </c>
      <c r="BG2331" t="s">
        <v>14960</v>
      </c>
      <c r="BM2331" t="s">
        <v>15650</v>
      </c>
    </row>
    <row r="2332" spans="1:67">
      <c r="A2332" s="1">
        <f>HYPERLINK("https://lsnyc.legalserver.org/matter/dynamic-profile/view/1898400","19-1898400")</f>
        <v>0</v>
      </c>
      <c r="B2332" t="s">
        <v>152</v>
      </c>
      <c r="C2332" t="s">
        <v>246</v>
      </c>
      <c r="D2332" t="s">
        <v>519</v>
      </c>
      <c r="F2332" t="s">
        <v>2092</v>
      </c>
      <c r="G2332" t="s">
        <v>3885</v>
      </c>
      <c r="H2332" t="s">
        <v>5560</v>
      </c>
      <c r="I2332">
        <v>29</v>
      </c>
      <c r="J2332" t="s">
        <v>7170</v>
      </c>
      <c r="K2332">
        <v>10460</v>
      </c>
      <c r="N2332" t="s">
        <v>7237</v>
      </c>
      <c r="O2332" t="s">
        <v>8747</v>
      </c>
      <c r="P2332">
        <v>1</v>
      </c>
      <c r="Q2332">
        <v>0</v>
      </c>
      <c r="R2332">
        <v>187.35</v>
      </c>
      <c r="U2332">
        <v>23400</v>
      </c>
      <c r="W2332">
        <v>1.2</v>
      </c>
      <c r="X2332" t="s">
        <v>1032</v>
      </c>
      <c r="Y2332" t="s">
        <v>10890</v>
      </c>
      <c r="AA2332" t="s">
        <v>10974</v>
      </c>
      <c r="AB2332" t="s">
        <v>10979</v>
      </c>
      <c r="AD2332" t="s">
        <v>11082</v>
      </c>
      <c r="AF2332" t="s">
        <v>11119</v>
      </c>
      <c r="AH2332" t="s">
        <v>10975</v>
      </c>
      <c r="AJ2332" t="s">
        <v>11143</v>
      </c>
      <c r="AK2332" t="s">
        <v>7225</v>
      </c>
      <c r="AM2332">
        <v>950</v>
      </c>
      <c r="AO2332">
        <v>29</v>
      </c>
      <c r="AP2332" t="s">
        <v>11155</v>
      </c>
      <c r="AR2332" t="s">
        <v>11172</v>
      </c>
      <c r="AU2332">
        <v>10</v>
      </c>
      <c r="AW2332" t="s">
        <v>11187</v>
      </c>
      <c r="BA2332" t="s">
        <v>11222</v>
      </c>
      <c r="BE2332" t="s">
        <v>13003</v>
      </c>
      <c r="BF2332" t="s">
        <v>14364</v>
      </c>
      <c r="BM2332" t="s">
        <v>15650</v>
      </c>
    </row>
    <row r="2333" spans="1:67">
      <c r="A2333" s="1">
        <f>HYPERLINK("https://lsnyc.legalserver.org/matter/dynamic-profile/view/1899626","19-1899626")</f>
        <v>0</v>
      </c>
      <c r="B2333" t="s">
        <v>152</v>
      </c>
      <c r="C2333" t="s">
        <v>246</v>
      </c>
      <c r="D2333" t="s">
        <v>431</v>
      </c>
      <c r="F2333" t="s">
        <v>2093</v>
      </c>
      <c r="G2333" t="s">
        <v>3886</v>
      </c>
      <c r="H2333" t="s">
        <v>5561</v>
      </c>
      <c r="I2333" t="s">
        <v>6405</v>
      </c>
      <c r="J2333" t="s">
        <v>7170</v>
      </c>
      <c r="K2333">
        <v>10457</v>
      </c>
      <c r="N2333" t="s">
        <v>7237</v>
      </c>
      <c r="O2333" t="s">
        <v>8748</v>
      </c>
      <c r="P2333">
        <v>1</v>
      </c>
      <c r="Q2333">
        <v>1</v>
      </c>
      <c r="R2333">
        <v>124.19</v>
      </c>
      <c r="U2333">
        <v>21000</v>
      </c>
      <c r="W2333">
        <v>0</v>
      </c>
      <c r="Y2333" t="s">
        <v>10865</v>
      </c>
      <c r="AA2333" t="s">
        <v>10974</v>
      </c>
      <c r="AB2333" t="s">
        <v>10979</v>
      </c>
      <c r="AD2333" t="s">
        <v>11086</v>
      </c>
      <c r="AF2333" t="s">
        <v>11119</v>
      </c>
      <c r="AH2333" t="s">
        <v>10975</v>
      </c>
      <c r="AJ2333" t="s">
        <v>11134</v>
      </c>
      <c r="AK2333" t="s">
        <v>7225</v>
      </c>
      <c r="AM2333">
        <v>1226</v>
      </c>
      <c r="AO2333">
        <v>19</v>
      </c>
      <c r="AQ2333" t="s">
        <v>11157</v>
      </c>
      <c r="AS2333" t="s">
        <v>11173</v>
      </c>
      <c r="AU2333">
        <v>27</v>
      </c>
      <c r="AW2333" t="s">
        <v>11187</v>
      </c>
      <c r="BA2333" t="s">
        <v>11222</v>
      </c>
      <c r="BE2333" t="s">
        <v>13004</v>
      </c>
      <c r="BF2333" t="s">
        <v>14364</v>
      </c>
      <c r="BM2333" t="s">
        <v>15650</v>
      </c>
    </row>
    <row r="2334" spans="1:67">
      <c r="A2334" s="1">
        <f>HYPERLINK("https://lsnyc.legalserver.org/matter/dynamic-profile/view/0832076","17-0832076")</f>
        <v>0</v>
      </c>
      <c r="B2334" t="s">
        <v>152</v>
      </c>
      <c r="C2334" t="s">
        <v>246</v>
      </c>
      <c r="D2334" t="s">
        <v>408</v>
      </c>
      <c r="F2334" t="s">
        <v>2087</v>
      </c>
      <c r="G2334" t="s">
        <v>2308</v>
      </c>
      <c r="H2334" t="s">
        <v>5282</v>
      </c>
      <c r="I2334" t="s">
        <v>6666</v>
      </c>
      <c r="J2334" t="s">
        <v>7170</v>
      </c>
      <c r="K2334">
        <v>10453</v>
      </c>
      <c r="N2334" t="s">
        <v>7241</v>
      </c>
      <c r="O2334" t="s">
        <v>8749</v>
      </c>
      <c r="P2334">
        <v>2</v>
      </c>
      <c r="Q2334">
        <v>2</v>
      </c>
      <c r="R2334">
        <v>158.54</v>
      </c>
      <c r="U2334">
        <v>39000</v>
      </c>
      <c r="W2334">
        <v>43.75</v>
      </c>
      <c r="X2334" t="s">
        <v>285</v>
      </c>
      <c r="Y2334" t="s">
        <v>10882</v>
      </c>
      <c r="AA2334" t="s">
        <v>10974</v>
      </c>
      <c r="AB2334" t="s">
        <v>694</v>
      </c>
      <c r="AD2334" t="s">
        <v>11101</v>
      </c>
      <c r="AF2334" t="s">
        <v>11118</v>
      </c>
      <c r="AH2334" t="s">
        <v>10974</v>
      </c>
      <c r="AJ2334" t="s">
        <v>11131</v>
      </c>
      <c r="AK2334" t="s">
        <v>7225</v>
      </c>
      <c r="AM2334">
        <v>984.75</v>
      </c>
      <c r="AO2334">
        <v>48</v>
      </c>
      <c r="AQ2334" t="s">
        <v>11157</v>
      </c>
      <c r="AS2334" t="s">
        <v>11173</v>
      </c>
      <c r="AU2334">
        <v>3</v>
      </c>
      <c r="AW2334" t="s">
        <v>11189</v>
      </c>
      <c r="AZ2334" t="s">
        <v>11221</v>
      </c>
      <c r="BD2334" t="s">
        <v>11667</v>
      </c>
      <c r="BF2334" t="s">
        <v>14364</v>
      </c>
      <c r="BG2334" t="s">
        <v>14961</v>
      </c>
      <c r="BM2334" t="s">
        <v>15650</v>
      </c>
    </row>
    <row r="2335" spans="1:67">
      <c r="A2335" s="1">
        <f>HYPERLINK("https://lsnyc.legalserver.org/matter/dynamic-profile/view/1885020","18-1885020")</f>
        <v>0</v>
      </c>
      <c r="B2335" t="s">
        <v>152</v>
      </c>
      <c r="C2335" t="s">
        <v>248</v>
      </c>
      <c r="D2335" t="s">
        <v>706</v>
      </c>
      <c r="F2335" t="s">
        <v>1855</v>
      </c>
      <c r="G2335" t="s">
        <v>3652</v>
      </c>
      <c r="H2335" t="s">
        <v>5368</v>
      </c>
      <c r="I2335" t="s">
        <v>6412</v>
      </c>
      <c r="J2335" t="s">
        <v>7174</v>
      </c>
      <c r="K2335">
        <v>11213</v>
      </c>
      <c r="N2335" t="s">
        <v>7237</v>
      </c>
      <c r="O2335" t="s">
        <v>8326</v>
      </c>
      <c r="P2335">
        <v>4</v>
      </c>
      <c r="Q2335">
        <v>0</v>
      </c>
      <c r="R2335">
        <v>190.88</v>
      </c>
      <c r="U2335">
        <v>47909.8</v>
      </c>
      <c r="W2335">
        <v>113.65</v>
      </c>
      <c r="X2335" t="s">
        <v>599</v>
      </c>
      <c r="Y2335" t="s">
        <v>225</v>
      </c>
      <c r="AA2335" t="s">
        <v>10974</v>
      </c>
      <c r="AB2335" t="s">
        <v>1028</v>
      </c>
      <c r="AD2335" t="s">
        <v>11101</v>
      </c>
      <c r="AF2335" t="s">
        <v>11118</v>
      </c>
      <c r="AH2335" t="s">
        <v>10975</v>
      </c>
      <c r="AJ2335" t="s">
        <v>11144</v>
      </c>
      <c r="AK2335" t="s">
        <v>7225</v>
      </c>
      <c r="AM2335">
        <v>1507.16</v>
      </c>
      <c r="AO2335">
        <v>19</v>
      </c>
      <c r="AQ2335" t="s">
        <v>11157</v>
      </c>
      <c r="AS2335" t="s">
        <v>11174</v>
      </c>
      <c r="AU2335">
        <v>22</v>
      </c>
      <c r="AW2335" t="s">
        <v>11187</v>
      </c>
      <c r="AY2335" t="s">
        <v>11213</v>
      </c>
      <c r="AZ2335" t="s">
        <v>11221</v>
      </c>
      <c r="BC2335" t="s">
        <v>11233</v>
      </c>
      <c r="BE2335" t="s">
        <v>12617</v>
      </c>
      <c r="BG2335" t="s">
        <v>14793</v>
      </c>
      <c r="BM2335" t="s">
        <v>15650</v>
      </c>
    </row>
    <row r="2336" spans="1:67">
      <c r="A2336" s="1">
        <f>HYPERLINK("https://lsnyc.legalserver.org/matter/dynamic-profile/view/1895329","19-1895329")</f>
        <v>0</v>
      </c>
      <c r="B2336" t="s">
        <v>152</v>
      </c>
      <c r="C2336" t="s">
        <v>248</v>
      </c>
      <c r="D2336" t="s">
        <v>299</v>
      </c>
      <c r="F2336" t="s">
        <v>1144</v>
      </c>
      <c r="G2336" t="s">
        <v>3655</v>
      </c>
      <c r="H2336" t="s">
        <v>5368</v>
      </c>
      <c r="I2336" t="s">
        <v>6495</v>
      </c>
      <c r="J2336" t="s">
        <v>7174</v>
      </c>
      <c r="K2336">
        <v>11213</v>
      </c>
      <c r="N2336" t="s">
        <v>7242</v>
      </c>
      <c r="O2336" t="s">
        <v>8340</v>
      </c>
      <c r="P2336">
        <v>2</v>
      </c>
      <c r="Q2336">
        <v>0</v>
      </c>
      <c r="R2336">
        <v>96.97</v>
      </c>
      <c r="U2336">
        <v>16398</v>
      </c>
      <c r="V2336" t="s">
        <v>10429</v>
      </c>
      <c r="W2336">
        <v>4.5</v>
      </c>
      <c r="X2336" t="s">
        <v>923</v>
      </c>
      <c r="Y2336" t="s">
        <v>101</v>
      </c>
      <c r="AA2336" t="s">
        <v>10974</v>
      </c>
      <c r="AB2336" t="s">
        <v>299</v>
      </c>
      <c r="AD2336" t="s">
        <v>11097</v>
      </c>
      <c r="AF2336" t="s">
        <v>11123</v>
      </c>
      <c r="AH2336" t="s">
        <v>10974</v>
      </c>
      <c r="AJ2336" t="s">
        <v>11144</v>
      </c>
      <c r="AK2336" t="s">
        <v>7225</v>
      </c>
      <c r="AM2336">
        <v>1268</v>
      </c>
      <c r="AO2336">
        <v>19</v>
      </c>
      <c r="AQ2336" t="s">
        <v>11157</v>
      </c>
      <c r="AS2336" t="s">
        <v>11181</v>
      </c>
      <c r="AU2336">
        <v>2</v>
      </c>
      <c r="AW2336" t="s">
        <v>11187</v>
      </c>
      <c r="BA2336" t="s">
        <v>11222</v>
      </c>
      <c r="BE2336" t="s">
        <v>12631</v>
      </c>
      <c r="BF2336" t="s">
        <v>14364</v>
      </c>
      <c r="BG2336" t="s">
        <v>11173</v>
      </c>
      <c r="BM2336" t="s">
        <v>15650</v>
      </c>
    </row>
    <row r="2337" spans="1:67">
      <c r="A2337" s="1">
        <f>HYPERLINK("https://lsnyc.legalserver.org/matter/dynamic-profile/view/1890025","19-1890025")</f>
        <v>0</v>
      </c>
      <c r="B2337" t="s">
        <v>152</v>
      </c>
      <c r="C2337" t="s">
        <v>246</v>
      </c>
      <c r="D2337" t="s">
        <v>604</v>
      </c>
      <c r="F2337" t="s">
        <v>1177</v>
      </c>
      <c r="G2337" t="s">
        <v>3887</v>
      </c>
      <c r="H2337" t="s">
        <v>5562</v>
      </c>
      <c r="I2337">
        <v>402</v>
      </c>
      <c r="J2337" t="s">
        <v>7170</v>
      </c>
      <c r="K2337">
        <v>10457</v>
      </c>
      <c r="N2337" t="s">
        <v>7237</v>
      </c>
      <c r="O2337" t="s">
        <v>8139</v>
      </c>
      <c r="P2337">
        <v>2</v>
      </c>
      <c r="Q2337">
        <v>0</v>
      </c>
      <c r="R2337">
        <v>0</v>
      </c>
      <c r="U2337">
        <v>0</v>
      </c>
      <c r="W2337">
        <v>0</v>
      </c>
      <c r="Y2337" t="s">
        <v>10904</v>
      </c>
      <c r="AA2337" t="s">
        <v>10974</v>
      </c>
      <c r="AB2337" t="s">
        <v>604</v>
      </c>
      <c r="AD2337" t="s">
        <v>11090</v>
      </c>
      <c r="AF2337" t="s">
        <v>11119</v>
      </c>
      <c r="AG2337" t="s">
        <v>11124</v>
      </c>
      <c r="AI2337" t="s">
        <v>11126</v>
      </c>
      <c r="AK2337" t="s">
        <v>7225</v>
      </c>
      <c r="AM2337">
        <v>400</v>
      </c>
      <c r="AN2337" t="s">
        <v>11151</v>
      </c>
      <c r="AO2337" t="s">
        <v>11153</v>
      </c>
      <c r="AP2337" t="s">
        <v>11155</v>
      </c>
      <c r="AR2337" t="s">
        <v>11172</v>
      </c>
      <c r="AU2337">
        <v>12</v>
      </c>
      <c r="AW2337" t="s">
        <v>11187</v>
      </c>
      <c r="AZ2337" t="s">
        <v>11221</v>
      </c>
      <c r="BE2337" t="s">
        <v>13005</v>
      </c>
      <c r="BF2337" t="s">
        <v>14364</v>
      </c>
      <c r="BM2337" t="s">
        <v>15650</v>
      </c>
    </row>
    <row r="2338" spans="1:67">
      <c r="A2338" s="1">
        <f>HYPERLINK("https://lsnyc.legalserver.org/matter/dynamic-profile/view/1888671","19-1888671")</f>
        <v>0</v>
      </c>
      <c r="B2338" t="s">
        <v>153</v>
      </c>
      <c r="C2338" t="s">
        <v>247</v>
      </c>
      <c r="D2338" t="s">
        <v>587</v>
      </c>
      <c r="F2338" t="s">
        <v>1090</v>
      </c>
      <c r="G2338" t="s">
        <v>3680</v>
      </c>
      <c r="H2338" t="s">
        <v>5563</v>
      </c>
      <c r="I2338" t="s">
        <v>6841</v>
      </c>
      <c r="J2338" t="s">
        <v>7203</v>
      </c>
      <c r="K2338">
        <v>11369</v>
      </c>
      <c r="N2338" t="s">
        <v>7237</v>
      </c>
      <c r="O2338" t="s">
        <v>8750</v>
      </c>
      <c r="P2338">
        <v>1</v>
      </c>
      <c r="Q2338">
        <v>2</v>
      </c>
      <c r="R2338">
        <v>90.01000000000001</v>
      </c>
      <c r="U2338">
        <v>19200</v>
      </c>
      <c r="W2338">
        <v>3.95</v>
      </c>
      <c r="X2338" t="s">
        <v>472</v>
      </c>
      <c r="Y2338" t="s">
        <v>202</v>
      </c>
      <c r="AA2338" t="s">
        <v>10974</v>
      </c>
      <c r="AB2338" t="s">
        <v>379</v>
      </c>
      <c r="AD2338" t="s">
        <v>11082</v>
      </c>
      <c r="AF2338" t="s">
        <v>11118</v>
      </c>
      <c r="AH2338" t="s">
        <v>10975</v>
      </c>
      <c r="AJ2338" t="s">
        <v>11138</v>
      </c>
      <c r="AK2338" t="s">
        <v>7225</v>
      </c>
      <c r="AM2338">
        <v>814.5700000000001</v>
      </c>
      <c r="AO2338">
        <v>43</v>
      </c>
      <c r="AQ2338" t="s">
        <v>11157</v>
      </c>
      <c r="AS2338" t="s">
        <v>11173</v>
      </c>
      <c r="AU2338">
        <v>5</v>
      </c>
      <c r="AW2338" t="s">
        <v>11187</v>
      </c>
      <c r="AY2338" t="s">
        <v>11213</v>
      </c>
      <c r="AZ2338" t="s">
        <v>11221</v>
      </c>
      <c r="BE2338" t="s">
        <v>13006</v>
      </c>
      <c r="BG2338" t="s">
        <v>14962</v>
      </c>
      <c r="BM2338" t="s">
        <v>15650</v>
      </c>
    </row>
    <row r="2339" spans="1:67">
      <c r="A2339" s="1">
        <f>HYPERLINK("https://lsnyc.legalserver.org/matter/dynamic-profile/view/1881708","18-1881708")</f>
        <v>0</v>
      </c>
      <c r="B2339" t="s">
        <v>153</v>
      </c>
      <c r="C2339" t="s">
        <v>247</v>
      </c>
      <c r="D2339" t="s">
        <v>553</v>
      </c>
      <c r="F2339" t="s">
        <v>1183</v>
      </c>
      <c r="G2339" t="s">
        <v>2876</v>
      </c>
      <c r="H2339" t="s">
        <v>5564</v>
      </c>
      <c r="I2339" t="s">
        <v>6448</v>
      </c>
      <c r="J2339" t="s">
        <v>7202</v>
      </c>
      <c r="K2339">
        <v>11104</v>
      </c>
      <c r="N2339" t="s">
        <v>7237</v>
      </c>
      <c r="O2339" t="s">
        <v>7505</v>
      </c>
      <c r="P2339">
        <v>1</v>
      </c>
      <c r="Q2339">
        <v>0</v>
      </c>
      <c r="R2339">
        <v>168.86</v>
      </c>
      <c r="U2339">
        <v>20500</v>
      </c>
      <c r="W2339">
        <v>15.8</v>
      </c>
      <c r="X2339" t="s">
        <v>10819</v>
      </c>
      <c r="Y2339" t="s">
        <v>202</v>
      </c>
      <c r="AA2339" t="s">
        <v>10974</v>
      </c>
      <c r="AB2339" t="s">
        <v>569</v>
      </c>
      <c r="AD2339" t="s">
        <v>11083</v>
      </c>
      <c r="AF2339" t="s">
        <v>11118</v>
      </c>
      <c r="AH2339" t="s">
        <v>10975</v>
      </c>
      <c r="AJ2339" t="s">
        <v>11138</v>
      </c>
      <c r="AK2339" t="s">
        <v>7225</v>
      </c>
      <c r="AM2339">
        <v>1142</v>
      </c>
      <c r="AO2339">
        <v>54</v>
      </c>
      <c r="AQ2339" t="s">
        <v>11157</v>
      </c>
      <c r="AS2339" t="s">
        <v>11173</v>
      </c>
      <c r="AU2339">
        <v>36</v>
      </c>
      <c r="AW2339" t="s">
        <v>11187</v>
      </c>
      <c r="AY2339" t="s">
        <v>11213</v>
      </c>
      <c r="BA2339" t="s">
        <v>11222</v>
      </c>
      <c r="BE2339" t="s">
        <v>13007</v>
      </c>
      <c r="BF2339" t="s">
        <v>14364</v>
      </c>
      <c r="BG2339" t="s">
        <v>14963</v>
      </c>
      <c r="BI2339" t="s">
        <v>15608</v>
      </c>
      <c r="BK2339" t="s">
        <v>15632</v>
      </c>
      <c r="BM2339" t="s">
        <v>15650</v>
      </c>
    </row>
    <row r="2340" spans="1:67">
      <c r="A2340" s="1">
        <f>HYPERLINK("https://lsnyc.legalserver.org/matter/dynamic-profile/view/1896320","19-1896320")</f>
        <v>0</v>
      </c>
      <c r="B2340" t="s">
        <v>153</v>
      </c>
      <c r="C2340" t="s">
        <v>247</v>
      </c>
      <c r="D2340" t="s">
        <v>412</v>
      </c>
      <c r="F2340" t="s">
        <v>2094</v>
      </c>
      <c r="G2340" t="s">
        <v>3125</v>
      </c>
      <c r="H2340" t="s">
        <v>5565</v>
      </c>
      <c r="I2340" t="s">
        <v>6510</v>
      </c>
      <c r="J2340" t="s">
        <v>7172</v>
      </c>
      <c r="K2340">
        <v>11691</v>
      </c>
      <c r="N2340" t="s">
        <v>7237</v>
      </c>
      <c r="O2340" t="s">
        <v>8751</v>
      </c>
      <c r="P2340">
        <v>1</v>
      </c>
      <c r="Q2340">
        <v>0</v>
      </c>
      <c r="R2340">
        <v>312.25</v>
      </c>
      <c r="U2340">
        <v>39000</v>
      </c>
      <c r="W2340">
        <v>0</v>
      </c>
      <c r="Y2340" t="s">
        <v>10939</v>
      </c>
      <c r="AA2340" t="s">
        <v>10974</v>
      </c>
      <c r="AB2340" t="s">
        <v>412</v>
      </c>
      <c r="AD2340" t="s">
        <v>11090</v>
      </c>
      <c r="AF2340" t="s">
        <v>10384</v>
      </c>
      <c r="AH2340" t="s">
        <v>10974</v>
      </c>
      <c r="AJ2340" t="s">
        <v>11134</v>
      </c>
      <c r="AK2340" t="s">
        <v>7225</v>
      </c>
      <c r="AM2340">
        <v>637</v>
      </c>
      <c r="AO2340">
        <v>43</v>
      </c>
      <c r="AQ2340" t="s">
        <v>11157</v>
      </c>
      <c r="AS2340" t="s">
        <v>11173</v>
      </c>
      <c r="AU2340">
        <v>28</v>
      </c>
      <c r="AW2340" t="s">
        <v>11187</v>
      </c>
      <c r="AZ2340" t="s">
        <v>11221</v>
      </c>
      <c r="BB2340" t="s">
        <v>11224</v>
      </c>
      <c r="BC2340" t="s">
        <v>11236</v>
      </c>
      <c r="BE2340" t="s">
        <v>13008</v>
      </c>
      <c r="BF2340" t="s">
        <v>14364</v>
      </c>
      <c r="BM2340" t="s">
        <v>15650</v>
      </c>
    </row>
    <row r="2341" spans="1:67">
      <c r="A2341" s="1">
        <f>HYPERLINK("https://lsnyc.legalserver.org/matter/dynamic-profile/view/1896249","19-1896249")</f>
        <v>0</v>
      </c>
      <c r="B2341" t="s">
        <v>153</v>
      </c>
      <c r="C2341" t="s">
        <v>247</v>
      </c>
      <c r="D2341" t="s">
        <v>445</v>
      </c>
      <c r="F2341" t="s">
        <v>2095</v>
      </c>
      <c r="G2341" t="s">
        <v>3888</v>
      </c>
      <c r="H2341" t="s">
        <v>5565</v>
      </c>
      <c r="I2341" t="s">
        <v>6842</v>
      </c>
      <c r="J2341" t="s">
        <v>7172</v>
      </c>
      <c r="K2341">
        <v>11691</v>
      </c>
      <c r="N2341" t="s">
        <v>7237</v>
      </c>
      <c r="O2341" t="s">
        <v>8752</v>
      </c>
      <c r="P2341">
        <v>1</v>
      </c>
      <c r="Q2341">
        <v>0</v>
      </c>
      <c r="R2341">
        <v>59.57</v>
      </c>
      <c r="U2341">
        <v>7440</v>
      </c>
      <c r="W2341">
        <v>0</v>
      </c>
      <c r="Y2341" t="s">
        <v>10939</v>
      </c>
      <c r="AA2341" t="s">
        <v>10974</v>
      </c>
      <c r="AB2341" t="s">
        <v>445</v>
      </c>
      <c r="AD2341" t="s">
        <v>11090</v>
      </c>
      <c r="AF2341" t="s">
        <v>10384</v>
      </c>
      <c r="AH2341" t="s">
        <v>10974</v>
      </c>
      <c r="AJ2341" t="s">
        <v>11134</v>
      </c>
      <c r="AK2341" t="s">
        <v>7225</v>
      </c>
      <c r="AM2341">
        <v>340</v>
      </c>
      <c r="AO2341">
        <v>43</v>
      </c>
      <c r="AQ2341" t="s">
        <v>11157</v>
      </c>
      <c r="AS2341" t="s">
        <v>11173</v>
      </c>
      <c r="AU2341">
        <v>43</v>
      </c>
      <c r="AW2341" t="s">
        <v>11187</v>
      </c>
      <c r="AZ2341" t="s">
        <v>11221</v>
      </c>
      <c r="BB2341" t="s">
        <v>11224</v>
      </c>
      <c r="BC2341" t="s">
        <v>11236</v>
      </c>
      <c r="BE2341" t="s">
        <v>13009</v>
      </c>
      <c r="BF2341" t="s">
        <v>14364</v>
      </c>
      <c r="BM2341" t="s">
        <v>15650</v>
      </c>
    </row>
    <row r="2342" spans="1:67">
      <c r="A2342" s="1">
        <f>HYPERLINK("https://lsnyc.legalserver.org/matter/dynamic-profile/view/1897238","19-1897238")</f>
        <v>0</v>
      </c>
      <c r="B2342" t="s">
        <v>153</v>
      </c>
      <c r="C2342" t="s">
        <v>247</v>
      </c>
      <c r="D2342" t="s">
        <v>583</v>
      </c>
      <c r="F2342" t="s">
        <v>2096</v>
      </c>
      <c r="G2342" t="s">
        <v>3149</v>
      </c>
      <c r="H2342" t="s">
        <v>5565</v>
      </c>
      <c r="I2342" t="s">
        <v>6422</v>
      </c>
      <c r="J2342" t="s">
        <v>7172</v>
      </c>
      <c r="K2342">
        <v>11691</v>
      </c>
      <c r="N2342" t="s">
        <v>7237</v>
      </c>
      <c r="O2342" t="s">
        <v>8753</v>
      </c>
      <c r="P2342">
        <v>2</v>
      </c>
      <c r="Q2342">
        <v>3</v>
      </c>
      <c r="R2342">
        <v>112.03</v>
      </c>
      <c r="U2342">
        <v>33800</v>
      </c>
      <c r="W2342">
        <v>0</v>
      </c>
      <c r="Y2342" t="s">
        <v>10870</v>
      </c>
      <c r="AA2342" t="s">
        <v>10974</v>
      </c>
      <c r="AB2342" t="s">
        <v>583</v>
      </c>
      <c r="AD2342" t="s">
        <v>11090</v>
      </c>
      <c r="AF2342" t="s">
        <v>10384</v>
      </c>
      <c r="AH2342" t="s">
        <v>10974</v>
      </c>
      <c r="AJ2342" t="s">
        <v>11134</v>
      </c>
      <c r="AK2342" t="s">
        <v>7225</v>
      </c>
      <c r="AM2342">
        <v>819</v>
      </c>
      <c r="AO2342">
        <v>43</v>
      </c>
      <c r="AQ2342" t="s">
        <v>11157</v>
      </c>
      <c r="AS2342" t="s">
        <v>11173</v>
      </c>
      <c r="AU2342">
        <v>15</v>
      </c>
      <c r="AW2342" t="s">
        <v>11189</v>
      </c>
      <c r="AZ2342" t="s">
        <v>11221</v>
      </c>
      <c r="BE2342" t="s">
        <v>13010</v>
      </c>
      <c r="BF2342" t="s">
        <v>14364</v>
      </c>
      <c r="BM2342" t="s">
        <v>15650</v>
      </c>
    </row>
    <row r="2343" spans="1:67">
      <c r="A2343" s="1">
        <f>HYPERLINK("https://lsnyc.legalserver.org/matter/dynamic-profile/view/1860441","18-1860441")</f>
        <v>0</v>
      </c>
      <c r="B2343" t="s">
        <v>153</v>
      </c>
      <c r="C2343" t="s">
        <v>247</v>
      </c>
      <c r="D2343" t="s">
        <v>825</v>
      </c>
      <c r="F2343" t="s">
        <v>1557</v>
      </c>
      <c r="G2343" t="s">
        <v>3889</v>
      </c>
      <c r="H2343" t="s">
        <v>5191</v>
      </c>
      <c r="I2343" t="s">
        <v>6715</v>
      </c>
      <c r="J2343" t="s">
        <v>7177</v>
      </c>
      <c r="K2343">
        <v>11432</v>
      </c>
      <c r="N2343" t="s">
        <v>7238</v>
      </c>
      <c r="O2343" t="s">
        <v>8754</v>
      </c>
      <c r="P2343">
        <v>2</v>
      </c>
      <c r="Q2343">
        <v>0</v>
      </c>
      <c r="R2343">
        <v>189.55</v>
      </c>
      <c r="S2343" t="s">
        <v>10263</v>
      </c>
      <c r="U2343">
        <v>31200</v>
      </c>
      <c r="W2343">
        <v>0.2</v>
      </c>
      <c r="X2343" t="s">
        <v>672</v>
      </c>
      <c r="Y2343" t="s">
        <v>202</v>
      </c>
      <c r="AA2343" t="s">
        <v>10974</v>
      </c>
      <c r="AB2343" t="s">
        <v>11046</v>
      </c>
      <c r="AD2343" t="s">
        <v>11096</v>
      </c>
      <c r="AF2343" t="s">
        <v>11122</v>
      </c>
      <c r="AH2343" t="s">
        <v>10974</v>
      </c>
      <c r="AJ2343" t="s">
        <v>11129</v>
      </c>
      <c r="AK2343" t="s">
        <v>7225</v>
      </c>
      <c r="AM2343">
        <v>1300</v>
      </c>
      <c r="AO2343">
        <v>60</v>
      </c>
      <c r="AQ2343" t="s">
        <v>11157</v>
      </c>
      <c r="AS2343" t="s">
        <v>11173</v>
      </c>
      <c r="AU2343">
        <v>37</v>
      </c>
      <c r="AW2343" t="s">
        <v>11189</v>
      </c>
      <c r="AZ2343" t="s">
        <v>11221</v>
      </c>
      <c r="BC2343" t="s">
        <v>11228</v>
      </c>
      <c r="BE2343" t="s">
        <v>13011</v>
      </c>
      <c r="BG2343" t="s">
        <v>14964</v>
      </c>
      <c r="BM2343" t="s">
        <v>15650</v>
      </c>
    </row>
    <row r="2344" spans="1:67">
      <c r="A2344" s="1">
        <f>HYPERLINK("https://lsnyc.legalserver.org/matter/dynamic-profile/view/1898361","19-1898361")</f>
        <v>0</v>
      </c>
      <c r="B2344" t="s">
        <v>153</v>
      </c>
      <c r="C2344" t="s">
        <v>247</v>
      </c>
      <c r="D2344" t="s">
        <v>519</v>
      </c>
      <c r="F2344" t="s">
        <v>2097</v>
      </c>
      <c r="G2344" t="s">
        <v>2902</v>
      </c>
      <c r="H2344" t="s">
        <v>5566</v>
      </c>
      <c r="J2344" t="s">
        <v>7188</v>
      </c>
      <c r="K2344">
        <v>11366</v>
      </c>
      <c r="N2344" t="s">
        <v>7237</v>
      </c>
      <c r="O2344" t="s">
        <v>8755</v>
      </c>
      <c r="P2344">
        <v>1</v>
      </c>
      <c r="Q2344">
        <v>0</v>
      </c>
      <c r="R2344">
        <v>0</v>
      </c>
      <c r="S2344" t="s">
        <v>10254</v>
      </c>
      <c r="T2344" t="s">
        <v>10275</v>
      </c>
      <c r="U2344">
        <v>0</v>
      </c>
      <c r="W2344">
        <v>0</v>
      </c>
      <c r="Y2344" t="s">
        <v>153</v>
      </c>
      <c r="AA2344" t="s">
        <v>10974</v>
      </c>
      <c r="AB2344" t="s">
        <v>822</v>
      </c>
      <c r="AD2344" t="s">
        <v>11086</v>
      </c>
      <c r="AF2344" t="s">
        <v>11119</v>
      </c>
      <c r="AH2344" t="s">
        <v>10975</v>
      </c>
      <c r="AJ2344" t="s">
        <v>11133</v>
      </c>
      <c r="AK2344" t="s">
        <v>11149</v>
      </c>
      <c r="AM2344">
        <v>500</v>
      </c>
      <c r="AO2344">
        <v>1</v>
      </c>
      <c r="AQ2344" t="s">
        <v>11156</v>
      </c>
      <c r="AS2344" t="s">
        <v>11173</v>
      </c>
      <c r="AU2344">
        <v>1</v>
      </c>
      <c r="AW2344" t="s">
        <v>11189</v>
      </c>
      <c r="AZ2344" t="s">
        <v>11221</v>
      </c>
      <c r="BB2344" t="s">
        <v>11224</v>
      </c>
      <c r="BC2344" t="s">
        <v>11236</v>
      </c>
      <c r="BE2344" t="s">
        <v>11236</v>
      </c>
      <c r="BF2344" t="s">
        <v>14364</v>
      </c>
      <c r="BG2344" t="s">
        <v>14799</v>
      </c>
      <c r="BM2344" t="s">
        <v>15650</v>
      </c>
    </row>
    <row r="2345" spans="1:67">
      <c r="A2345" s="1">
        <f>HYPERLINK("https://lsnyc.legalserver.org/matter/dynamic-profile/view/1860312","18-1860312")</f>
        <v>0</v>
      </c>
      <c r="B2345" t="s">
        <v>153</v>
      </c>
      <c r="C2345" t="s">
        <v>247</v>
      </c>
      <c r="D2345" t="s">
        <v>871</v>
      </c>
      <c r="F2345" t="s">
        <v>2098</v>
      </c>
      <c r="G2345" t="s">
        <v>3409</v>
      </c>
      <c r="H2345" t="s">
        <v>5567</v>
      </c>
      <c r="J2345" t="s">
        <v>7177</v>
      </c>
      <c r="K2345">
        <v>11432</v>
      </c>
      <c r="N2345" t="s">
        <v>7238</v>
      </c>
      <c r="P2345">
        <v>2</v>
      </c>
      <c r="Q2345">
        <v>2</v>
      </c>
      <c r="R2345">
        <v>113.82</v>
      </c>
      <c r="S2345" t="s">
        <v>10263</v>
      </c>
      <c r="U2345">
        <v>28000</v>
      </c>
      <c r="W2345">
        <v>0.2</v>
      </c>
      <c r="X2345" t="s">
        <v>672</v>
      </c>
      <c r="Y2345" t="s">
        <v>202</v>
      </c>
      <c r="AA2345" t="s">
        <v>10974</v>
      </c>
      <c r="AB2345" t="s">
        <v>11046</v>
      </c>
      <c r="AD2345" t="s">
        <v>11096</v>
      </c>
      <c r="AF2345" t="s">
        <v>11122</v>
      </c>
      <c r="AH2345" t="s">
        <v>10974</v>
      </c>
      <c r="AJ2345" t="s">
        <v>11131</v>
      </c>
      <c r="AK2345" t="s">
        <v>7225</v>
      </c>
      <c r="AL2345" t="s">
        <v>11150</v>
      </c>
      <c r="AM2345">
        <v>0</v>
      </c>
      <c r="AO2345">
        <v>60</v>
      </c>
      <c r="AQ2345" t="s">
        <v>11157</v>
      </c>
      <c r="AS2345" t="s">
        <v>11173</v>
      </c>
      <c r="AT2345" t="s">
        <v>11184</v>
      </c>
      <c r="AU2345">
        <v>0</v>
      </c>
      <c r="AW2345" t="s">
        <v>11189</v>
      </c>
      <c r="AZ2345" t="s">
        <v>11221</v>
      </c>
      <c r="BC2345" t="s">
        <v>11228</v>
      </c>
      <c r="BD2345" t="s">
        <v>11667</v>
      </c>
      <c r="BG2345" t="s">
        <v>14965</v>
      </c>
      <c r="BM2345" t="s">
        <v>15650</v>
      </c>
    </row>
    <row r="2346" spans="1:67">
      <c r="A2346" s="1">
        <f>HYPERLINK("https://lsnyc.legalserver.org/matter/dynamic-profile/view/1898356","19-1898356")</f>
        <v>0</v>
      </c>
      <c r="B2346" t="s">
        <v>153</v>
      </c>
      <c r="C2346" t="s">
        <v>247</v>
      </c>
      <c r="D2346" t="s">
        <v>519</v>
      </c>
      <c r="F2346" t="s">
        <v>1822</v>
      </c>
      <c r="G2346" t="s">
        <v>3890</v>
      </c>
      <c r="H2346" t="s">
        <v>5568</v>
      </c>
      <c r="I2346" t="s">
        <v>6843</v>
      </c>
      <c r="J2346" t="s">
        <v>7204</v>
      </c>
      <c r="K2346">
        <v>11360</v>
      </c>
      <c r="N2346" t="s">
        <v>7237</v>
      </c>
      <c r="O2346" t="s">
        <v>8756</v>
      </c>
      <c r="P2346">
        <v>2</v>
      </c>
      <c r="Q2346">
        <v>0</v>
      </c>
      <c r="R2346">
        <v>0</v>
      </c>
      <c r="S2346" t="s">
        <v>10254</v>
      </c>
      <c r="T2346" t="s">
        <v>10275</v>
      </c>
      <c r="U2346">
        <v>0</v>
      </c>
      <c r="W2346">
        <v>0</v>
      </c>
      <c r="Y2346" t="s">
        <v>153</v>
      </c>
      <c r="AA2346" t="s">
        <v>10974</v>
      </c>
      <c r="AB2346" t="s">
        <v>822</v>
      </c>
      <c r="AD2346" t="s">
        <v>11086</v>
      </c>
      <c r="AF2346" t="s">
        <v>11119</v>
      </c>
      <c r="AH2346" t="s">
        <v>10975</v>
      </c>
      <c r="AJ2346" t="s">
        <v>11133</v>
      </c>
      <c r="AK2346" t="s">
        <v>11149</v>
      </c>
      <c r="AM2346">
        <v>1160</v>
      </c>
      <c r="AO2346">
        <v>61</v>
      </c>
      <c r="AQ2346" t="s">
        <v>11157</v>
      </c>
      <c r="AS2346" t="s">
        <v>11173</v>
      </c>
      <c r="AU2346">
        <v>10</v>
      </c>
      <c r="AW2346" t="s">
        <v>11187</v>
      </c>
      <c r="AZ2346" t="s">
        <v>11221</v>
      </c>
      <c r="BB2346" t="s">
        <v>11224</v>
      </c>
      <c r="BC2346" t="s">
        <v>11236</v>
      </c>
      <c r="BE2346" t="s">
        <v>11236</v>
      </c>
      <c r="BF2346" t="s">
        <v>14364</v>
      </c>
      <c r="BG2346" t="s">
        <v>14799</v>
      </c>
      <c r="BM2346" t="s">
        <v>15650</v>
      </c>
    </row>
    <row r="2347" spans="1:67">
      <c r="A2347" s="1">
        <f>HYPERLINK("https://lsnyc.legalserver.org/matter/dynamic-profile/view/1912457","19-1912457")</f>
        <v>0</v>
      </c>
      <c r="B2347" t="s">
        <v>153</v>
      </c>
      <c r="C2347" t="s">
        <v>247</v>
      </c>
      <c r="D2347" t="s">
        <v>441</v>
      </c>
      <c r="F2347" t="s">
        <v>1142</v>
      </c>
      <c r="G2347" t="s">
        <v>3891</v>
      </c>
      <c r="H2347" t="s">
        <v>5565</v>
      </c>
      <c r="I2347" t="s">
        <v>6491</v>
      </c>
      <c r="J2347" t="s">
        <v>7172</v>
      </c>
      <c r="K2347">
        <v>11691</v>
      </c>
      <c r="N2347" t="s">
        <v>7237</v>
      </c>
      <c r="O2347" t="s">
        <v>8757</v>
      </c>
      <c r="P2347">
        <v>2</v>
      </c>
      <c r="Q2347">
        <v>0</v>
      </c>
      <c r="R2347">
        <v>172.21</v>
      </c>
      <c r="U2347">
        <v>29120</v>
      </c>
      <c r="W2347">
        <v>0.5</v>
      </c>
      <c r="X2347" t="s">
        <v>441</v>
      </c>
      <c r="Y2347" t="s">
        <v>10870</v>
      </c>
      <c r="AA2347" t="s">
        <v>10974</v>
      </c>
      <c r="AB2347" t="s">
        <v>441</v>
      </c>
      <c r="AD2347" t="s">
        <v>11082</v>
      </c>
      <c r="AF2347" t="s">
        <v>11120</v>
      </c>
      <c r="AH2347" t="s">
        <v>10974</v>
      </c>
      <c r="AJ2347" t="s">
        <v>11134</v>
      </c>
      <c r="AK2347" t="s">
        <v>7225</v>
      </c>
      <c r="AM2347">
        <v>675</v>
      </c>
      <c r="AO2347">
        <v>43</v>
      </c>
      <c r="AQ2347" t="s">
        <v>11157</v>
      </c>
      <c r="AS2347" t="s">
        <v>11173</v>
      </c>
      <c r="AU2347">
        <v>5</v>
      </c>
      <c r="AW2347" t="s">
        <v>11187</v>
      </c>
      <c r="BA2347" t="s">
        <v>11222</v>
      </c>
      <c r="BE2347" t="s">
        <v>13012</v>
      </c>
      <c r="BF2347" t="s">
        <v>14364</v>
      </c>
      <c r="BM2347" t="s">
        <v>15650</v>
      </c>
    </row>
    <row r="2348" spans="1:67">
      <c r="A2348" s="1">
        <f>HYPERLINK("https://lsnyc.legalserver.org/matter/dynamic-profile/view/1895234","19-1895234")</f>
        <v>0</v>
      </c>
      <c r="B2348" t="s">
        <v>153</v>
      </c>
      <c r="C2348" t="s">
        <v>247</v>
      </c>
      <c r="D2348" t="s">
        <v>428</v>
      </c>
      <c r="F2348" t="s">
        <v>2099</v>
      </c>
      <c r="G2348" t="s">
        <v>3892</v>
      </c>
      <c r="H2348" t="s">
        <v>5569</v>
      </c>
      <c r="J2348" t="s">
        <v>7182</v>
      </c>
      <c r="K2348">
        <v>11101</v>
      </c>
      <c r="N2348" t="s">
        <v>7237</v>
      </c>
      <c r="O2348" t="s">
        <v>8758</v>
      </c>
      <c r="P2348">
        <v>1</v>
      </c>
      <c r="Q2348">
        <v>1</v>
      </c>
      <c r="R2348">
        <v>153.76</v>
      </c>
      <c r="U2348">
        <v>26000</v>
      </c>
      <c r="W2348">
        <v>17.95</v>
      </c>
      <c r="X2348" t="s">
        <v>548</v>
      </c>
      <c r="Y2348" t="s">
        <v>10939</v>
      </c>
      <c r="AA2348" t="s">
        <v>10974</v>
      </c>
      <c r="AB2348" t="s">
        <v>370</v>
      </c>
      <c r="AD2348" t="s">
        <v>11082</v>
      </c>
      <c r="AF2348" t="s">
        <v>11118</v>
      </c>
      <c r="AH2348" t="s">
        <v>10975</v>
      </c>
      <c r="AJ2348" t="s">
        <v>11104</v>
      </c>
      <c r="AK2348" t="s">
        <v>7225</v>
      </c>
      <c r="AM2348">
        <v>2200</v>
      </c>
      <c r="AO2348">
        <v>24</v>
      </c>
      <c r="AQ2348" t="s">
        <v>11164</v>
      </c>
      <c r="AS2348" t="s">
        <v>11173</v>
      </c>
      <c r="AU2348">
        <v>2</v>
      </c>
      <c r="AW2348" t="s">
        <v>11187</v>
      </c>
      <c r="AY2348" t="s">
        <v>11216</v>
      </c>
      <c r="AZ2348" t="s">
        <v>11221</v>
      </c>
      <c r="BB2348" t="s">
        <v>11224</v>
      </c>
      <c r="BC2348" t="s">
        <v>11236</v>
      </c>
      <c r="BE2348" t="s">
        <v>13013</v>
      </c>
      <c r="BG2348" t="s">
        <v>14966</v>
      </c>
      <c r="BM2348" t="s">
        <v>15650</v>
      </c>
    </row>
    <row r="2349" spans="1:67">
      <c r="A2349" s="1">
        <f>HYPERLINK("https://lsnyc.legalserver.org/matter/dynamic-profile/view/1860438","18-1860438")</f>
        <v>0</v>
      </c>
      <c r="B2349" t="s">
        <v>153</v>
      </c>
      <c r="C2349" t="s">
        <v>247</v>
      </c>
      <c r="D2349" t="s">
        <v>825</v>
      </c>
      <c r="F2349" t="s">
        <v>1557</v>
      </c>
      <c r="G2349" t="s">
        <v>3889</v>
      </c>
      <c r="H2349" t="s">
        <v>5191</v>
      </c>
      <c r="I2349" t="s">
        <v>6715</v>
      </c>
      <c r="J2349" t="s">
        <v>7177</v>
      </c>
      <c r="K2349">
        <v>11432</v>
      </c>
      <c r="N2349" t="s">
        <v>7238</v>
      </c>
      <c r="O2349" t="s">
        <v>8754</v>
      </c>
      <c r="P2349">
        <v>2</v>
      </c>
      <c r="Q2349">
        <v>0</v>
      </c>
      <c r="R2349">
        <v>189.55</v>
      </c>
      <c r="S2349" t="s">
        <v>10263</v>
      </c>
      <c r="U2349">
        <v>31200</v>
      </c>
      <c r="W2349">
        <v>0.1</v>
      </c>
      <c r="X2349" t="s">
        <v>672</v>
      </c>
      <c r="Y2349" t="s">
        <v>202</v>
      </c>
      <c r="AA2349" t="s">
        <v>10974</v>
      </c>
      <c r="AB2349" t="s">
        <v>11046</v>
      </c>
      <c r="AD2349" t="s">
        <v>11096</v>
      </c>
      <c r="AF2349" t="s">
        <v>11122</v>
      </c>
      <c r="AH2349" t="s">
        <v>10974</v>
      </c>
      <c r="AJ2349" t="s">
        <v>11129</v>
      </c>
      <c r="AK2349" t="s">
        <v>7225</v>
      </c>
      <c r="AM2349">
        <v>1300</v>
      </c>
      <c r="AO2349">
        <v>60</v>
      </c>
      <c r="AQ2349" t="s">
        <v>11157</v>
      </c>
      <c r="AS2349" t="s">
        <v>11173</v>
      </c>
      <c r="AU2349">
        <v>38</v>
      </c>
      <c r="AW2349" t="s">
        <v>11189</v>
      </c>
      <c r="AZ2349" t="s">
        <v>11221</v>
      </c>
      <c r="BE2349" t="s">
        <v>13011</v>
      </c>
      <c r="BG2349" t="s">
        <v>14965</v>
      </c>
      <c r="BM2349" t="s">
        <v>15650</v>
      </c>
    </row>
    <row r="2350" spans="1:67">
      <c r="A2350" s="1">
        <f>HYPERLINK("https://lsnyc.legalserver.org/matter/dynamic-profile/view/1878794","18-1878794")</f>
        <v>0</v>
      </c>
      <c r="B2350" t="s">
        <v>153</v>
      </c>
      <c r="C2350" t="s">
        <v>247</v>
      </c>
      <c r="D2350" t="s">
        <v>617</v>
      </c>
      <c r="F2350" t="s">
        <v>1137</v>
      </c>
      <c r="G2350" t="s">
        <v>3893</v>
      </c>
      <c r="H2350" t="s">
        <v>5570</v>
      </c>
      <c r="I2350" t="s">
        <v>6844</v>
      </c>
      <c r="J2350" t="s">
        <v>7205</v>
      </c>
      <c r="K2350">
        <v>11414</v>
      </c>
      <c r="N2350" t="s">
        <v>7237</v>
      </c>
      <c r="O2350" t="s">
        <v>8759</v>
      </c>
      <c r="P2350">
        <v>1</v>
      </c>
      <c r="Q2350">
        <v>1</v>
      </c>
      <c r="R2350">
        <v>76.55</v>
      </c>
      <c r="U2350">
        <v>12600</v>
      </c>
      <c r="W2350">
        <v>18.15</v>
      </c>
      <c r="X2350" t="s">
        <v>344</v>
      </c>
      <c r="Y2350" t="s">
        <v>202</v>
      </c>
      <c r="AA2350" t="s">
        <v>10974</v>
      </c>
      <c r="AB2350" t="s">
        <v>617</v>
      </c>
      <c r="AD2350" t="s">
        <v>11083</v>
      </c>
      <c r="AF2350" t="s">
        <v>11118</v>
      </c>
      <c r="AH2350" t="s">
        <v>10975</v>
      </c>
      <c r="AJ2350" t="s">
        <v>11138</v>
      </c>
      <c r="AK2350" t="s">
        <v>7225</v>
      </c>
      <c r="AM2350">
        <v>1900</v>
      </c>
      <c r="AO2350">
        <v>2</v>
      </c>
      <c r="AQ2350" t="s">
        <v>11156</v>
      </c>
      <c r="AS2350" t="s">
        <v>11173</v>
      </c>
      <c r="AU2350">
        <v>2</v>
      </c>
      <c r="AW2350" t="s">
        <v>11187</v>
      </c>
      <c r="AY2350" t="s">
        <v>11213</v>
      </c>
      <c r="AZ2350" t="s">
        <v>11221</v>
      </c>
      <c r="BE2350" t="s">
        <v>13014</v>
      </c>
      <c r="BG2350" t="s">
        <v>14967</v>
      </c>
      <c r="BI2350" t="s">
        <v>15611</v>
      </c>
      <c r="BK2350" t="s">
        <v>11104</v>
      </c>
      <c r="BM2350" t="s">
        <v>15650</v>
      </c>
      <c r="BN2350" t="s">
        <v>15653</v>
      </c>
      <c r="BO2350" t="s">
        <v>15704</v>
      </c>
    </row>
    <row r="2351" spans="1:67">
      <c r="A2351" s="1">
        <f>HYPERLINK("https://lsnyc.legalserver.org/matter/dynamic-profile/view/1896347","19-1896347")</f>
        <v>0</v>
      </c>
      <c r="B2351" t="s">
        <v>153</v>
      </c>
      <c r="C2351" t="s">
        <v>247</v>
      </c>
      <c r="D2351" t="s">
        <v>412</v>
      </c>
      <c r="F2351" t="s">
        <v>1121</v>
      </c>
      <c r="G2351" t="s">
        <v>3079</v>
      </c>
      <c r="H2351" t="s">
        <v>5565</v>
      </c>
      <c r="I2351">
        <v>10</v>
      </c>
      <c r="J2351" t="s">
        <v>7172</v>
      </c>
      <c r="K2351">
        <v>11691</v>
      </c>
      <c r="N2351" t="s">
        <v>7237</v>
      </c>
      <c r="O2351" t="s">
        <v>8760</v>
      </c>
      <c r="P2351">
        <v>2</v>
      </c>
      <c r="Q2351">
        <v>0</v>
      </c>
      <c r="R2351">
        <v>340.63</v>
      </c>
      <c r="U2351">
        <v>57600</v>
      </c>
      <c r="W2351">
        <v>0</v>
      </c>
      <c r="Y2351" t="s">
        <v>10939</v>
      </c>
      <c r="AA2351" t="s">
        <v>10974</v>
      </c>
      <c r="AB2351" t="s">
        <v>412</v>
      </c>
      <c r="AD2351" t="s">
        <v>11090</v>
      </c>
      <c r="AF2351" t="s">
        <v>10384</v>
      </c>
      <c r="AH2351" t="s">
        <v>10974</v>
      </c>
      <c r="AJ2351" t="s">
        <v>11134</v>
      </c>
      <c r="AK2351" t="s">
        <v>7225</v>
      </c>
      <c r="AM2351">
        <v>660</v>
      </c>
      <c r="AO2351">
        <v>43</v>
      </c>
      <c r="AQ2351" t="s">
        <v>11157</v>
      </c>
      <c r="AS2351" t="s">
        <v>11173</v>
      </c>
      <c r="AU2351">
        <v>10</v>
      </c>
      <c r="AW2351" t="s">
        <v>11187</v>
      </c>
      <c r="AZ2351" t="s">
        <v>11221</v>
      </c>
      <c r="BB2351" t="s">
        <v>11224</v>
      </c>
      <c r="BC2351" t="s">
        <v>11236</v>
      </c>
      <c r="BE2351" t="s">
        <v>13015</v>
      </c>
      <c r="BF2351" t="s">
        <v>14364</v>
      </c>
      <c r="BM2351" t="s">
        <v>15650</v>
      </c>
    </row>
    <row r="2352" spans="1:67">
      <c r="A2352" s="1">
        <f>HYPERLINK("https://lsnyc.legalserver.org/matter/dynamic-profile/view/1912394","19-1912394")</f>
        <v>0</v>
      </c>
      <c r="B2352" t="s">
        <v>153</v>
      </c>
      <c r="C2352" t="s">
        <v>247</v>
      </c>
      <c r="D2352" t="s">
        <v>441</v>
      </c>
      <c r="F2352" t="s">
        <v>2100</v>
      </c>
      <c r="G2352" t="s">
        <v>2954</v>
      </c>
      <c r="H2352" t="s">
        <v>5565</v>
      </c>
      <c r="I2352" t="s">
        <v>6845</v>
      </c>
      <c r="J2352" t="s">
        <v>7172</v>
      </c>
      <c r="K2352">
        <v>11691</v>
      </c>
      <c r="N2352" t="s">
        <v>7237</v>
      </c>
      <c r="O2352" t="s">
        <v>8761</v>
      </c>
      <c r="P2352">
        <v>4</v>
      </c>
      <c r="Q2352">
        <v>0</v>
      </c>
      <c r="R2352">
        <v>166.99</v>
      </c>
      <c r="U2352">
        <v>43000</v>
      </c>
      <c r="W2352">
        <v>0.4</v>
      </c>
      <c r="X2352" t="s">
        <v>441</v>
      </c>
      <c r="Y2352" t="s">
        <v>10870</v>
      </c>
      <c r="AA2352" t="s">
        <v>10974</v>
      </c>
      <c r="AB2352" t="s">
        <v>441</v>
      </c>
      <c r="AD2352" t="s">
        <v>11082</v>
      </c>
      <c r="AF2352" t="s">
        <v>11120</v>
      </c>
      <c r="AH2352" t="s">
        <v>10974</v>
      </c>
      <c r="AJ2352" t="s">
        <v>11134</v>
      </c>
      <c r="AK2352" t="s">
        <v>7225</v>
      </c>
      <c r="AM2352">
        <v>637</v>
      </c>
      <c r="AO2352">
        <v>43</v>
      </c>
      <c r="AQ2352" t="s">
        <v>11157</v>
      </c>
      <c r="AS2352" t="s">
        <v>11173</v>
      </c>
      <c r="AU2352">
        <v>30</v>
      </c>
      <c r="AW2352" t="s">
        <v>11187</v>
      </c>
      <c r="BA2352" t="s">
        <v>11222</v>
      </c>
      <c r="BE2352" t="s">
        <v>13016</v>
      </c>
      <c r="BF2352" t="s">
        <v>14364</v>
      </c>
      <c r="BM2352" t="s">
        <v>15650</v>
      </c>
    </row>
    <row r="2353" spans="1:67">
      <c r="A2353" s="1">
        <f>HYPERLINK("https://lsnyc.legalserver.org/matter/dynamic-profile/view/1859930","18-1859930")</f>
        <v>0</v>
      </c>
      <c r="B2353" t="s">
        <v>153</v>
      </c>
      <c r="C2353" t="s">
        <v>247</v>
      </c>
      <c r="D2353" t="s">
        <v>643</v>
      </c>
      <c r="F2353" t="s">
        <v>1695</v>
      </c>
      <c r="G2353" t="s">
        <v>3894</v>
      </c>
      <c r="H2353" t="s">
        <v>5567</v>
      </c>
      <c r="I2353" t="s">
        <v>6846</v>
      </c>
      <c r="J2353" t="s">
        <v>7177</v>
      </c>
      <c r="K2353">
        <v>11432</v>
      </c>
      <c r="N2353" t="s">
        <v>7237</v>
      </c>
      <c r="O2353" t="s">
        <v>8762</v>
      </c>
      <c r="P2353">
        <v>3</v>
      </c>
      <c r="Q2353">
        <v>0</v>
      </c>
      <c r="R2353">
        <v>70.52</v>
      </c>
      <c r="S2353" t="s">
        <v>10263</v>
      </c>
      <c r="U2353">
        <v>28800</v>
      </c>
      <c r="W2353">
        <v>46.4</v>
      </c>
      <c r="X2353" t="s">
        <v>495</v>
      </c>
      <c r="Y2353" t="s">
        <v>10870</v>
      </c>
      <c r="AA2353" t="s">
        <v>10974</v>
      </c>
      <c r="AB2353" t="s">
        <v>643</v>
      </c>
      <c r="AD2353" t="s">
        <v>11096</v>
      </c>
      <c r="AF2353" t="s">
        <v>11122</v>
      </c>
      <c r="AH2353" t="s">
        <v>10974</v>
      </c>
      <c r="AJ2353" t="s">
        <v>11140</v>
      </c>
      <c r="AK2353" t="s">
        <v>7225</v>
      </c>
      <c r="AM2353">
        <v>1850</v>
      </c>
      <c r="AO2353">
        <v>60</v>
      </c>
      <c r="AQ2353" t="s">
        <v>11160</v>
      </c>
      <c r="AS2353" t="s">
        <v>11173</v>
      </c>
      <c r="AU2353">
        <v>40</v>
      </c>
      <c r="AW2353" t="s">
        <v>11187</v>
      </c>
      <c r="AZ2353" t="s">
        <v>11221</v>
      </c>
      <c r="BC2353" t="s">
        <v>11228</v>
      </c>
      <c r="BE2353" t="s">
        <v>13017</v>
      </c>
      <c r="BG2353" t="s">
        <v>14965</v>
      </c>
      <c r="BM2353" t="s">
        <v>15650</v>
      </c>
    </row>
    <row r="2354" spans="1:67">
      <c r="A2354" s="1">
        <f>HYPERLINK("https://lsnyc.legalserver.org/matter/dynamic-profile/view/1860339","18-1860339")</f>
        <v>0</v>
      </c>
      <c r="B2354" t="s">
        <v>153</v>
      </c>
      <c r="C2354" t="s">
        <v>247</v>
      </c>
      <c r="D2354" t="s">
        <v>871</v>
      </c>
      <c r="F2354" t="s">
        <v>2098</v>
      </c>
      <c r="G2354" t="s">
        <v>3409</v>
      </c>
      <c r="H2354" t="s">
        <v>5567</v>
      </c>
      <c r="J2354" t="s">
        <v>7177</v>
      </c>
      <c r="K2354">
        <v>11432</v>
      </c>
      <c r="N2354" t="s">
        <v>7238</v>
      </c>
      <c r="P2354">
        <v>2</v>
      </c>
      <c r="Q2354">
        <v>2</v>
      </c>
      <c r="R2354">
        <v>113.82</v>
      </c>
      <c r="S2354" t="s">
        <v>10263</v>
      </c>
      <c r="U2354">
        <v>56000</v>
      </c>
      <c r="W2354">
        <v>0.2</v>
      </c>
      <c r="X2354" t="s">
        <v>672</v>
      </c>
      <c r="Y2354" t="s">
        <v>202</v>
      </c>
      <c r="AA2354" t="s">
        <v>10974</v>
      </c>
      <c r="AB2354" t="s">
        <v>11046</v>
      </c>
      <c r="AD2354" t="s">
        <v>11096</v>
      </c>
      <c r="AF2354" t="s">
        <v>11122</v>
      </c>
      <c r="AH2354" t="s">
        <v>10974</v>
      </c>
      <c r="AJ2354" t="s">
        <v>11131</v>
      </c>
      <c r="AK2354" t="s">
        <v>7225</v>
      </c>
      <c r="AL2354" t="s">
        <v>11150</v>
      </c>
      <c r="AM2354">
        <v>0</v>
      </c>
      <c r="AO2354">
        <v>60</v>
      </c>
      <c r="AQ2354" t="s">
        <v>11157</v>
      </c>
      <c r="AS2354" t="s">
        <v>11173</v>
      </c>
      <c r="AT2354" t="s">
        <v>11184</v>
      </c>
      <c r="AU2354">
        <v>0</v>
      </c>
      <c r="AW2354" t="s">
        <v>11189</v>
      </c>
      <c r="AZ2354" t="s">
        <v>11221</v>
      </c>
      <c r="BC2354" t="s">
        <v>11228</v>
      </c>
      <c r="BD2354" t="s">
        <v>11667</v>
      </c>
      <c r="BG2354" t="s">
        <v>14964</v>
      </c>
      <c r="BM2354" t="s">
        <v>15650</v>
      </c>
    </row>
    <row r="2355" spans="1:67">
      <c r="A2355" s="1">
        <f>HYPERLINK("https://lsnyc.legalserver.org/matter/dynamic-profile/view/1859936","18-1859936")</f>
        <v>0</v>
      </c>
      <c r="B2355" t="s">
        <v>153</v>
      </c>
      <c r="C2355" t="s">
        <v>247</v>
      </c>
      <c r="D2355" t="s">
        <v>643</v>
      </c>
      <c r="F2355" t="s">
        <v>1695</v>
      </c>
      <c r="G2355" t="s">
        <v>3894</v>
      </c>
      <c r="H2355" t="s">
        <v>5567</v>
      </c>
      <c r="I2355" t="s">
        <v>6846</v>
      </c>
      <c r="J2355" t="s">
        <v>7177</v>
      </c>
      <c r="K2355">
        <v>11432</v>
      </c>
      <c r="N2355" t="s">
        <v>7237</v>
      </c>
      <c r="O2355" t="s">
        <v>8762</v>
      </c>
      <c r="P2355">
        <v>3</v>
      </c>
      <c r="Q2355">
        <v>0</v>
      </c>
      <c r="R2355">
        <v>70.52</v>
      </c>
      <c r="S2355" t="s">
        <v>10263</v>
      </c>
      <c r="U2355">
        <v>28800</v>
      </c>
      <c r="W2355">
        <v>9.6</v>
      </c>
      <c r="X2355" t="s">
        <v>721</v>
      </c>
      <c r="Y2355" t="s">
        <v>10870</v>
      </c>
      <c r="AA2355" t="s">
        <v>10974</v>
      </c>
      <c r="AB2355" t="s">
        <v>643</v>
      </c>
      <c r="AD2355" t="s">
        <v>11096</v>
      </c>
      <c r="AF2355" t="s">
        <v>11122</v>
      </c>
      <c r="AH2355" t="s">
        <v>10974</v>
      </c>
      <c r="AJ2355" t="s">
        <v>11140</v>
      </c>
      <c r="AK2355" t="s">
        <v>7225</v>
      </c>
      <c r="AM2355">
        <v>1850</v>
      </c>
      <c r="AO2355">
        <v>60</v>
      </c>
      <c r="AQ2355" t="s">
        <v>11160</v>
      </c>
      <c r="AS2355" t="s">
        <v>11173</v>
      </c>
      <c r="AU2355">
        <v>40</v>
      </c>
      <c r="AW2355" t="s">
        <v>11187</v>
      </c>
      <c r="AZ2355" t="s">
        <v>11221</v>
      </c>
      <c r="BC2355" t="s">
        <v>11228</v>
      </c>
      <c r="BE2355" t="s">
        <v>13017</v>
      </c>
      <c r="BG2355" t="s">
        <v>14964</v>
      </c>
      <c r="BM2355" t="s">
        <v>15650</v>
      </c>
    </row>
    <row r="2356" spans="1:67">
      <c r="A2356" s="1">
        <f>HYPERLINK("https://lsnyc.legalserver.org/matter/dynamic-profile/view/1915236","19-1915236")</f>
        <v>0</v>
      </c>
      <c r="B2356" t="s">
        <v>153</v>
      </c>
      <c r="C2356" t="s">
        <v>247</v>
      </c>
      <c r="D2356" t="s">
        <v>426</v>
      </c>
      <c r="F2356" t="s">
        <v>2084</v>
      </c>
      <c r="G2356" t="s">
        <v>2913</v>
      </c>
      <c r="H2356" t="s">
        <v>5565</v>
      </c>
      <c r="I2356" t="s">
        <v>6479</v>
      </c>
      <c r="J2356" t="s">
        <v>7172</v>
      </c>
      <c r="K2356">
        <v>11691</v>
      </c>
      <c r="N2356" t="s">
        <v>7237</v>
      </c>
      <c r="O2356" t="s">
        <v>8763</v>
      </c>
      <c r="P2356">
        <v>2</v>
      </c>
      <c r="Q2356">
        <v>1</v>
      </c>
      <c r="R2356">
        <v>52.41</v>
      </c>
      <c r="U2356">
        <v>11180</v>
      </c>
      <c r="W2356">
        <v>0.5</v>
      </c>
      <c r="X2356" t="s">
        <v>426</v>
      </c>
      <c r="Y2356" t="s">
        <v>10870</v>
      </c>
      <c r="AA2356" t="s">
        <v>10974</v>
      </c>
      <c r="AB2356" t="s">
        <v>426</v>
      </c>
      <c r="AD2356" t="s">
        <v>11082</v>
      </c>
      <c r="AF2356" t="s">
        <v>11118</v>
      </c>
      <c r="AH2356" t="s">
        <v>10975</v>
      </c>
      <c r="AJ2356" t="s">
        <v>11134</v>
      </c>
      <c r="AK2356" t="s">
        <v>7225</v>
      </c>
      <c r="AM2356">
        <v>819</v>
      </c>
      <c r="AO2356">
        <v>43</v>
      </c>
      <c r="AQ2356" t="s">
        <v>11157</v>
      </c>
      <c r="AS2356" t="s">
        <v>11173</v>
      </c>
      <c r="AU2356">
        <v>11</v>
      </c>
      <c r="AW2356" t="s">
        <v>11187</v>
      </c>
      <c r="BA2356" t="s">
        <v>11222</v>
      </c>
      <c r="BE2356" t="s">
        <v>13018</v>
      </c>
      <c r="BF2356" t="s">
        <v>14364</v>
      </c>
      <c r="BM2356" t="s">
        <v>15650</v>
      </c>
    </row>
    <row r="2357" spans="1:67">
      <c r="A2357" s="1">
        <f>HYPERLINK("https://lsnyc.legalserver.org/matter/dynamic-profile/view/1897710","19-1897710")</f>
        <v>0</v>
      </c>
      <c r="B2357" t="s">
        <v>153</v>
      </c>
      <c r="C2357" t="s">
        <v>247</v>
      </c>
      <c r="D2357" t="s">
        <v>633</v>
      </c>
      <c r="F2357" t="s">
        <v>1994</v>
      </c>
      <c r="G2357" t="s">
        <v>3895</v>
      </c>
      <c r="H2357" t="s">
        <v>5571</v>
      </c>
      <c r="I2357" t="s">
        <v>6847</v>
      </c>
      <c r="J2357" t="s">
        <v>7198</v>
      </c>
      <c r="K2357">
        <v>11374</v>
      </c>
      <c r="N2357" t="s">
        <v>7237</v>
      </c>
      <c r="O2357" t="s">
        <v>8764</v>
      </c>
      <c r="P2357">
        <v>5</v>
      </c>
      <c r="Q2357">
        <v>0</v>
      </c>
      <c r="R2357">
        <v>0</v>
      </c>
      <c r="S2357" t="s">
        <v>10254</v>
      </c>
      <c r="T2357" t="s">
        <v>10275</v>
      </c>
      <c r="U2357">
        <v>0</v>
      </c>
      <c r="W2357">
        <v>1</v>
      </c>
      <c r="X2357" t="s">
        <v>633</v>
      </c>
      <c r="Y2357" t="s">
        <v>153</v>
      </c>
      <c r="AA2357" t="s">
        <v>10974</v>
      </c>
      <c r="AB2357" t="s">
        <v>822</v>
      </c>
      <c r="AD2357" t="s">
        <v>11086</v>
      </c>
      <c r="AF2357" t="s">
        <v>10384</v>
      </c>
      <c r="AH2357" t="s">
        <v>10975</v>
      </c>
      <c r="AJ2357" t="s">
        <v>11133</v>
      </c>
      <c r="AK2357" t="s">
        <v>11149</v>
      </c>
      <c r="AL2357" t="s">
        <v>11150</v>
      </c>
      <c r="AM2357">
        <v>0</v>
      </c>
      <c r="AO2357">
        <v>1</v>
      </c>
      <c r="AQ2357" t="s">
        <v>11156</v>
      </c>
      <c r="AS2357" t="s">
        <v>11173</v>
      </c>
      <c r="AU2357">
        <v>6</v>
      </c>
      <c r="AW2357" t="s">
        <v>11189</v>
      </c>
      <c r="AY2357" t="s">
        <v>11213</v>
      </c>
      <c r="AZ2357" t="s">
        <v>11221</v>
      </c>
      <c r="BB2357" t="s">
        <v>11224</v>
      </c>
      <c r="BC2357" t="s">
        <v>11417</v>
      </c>
      <c r="BD2357" t="s">
        <v>11667</v>
      </c>
      <c r="BF2357" t="s">
        <v>14364</v>
      </c>
      <c r="BM2357" t="s">
        <v>15650</v>
      </c>
    </row>
    <row r="2358" spans="1:67">
      <c r="A2358" s="1">
        <f>HYPERLINK("https://lsnyc.legalserver.org/matter/dynamic-profile/view/1897235","19-1897235")</f>
        <v>0</v>
      </c>
      <c r="B2358" t="s">
        <v>153</v>
      </c>
      <c r="C2358" t="s">
        <v>247</v>
      </c>
      <c r="D2358" t="s">
        <v>583</v>
      </c>
      <c r="F2358" t="s">
        <v>1122</v>
      </c>
      <c r="G2358" t="s">
        <v>2962</v>
      </c>
      <c r="H2358" t="s">
        <v>5565</v>
      </c>
      <c r="I2358" t="s">
        <v>6477</v>
      </c>
      <c r="J2358" t="s">
        <v>7172</v>
      </c>
      <c r="K2358">
        <v>11691</v>
      </c>
      <c r="N2358" t="s">
        <v>7237</v>
      </c>
      <c r="O2358" t="s">
        <v>8765</v>
      </c>
      <c r="P2358">
        <v>1</v>
      </c>
      <c r="Q2358">
        <v>0</v>
      </c>
      <c r="R2358">
        <v>144.12</v>
      </c>
      <c r="U2358">
        <v>18000</v>
      </c>
      <c r="W2358">
        <v>0.05</v>
      </c>
      <c r="X2358" t="s">
        <v>525</v>
      </c>
      <c r="Y2358" t="s">
        <v>10870</v>
      </c>
      <c r="AA2358" t="s">
        <v>10974</v>
      </c>
      <c r="AB2358" t="s">
        <v>583</v>
      </c>
      <c r="AD2358" t="s">
        <v>11090</v>
      </c>
      <c r="AF2358" t="s">
        <v>10384</v>
      </c>
      <c r="AH2358" t="s">
        <v>10975</v>
      </c>
      <c r="AJ2358" t="s">
        <v>11134</v>
      </c>
      <c r="AK2358" t="s">
        <v>7225</v>
      </c>
      <c r="AM2358">
        <v>660</v>
      </c>
      <c r="AO2358">
        <v>43</v>
      </c>
      <c r="AQ2358" t="s">
        <v>11157</v>
      </c>
      <c r="AS2358" t="s">
        <v>11173</v>
      </c>
      <c r="AU2358">
        <v>40</v>
      </c>
      <c r="AW2358" t="s">
        <v>11187</v>
      </c>
      <c r="AZ2358" t="s">
        <v>11221</v>
      </c>
      <c r="BE2358" t="s">
        <v>13019</v>
      </c>
      <c r="BF2358" t="s">
        <v>14364</v>
      </c>
      <c r="BM2358" t="s">
        <v>15650</v>
      </c>
    </row>
    <row r="2359" spans="1:67">
      <c r="A2359" s="1">
        <f>HYPERLINK("https://lsnyc.legalserver.org/matter/dynamic-profile/view/1860335","18-1860335")</f>
        <v>0</v>
      </c>
      <c r="B2359" t="s">
        <v>153</v>
      </c>
      <c r="C2359" t="s">
        <v>247</v>
      </c>
      <c r="D2359" t="s">
        <v>871</v>
      </c>
      <c r="F2359" t="s">
        <v>2101</v>
      </c>
      <c r="G2359" t="s">
        <v>3896</v>
      </c>
      <c r="H2359" t="s">
        <v>5567</v>
      </c>
      <c r="I2359" t="s">
        <v>6440</v>
      </c>
      <c r="J2359" t="s">
        <v>7177</v>
      </c>
      <c r="K2359">
        <v>11432</v>
      </c>
      <c r="N2359" t="s">
        <v>7238</v>
      </c>
      <c r="O2359" t="s">
        <v>8766</v>
      </c>
      <c r="P2359">
        <v>2</v>
      </c>
      <c r="Q2359">
        <v>0</v>
      </c>
      <c r="R2359">
        <v>55.19</v>
      </c>
      <c r="S2359" t="s">
        <v>10263</v>
      </c>
      <c r="U2359">
        <v>18047.52</v>
      </c>
      <c r="W2359">
        <v>0.2</v>
      </c>
      <c r="X2359" t="s">
        <v>672</v>
      </c>
      <c r="Y2359" t="s">
        <v>202</v>
      </c>
      <c r="AA2359" t="s">
        <v>10974</v>
      </c>
      <c r="AB2359" t="s">
        <v>11046</v>
      </c>
      <c r="AD2359" t="s">
        <v>11096</v>
      </c>
      <c r="AF2359" t="s">
        <v>11122</v>
      </c>
      <c r="AH2359" t="s">
        <v>10974</v>
      </c>
      <c r="AJ2359" t="s">
        <v>11131</v>
      </c>
      <c r="AK2359" t="s">
        <v>7225</v>
      </c>
      <c r="AM2359">
        <v>1600</v>
      </c>
      <c r="AO2359">
        <v>60</v>
      </c>
      <c r="AQ2359" t="s">
        <v>11157</v>
      </c>
      <c r="AS2359" t="s">
        <v>11173</v>
      </c>
      <c r="AU2359">
        <v>35</v>
      </c>
      <c r="AW2359" t="s">
        <v>11187</v>
      </c>
      <c r="AZ2359" t="s">
        <v>11221</v>
      </c>
      <c r="BC2359" t="s">
        <v>11228</v>
      </c>
      <c r="BE2359" t="s">
        <v>13020</v>
      </c>
      <c r="BG2359" t="s">
        <v>14964</v>
      </c>
      <c r="BM2359" t="s">
        <v>15650</v>
      </c>
    </row>
    <row r="2360" spans="1:67">
      <c r="A2360" s="1">
        <f>HYPERLINK("https://lsnyc.legalserver.org/matter/dynamic-profile/view/1897717","19-1897717")</f>
        <v>0</v>
      </c>
      <c r="B2360" t="s">
        <v>153</v>
      </c>
      <c r="C2360" t="s">
        <v>247</v>
      </c>
      <c r="D2360" t="s">
        <v>633</v>
      </c>
      <c r="F2360" t="s">
        <v>2102</v>
      </c>
      <c r="G2360" t="s">
        <v>3897</v>
      </c>
      <c r="H2360" t="s">
        <v>5572</v>
      </c>
      <c r="I2360">
        <v>3</v>
      </c>
      <c r="J2360" t="s">
        <v>7190</v>
      </c>
      <c r="K2360">
        <v>11377</v>
      </c>
      <c r="N2360" t="s">
        <v>7237</v>
      </c>
      <c r="O2360" t="s">
        <v>8767</v>
      </c>
      <c r="P2360">
        <v>1</v>
      </c>
      <c r="Q2360">
        <v>1</v>
      </c>
      <c r="R2360">
        <v>0</v>
      </c>
      <c r="S2360" t="s">
        <v>10254</v>
      </c>
      <c r="T2360" t="s">
        <v>10275</v>
      </c>
      <c r="U2360">
        <v>0</v>
      </c>
      <c r="W2360">
        <v>0.4</v>
      </c>
      <c r="X2360" t="s">
        <v>633</v>
      </c>
      <c r="Y2360" t="s">
        <v>153</v>
      </c>
      <c r="AA2360" t="s">
        <v>10974</v>
      </c>
      <c r="AB2360" t="s">
        <v>822</v>
      </c>
      <c r="AD2360" t="s">
        <v>11086</v>
      </c>
      <c r="AF2360" t="s">
        <v>10384</v>
      </c>
      <c r="AH2360" t="s">
        <v>10975</v>
      </c>
      <c r="AJ2360" t="s">
        <v>11133</v>
      </c>
      <c r="AK2360" t="s">
        <v>11149</v>
      </c>
      <c r="AM2360">
        <v>1700</v>
      </c>
      <c r="AO2360">
        <v>2</v>
      </c>
      <c r="AQ2360" t="s">
        <v>11156</v>
      </c>
      <c r="AS2360" t="s">
        <v>11173</v>
      </c>
      <c r="AU2360">
        <v>1</v>
      </c>
      <c r="AW2360" t="s">
        <v>11196</v>
      </c>
      <c r="BA2360" t="s">
        <v>11222</v>
      </c>
      <c r="BB2360" t="s">
        <v>11224</v>
      </c>
      <c r="BC2360" t="s">
        <v>11236</v>
      </c>
      <c r="BE2360" t="s">
        <v>11236</v>
      </c>
      <c r="BF2360" t="s">
        <v>14364</v>
      </c>
      <c r="BM2360" t="s">
        <v>15650</v>
      </c>
    </row>
    <row r="2361" spans="1:67">
      <c r="A2361" s="1">
        <f>HYPERLINK("https://lsnyc.legalserver.org/matter/dynamic-profile/view/1889657","19-1889657")</f>
        <v>0</v>
      </c>
      <c r="B2361" t="s">
        <v>153</v>
      </c>
      <c r="C2361" t="s">
        <v>247</v>
      </c>
      <c r="D2361" t="s">
        <v>339</v>
      </c>
      <c r="F2361" t="s">
        <v>2103</v>
      </c>
      <c r="G2361" t="s">
        <v>3898</v>
      </c>
      <c r="H2361" t="s">
        <v>5573</v>
      </c>
      <c r="I2361" t="s">
        <v>6527</v>
      </c>
      <c r="J2361" t="s">
        <v>7198</v>
      </c>
      <c r="K2361">
        <v>11374</v>
      </c>
      <c r="N2361" t="s">
        <v>7237</v>
      </c>
      <c r="O2361" t="s">
        <v>8768</v>
      </c>
      <c r="P2361">
        <v>2</v>
      </c>
      <c r="Q2361">
        <v>2</v>
      </c>
      <c r="R2361">
        <v>77.67</v>
      </c>
      <c r="S2361" t="s">
        <v>10254</v>
      </c>
      <c r="T2361" t="s">
        <v>10275</v>
      </c>
      <c r="U2361">
        <v>20000</v>
      </c>
      <c r="W2361">
        <v>1.95</v>
      </c>
      <c r="X2361" t="s">
        <v>344</v>
      </c>
      <c r="Y2361" t="s">
        <v>10940</v>
      </c>
      <c r="AA2361" t="s">
        <v>10974</v>
      </c>
      <c r="AB2361" t="s">
        <v>318</v>
      </c>
      <c r="AD2361" t="s">
        <v>11082</v>
      </c>
      <c r="AF2361" t="s">
        <v>10384</v>
      </c>
      <c r="AH2361" t="s">
        <v>10975</v>
      </c>
      <c r="AJ2361" t="s">
        <v>11133</v>
      </c>
      <c r="AK2361" t="s">
        <v>11149</v>
      </c>
      <c r="AM2361">
        <v>1800</v>
      </c>
      <c r="AO2361">
        <v>6</v>
      </c>
      <c r="AQ2361" t="s">
        <v>11157</v>
      </c>
      <c r="AS2361" t="s">
        <v>11173</v>
      </c>
      <c r="AT2361" t="s">
        <v>11184</v>
      </c>
      <c r="AU2361">
        <v>0</v>
      </c>
      <c r="AW2361" t="s">
        <v>11187</v>
      </c>
      <c r="AY2361" t="s">
        <v>11216</v>
      </c>
      <c r="AZ2361" t="s">
        <v>11221</v>
      </c>
      <c r="BB2361" t="s">
        <v>11224</v>
      </c>
      <c r="BC2361" t="s">
        <v>11236</v>
      </c>
      <c r="BE2361" t="s">
        <v>11236</v>
      </c>
      <c r="BG2361" t="s">
        <v>14968</v>
      </c>
      <c r="BM2361" t="s">
        <v>15650</v>
      </c>
    </row>
    <row r="2362" spans="1:67">
      <c r="A2362" s="1">
        <f>HYPERLINK("https://lsnyc.legalserver.org/matter/dynamic-profile/view/1881373","18-1881373")</f>
        <v>0</v>
      </c>
      <c r="B2362" t="s">
        <v>153</v>
      </c>
      <c r="C2362" t="s">
        <v>247</v>
      </c>
      <c r="D2362" t="s">
        <v>625</v>
      </c>
      <c r="F2362" t="s">
        <v>2104</v>
      </c>
      <c r="G2362" t="s">
        <v>3899</v>
      </c>
      <c r="H2362" t="s">
        <v>5574</v>
      </c>
      <c r="I2362" t="s">
        <v>6486</v>
      </c>
      <c r="J2362" t="s">
        <v>7172</v>
      </c>
      <c r="K2362">
        <v>11691</v>
      </c>
      <c r="N2362" t="s">
        <v>7237</v>
      </c>
      <c r="O2362" t="s">
        <v>8769</v>
      </c>
      <c r="P2362">
        <v>1</v>
      </c>
      <c r="Q2362">
        <v>4</v>
      </c>
      <c r="R2362">
        <v>27.31</v>
      </c>
      <c r="U2362">
        <v>8034</v>
      </c>
      <c r="W2362">
        <v>3.9</v>
      </c>
      <c r="X2362" t="s">
        <v>10836</v>
      </c>
      <c r="Y2362" t="s">
        <v>202</v>
      </c>
      <c r="AA2362" t="s">
        <v>10974</v>
      </c>
      <c r="AB2362" t="s">
        <v>625</v>
      </c>
      <c r="AD2362" t="s">
        <v>11082</v>
      </c>
      <c r="AF2362" t="s">
        <v>11118</v>
      </c>
      <c r="AH2362" t="s">
        <v>10975</v>
      </c>
      <c r="AJ2362" t="s">
        <v>11138</v>
      </c>
      <c r="AK2362" t="s">
        <v>7225</v>
      </c>
      <c r="AM2362">
        <v>1956</v>
      </c>
      <c r="AO2362">
        <v>108</v>
      </c>
      <c r="AQ2362" t="s">
        <v>11157</v>
      </c>
      <c r="AS2362" t="s">
        <v>11176</v>
      </c>
      <c r="AU2362">
        <v>1</v>
      </c>
      <c r="AW2362" t="s">
        <v>11187</v>
      </c>
      <c r="AY2362" t="s">
        <v>11213</v>
      </c>
      <c r="AZ2362" t="s">
        <v>11221</v>
      </c>
      <c r="BC2362" t="s">
        <v>11418</v>
      </c>
      <c r="BE2362" t="s">
        <v>13021</v>
      </c>
      <c r="BG2362" t="s">
        <v>14969</v>
      </c>
      <c r="BI2362" t="s">
        <v>15612</v>
      </c>
      <c r="BK2362" t="s">
        <v>11104</v>
      </c>
      <c r="BM2362" t="s">
        <v>15650</v>
      </c>
      <c r="BN2362" t="s">
        <v>15652</v>
      </c>
      <c r="BO2362" t="s">
        <v>15705</v>
      </c>
    </row>
    <row r="2363" spans="1:67">
      <c r="A2363" s="1">
        <f>HYPERLINK("https://lsnyc.legalserver.org/matter/dynamic-profile/view/1893492","19-1893492")</f>
        <v>0</v>
      </c>
      <c r="B2363" t="s">
        <v>153</v>
      </c>
      <c r="C2363" t="s">
        <v>247</v>
      </c>
      <c r="D2363" t="s">
        <v>344</v>
      </c>
      <c r="F2363" t="s">
        <v>1875</v>
      </c>
      <c r="G2363" t="s">
        <v>3900</v>
      </c>
      <c r="H2363" t="s">
        <v>5575</v>
      </c>
      <c r="I2363" t="s">
        <v>6848</v>
      </c>
      <c r="J2363" t="s">
        <v>7172</v>
      </c>
      <c r="K2363">
        <v>11691</v>
      </c>
      <c r="N2363" t="s">
        <v>7237</v>
      </c>
      <c r="O2363" t="s">
        <v>8770</v>
      </c>
      <c r="P2363">
        <v>1</v>
      </c>
      <c r="Q2363">
        <v>2</v>
      </c>
      <c r="R2363">
        <v>16.88</v>
      </c>
      <c r="U2363">
        <v>3600</v>
      </c>
      <c r="W2363">
        <v>21.8</v>
      </c>
      <c r="X2363" t="s">
        <v>266</v>
      </c>
      <c r="Y2363" t="s">
        <v>10892</v>
      </c>
      <c r="AA2363" t="s">
        <v>10974</v>
      </c>
      <c r="AB2363" t="s">
        <v>370</v>
      </c>
      <c r="AD2363" t="s">
        <v>11083</v>
      </c>
      <c r="AF2363" t="s">
        <v>11118</v>
      </c>
      <c r="AH2363" t="s">
        <v>10975</v>
      </c>
      <c r="AJ2363" t="s">
        <v>11147</v>
      </c>
      <c r="AK2363" t="s">
        <v>7225</v>
      </c>
      <c r="AM2363">
        <v>1200</v>
      </c>
      <c r="AO2363">
        <v>56</v>
      </c>
      <c r="AQ2363" t="s">
        <v>11161</v>
      </c>
      <c r="AS2363" t="s">
        <v>11173</v>
      </c>
      <c r="AU2363">
        <v>1</v>
      </c>
      <c r="AW2363" t="s">
        <v>11187</v>
      </c>
      <c r="AY2363" t="s">
        <v>11213</v>
      </c>
      <c r="BA2363" t="s">
        <v>11222</v>
      </c>
      <c r="BB2363" t="s">
        <v>11224</v>
      </c>
      <c r="BC2363" t="s">
        <v>11236</v>
      </c>
      <c r="BE2363" t="s">
        <v>13022</v>
      </c>
      <c r="BF2363" t="s">
        <v>14364</v>
      </c>
      <c r="BG2363" t="s">
        <v>14970</v>
      </c>
      <c r="BM2363" t="s">
        <v>15650</v>
      </c>
    </row>
    <row r="2364" spans="1:67">
      <c r="A2364" s="1">
        <f>HYPERLINK("https://lsnyc.legalserver.org/matter/dynamic-profile/view/1897230","19-1897230")</f>
        <v>0</v>
      </c>
      <c r="B2364" t="s">
        <v>153</v>
      </c>
      <c r="C2364" t="s">
        <v>247</v>
      </c>
      <c r="D2364" t="s">
        <v>583</v>
      </c>
      <c r="F2364" t="s">
        <v>2105</v>
      </c>
      <c r="G2364" t="s">
        <v>3901</v>
      </c>
      <c r="H2364" t="s">
        <v>5565</v>
      </c>
      <c r="I2364" t="s">
        <v>6407</v>
      </c>
      <c r="J2364" t="s">
        <v>7172</v>
      </c>
      <c r="K2364">
        <v>11691</v>
      </c>
      <c r="N2364" t="s">
        <v>7237</v>
      </c>
      <c r="O2364" t="s">
        <v>8771</v>
      </c>
      <c r="P2364">
        <v>3</v>
      </c>
      <c r="Q2364">
        <v>1</v>
      </c>
      <c r="R2364">
        <v>60.58</v>
      </c>
      <c r="U2364">
        <v>15600</v>
      </c>
      <c r="W2364">
        <v>0.1</v>
      </c>
      <c r="X2364" t="s">
        <v>524</v>
      </c>
      <c r="Y2364" t="s">
        <v>10870</v>
      </c>
      <c r="AA2364" t="s">
        <v>10974</v>
      </c>
      <c r="AB2364" t="s">
        <v>583</v>
      </c>
      <c r="AD2364" t="s">
        <v>11090</v>
      </c>
      <c r="AF2364" t="s">
        <v>10384</v>
      </c>
      <c r="AH2364" t="s">
        <v>10974</v>
      </c>
      <c r="AJ2364" t="s">
        <v>11134</v>
      </c>
      <c r="AK2364" t="s">
        <v>7225</v>
      </c>
      <c r="AM2364">
        <v>660</v>
      </c>
      <c r="AO2364">
        <v>43</v>
      </c>
      <c r="AQ2364" t="s">
        <v>11157</v>
      </c>
      <c r="AS2364" t="s">
        <v>11173</v>
      </c>
      <c r="AU2364">
        <v>10</v>
      </c>
      <c r="AW2364" t="s">
        <v>11187</v>
      </c>
      <c r="BA2364" t="s">
        <v>11222</v>
      </c>
      <c r="BE2364" t="s">
        <v>13023</v>
      </c>
      <c r="BF2364" t="s">
        <v>14364</v>
      </c>
      <c r="BM2364" t="s">
        <v>15650</v>
      </c>
    </row>
    <row r="2365" spans="1:67">
      <c r="A2365" s="1">
        <f>HYPERLINK("https://lsnyc.legalserver.org/matter/dynamic-profile/view/1880026","18-1880026")</f>
        <v>0</v>
      </c>
      <c r="B2365" t="s">
        <v>153</v>
      </c>
      <c r="C2365" t="s">
        <v>247</v>
      </c>
      <c r="D2365" t="s">
        <v>619</v>
      </c>
      <c r="F2365" t="s">
        <v>2106</v>
      </c>
      <c r="G2365" t="s">
        <v>3902</v>
      </c>
      <c r="H2365" t="s">
        <v>5576</v>
      </c>
      <c r="I2365">
        <v>210</v>
      </c>
      <c r="J2365" t="s">
        <v>7194</v>
      </c>
      <c r="K2365">
        <v>11692</v>
      </c>
      <c r="N2365" t="s">
        <v>7237</v>
      </c>
      <c r="O2365" t="s">
        <v>8320</v>
      </c>
      <c r="P2365">
        <v>2</v>
      </c>
      <c r="Q2365">
        <v>1</v>
      </c>
      <c r="R2365">
        <v>115.5</v>
      </c>
      <c r="U2365">
        <v>24000</v>
      </c>
      <c r="W2365">
        <v>33.95</v>
      </c>
      <c r="X2365" t="s">
        <v>426</v>
      </c>
      <c r="Y2365" t="s">
        <v>10940</v>
      </c>
      <c r="AA2365" t="s">
        <v>10974</v>
      </c>
      <c r="AB2365" t="s">
        <v>619</v>
      </c>
      <c r="AD2365" t="s">
        <v>11082</v>
      </c>
      <c r="AF2365" t="s">
        <v>11118</v>
      </c>
      <c r="AH2365" t="s">
        <v>10975</v>
      </c>
      <c r="AJ2365" t="s">
        <v>11138</v>
      </c>
      <c r="AK2365" t="s">
        <v>7225</v>
      </c>
      <c r="AM2365">
        <v>1324</v>
      </c>
      <c r="AO2365">
        <v>216</v>
      </c>
      <c r="AQ2365" t="s">
        <v>11162</v>
      </c>
      <c r="AS2365" t="s">
        <v>11174</v>
      </c>
      <c r="AU2365">
        <v>27</v>
      </c>
      <c r="AW2365" t="s">
        <v>11187</v>
      </c>
      <c r="AY2365" t="s">
        <v>11213</v>
      </c>
      <c r="AZ2365" t="s">
        <v>11221</v>
      </c>
      <c r="BE2365" t="s">
        <v>13024</v>
      </c>
      <c r="BG2365" t="s">
        <v>14971</v>
      </c>
      <c r="BI2365" t="s">
        <v>15612</v>
      </c>
      <c r="BK2365" t="s">
        <v>15633</v>
      </c>
      <c r="BM2365" t="s">
        <v>15650</v>
      </c>
    </row>
    <row r="2366" spans="1:67">
      <c r="A2366" s="1">
        <f>HYPERLINK("https://lsnyc.legalserver.org/matter/dynamic-profile/view/1861379","18-1861379")</f>
        <v>0</v>
      </c>
      <c r="B2366" t="s">
        <v>153</v>
      </c>
      <c r="C2366" t="s">
        <v>247</v>
      </c>
      <c r="D2366" t="s">
        <v>253</v>
      </c>
      <c r="F2366" t="s">
        <v>1195</v>
      </c>
      <c r="G2366" t="s">
        <v>3152</v>
      </c>
      <c r="H2366" t="s">
        <v>5191</v>
      </c>
      <c r="I2366" t="s">
        <v>6424</v>
      </c>
      <c r="J2366" t="s">
        <v>7177</v>
      </c>
      <c r="K2366">
        <v>11432</v>
      </c>
      <c r="N2366" t="s">
        <v>7238</v>
      </c>
      <c r="O2366" t="s">
        <v>7976</v>
      </c>
      <c r="P2366">
        <v>2</v>
      </c>
      <c r="Q2366">
        <v>0</v>
      </c>
      <c r="R2366">
        <v>129.7</v>
      </c>
      <c r="S2366" t="s">
        <v>10263</v>
      </c>
      <c r="U2366">
        <v>21348</v>
      </c>
      <c r="W2366">
        <v>0.2</v>
      </c>
      <c r="X2366" t="s">
        <v>672</v>
      </c>
      <c r="Y2366" t="s">
        <v>10870</v>
      </c>
      <c r="AA2366" t="s">
        <v>10974</v>
      </c>
      <c r="AB2366" t="s">
        <v>253</v>
      </c>
      <c r="AD2366" t="s">
        <v>11096</v>
      </c>
      <c r="AF2366" t="s">
        <v>11122</v>
      </c>
      <c r="AH2366" t="s">
        <v>10974</v>
      </c>
      <c r="AJ2366" t="s">
        <v>11131</v>
      </c>
      <c r="AK2366" t="s">
        <v>7225</v>
      </c>
      <c r="AM2366">
        <v>877</v>
      </c>
      <c r="AO2366">
        <v>60</v>
      </c>
      <c r="AQ2366" t="s">
        <v>11157</v>
      </c>
      <c r="AS2366" t="s">
        <v>11173</v>
      </c>
      <c r="AU2366">
        <v>36</v>
      </c>
      <c r="AW2366" t="s">
        <v>11189</v>
      </c>
      <c r="AZ2366" t="s">
        <v>11221</v>
      </c>
      <c r="BC2366" t="s">
        <v>11228</v>
      </c>
      <c r="BE2366" t="s">
        <v>12303</v>
      </c>
      <c r="BG2366" t="s">
        <v>14964</v>
      </c>
      <c r="BM2366" t="s">
        <v>15650</v>
      </c>
    </row>
    <row r="2367" spans="1:67">
      <c r="A2367" s="1">
        <f>HYPERLINK("https://lsnyc.legalserver.org/matter/dynamic-profile/view/1884355","18-1884355")</f>
        <v>0</v>
      </c>
      <c r="B2367" t="s">
        <v>153</v>
      </c>
      <c r="C2367" t="s">
        <v>247</v>
      </c>
      <c r="D2367" t="s">
        <v>795</v>
      </c>
      <c r="F2367" t="s">
        <v>1252</v>
      </c>
      <c r="G2367" t="s">
        <v>3903</v>
      </c>
      <c r="H2367" t="s">
        <v>5577</v>
      </c>
      <c r="I2367" t="s">
        <v>6424</v>
      </c>
      <c r="J2367" t="s">
        <v>7184</v>
      </c>
      <c r="K2367">
        <v>11372</v>
      </c>
      <c r="N2367" t="s">
        <v>7237</v>
      </c>
      <c r="O2367" t="s">
        <v>8772</v>
      </c>
      <c r="P2367">
        <v>3</v>
      </c>
      <c r="Q2367">
        <v>0</v>
      </c>
      <c r="R2367">
        <v>130.9</v>
      </c>
      <c r="U2367">
        <v>27200</v>
      </c>
      <c r="W2367">
        <v>13.85</v>
      </c>
      <c r="X2367" t="s">
        <v>344</v>
      </c>
      <c r="Y2367" t="s">
        <v>10870</v>
      </c>
      <c r="AA2367" t="s">
        <v>10974</v>
      </c>
      <c r="AB2367" t="s">
        <v>11004</v>
      </c>
      <c r="AD2367" t="s">
        <v>11083</v>
      </c>
      <c r="AF2367" t="s">
        <v>11118</v>
      </c>
      <c r="AH2367" t="s">
        <v>10975</v>
      </c>
      <c r="AJ2367" t="s">
        <v>11138</v>
      </c>
      <c r="AK2367" t="s">
        <v>7225</v>
      </c>
      <c r="AM2367">
        <v>1150</v>
      </c>
      <c r="AO2367">
        <v>101</v>
      </c>
      <c r="AQ2367" t="s">
        <v>11157</v>
      </c>
      <c r="AS2367" t="s">
        <v>11173</v>
      </c>
      <c r="AU2367">
        <v>22</v>
      </c>
      <c r="AW2367" t="s">
        <v>11189</v>
      </c>
      <c r="AY2367" t="s">
        <v>11213</v>
      </c>
      <c r="AZ2367" t="s">
        <v>11221</v>
      </c>
      <c r="BC2367" t="s">
        <v>11419</v>
      </c>
      <c r="BE2367" t="s">
        <v>13025</v>
      </c>
      <c r="BG2367" t="s">
        <v>14972</v>
      </c>
      <c r="BI2367" t="s">
        <v>15611</v>
      </c>
      <c r="BK2367" t="s">
        <v>15634</v>
      </c>
      <c r="BM2367" t="s">
        <v>15650</v>
      </c>
      <c r="BN2367" t="s">
        <v>15652</v>
      </c>
      <c r="BO2367" t="s">
        <v>15706</v>
      </c>
    </row>
    <row r="2368" spans="1:67">
      <c r="A2368" s="1">
        <f>HYPERLINK("https://lsnyc.legalserver.org/matter/dynamic-profile/view/1861367","18-1861367")</f>
        <v>0</v>
      </c>
      <c r="B2368" t="s">
        <v>153</v>
      </c>
      <c r="C2368" t="s">
        <v>247</v>
      </c>
      <c r="D2368" t="s">
        <v>253</v>
      </c>
      <c r="F2368" t="s">
        <v>1195</v>
      </c>
      <c r="G2368" t="s">
        <v>3152</v>
      </c>
      <c r="H2368" t="s">
        <v>5191</v>
      </c>
      <c r="I2368" t="s">
        <v>6424</v>
      </c>
      <c r="J2368" t="s">
        <v>7177</v>
      </c>
      <c r="K2368">
        <v>11432</v>
      </c>
      <c r="N2368" t="s">
        <v>7238</v>
      </c>
      <c r="O2368" t="s">
        <v>7976</v>
      </c>
      <c r="P2368">
        <v>2</v>
      </c>
      <c r="Q2368">
        <v>0</v>
      </c>
      <c r="R2368">
        <v>129.7</v>
      </c>
      <c r="S2368" t="s">
        <v>10263</v>
      </c>
      <c r="U2368">
        <v>21348</v>
      </c>
      <c r="W2368">
        <v>0.2</v>
      </c>
      <c r="X2368" t="s">
        <v>672</v>
      </c>
      <c r="Y2368" t="s">
        <v>10870</v>
      </c>
      <c r="AA2368" t="s">
        <v>10974</v>
      </c>
      <c r="AB2368" t="s">
        <v>253</v>
      </c>
      <c r="AD2368" t="s">
        <v>11096</v>
      </c>
      <c r="AF2368" t="s">
        <v>11122</v>
      </c>
      <c r="AH2368" t="s">
        <v>10974</v>
      </c>
      <c r="AJ2368" t="s">
        <v>11131</v>
      </c>
      <c r="AK2368" t="s">
        <v>7225</v>
      </c>
      <c r="AM2368">
        <v>877</v>
      </c>
      <c r="AO2368">
        <v>60</v>
      </c>
      <c r="AQ2368" t="s">
        <v>11157</v>
      </c>
      <c r="AS2368" t="s">
        <v>11173</v>
      </c>
      <c r="AU2368">
        <v>36</v>
      </c>
      <c r="AW2368" t="s">
        <v>11189</v>
      </c>
      <c r="AZ2368" t="s">
        <v>11221</v>
      </c>
      <c r="BC2368" t="s">
        <v>11228</v>
      </c>
      <c r="BE2368" t="s">
        <v>12303</v>
      </c>
      <c r="BG2368" t="s">
        <v>14965</v>
      </c>
      <c r="BM2368" t="s">
        <v>15650</v>
      </c>
    </row>
    <row r="2369" spans="1:67">
      <c r="A2369" s="1">
        <f>HYPERLINK("https://lsnyc.legalserver.org/matter/dynamic-profile/view/1879335","18-1879335")</f>
        <v>0</v>
      </c>
      <c r="B2369" t="s">
        <v>153</v>
      </c>
      <c r="C2369" t="s">
        <v>247</v>
      </c>
      <c r="D2369" t="s">
        <v>789</v>
      </c>
      <c r="F2369" t="s">
        <v>2107</v>
      </c>
      <c r="G2369" t="s">
        <v>3066</v>
      </c>
      <c r="H2369" t="s">
        <v>5578</v>
      </c>
      <c r="I2369" t="s">
        <v>6849</v>
      </c>
      <c r="J2369" t="s">
        <v>7172</v>
      </c>
      <c r="K2369">
        <v>11691</v>
      </c>
      <c r="N2369" t="s">
        <v>7237</v>
      </c>
      <c r="O2369" t="s">
        <v>8773</v>
      </c>
      <c r="P2369">
        <v>1</v>
      </c>
      <c r="Q2369">
        <v>0</v>
      </c>
      <c r="R2369">
        <v>74.14</v>
      </c>
      <c r="U2369">
        <v>9000</v>
      </c>
      <c r="W2369">
        <v>25.65</v>
      </c>
      <c r="X2369" t="s">
        <v>10836</v>
      </c>
      <c r="Y2369" t="s">
        <v>10940</v>
      </c>
      <c r="AA2369" t="s">
        <v>10974</v>
      </c>
      <c r="AB2369" t="s">
        <v>789</v>
      </c>
      <c r="AD2369" t="s">
        <v>11083</v>
      </c>
      <c r="AF2369" t="s">
        <v>11118</v>
      </c>
      <c r="AH2369" t="s">
        <v>10975</v>
      </c>
      <c r="AJ2369" t="s">
        <v>11138</v>
      </c>
      <c r="AK2369" t="s">
        <v>7225</v>
      </c>
      <c r="AM2369">
        <v>1396</v>
      </c>
      <c r="AO2369">
        <v>917</v>
      </c>
      <c r="AQ2369" t="s">
        <v>11162</v>
      </c>
      <c r="AS2369" t="s">
        <v>11174</v>
      </c>
      <c r="AU2369">
        <v>7</v>
      </c>
      <c r="AW2369" t="s">
        <v>11187</v>
      </c>
      <c r="AY2369" t="s">
        <v>11213</v>
      </c>
      <c r="AZ2369" t="s">
        <v>11221</v>
      </c>
      <c r="BC2369" t="s">
        <v>11420</v>
      </c>
      <c r="BE2369" t="s">
        <v>13026</v>
      </c>
      <c r="BG2369" t="s">
        <v>14973</v>
      </c>
      <c r="BI2369" t="s">
        <v>15608</v>
      </c>
      <c r="BK2369" t="s">
        <v>15621</v>
      </c>
      <c r="BM2369" t="s">
        <v>15650</v>
      </c>
      <c r="BN2369" t="s">
        <v>15652</v>
      </c>
      <c r="BO2369" t="s">
        <v>15707</v>
      </c>
    </row>
    <row r="2370" spans="1:67">
      <c r="A2370" s="1">
        <f>HYPERLINK("https://lsnyc.legalserver.org/matter/dynamic-profile/view/1897102","19-1897102")</f>
        <v>0</v>
      </c>
      <c r="B2370" t="s">
        <v>153</v>
      </c>
      <c r="C2370" t="s">
        <v>247</v>
      </c>
      <c r="D2370" t="s">
        <v>872</v>
      </c>
      <c r="F2370" t="s">
        <v>2108</v>
      </c>
      <c r="G2370" t="s">
        <v>3301</v>
      </c>
      <c r="H2370" t="s">
        <v>5565</v>
      </c>
      <c r="I2370" t="s">
        <v>6626</v>
      </c>
      <c r="J2370" t="s">
        <v>7172</v>
      </c>
      <c r="K2370">
        <v>11691</v>
      </c>
      <c r="N2370" t="s">
        <v>7237</v>
      </c>
      <c r="O2370" t="s">
        <v>8774</v>
      </c>
      <c r="P2370">
        <v>1</v>
      </c>
      <c r="Q2370">
        <v>0</v>
      </c>
      <c r="R2370">
        <v>190.47</v>
      </c>
      <c r="U2370">
        <v>23790</v>
      </c>
      <c r="W2370">
        <v>0.05</v>
      </c>
      <c r="X2370" t="s">
        <v>525</v>
      </c>
      <c r="Y2370" t="s">
        <v>10939</v>
      </c>
      <c r="AA2370" t="s">
        <v>10974</v>
      </c>
      <c r="AB2370" t="s">
        <v>872</v>
      </c>
      <c r="AD2370" t="s">
        <v>11090</v>
      </c>
      <c r="AF2370" t="s">
        <v>10384</v>
      </c>
      <c r="AH2370" t="s">
        <v>10974</v>
      </c>
      <c r="AJ2370" t="s">
        <v>11138</v>
      </c>
      <c r="AK2370" t="s">
        <v>7225</v>
      </c>
      <c r="AM2370">
        <v>675</v>
      </c>
      <c r="AO2370">
        <v>43</v>
      </c>
      <c r="AQ2370" t="s">
        <v>11157</v>
      </c>
      <c r="AS2370" t="s">
        <v>11173</v>
      </c>
      <c r="AU2370">
        <v>4</v>
      </c>
      <c r="AW2370" t="s">
        <v>11187</v>
      </c>
      <c r="AZ2370" t="s">
        <v>11221</v>
      </c>
      <c r="BB2370" t="s">
        <v>11224</v>
      </c>
      <c r="BC2370" t="s">
        <v>11236</v>
      </c>
      <c r="BE2370" t="s">
        <v>13027</v>
      </c>
      <c r="BF2370" t="s">
        <v>14364</v>
      </c>
      <c r="BM2370" t="s">
        <v>15650</v>
      </c>
    </row>
    <row r="2371" spans="1:67">
      <c r="A2371" s="1">
        <f>HYPERLINK("https://lsnyc.legalserver.org/matter/dynamic-profile/view/1897069","19-1897069")</f>
        <v>0</v>
      </c>
      <c r="B2371" t="s">
        <v>153</v>
      </c>
      <c r="C2371" t="s">
        <v>247</v>
      </c>
      <c r="D2371" t="s">
        <v>872</v>
      </c>
      <c r="F2371" t="s">
        <v>1155</v>
      </c>
      <c r="G2371" t="s">
        <v>2886</v>
      </c>
      <c r="H2371" t="s">
        <v>5565</v>
      </c>
      <c r="I2371" t="s">
        <v>6850</v>
      </c>
      <c r="J2371" t="s">
        <v>7172</v>
      </c>
      <c r="K2371">
        <v>11691</v>
      </c>
      <c r="N2371" t="s">
        <v>7237</v>
      </c>
      <c r="O2371" t="s">
        <v>8775</v>
      </c>
      <c r="P2371">
        <v>1</v>
      </c>
      <c r="Q2371">
        <v>0</v>
      </c>
      <c r="R2371">
        <v>408.33</v>
      </c>
      <c r="U2371">
        <v>51000</v>
      </c>
      <c r="W2371">
        <v>0.05</v>
      </c>
      <c r="X2371" t="s">
        <v>525</v>
      </c>
      <c r="Y2371" t="s">
        <v>10939</v>
      </c>
      <c r="AA2371" t="s">
        <v>10974</v>
      </c>
      <c r="AB2371" t="s">
        <v>872</v>
      </c>
      <c r="AD2371" t="s">
        <v>11090</v>
      </c>
      <c r="AF2371" t="s">
        <v>10384</v>
      </c>
      <c r="AH2371" t="s">
        <v>10974</v>
      </c>
      <c r="AJ2371" t="s">
        <v>11134</v>
      </c>
      <c r="AK2371" t="s">
        <v>7225</v>
      </c>
      <c r="AM2371">
        <v>819</v>
      </c>
      <c r="AO2371">
        <v>43</v>
      </c>
      <c r="AQ2371" t="s">
        <v>11157</v>
      </c>
      <c r="AS2371" t="s">
        <v>11173</v>
      </c>
      <c r="AU2371">
        <v>15</v>
      </c>
      <c r="AW2371" t="s">
        <v>11189</v>
      </c>
      <c r="AZ2371" t="s">
        <v>11221</v>
      </c>
      <c r="BB2371" t="s">
        <v>11224</v>
      </c>
      <c r="BC2371" t="s">
        <v>11236</v>
      </c>
      <c r="BE2371" t="s">
        <v>13028</v>
      </c>
      <c r="BF2371" t="s">
        <v>14364</v>
      </c>
      <c r="BM2371" t="s">
        <v>15650</v>
      </c>
    </row>
    <row r="2372" spans="1:67">
      <c r="A2372" s="1">
        <f>HYPERLINK("https://lsnyc.legalserver.org/matter/dynamic-profile/view/1895163","19-1895163")</f>
        <v>0</v>
      </c>
      <c r="B2372" t="s">
        <v>153</v>
      </c>
      <c r="C2372" t="s">
        <v>247</v>
      </c>
      <c r="D2372" t="s">
        <v>428</v>
      </c>
      <c r="F2372" t="s">
        <v>2109</v>
      </c>
      <c r="G2372" t="s">
        <v>3904</v>
      </c>
      <c r="H2372" t="s">
        <v>5579</v>
      </c>
      <c r="I2372">
        <v>41</v>
      </c>
      <c r="J2372" t="s">
        <v>7177</v>
      </c>
      <c r="K2372">
        <v>11432</v>
      </c>
      <c r="N2372" t="s">
        <v>7237</v>
      </c>
      <c r="O2372" t="s">
        <v>8776</v>
      </c>
      <c r="P2372">
        <v>2</v>
      </c>
      <c r="Q2372">
        <v>0</v>
      </c>
      <c r="R2372">
        <v>0</v>
      </c>
      <c r="U2372">
        <v>0</v>
      </c>
      <c r="W2372">
        <v>26.15</v>
      </c>
      <c r="X2372" t="s">
        <v>263</v>
      </c>
      <c r="Y2372" t="s">
        <v>153</v>
      </c>
      <c r="AA2372" t="s">
        <v>10974</v>
      </c>
      <c r="AD2372" t="s">
        <v>11082</v>
      </c>
      <c r="AF2372" t="s">
        <v>11118</v>
      </c>
      <c r="AH2372" t="s">
        <v>10975</v>
      </c>
      <c r="AJ2372" t="s">
        <v>11129</v>
      </c>
      <c r="AK2372" t="s">
        <v>7225</v>
      </c>
      <c r="AM2372">
        <v>1421.57</v>
      </c>
      <c r="AO2372">
        <v>36</v>
      </c>
      <c r="AQ2372" t="s">
        <v>11157</v>
      </c>
      <c r="AS2372" t="s">
        <v>11173</v>
      </c>
      <c r="AU2372">
        <v>26</v>
      </c>
      <c r="AW2372" t="s">
        <v>11187</v>
      </c>
      <c r="AY2372" t="s">
        <v>11213</v>
      </c>
      <c r="AZ2372" t="s">
        <v>11221</v>
      </c>
      <c r="BB2372" t="s">
        <v>11224</v>
      </c>
      <c r="BC2372" t="s">
        <v>11236</v>
      </c>
      <c r="BE2372" t="s">
        <v>13029</v>
      </c>
      <c r="BF2372" t="s">
        <v>14364</v>
      </c>
      <c r="BG2372" t="s">
        <v>14974</v>
      </c>
      <c r="BM2372" t="s">
        <v>15650</v>
      </c>
    </row>
    <row r="2373" spans="1:67">
      <c r="A2373" s="1">
        <f>HYPERLINK("https://lsnyc.legalserver.org/matter/dynamic-profile/view/1860460","18-1860460")</f>
        <v>0</v>
      </c>
      <c r="B2373" t="s">
        <v>153</v>
      </c>
      <c r="C2373" t="s">
        <v>247</v>
      </c>
      <c r="D2373" t="s">
        <v>825</v>
      </c>
      <c r="F2373" t="s">
        <v>2110</v>
      </c>
      <c r="G2373" t="s">
        <v>3408</v>
      </c>
      <c r="H2373" t="s">
        <v>5567</v>
      </c>
      <c r="I2373" t="s">
        <v>6505</v>
      </c>
      <c r="J2373" t="s">
        <v>7177</v>
      </c>
      <c r="K2373">
        <v>11432</v>
      </c>
      <c r="N2373" t="s">
        <v>7238</v>
      </c>
      <c r="O2373" t="s">
        <v>8777</v>
      </c>
      <c r="P2373">
        <v>2</v>
      </c>
      <c r="Q2373">
        <v>0</v>
      </c>
      <c r="R2373">
        <v>176.18</v>
      </c>
      <c r="S2373" t="s">
        <v>10263</v>
      </c>
      <c r="U2373">
        <v>48000</v>
      </c>
      <c r="W2373">
        <v>0.2</v>
      </c>
      <c r="X2373" t="s">
        <v>672</v>
      </c>
      <c r="Y2373" t="s">
        <v>202</v>
      </c>
      <c r="AA2373" t="s">
        <v>10974</v>
      </c>
      <c r="AB2373" t="s">
        <v>253</v>
      </c>
      <c r="AD2373" t="s">
        <v>11096</v>
      </c>
      <c r="AF2373" t="s">
        <v>11122</v>
      </c>
      <c r="AH2373" t="s">
        <v>10974</v>
      </c>
      <c r="AJ2373" t="s">
        <v>11131</v>
      </c>
      <c r="AK2373" t="s">
        <v>7225</v>
      </c>
      <c r="AM2373">
        <v>1324.07</v>
      </c>
      <c r="AO2373">
        <v>60</v>
      </c>
      <c r="AQ2373" t="s">
        <v>11157</v>
      </c>
      <c r="AS2373" t="s">
        <v>11175</v>
      </c>
      <c r="AU2373">
        <v>37</v>
      </c>
      <c r="AW2373" t="s">
        <v>11187</v>
      </c>
      <c r="AZ2373" t="s">
        <v>11221</v>
      </c>
      <c r="BC2373" t="s">
        <v>11228</v>
      </c>
      <c r="BE2373" t="s">
        <v>13030</v>
      </c>
      <c r="BG2373" t="s">
        <v>14964</v>
      </c>
      <c r="BM2373" t="s">
        <v>15650</v>
      </c>
    </row>
    <row r="2374" spans="1:67">
      <c r="A2374" s="1">
        <f>HYPERLINK("https://lsnyc.legalserver.org/matter/dynamic-profile/view/1860456","18-1860456")</f>
        <v>0</v>
      </c>
      <c r="B2374" t="s">
        <v>153</v>
      </c>
      <c r="C2374" t="s">
        <v>247</v>
      </c>
      <c r="D2374" t="s">
        <v>825</v>
      </c>
      <c r="F2374" t="s">
        <v>2110</v>
      </c>
      <c r="G2374" t="s">
        <v>3408</v>
      </c>
      <c r="H2374" t="s">
        <v>5567</v>
      </c>
      <c r="I2374" t="s">
        <v>6505</v>
      </c>
      <c r="J2374" t="s">
        <v>7177</v>
      </c>
      <c r="K2374">
        <v>11432</v>
      </c>
      <c r="N2374" t="s">
        <v>7238</v>
      </c>
      <c r="O2374" t="s">
        <v>8777</v>
      </c>
      <c r="P2374">
        <v>2</v>
      </c>
      <c r="Q2374">
        <v>0</v>
      </c>
      <c r="R2374">
        <v>176.18</v>
      </c>
      <c r="S2374" t="s">
        <v>10263</v>
      </c>
      <c r="U2374">
        <v>29000</v>
      </c>
      <c r="W2374">
        <v>0.2</v>
      </c>
      <c r="X2374" t="s">
        <v>672</v>
      </c>
      <c r="Y2374" t="s">
        <v>202</v>
      </c>
      <c r="AA2374" t="s">
        <v>10974</v>
      </c>
      <c r="AB2374" t="s">
        <v>253</v>
      </c>
      <c r="AD2374" t="s">
        <v>11096</v>
      </c>
      <c r="AF2374" t="s">
        <v>11122</v>
      </c>
      <c r="AH2374" t="s">
        <v>10974</v>
      </c>
      <c r="AJ2374" t="s">
        <v>11131</v>
      </c>
      <c r="AK2374" t="s">
        <v>7225</v>
      </c>
      <c r="AM2374">
        <v>1324.07</v>
      </c>
      <c r="AO2374">
        <v>60</v>
      </c>
      <c r="AQ2374" t="s">
        <v>11157</v>
      </c>
      <c r="AS2374" t="s">
        <v>11175</v>
      </c>
      <c r="AU2374">
        <v>37</v>
      </c>
      <c r="AW2374" t="s">
        <v>11189</v>
      </c>
      <c r="AZ2374" t="s">
        <v>11221</v>
      </c>
      <c r="BC2374" t="s">
        <v>11228</v>
      </c>
      <c r="BE2374" t="s">
        <v>13030</v>
      </c>
      <c r="BG2374" t="s">
        <v>14965</v>
      </c>
      <c r="BM2374" t="s">
        <v>15650</v>
      </c>
    </row>
    <row r="2375" spans="1:67">
      <c r="A2375" s="1">
        <f>HYPERLINK("https://lsnyc.legalserver.org/matter/dynamic-profile/view/1907982","19-1907982")</f>
        <v>0</v>
      </c>
      <c r="B2375" t="s">
        <v>153</v>
      </c>
      <c r="C2375" t="s">
        <v>247</v>
      </c>
      <c r="D2375" t="s">
        <v>437</v>
      </c>
      <c r="F2375" t="s">
        <v>1969</v>
      </c>
      <c r="G2375" t="s">
        <v>3905</v>
      </c>
      <c r="H2375" t="s">
        <v>5580</v>
      </c>
      <c r="I2375" t="s">
        <v>6436</v>
      </c>
      <c r="J2375" t="s">
        <v>7206</v>
      </c>
      <c r="K2375">
        <v>11412</v>
      </c>
      <c r="N2375" t="s">
        <v>7237</v>
      </c>
      <c r="O2375" t="s">
        <v>8778</v>
      </c>
      <c r="P2375">
        <v>1</v>
      </c>
      <c r="Q2375">
        <v>1</v>
      </c>
      <c r="R2375">
        <v>0</v>
      </c>
      <c r="U2375">
        <v>0</v>
      </c>
      <c r="W2375">
        <v>8</v>
      </c>
      <c r="X2375" t="s">
        <v>638</v>
      </c>
      <c r="Y2375" t="s">
        <v>10875</v>
      </c>
      <c r="AA2375" t="s">
        <v>10974</v>
      </c>
      <c r="AD2375" t="s">
        <v>11082</v>
      </c>
      <c r="AF2375" t="s">
        <v>11118</v>
      </c>
      <c r="AH2375" t="s">
        <v>10975</v>
      </c>
      <c r="AJ2375" t="s">
        <v>11138</v>
      </c>
      <c r="AK2375" t="s">
        <v>7225</v>
      </c>
      <c r="AM2375">
        <v>1400</v>
      </c>
      <c r="AO2375">
        <v>30</v>
      </c>
      <c r="AQ2375" t="s">
        <v>11164</v>
      </c>
      <c r="AS2375" t="s">
        <v>11173</v>
      </c>
      <c r="AU2375">
        <v>1</v>
      </c>
      <c r="AW2375" t="s">
        <v>11187</v>
      </c>
      <c r="AX2375" t="s">
        <v>11212</v>
      </c>
      <c r="BA2375" t="s">
        <v>11222</v>
      </c>
      <c r="BE2375" t="s">
        <v>13031</v>
      </c>
      <c r="BG2375" t="s">
        <v>14975</v>
      </c>
      <c r="BM2375" t="s">
        <v>15650</v>
      </c>
    </row>
    <row r="2376" spans="1:67">
      <c r="A2376" s="1">
        <f>HYPERLINK("https://lsnyc.legalserver.org/matter/dynamic-profile/view/1886920","19-1886920")</f>
        <v>0</v>
      </c>
      <c r="B2376" t="s">
        <v>153</v>
      </c>
      <c r="C2376" t="s">
        <v>247</v>
      </c>
      <c r="D2376" t="s">
        <v>621</v>
      </c>
      <c r="F2376" t="s">
        <v>1140</v>
      </c>
      <c r="G2376" t="s">
        <v>3906</v>
      </c>
      <c r="H2376" t="s">
        <v>4826</v>
      </c>
      <c r="I2376" t="s">
        <v>6851</v>
      </c>
      <c r="J2376" t="s">
        <v>7172</v>
      </c>
      <c r="K2376">
        <v>11691</v>
      </c>
      <c r="N2376" t="s">
        <v>7237</v>
      </c>
      <c r="O2376" t="s">
        <v>8779</v>
      </c>
      <c r="P2376">
        <v>1</v>
      </c>
      <c r="Q2376">
        <v>3</v>
      </c>
      <c r="R2376">
        <v>82.87</v>
      </c>
      <c r="U2376">
        <v>20800</v>
      </c>
      <c r="W2376">
        <v>11.05</v>
      </c>
      <c r="X2376" t="s">
        <v>561</v>
      </c>
      <c r="Y2376" t="s">
        <v>10870</v>
      </c>
      <c r="AA2376" t="s">
        <v>10974</v>
      </c>
      <c r="AB2376" t="s">
        <v>621</v>
      </c>
      <c r="AD2376" t="s">
        <v>11082</v>
      </c>
      <c r="AF2376" t="s">
        <v>11118</v>
      </c>
      <c r="AH2376" t="s">
        <v>10975</v>
      </c>
      <c r="AJ2376" t="s">
        <v>11138</v>
      </c>
      <c r="AK2376" t="s">
        <v>7225</v>
      </c>
      <c r="AM2376">
        <v>250</v>
      </c>
      <c r="AO2376">
        <v>120</v>
      </c>
      <c r="AQ2376" t="s">
        <v>11169</v>
      </c>
      <c r="AS2376" t="s">
        <v>11173</v>
      </c>
      <c r="AU2376">
        <v>18</v>
      </c>
      <c r="AW2376" t="s">
        <v>11187</v>
      </c>
      <c r="AY2376" t="s">
        <v>11213</v>
      </c>
      <c r="AZ2376" t="s">
        <v>11221</v>
      </c>
      <c r="BC2376" t="s">
        <v>11421</v>
      </c>
      <c r="BE2376" t="s">
        <v>13032</v>
      </c>
      <c r="BG2376" t="s">
        <v>14976</v>
      </c>
      <c r="BI2376" t="s">
        <v>15609</v>
      </c>
      <c r="BK2376" t="s">
        <v>15635</v>
      </c>
      <c r="BM2376" t="s">
        <v>15650</v>
      </c>
    </row>
    <row r="2377" spans="1:67">
      <c r="A2377" s="1">
        <f>HYPERLINK("https://lsnyc.legalserver.org/matter/dynamic-profile/view/1897042","19-1897042")</f>
        <v>0</v>
      </c>
      <c r="B2377" t="s">
        <v>153</v>
      </c>
      <c r="C2377" t="s">
        <v>247</v>
      </c>
      <c r="D2377" t="s">
        <v>872</v>
      </c>
      <c r="F2377" t="s">
        <v>2111</v>
      </c>
      <c r="G2377" t="s">
        <v>3907</v>
      </c>
      <c r="H2377" t="s">
        <v>5581</v>
      </c>
      <c r="I2377">
        <v>50</v>
      </c>
      <c r="J2377" t="s">
        <v>7176</v>
      </c>
      <c r="K2377">
        <v>11368</v>
      </c>
      <c r="N2377" t="s">
        <v>7237</v>
      </c>
      <c r="O2377" t="s">
        <v>8780</v>
      </c>
      <c r="P2377">
        <v>2</v>
      </c>
      <c r="Q2377">
        <v>4</v>
      </c>
      <c r="R2377">
        <v>0</v>
      </c>
      <c r="U2377">
        <v>0</v>
      </c>
      <c r="W2377">
        <v>1.25</v>
      </c>
      <c r="X2377" t="s">
        <v>10819</v>
      </c>
      <c r="Y2377" t="s">
        <v>153</v>
      </c>
      <c r="AA2377" t="s">
        <v>10974</v>
      </c>
      <c r="AB2377" t="s">
        <v>872</v>
      </c>
      <c r="AD2377" t="s">
        <v>11082</v>
      </c>
      <c r="AF2377" t="s">
        <v>11121</v>
      </c>
      <c r="AH2377" t="s">
        <v>10975</v>
      </c>
      <c r="AJ2377" t="s">
        <v>11138</v>
      </c>
      <c r="AK2377" t="s">
        <v>7225</v>
      </c>
      <c r="AM2377">
        <v>1715</v>
      </c>
      <c r="AO2377">
        <v>229</v>
      </c>
      <c r="AQ2377" t="s">
        <v>11157</v>
      </c>
      <c r="AR2377" t="s">
        <v>11172</v>
      </c>
      <c r="AU2377">
        <v>2</v>
      </c>
      <c r="AW2377" t="s">
        <v>11189</v>
      </c>
      <c r="AY2377" t="s">
        <v>11216</v>
      </c>
      <c r="AZ2377" t="s">
        <v>11221</v>
      </c>
      <c r="BB2377" t="s">
        <v>11224</v>
      </c>
      <c r="BC2377" t="s">
        <v>11236</v>
      </c>
      <c r="BD2377" t="s">
        <v>11667</v>
      </c>
      <c r="BG2377" t="s">
        <v>14977</v>
      </c>
      <c r="BM2377" t="s">
        <v>15650</v>
      </c>
    </row>
    <row r="2378" spans="1:67">
      <c r="A2378" s="1">
        <f>HYPERLINK("https://lsnyc.legalserver.org/matter/dynamic-profile/view/1877546","18-1877546")</f>
        <v>0</v>
      </c>
      <c r="B2378" t="s">
        <v>153</v>
      </c>
      <c r="C2378" t="s">
        <v>247</v>
      </c>
      <c r="D2378" t="s">
        <v>778</v>
      </c>
      <c r="F2378" t="s">
        <v>1099</v>
      </c>
      <c r="G2378" t="s">
        <v>1303</v>
      </c>
      <c r="H2378" t="s">
        <v>5582</v>
      </c>
      <c r="I2378" t="s">
        <v>6408</v>
      </c>
      <c r="J2378" t="s">
        <v>7173</v>
      </c>
      <c r="K2378">
        <v>11354</v>
      </c>
      <c r="N2378" t="s">
        <v>7237</v>
      </c>
      <c r="O2378" t="s">
        <v>8781</v>
      </c>
      <c r="P2378">
        <v>2</v>
      </c>
      <c r="Q2378">
        <v>0</v>
      </c>
      <c r="R2378">
        <v>139.73</v>
      </c>
      <c r="U2378">
        <v>23000</v>
      </c>
      <c r="W2378">
        <v>7.05</v>
      </c>
      <c r="X2378" t="s">
        <v>10836</v>
      </c>
      <c r="Y2378" t="s">
        <v>10940</v>
      </c>
      <c r="AA2378" t="s">
        <v>10974</v>
      </c>
      <c r="AB2378" t="s">
        <v>778</v>
      </c>
      <c r="AD2378" t="s">
        <v>11082</v>
      </c>
      <c r="AF2378" t="s">
        <v>11118</v>
      </c>
      <c r="AH2378" t="s">
        <v>10975</v>
      </c>
      <c r="AJ2378" t="s">
        <v>11138</v>
      </c>
      <c r="AK2378" t="s">
        <v>7225</v>
      </c>
      <c r="AM2378">
        <v>700</v>
      </c>
      <c r="AO2378">
        <v>84</v>
      </c>
      <c r="AQ2378" t="s">
        <v>11157</v>
      </c>
      <c r="AS2378" t="s">
        <v>11173</v>
      </c>
      <c r="AU2378">
        <v>3</v>
      </c>
      <c r="AW2378" t="s">
        <v>11187</v>
      </c>
      <c r="AY2378" t="s">
        <v>11213</v>
      </c>
      <c r="AZ2378" t="s">
        <v>11221</v>
      </c>
      <c r="BE2378" t="s">
        <v>13033</v>
      </c>
      <c r="BF2378" t="s">
        <v>14364</v>
      </c>
      <c r="BG2378" t="s">
        <v>14978</v>
      </c>
      <c r="BI2378" t="s">
        <v>15607</v>
      </c>
      <c r="BK2378" t="s">
        <v>11104</v>
      </c>
      <c r="BM2378" t="s">
        <v>15650</v>
      </c>
      <c r="BN2378" t="s">
        <v>15653</v>
      </c>
      <c r="BO2378" t="s">
        <v>15708</v>
      </c>
    </row>
    <row r="2379" spans="1:67">
      <c r="A2379" s="1">
        <f>HYPERLINK("https://lsnyc.legalserver.org/matter/dynamic-profile/view/1895844","19-1895844")</f>
        <v>0</v>
      </c>
      <c r="B2379" t="s">
        <v>153</v>
      </c>
      <c r="C2379" t="s">
        <v>247</v>
      </c>
      <c r="D2379" t="s">
        <v>557</v>
      </c>
      <c r="F2379" t="s">
        <v>2100</v>
      </c>
      <c r="G2379" t="s">
        <v>2954</v>
      </c>
      <c r="H2379" t="s">
        <v>5565</v>
      </c>
      <c r="I2379" t="s">
        <v>6845</v>
      </c>
      <c r="J2379" t="s">
        <v>7172</v>
      </c>
      <c r="K2379">
        <v>11691</v>
      </c>
      <c r="N2379" t="s">
        <v>7237</v>
      </c>
      <c r="O2379" t="s">
        <v>8761</v>
      </c>
      <c r="P2379">
        <v>5</v>
      </c>
      <c r="Q2379">
        <v>0</v>
      </c>
      <c r="R2379">
        <v>129.27</v>
      </c>
      <c r="U2379">
        <v>39000</v>
      </c>
      <c r="W2379">
        <v>0</v>
      </c>
      <c r="Y2379" t="s">
        <v>10939</v>
      </c>
      <c r="AA2379" t="s">
        <v>10974</v>
      </c>
      <c r="AB2379" t="s">
        <v>557</v>
      </c>
      <c r="AD2379" t="s">
        <v>11090</v>
      </c>
      <c r="AF2379" t="s">
        <v>10384</v>
      </c>
      <c r="AH2379" t="s">
        <v>10974</v>
      </c>
      <c r="AJ2379" t="s">
        <v>11134</v>
      </c>
      <c r="AK2379" t="s">
        <v>7225</v>
      </c>
      <c r="AM2379">
        <v>637</v>
      </c>
      <c r="AO2379">
        <v>43</v>
      </c>
      <c r="AQ2379" t="s">
        <v>11157</v>
      </c>
      <c r="AS2379" t="s">
        <v>11173</v>
      </c>
      <c r="AU2379">
        <v>30</v>
      </c>
      <c r="AW2379" t="s">
        <v>11187</v>
      </c>
      <c r="AZ2379" t="s">
        <v>11221</v>
      </c>
      <c r="BB2379" t="s">
        <v>11224</v>
      </c>
      <c r="BC2379" t="s">
        <v>11236</v>
      </c>
      <c r="BE2379" t="s">
        <v>13016</v>
      </c>
      <c r="BF2379" t="s">
        <v>14364</v>
      </c>
      <c r="BM2379" t="s">
        <v>15650</v>
      </c>
    </row>
    <row r="2380" spans="1:67">
      <c r="A2380" s="1">
        <f>HYPERLINK("https://lsnyc.legalserver.org/matter/dynamic-profile/view/1861662","18-1861662")</f>
        <v>0</v>
      </c>
      <c r="B2380" t="s">
        <v>153</v>
      </c>
      <c r="C2380" t="s">
        <v>247</v>
      </c>
      <c r="D2380" t="s">
        <v>873</v>
      </c>
      <c r="F2380" t="s">
        <v>2112</v>
      </c>
      <c r="G2380" t="s">
        <v>3908</v>
      </c>
      <c r="H2380" t="s">
        <v>5191</v>
      </c>
      <c r="I2380" t="s">
        <v>6852</v>
      </c>
      <c r="J2380" t="s">
        <v>7177</v>
      </c>
      <c r="K2380">
        <v>11432</v>
      </c>
      <c r="N2380" t="s">
        <v>7237</v>
      </c>
      <c r="O2380" t="s">
        <v>8782</v>
      </c>
      <c r="P2380">
        <v>2</v>
      </c>
      <c r="Q2380">
        <v>0</v>
      </c>
      <c r="R2380">
        <v>182.26</v>
      </c>
      <c r="S2380" t="s">
        <v>10263</v>
      </c>
      <c r="U2380">
        <v>30000</v>
      </c>
      <c r="W2380">
        <v>0.2</v>
      </c>
      <c r="X2380" t="s">
        <v>672</v>
      </c>
      <c r="Y2380" t="s">
        <v>10870</v>
      </c>
      <c r="AA2380" t="s">
        <v>10974</v>
      </c>
      <c r="AB2380" t="s">
        <v>873</v>
      </c>
      <c r="AD2380" t="s">
        <v>11096</v>
      </c>
      <c r="AF2380" t="s">
        <v>11122</v>
      </c>
      <c r="AH2380" t="s">
        <v>10974</v>
      </c>
      <c r="AJ2380" t="s">
        <v>11131</v>
      </c>
      <c r="AK2380" t="s">
        <v>7225</v>
      </c>
      <c r="AM2380">
        <v>1058</v>
      </c>
      <c r="AO2380">
        <v>60</v>
      </c>
      <c r="AQ2380" t="s">
        <v>11157</v>
      </c>
      <c r="AS2380" t="s">
        <v>11173</v>
      </c>
      <c r="AU2380">
        <v>39</v>
      </c>
      <c r="AW2380" t="s">
        <v>11189</v>
      </c>
      <c r="AZ2380" t="s">
        <v>11221</v>
      </c>
      <c r="BC2380" t="s">
        <v>11228</v>
      </c>
      <c r="BE2380" t="s">
        <v>13034</v>
      </c>
      <c r="BG2380" t="s">
        <v>14964</v>
      </c>
      <c r="BM2380" t="s">
        <v>15650</v>
      </c>
    </row>
    <row r="2381" spans="1:67">
      <c r="A2381" s="1">
        <f>HYPERLINK("https://lsnyc.legalserver.org/matter/dynamic-profile/view/1861657","18-1861657")</f>
        <v>0</v>
      </c>
      <c r="B2381" t="s">
        <v>153</v>
      </c>
      <c r="C2381" t="s">
        <v>247</v>
      </c>
      <c r="D2381" t="s">
        <v>873</v>
      </c>
      <c r="F2381" t="s">
        <v>2112</v>
      </c>
      <c r="G2381" t="s">
        <v>3908</v>
      </c>
      <c r="H2381" t="s">
        <v>5191</v>
      </c>
      <c r="I2381" t="s">
        <v>6852</v>
      </c>
      <c r="J2381" t="s">
        <v>7177</v>
      </c>
      <c r="K2381">
        <v>11432</v>
      </c>
      <c r="N2381" t="s">
        <v>7237</v>
      </c>
      <c r="O2381" t="s">
        <v>8782</v>
      </c>
      <c r="P2381">
        <v>2</v>
      </c>
      <c r="Q2381">
        <v>0</v>
      </c>
      <c r="R2381">
        <v>182.26</v>
      </c>
      <c r="S2381" t="s">
        <v>10263</v>
      </c>
      <c r="U2381">
        <v>30000</v>
      </c>
      <c r="W2381">
        <v>0.2</v>
      </c>
      <c r="X2381" t="s">
        <v>672</v>
      </c>
      <c r="Y2381" t="s">
        <v>10870</v>
      </c>
      <c r="AA2381" t="s">
        <v>10974</v>
      </c>
      <c r="AB2381" t="s">
        <v>873</v>
      </c>
      <c r="AD2381" t="s">
        <v>11096</v>
      </c>
      <c r="AF2381" t="s">
        <v>11122</v>
      </c>
      <c r="AH2381" t="s">
        <v>10974</v>
      </c>
      <c r="AJ2381" t="s">
        <v>11131</v>
      </c>
      <c r="AK2381" t="s">
        <v>7225</v>
      </c>
      <c r="AM2381">
        <v>1058</v>
      </c>
      <c r="AO2381">
        <v>60</v>
      </c>
      <c r="AQ2381" t="s">
        <v>11157</v>
      </c>
      <c r="AS2381" t="s">
        <v>11173</v>
      </c>
      <c r="AU2381">
        <v>39</v>
      </c>
      <c r="AW2381" t="s">
        <v>11189</v>
      </c>
      <c r="AZ2381" t="s">
        <v>11221</v>
      </c>
      <c r="BC2381" t="s">
        <v>11228</v>
      </c>
      <c r="BE2381" t="s">
        <v>13034</v>
      </c>
      <c r="BG2381" t="s">
        <v>14965</v>
      </c>
      <c r="BM2381" t="s">
        <v>15650</v>
      </c>
    </row>
    <row r="2382" spans="1:67">
      <c r="A2382" s="1">
        <f>HYPERLINK("https://lsnyc.legalserver.org/matter/dynamic-profile/view/1895817","19-1895817")</f>
        <v>0</v>
      </c>
      <c r="B2382" t="s">
        <v>153</v>
      </c>
      <c r="C2382" t="s">
        <v>247</v>
      </c>
      <c r="D2382" t="s">
        <v>557</v>
      </c>
      <c r="F2382" t="s">
        <v>1688</v>
      </c>
      <c r="G2382" t="s">
        <v>3909</v>
      </c>
      <c r="H2382" t="s">
        <v>5565</v>
      </c>
      <c r="I2382" t="s">
        <v>6853</v>
      </c>
      <c r="J2382" t="s">
        <v>7172</v>
      </c>
      <c r="K2382">
        <v>11691</v>
      </c>
      <c r="N2382" t="s">
        <v>7237</v>
      </c>
      <c r="O2382" t="s">
        <v>8783</v>
      </c>
      <c r="P2382">
        <v>1</v>
      </c>
      <c r="Q2382">
        <v>0</v>
      </c>
      <c r="R2382">
        <v>163.33</v>
      </c>
      <c r="U2382">
        <v>20400</v>
      </c>
      <c r="W2382">
        <v>0.1</v>
      </c>
      <c r="X2382" t="s">
        <v>525</v>
      </c>
      <c r="Y2382" t="s">
        <v>10939</v>
      </c>
      <c r="AA2382" t="s">
        <v>10974</v>
      </c>
      <c r="AB2382" t="s">
        <v>557</v>
      </c>
      <c r="AD2382" t="s">
        <v>11090</v>
      </c>
      <c r="AF2382" t="s">
        <v>10384</v>
      </c>
      <c r="AH2382" t="s">
        <v>10974</v>
      </c>
      <c r="AJ2382" t="s">
        <v>11134</v>
      </c>
      <c r="AK2382" t="s">
        <v>7225</v>
      </c>
      <c r="AM2382">
        <v>637</v>
      </c>
      <c r="AO2382">
        <v>43</v>
      </c>
      <c r="AQ2382" t="s">
        <v>11157</v>
      </c>
      <c r="AS2382" t="s">
        <v>11173</v>
      </c>
      <c r="AU2382">
        <v>10</v>
      </c>
      <c r="AW2382" t="s">
        <v>11187</v>
      </c>
      <c r="AZ2382" t="s">
        <v>11221</v>
      </c>
      <c r="BB2382" t="s">
        <v>11224</v>
      </c>
      <c r="BC2382" t="s">
        <v>11236</v>
      </c>
      <c r="BE2382" t="s">
        <v>13035</v>
      </c>
      <c r="BF2382" t="s">
        <v>14364</v>
      </c>
      <c r="BM2382" t="s">
        <v>15650</v>
      </c>
    </row>
    <row r="2383" spans="1:67">
      <c r="A2383" s="1">
        <f>HYPERLINK("https://lsnyc.legalserver.org/matter/dynamic-profile/view/1896466","19-1896466")</f>
        <v>0</v>
      </c>
      <c r="B2383" t="s">
        <v>153</v>
      </c>
      <c r="C2383" t="s">
        <v>247</v>
      </c>
      <c r="D2383" t="s">
        <v>427</v>
      </c>
      <c r="F2383" t="s">
        <v>2113</v>
      </c>
      <c r="G2383" t="s">
        <v>3910</v>
      </c>
      <c r="H2383" t="s">
        <v>5565</v>
      </c>
      <c r="I2383" t="s">
        <v>6746</v>
      </c>
      <c r="J2383" t="s">
        <v>7172</v>
      </c>
      <c r="K2383">
        <v>11691</v>
      </c>
      <c r="N2383" t="s">
        <v>7237</v>
      </c>
      <c r="O2383" t="s">
        <v>8784</v>
      </c>
      <c r="P2383">
        <v>2</v>
      </c>
      <c r="Q2383">
        <v>0</v>
      </c>
      <c r="R2383">
        <v>299.49</v>
      </c>
      <c r="U2383">
        <v>50644</v>
      </c>
      <c r="W2383">
        <v>0.1</v>
      </c>
      <c r="X2383" t="s">
        <v>525</v>
      </c>
      <c r="Y2383" t="s">
        <v>10939</v>
      </c>
      <c r="AA2383" t="s">
        <v>10974</v>
      </c>
      <c r="AB2383" t="s">
        <v>427</v>
      </c>
      <c r="AD2383" t="s">
        <v>11090</v>
      </c>
      <c r="AF2383" t="s">
        <v>10384</v>
      </c>
      <c r="AH2383" t="s">
        <v>10974</v>
      </c>
      <c r="AJ2383" t="s">
        <v>11134</v>
      </c>
      <c r="AK2383" t="s">
        <v>7225</v>
      </c>
      <c r="AM2383">
        <v>540</v>
      </c>
      <c r="AO2383">
        <v>43</v>
      </c>
      <c r="AQ2383" t="s">
        <v>11157</v>
      </c>
      <c r="AS2383" t="s">
        <v>11173</v>
      </c>
      <c r="AU2383">
        <v>40</v>
      </c>
      <c r="AW2383" t="s">
        <v>11187</v>
      </c>
      <c r="AZ2383" t="s">
        <v>11221</v>
      </c>
      <c r="BB2383" t="s">
        <v>11224</v>
      </c>
      <c r="BC2383" t="s">
        <v>11236</v>
      </c>
      <c r="BE2383" t="s">
        <v>13036</v>
      </c>
      <c r="BF2383" t="s">
        <v>14364</v>
      </c>
      <c r="BM2383" t="s">
        <v>15650</v>
      </c>
    </row>
    <row r="2384" spans="1:67">
      <c r="A2384" s="1">
        <f>HYPERLINK("https://lsnyc.legalserver.org/matter/dynamic-profile/view/1860351","18-1860351")</f>
        <v>0</v>
      </c>
      <c r="B2384" t="s">
        <v>153</v>
      </c>
      <c r="C2384" t="s">
        <v>247</v>
      </c>
      <c r="D2384" t="s">
        <v>871</v>
      </c>
      <c r="F2384" t="s">
        <v>1644</v>
      </c>
      <c r="G2384" t="s">
        <v>3407</v>
      </c>
      <c r="H2384" t="s">
        <v>5191</v>
      </c>
      <c r="I2384" t="s">
        <v>6418</v>
      </c>
      <c r="J2384" t="s">
        <v>7177</v>
      </c>
      <c r="K2384">
        <v>11432</v>
      </c>
      <c r="N2384" t="s">
        <v>7238</v>
      </c>
      <c r="O2384" t="s">
        <v>7977</v>
      </c>
      <c r="P2384">
        <v>4</v>
      </c>
      <c r="Q2384">
        <v>0</v>
      </c>
      <c r="R2384">
        <v>215.14</v>
      </c>
      <c r="S2384" t="s">
        <v>10255</v>
      </c>
      <c r="U2384">
        <v>54000</v>
      </c>
      <c r="W2384">
        <v>0.2</v>
      </c>
      <c r="X2384" t="s">
        <v>672</v>
      </c>
      <c r="Y2384" t="s">
        <v>202</v>
      </c>
      <c r="AA2384" t="s">
        <v>10974</v>
      </c>
      <c r="AB2384" t="s">
        <v>11046</v>
      </c>
      <c r="AD2384" t="s">
        <v>11096</v>
      </c>
      <c r="AF2384" t="s">
        <v>11122</v>
      </c>
      <c r="AH2384" t="s">
        <v>10974</v>
      </c>
      <c r="AJ2384" t="s">
        <v>11129</v>
      </c>
      <c r="AK2384" t="s">
        <v>7225</v>
      </c>
      <c r="AM2384">
        <v>2000</v>
      </c>
      <c r="AO2384">
        <v>60</v>
      </c>
      <c r="AQ2384" t="s">
        <v>11157</v>
      </c>
      <c r="AS2384" t="s">
        <v>11173</v>
      </c>
      <c r="AU2384">
        <v>13</v>
      </c>
      <c r="AW2384" t="s">
        <v>11187</v>
      </c>
      <c r="AZ2384" t="s">
        <v>11221</v>
      </c>
      <c r="BC2384" t="s">
        <v>11228</v>
      </c>
      <c r="BE2384" t="s">
        <v>12304</v>
      </c>
      <c r="BG2384" t="s">
        <v>14964</v>
      </c>
      <c r="BM2384" t="s">
        <v>15650</v>
      </c>
    </row>
    <row r="2385" spans="1:67">
      <c r="A2385" s="1">
        <f>HYPERLINK("https://lsnyc.legalserver.org/matter/dynamic-profile/view/1893348","19-1893348")</f>
        <v>0</v>
      </c>
      <c r="B2385" t="s">
        <v>153</v>
      </c>
      <c r="C2385" t="s">
        <v>247</v>
      </c>
      <c r="D2385" t="s">
        <v>567</v>
      </c>
      <c r="F2385" t="s">
        <v>1168</v>
      </c>
      <c r="G2385" t="s">
        <v>2958</v>
      </c>
      <c r="H2385" t="s">
        <v>4826</v>
      </c>
      <c r="I2385" t="s">
        <v>6455</v>
      </c>
      <c r="J2385" t="s">
        <v>7172</v>
      </c>
      <c r="K2385">
        <v>11691</v>
      </c>
      <c r="N2385" t="s">
        <v>7237</v>
      </c>
      <c r="O2385" t="s">
        <v>7340</v>
      </c>
      <c r="P2385">
        <v>1</v>
      </c>
      <c r="Q2385">
        <v>0</v>
      </c>
      <c r="R2385">
        <v>72.06</v>
      </c>
      <c r="U2385">
        <v>9000</v>
      </c>
      <c r="W2385">
        <v>5.05</v>
      </c>
      <c r="X2385" t="s">
        <v>536</v>
      </c>
      <c r="Y2385" t="s">
        <v>10870</v>
      </c>
      <c r="AA2385" t="s">
        <v>10974</v>
      </c>
      <c r="AB2385" t="s">
        <v>567</v>
      </c>
      <c r="AD2385" t="s">
        <v>11082</v>
      </c>
      <c r="AF2385" t="s">
        <v>11118</v>
      </c>
      <c r="AH2385" t="s">
        <v>10975</v>
      </c>
      <c r="AJ2385" t="s">
        <v>11129</v>
      </c>
      <c r="AK2385" t="s">
        <v>7225</v>
      </c>
      <c r="AM2385">
        <v>222</v>
      </c>
      <c r="AO2385">
        <v>70</v>
      </c>
      <c r="AQ2385" t="s">
        <v>11161</v>
      </c>
      <c r="AS2385" t="s">
        <v>11173</v>
      </c>
      <c r="AU2385">
        <v>25</v>
      </c>
      <c r="AW2385" t="s">
        <v>11189</v>
      </c>
      <c r="AY2385" t="s">
        <v>11214</v>
      </c>
      <c r="AZ2385" t="s">
        <v>11221</v>
      </c>
      <c r="BC2385" t="s">
        <v>11238</v>
      </c>
      <c r="BE2385" t="s">
        <v>11743</v>
      </c>
      <c r="BG2385" t="s">
        <v>14406</v>
      </c>
      <c r="BI2385" t="s">
        <v>15606</v>
      </c>
      <c r="BK2385" t="s">
        <v>15636</v>
      </c>
      <c r="BM2385" t="s">
        <v>15650</v>
      </c>
      <c r="BN2385" t="s">
        <v>15652</v>
      </c>
      <c r="BO2385" t="s">
        <v>15709</v>
      </c>
    </row>
    <row r="2386" spans="1:67">
      <c r="A2386" s="1">
        <f>HYPERLINK("https://lsnyc.legalserver.org/matter/dynamic-profile/view/1893180","19-1893180")</f>
        <v>0</v>
      </c>
      <c r="B2386" t="s">
        <v>153</v>
      </c>
      <c r="C2386" t="s">
        <v>247</v>
      </c>
      <c r="D2386" t="s">
        <v>696</v>
      </c>
      <c r="F2386" t="s">
        <v>2114</v>
      </c>
      <c r="G2386" t="s">
        <v>3911</v>
      </c>
      <c r="H2386" t="s">
        <v>4789</v>
      </c>
      <c r="I2386" t="s">
        <v>6601</v>
      </c>
      <c r="J2386" t="s">
        <v>7172</v>
      </c>
      <c r="K2386">
        <v>11691</v>
      </c>
      <c r="N2386" t="s">
        <v>7237</v>
      </c>
      <c r="O2386" t="s">
        <v>8785</v>
      </c>
      <c r="P2386">
        <v>1</v>
      </c>
      <c r="Q2386">
        <v>0</v>
      </c>
      <c r="R2386">
        <v>62.74</v>
      </c>
      <c r="U2386">
        <v>7836</v>
      </c>
      <c r="W2386">
        <v>1.3</v>
      </c>
      <c r="X2386" t="s">
        <v>675</v>
      </c>
      <c r="Y2386" t="s">
        <v>10870</v>
      </c>
      <c r="AA2386" t="s">
        <v>10974</v>
      </c>
      <c r="AB2386" t="s">
        <v>696</v>
      </c>
      <c r="AD2386" t="s">
        <v>11087</v>
      </c>
      <c r="AF2386" t="s">
        <v>10384</v>
      </c>
      <c r="AH2386" t="s">
        <v>10975</v>
      </c>
      <c r="AJ2386" t="s">
        <v>11130</v>
      </c>
      <c r="AK2386" t="s">
        <v>7225</v>
      </c>
      <c r="AM2386">
        <v>940</v>
      </c>
      <c r="AO2386">
        <v>240</v>
      </c>
      <c r="AQ2386" t="s">
        <v>11158</v>
      </c>
      <c r="AS2386" t="s">
        <v>11174</v>
      </c>
      <c r="AU2386">
        <v>4</v>
      </c>
      <c r="AW2386" t="s">
        <v>11187</v>
      </c>
      <c r="AZ2386" t="s">
        <v>11221</v>
      </c>
      <c r="BC2386" t="s">
        <v>11422</v>
      </c>
      <c r="BE2386" t="s">
        <v>13037</v>
      </c>
      <c r="BF2386" t="s">
        <v>14364</v>
      </c>
      <c r="BK2386" t="s">
        <v>11104</v>
      </c>
      <c r="BM2386" t="s">
        <v>15650</v>
      </c>
    </row>
    <row r="2387" spans="1:67">
      <c r="A2387" s="1">
        <f>HYPERLINK("https://lsnyc.legalserver.org/matter/dynamic-profile/view/1878187","18-1878187")</f>
        <v>0</v>
      </c>
      <c r="B2387" t="s">
        <v>153</v>
      </c>
      <c r="C2387" t="s">
        <v>247</v>
      </c>
      <c r="D2387" t="s">
        <v>279</v>
      </c>
      <c r="F2387" t="s">
        <v>2115</v>
      </c>
      <c r="G2387" t="s">
        <v>3912</v>
      </c>
      <c r="H2387" t="s">
        <v>5583</v>
      </c>
      <c r="I2387" t="s">
        <v>6495</v>
      </c>
      <c r="J2387" t="s">
        <v>7172</v>
      </c>
      <c r="K2387">
        <v>11691</v>
      </c>
      <c r="N2387" t="s">
        <v>7237</v>
      </c>
      <c r="O2387" t="s">
        <v>8786</v>
      </c>
      <c r="P2387">
        <v>1</v>
      </c>
      <c r="Q2387">
        <v>1</v>
      </c>
      <c r="R2387">
        <v>185.95</v>
      </c>
      <c r="U2387">
        <v>30608</v>
      </c>
      <c r="W2387">
        <v>0.8</v>
      </c>
      <c r="X2387" t="s">
        <v>573</v>
      </c>
      <c r="Y2387" t="s">
        <v>10870</v>
      </c>
      <c r="AA2387" t="s">
        <v>10974</v>
      </c>
      <c r="AB2387" t="s">
        <v>279</v>
      </c>
      <c r="AD2387" t="s">
        <v>11082</v>
      </c>
      <c r="AF2387" t="s">
        <v>11121</v>
      </c>
      <c r="AH2387" t="s">
        <v>10975</v>
      </c>
      <c r="AJ2387" t="s">
        <v>11138</v>
      </c>
      <c r="AK2387" t="s">
        <v>7225</v>
      </c>
      <c r="AM2387">
        <v>733</v>
      </c>
      <c r="AO2387">
        <v>140</v>
      </c>
      <c r="AQ2387" t="s">
        <v>11161</v>
      </c>
      <c r="AS2387" t="s">
        <v>11174</v>
      </c>
      <c r="AU2387">
        <v>8</v>
      </c>
      <c r="AW2387" t="s">
        <v>11187</v>
      </c>
      <c r="AY2387" t="s">
        <v>11214</v>
      </c>
      <c r="AZ2387" t="s">
        <v>11221</v>
      </c>
      <c r="BC2387" t="s">
        <v>11423</v>
      </c>
      <c r="BE2387" t="s">
        <v>13038</v>
      </c>
      <c r="BG2387" t="s">
        <v>14979</v>
      </c>
      <c r="BM2387" t="s">
        <v>15650</v>
      </c>
    </row>
    <row r="2388" spans="1:67">
      <c r="A2388" s="1">
        <f>HYPERLINK("https://lsnyc.legalserver.org/matter/dynamic-profile/view/1915245","19-1915245")</f>
        <v>0</v>
      </c>
      <c r="B2388" t="s">
        <v>153</v>
      </c>
      <c r="C2388" t="s">
        <v>247</v>
      </c>
      <c r="D2388" t="s">
        <v>426</v>
      </c>
      <c r="F2388" t="s">
        <v>1155</v>
      </c>
      <c r="G2388" t="s">
        <v>3913</v>
      </c>
      <c r="H2388" t="s">
        <v>5565</v>
      </c>
      <c r="I2388" t="s">
        <v>6405</v>
      </c>
      <c r="J2388" t="s">
        <v>7172</v>
      </c>
      <c r="K2388">
        <v>11691</v>
      </c>
      <c r="N2388" t="s">
        <v>7237</v>
      </c>
      <c r="O2388" t="s">
        <v>8787</v>
      </c>
      <c r="P2388">
        <v>2</v>
      </c>
      <c r="Q2388">
        <v>0</v>
      </c>
      <c r="R2388">
        <v>215.26</v>
      </c>
      <c r="U2388">
        <v>36400</v>
      </c>
      <c r="W2388">
        <v>0.5</v>
      </c>
      <c r="X2388" t="s">
        <v>426</v>
      </c>
      <c r="Y2388" t="s">
        <v>10870</v>
      </c>
      <c r="AA2388" t="s">
        <v>10974</v>
      </c>
      <c r="AB2388" t="s">
        <v>426</v>
      </c>
      <c r="AD2388" t="s">
        <v>11082</v>
      </c>
      <c r="AF2388" t="s">
        <v>11118</v>
      </c>
      <c r="AH2388" t="s">
        <v>10975</v>
      </c>
      <c r="AJ2388" t="s">
        <v>11134</v>
      </c>
      <c r="AK2388" t="s">
        <v>7225</v>
      </c>
      <c r="AM2388">
        <v>637</v>
      </c>
      <c r="AO2388">
        <v>43</v>
      </c>
      <c r="AQ2388" t="s">
        <v>11157</v>
      </c>
      <c r="AS2388" t="s">
        <v>11173</v>
      </c>
      <c r="AU2388">
        <v>17</v>
      </c>
      <c r="AW2388" t="s">
        <v>11189</v>
      </c>
      <c r="BA2388" t="s">
        <v>11222</v>
      </c>
      <c r="BE2388" t="s">
        <v>13039</v>
      </c>
      <c r="BF2388" t="s">
        <v>14364</v>
      </c>
      <c r="BM2388" t="s">
        <v>15650</v>
      </c>
    </row>
    <row r="2389" spans="1:67">
      <c r="A2389" s="1">
        <f>HYPERLINK("https://lsnyc.legalserver.org/matter/dynamic-profile/view/1898658","19-1898658")</f>
        <v>0</v>
      </c>
      <c r="B2389" t="s">
        <v>153</v>
      </c>
      <c r="C2389" t="s">
        <v>247</v>
      </c>
      <c r="D2389" t="s">
        <v>562</v>
      </c>
      <c r="F2389" t="s">
        <v>2116</v>
      </c>
      <c r="G2389" t="s">
        <v>1777</v>
      </c>
      <c r="H2389" t="s">
        <v>5584</v>
      </c>
      <c r="J2389" t="s">
        <v>7173</v>
      </c>
      <c r="K2389">
        <v>11355</v>
      </c>
      <c r="N2389" t="s">
        <v>7237</v>
      </c>
      <c r="O2389" t="s">
        <v>8788</v>
      </c>
      <c r="P2389">
        <v>1</v>
      </c>
      <c r="Q2389">
        <v>0</v>
      </c>
      <c r="R2389">
        <v>19.05</v>
      </c>
      <c r="U2389">
        <v>2379</v>
      </c>
      <c r="W2389">
        <v>12.7</v>
      </c>
      <c r="X2389" t="s">
        <v>434</v>
      </c>
      <c r="Y2389" t="s">
        <v>10870</v>
      </c>
      <c r="AA2389" t="s">
        <v>10974</v>
      </c>
      <c r="AB2389" t="s">
        <v>562</v>
      </c>
      <c r="AD2389" t="s">
        <v>11083</v>
      </c>
      <c r="AF2389" t="s">
        <v>11118</v>
      </c>
      <c r="AH2389" t="s">
        <v>10975</v>
      </c>
      <c r="AJ2389" t="s">
        <v>11138</v>
      </c>
      <c r="AK2389" t="s">
        <v>7225</v>
      </c>
      <c r="AL2389" t="s">
        <v>11150</v>
      </c>
      <c r="AM2389">
        <v>0</v>
      </c>
      <c r="AO2389">
        <v>6</v>
      </c>
      <c r="AQ2389" t="s">
        <v>11167</v>
      </c>
      <c r="AS2389" t="s">
        <v>11173</v>
      </c>
      <c r="AU2389">
        <v>1</v>
      </c>
      <c r="AW2389" t="s">
        <v>11187</v>
      </c>
      <c r="AY2389" t="s">
        <v>11213</v>
      </c>
      <c r="AZ2389" t="s">
        <v>11221</v>
      </c>
      <c r="BC2389" t="s">
        <v>11424</v>
      </c>
      <c r="BE2389" t="s">
        <v>13040</v>
      </c>
      <c r="BG2389" t="s">
        <v>14980</v>
      </c>
      <c r="BM2389" t="s">
        <v>15650</v>
      </c>
    </row>
    <row r="2390" spans="1:67">
      <c r="A2390" s="1">
        <f>HYPERLINK("https://lsnyc.legalserver.org/matter/dynamic-profile/view/1895748","19-1895748")</f>
        <v>0</v>
      </c>
      <c r="B2390" t="s">
        <v>153</v>
      </c>
      <c r="C2390" t="s">
        <v>247</v>
      </c>
      <c r="D2390" t="s">
        <v>557</v>
      </c>
      <c r="F2390" t="s">
        <v>1418</v>
      </c>
      <c r="G2390" t="s">
        <v>1128</v>
      </c>
      <c r="H2390" t="s">
        <v>5565</v>
      </c>
      <c r="I2390" t="s">
        <v>6854</v>
      </c>
      <c r="J2390" t="s">
        <v>7172</v>
      </c>
      <c r="K2390">
        <v>11691</v>
      </c>
      <c r="N2390" t="s">
        <v>7237</v>
      </c>
      <c r="O2390" t="s">
        <v>8174</v>
      </c>
      <c r="P2390">
        <v>1</v>
      </c>
      <c r="Q2390">
        <v>0</v>
      </c>
      <c r="R2390">
        <v>64.05</v>
      </c>
      <c r="U2390">
        <v>8000</v>
      </c>
      <c r="W2390">
        <v>95.45</v>
      </c>
      <c r="X2390" t="s">
        <v>614</v>
      </c>
      <c r="Y2390" t="s">
        <v>10939</v>
      </c>
      <c r="AA2390" t="s">
        <v>10974</v>
      </c>
      <c r="AB2390" t="s">
        <v>557</v>
      </c>
      <c r="AD2390" t="s">
        <v>11090</v>
      </c>
      <c r="AF2390" t="s">
        <v>10384</v>
      </c>
      <c r="AH2390" t="s">
        <v>10974</v>
      </c>
      <c r="AJ2390" t="s">
        <v>11134</v>
      </c>
      <c r="AK2390" t="s">
        <v>7225</v>
      </c>
      <c r="AM2390">
        <v>637</v>
      </c>
      <c r="AO2390">
        <v>43</v>
      </c>
      <c r="AQ2390" t="s">
        <v>11157</v>
      </c>
      <c r="AS2390" t="s">
        <v>11173</v>
      </c>
      <c r="AU2390">
        <v>20</v>
      </c>
      <c r="AW2390" t="s">
        <v>11187</v>
      </c>
      <c r="AZ2390" t="s">
        <v>11221</v>
      </c>
      <c r="BB2390" t="s">
        <v>11224</v>
      </c>
      <c r="BC2390" t="s">
        <v>11236</v>
      </c>
      <c r="BE2390" t="s">
        <v>13041</v>
      </c>
      <c r="BF2390" t="s">
        <v>14364</v>
      </c>
      <c r="BM2390" t="s">
        <v>15650</v>
      </c>
    </row>
    <row r="2391" spans="1:67">
      <c r="A2391" s="1">
        <f>HYPERLINK("https://lsnyc.legalserver.org/matter/dynamic-profile/view/1915229","19-1915229")</f>
        <v>0</v>
      </c>
      <c r="B2391" t="s">
        <v>153</v>
      </c>
      <c r="C2391" t="s">
        <v>247</v>
      </c>
      <c r="D2391" t="s">
        <v>426</v>
      </c>
      <c r="F2391" t="s">
        <v>2094</v>
      </c>
      <c r="G2391" t="s">
        <v>3125</v>
      </c>
      <c r="H2391" t="s">
        <v>5565</v>
      </c>
      <c r="I2391" t="s">
        <v>6628</v>
      </c>
      <c r="J2391" t="s">
        <v>7172</v>
      </c>
      <c r="K2391">
        <v>11691</v>
      </c>
      <c r="N2391" t="s">
        <v>7237</v>
      </c>
      <c r="O2391" t="s">
        <v>8751</v>
      </c>
      <c r="P2391">
        <v>1</v>
      </c>
      <c r="Q2391">
        <v>0</v>
      </c>
      <c r="R2391">
        <v>400.32</v>
      </c>
      <c r="U2391">
        <v>50000</v>
      </c>
      <c r="W2391">
        <v>0.5</v>
      </c>
      <c r="X2391" t="s">
        <v>426</v>
      </c>
      <c r="Y2391" t="s">
        <v>10870</v>
      </c>
      <c r="AA2391" t="s">
        <v>10974</v>
      </c>
      <c r="AB2391" t="s">
        <v>426</v>
      </c>
      <c r="AD2391" t="s">
        <v>11082</v>
      </c>
      <c r="AF2391" t="s">
        <v>11118</v>
      </c>
      <c r="AH2391" t="s">
        <v>10975</v>
      </c>
      <c r="AJ2391" t="s">
        <v>11134</v>
      </c>
      <c r="AK2391" t="s">
        <v>7225</v>
      </c>
      <c r="AM2391">
        <v>637</v>
      </c>
      <c r="AO2391">
        <v>43</v>
      </c>
      <c r="AQ2391" t="s">
        <v>11157</v>
      </c>
      <c r="AS2391" t="s">
        <v>11173</v>
      </c>
      <c r="AU2391">
        <v>28</v>
      </c>
      <c r="AW2391" t="s">
        <v>11187</v>
      </c>
      <c r="BA2391" t="s">
        <v>11222</v>
      </c>
      <c r="BE2391" t="s">
        <v>13042</v>
      </c>
      <c r="BF2391" t="s">
        <v>14364</v>
      </c>
      <c r="BM2391" t="s">
        <v>15650</v>
      </c>
    </row>
    <row r="2392" spans="1:67">
      <c r="A2392" s="1">
        <f>HYPERLINK("https://lsnyc.legalserver.org/matter/dynamic-profile/view/1912412","19-1912412")</f>
        <v>0</v>
      </c>
      <c r="B2392" t="s">
        <v>153</v>
      </c>
      <c r="C2392" t="s">
        <v>247</v>
      </c>
      <c r="D2392" t="s">
        <v>441</v>
      </c>
      <c r="F2392" t="s">
        <v>2094</v>
      </c>
      <c r="G2392" t="s">
        <v>3125</v>
      </c>
      <c r="H2392" t="s">
        <v>5565</v>
      </c>
      <c r="I2392" t="s">
        <v>6628</v>
      </c>
      <c r="J2392" t="s">
        <v>7172</v>
      </c>
      <c r="K2392">
        <v>11691</v>
      </c>
      <c r="N2392" t="s">
        <v>7237</v>
      </c>
      <c r="O2392" t="s">
        <v>8751</v>
      </c>
      <c r="P2392">
        <v>1</v>
      </c>
      <c r="Q2392">
        <v>0</v>
      </c>
      <c r="R2392">
        <v>400.32</v>
      </c>
      <c r="U2392">
        <v>50000</v>
      </c>
      <c r="W2392">
        <v>0.5</v>
      </c>
      <c r="X2392" t="s">
        <v>441</v>
      </c>
      <c r="Y2392" t="s">
        <v>10870</v>
      </c>
      <c r="AA2392" t="s">
        <v>10974</v>
      </c>
      <c r="AB2392" t="s">
        <v>441</v>
      </c>
      <c r="AD2392" t="s">
        <v>11082</v>
      </c>
      <c r="AF2392" t="s">
        <v>11120</v>
      </c>
      <c r="AH2392" t="s">
        <v>10974</v>
      </c>
      <c r="AJ2392" t="s">
        <v>11134</v>
      </c>
      <c r="AK2392" t="s">
        <v>7225</v>
      </c>
      <c r="AM2392">
        <v>637</v>
      </c>
      <c r="AO2392">
        <v>43</v>
      </c>
      <c r="AQ2392" t="s">
        <v>11157</v>
      </c>
      <c r="AS2392" t="s">
        <v>11173</v>
      </c>
      <c r="AU2392">
        <v>28</v>
      </c>
      <c r="AW2392" t="s">
        <v>11187</v>
      </c>
      <c r="BA2392" t="s">
        <v>11222</v>
      </c>
      <c r="BE2392" t="s">
        <v>13008</v>
      </c>
      <c r="BF2392" t="s">
        <v>14364</v>
      </c>
      <c r="BM2392" t="s">
        <v>15650</v>
      </c>
    </row>
    <row r="2393" spans="1:67">
      <c r="A2393" s="1">
        <f>HYPERLINK("https://lsnyc.legalserver.org/matter/dynamic-profile/view/0820114","16-0820114")</f>
        <v>0</v>
      </c>
      <c r="B2393" t="s">
        <v>153</v>
      </c>
      <c r="C2393" t="s">
        <v>247</v>
      </c>
      <c r="D2393" t="s">
        <v>538</v>
      </c>
      <c r="F2393" t="s">
        <v>2117</v>
      </c>
      <c r="G2393" t="s">
        <v>3618</v>
      </c>
      <c r="H2393" t="s">
        <v>5194</v>
      </c>
      <c r="J2393" t="s">
        <v>7177</v>
      </c>
      <c r="K2393">
        <v>11432</v>
      </c>
      <c r="M2393" t="s">
        <v>7229</v>
      </c>
      <c r="N2393" t="s">
        <v>7237</v>
      </c>
      <c r="O2393" t="s">
        <v>7926</v>
      </c>
      <c r="P2393">
        <v>2</v>
      </c>
      <c r="Q2393">
        <v>3</v>
      </c>
      <c r="R2393">
        <v>147.68</v>
      </c>
      <c r="S2393" t="s">
        <v>10263</v>
      </c>
      <c r="U2393">
        <v>42000</v>
      </c>
      <c r="V2393" t="s">
        <v>10414</v>
      </c>
      <c r="W2393">
        <v>271.25</v>
      </c>
      <c r="X2393" t="s">
        <v>433</v>
      </c>
      <c r="Y2393" t="s">
        <v>128</v>
      </c>
      <c r="AA2393" t="s">
        <v>10974</v>
      </c>
      <c r="AB2393" t="s">
        <v>374</v>
      </c>
      <c r="AD2393" t="s">
        <v>11083</v>
      </c>
      <c r="AF2393" t="s">
        <v>11118</v>
      </c>
      <c r="AH2393" t="s">
        <v>10975</v>
      </c>
      <c r="AJ2393" t="s">
        <v>11129</v>
      </c>
      <c r="AK2393" t="s">
        <v>7225</v>
      </c>
      <c r="AM2393">
        <v>1405</v>
      </c>
      <c r="AO2393">
        <v>190</v>
      </c>
      <c r="AQ2393" t="s">
        <v>11157</v>
      </c>
      <c r="AS2393" t="s">
        <v>11173</v>
      </c>
      <c r="AU2393">
        <v>2</v>
      </c>
      <c r="AW2393" t="s">
        <v>11198</v>
      </c>
      <c r="AY2393" t="s">
        <v>11213</v>
      </c>
      <c r="BA2393" t="s">
        <v>11222</v>
      </c>
      <c r="BB2393" t="s">
        <v>11224</v>
      </c>
      <c r="BC2393" t="s">
        <v>11333</v>
      </c>
      <c r="BE2393" t="s">
        <v>13043</v>
      </c>
      <c r="BF2393" t="s">
        <v>14364</v>
      </c>
      <c r="BG2393" t="s">
        <v>14981</v>
      </c>
      <c r="BM2393" t="s">
        <v>15650</v>
      </c>
    </row>
    <row r="2394" spans="1:67">
      <c r="A2394" s="1">
        <f>HYPERLINK("https://lsnyc.legalserver.org/matter/dynamic-profile/view/1890485","19-1890485")</f>
        <v>0</v>
      </c>
      <c r="B2394" t="s">
        <v>153</v>
      </c>
      <c r="C2394" t="s">
        <v>247</v>
      </c>
      <c r="D2394" t="s">
        <v>874</v>
      </c>
      <c r="F2394" t="s">
        <v>1282</v>
      </c>
      <c r="G2394" t="s">
        <v>3914</v>
      </c>
      <c r="H2394" t="s">
        <v>4826</v>
      </c>
      <c r="I2394" t="s">
        <v>6855</v>
      </c>
      <c r="J2394" t="s">
        <v>7172</v>
      </c>
      <c r="K2394">
        <v>11691</v>
      </c>
      <c r="N2394" t="s">
        <v>7237</v>
      </c>
      <c r="O2394" t="s">
        <v>8789</v>
      </c>
      <c r="P2394">
        <v>1</v>
      </c>
      <c r="Q2394">
        <v>0</v>
      </c>
      <c r="R2394">
        <v>74.75</v>
      </c>
      <c r="U2394">
        <v>9336</v>
      </c>
      <c r="W2394">
        <v>10.4</v>
      </c>
      <c r="X2394" t="s">
        <v>536</v>
      </c>
      <c r="Y2394" t="s">
        <v>10882</v>
      </c>
      <c r="Z2394" t="s">
        <v>10972</v>
      </c>
      <c r="AA2394" t="s">
        <v>10976</v>
      </c>
      <c r="AD2394" t="s">
        <v>11086</v>
      </c>
      <c r="AF2394" t="s">
        <v>11118</v>
      </c>
      <c r="AH2394" t="s">
        <v>10975</v>
      </c>
      <c r="AJ2394" t="s">
        <v>11147</v>
      </c>
      <c r="AK2394" t="s">
        <v>7225</v>
      </c>
      <c r="AM2394">
        <v>155</v>
      </c>
      <c r="AO2394">
        <v>200</v>
      </c>
      <c r="AQ2394" t="s">
        <v>11157</v>
      </c>
      <c r="AS2394" t="s">
        <v>11173</v>
      </c>
      <c r="AU2394">
        <v>19</v>
      </c>
      <c r="AW2394" t="s">
        <v>11187</v>
      </c>
      <c r="AY2394" t="s">
        <v>11213</v>
      </c>
      <c r="AZ2394" t="s">
        <v>11221</v>
      </c>
      <c r="BE2394" t="s">
        <v>13044</v>
      </c>
      <c r="BF2394" t="s">
        <v>14364</v>
      </c>
      <c r="BM2394" t="s">
        <v>15650</v>
      </c>
    </row>
    <row r="2395" spans="1:67">
      <c r="A2395" s="1">
        <f>HYPERLINK("https://lsnyc.legalserver.org/matter/dynamic-profile/view/1860448","18-1860448")</f>
        <v>0</v>
      </c>
      <c r="B2395" t="s">
        <v>153</v>
      </c>
      <c r="C2395" t="s">
        <v>247</v>
      </c>
      <c r="D2395" t="s">
        <v>825</v>
      </c>
      <c r="F2395" t="s">
        <v>2118</v>
      </c>
      <c r="G2395" t="s">
        <v>2886</v>
      </c>
      <c r="H2395" t="s">
        <v>5567</v>
      </c>
      <c r="I2395" t="s">
        <v>6856</v>
      </c>
      <c r="J2395" t="s">
        <v>7177</v>
      </c>
      <c r="K2395">
        <v>11432</v>
      </c>
      <c r="N2395" t="s">
        <v>7238</v>
      </c>
      <c r="O2395" t="s">
        <v>8790</v>
      </c>
      <c r="P2395">
        <v>3</v>
      </c>
      <c r="Q2395">
        <v>1</v>
      </c>
      <c r="R2395">
        <v>121.95</v>
      </c>
      <c r="S2395" t="s">
        <v>10263</v>
      </c>
      <c r="U2395">
        <v>30000</v>
      </c>
      <c r="W2395">
        <v>5.45</v>
      </c>
      <c r="X2395" t="s">
        <v>672</v>
      </c>
      <c r="Y2395" t="s">
        <v>202</v>
      </c>
      <c r="AA2395" t="s">
        <v>10974</v>
      </c>
      <c r="AB2395" t="s">
        <v>11046</v>
      </c>
      <c r="AD2395" t="s">
        <v>11096</v>
      </c>
      <c r="AF2395" t="s">
        <v>11122</v>
      </c>
      <c r="AH2395" t="s">
        <v>10974</v>
      </c>
      <c r="AJ2395" t="s">
        <v>11129</v>
      </c>
      <c r="AK2395" t="s">
        <v>7225</v>
      </c>
      <c r="AM2395">
        <v>1467</v>
      </c>
      <c r="AO2395">
        <v>60</v>
      </c>
      <c r="AQ2395" t="s">
        <v>11157</v>
      </c>
      <c r="AS2395" t="s">
        <v>11173</v>
      </c>
      <c r="AU2395">
        <v>21</v>
      </c>
      <c r="AW2395" t="s">
        <v>11189</v>
      </c>
      <c r="AZ2395" t="s">
        <v>11221</v>
      </c>
      <c r="BB2395" t="s">
        <v>11224</v>
      </c>
      <c r="BC2395" t="s">
        <v>11333</v>
      </c>
      <c r="BE2395" t="s">
        <v>13045</v>
      </c>
      <c r="BG2395" t="s">
        <v>14965</v>
      </c>
      <c r="BM2395" t="s">
        <v>15650</v>
      </c>
    </row>
    <row r="2396" spans="1:67">
      <c r="A2396" s="1">
        <f>HYPERLINK("https://lsnyc.legalserver.org/matter/dynamic-profile/view/1912639","19-1912639")</f>
        <v>0</v>
      </c>
      <c r="B2396" t="s">
        <v>153</v>
      </c>
      <c r="C2396" t="s">
        <v>247</v>
      </c>
      <c r="D2396" t="s">
        <v>599</v>
      </c>
      <c r="F2396" t="s">
        <v>2096</v>
      </c>
      <c r="G2396" t="s">
        <v>3149</v>
      </c>
      <c r="H2396" t="s">
        <v>5565</v>
      </c>
      <c r="I2396" t="s">
        <v>6422</v>
      </c>
      <c r="J2396" t="s">
        <v>7172</v>
      </c>
      <c r="K2396">
        <v>11691</v>
      </c>
      <c r="N2396" t="s">
        <v>7237</v>
      </c>
      <c r="O2396" t="s">
        <v>8753</v>
      </c>
      <c r="P2396">
        <v>2</v>
      </c>
      <c r="Q2396">
        <v>3</v>
      </c>
      <c r="R2396">
        <v>51.71</v>
      </c>
      <c r="U2396">
        <v>15600</v>
      </c>
      <c r="W2396">
        <v>0.3</v>
      </c>
      <c r="X2396" t="s">
        <v>599</v>
      </c>
      <c r="Y2396" t="s">
        <v>10870</v>
      </c>
      <c r="AA2396" t="s">
        <v>10974</v>
      </c>
      <c r="AB2396" t="s">
        <v>599</v>
      </c>
      <c r="AD2396" t="s">
        <v>11101</v>
      </c>
      <c r="AF2396" t="s">
        <v>11120</v>
      </c>
      <c r="AH2396" t="s">
        <v>10975</v>
      </c>
      <c r="AJ2396" t="s">
        <v>11134</v>
      </c>
      <c r="AK2396" t="s">
        <v>7225</v>
      </c>
      <c r="AM2396">
        <v>819</v>
      </c>
      <c r="AO2396">
        <v>43</v>
      </c>
      <c r="AQ2396" t="s">
        <v>11157</v>
      </c>
      <c r="AS2396" t="s">
        <v>11173</v>
      </c>
      <c r="AU2396">
        <v>15</v>
      </c>
      <c r="AW2396" t="s">
        <v>11189</v>
      </c>
      <c r="BA2396" t="s">
        <v>11222</v>
      </c>
      <c r="BE2396" t="s">
        <v>13010</v>
      </c>
      <c r="BF2396" t="s">
        <v>14364</v>
      </c>
      <c r="BM2396" t="s">
        <v>15650</v>
      </c>
    </row>
    <row r="2397" spans="1:67">
      <c r="A2397" s="1">
        <f>HYPERLINK("https://lsnyc.legalserver.org/matter/dynamic-profile/view/1895829","19-1895829")</f>
        <v>0</v>
      </c>
      <c r="B2397" t="s">
        <v>153</v>
      </c>
      <c r="C2397" t="s">
        <v>247</v>
      </c>
      <c r="D2397" t="s">
        <v>557</v>
      </c>
      <c r="F2397" t="s">
        <v>2119</v>
      </c>
      <c r="G2397" t="s">
        <v>3915</v>
      </c>
      <c r="H2397" t="s">
        <v>5565</v>
      </c>
      <c r="I2397" t="s">
        <v>6857</v>
      </c>
      <c r="J2397" t="s">
        <v>7172</v>
      </c>
      <c r="K2397">
        <v>11691</v>
      </c>
      <c r="N2397" t="s">
        <v>7237</v>
      </c>
      <c r="O2397" t="s">
        <v>8791</v>
      </c>
      <c r="P2397">
        <v>1</v>
      </c>
      <c r="Q2397">
        <v>0</v>
      </c>
      <c r="R2397">
        <v>91.27</v>
      </c>
      <c r="U2397">
        <v>11400</v>
      </c>
      <c r="W2397">
        <v>0</v>
      </c>
      <c r="Y2397" t="s">
        <v>10939</v>
      </c>
      <c r="AA2397" t="s">
        <v>10974</v>
      </c>
      <c r="AB2397" t="s">
        <v>557</v>
      </c>
      <c r="AD2397" t="s">
        <v>11090</v>
      </c>
      <c r="AF2397" t="s">
        <v>10384</v>
      </c>
      <c r="AH2397" t="s">
        <v>10974</v>
      </c>
      <c r="AJ2397" t="s">
        <v>11134</v>
      </c>
      <c r="AK2397" t="s">
        <v>7225</v>
      </c>
      <c r="AM2397">
        <v>675</v>
      </c>
      <c r="AO2397">
        <v>43</v>
      </c>
      <c r="AQ2397" t="s">
        <v>11157</v>
      </c>
      <c r="AS2397" t="s">
        <v>11173</v>
      </c>
      <c r="AU2397">
        <v>8</v>
      </c>
      <c r="AW2397" t="s">
        <v>11187</v>
      </c>
      <c r="BA2397" t="s">
        <v>11222</v>
      </c>
      <c r="BB2397" t="s">
        <v>11224</v>
      </c>
      <c r="BC2397" t="s">
        <v>11236</v>
      </c>
      <c r="BE2397" t="s">
        <v>13046</v>
      </c>
      <c r="BF2397" t="s">
        <v>14364</v>
      </c>
      <c r="BM2397" t="s">
        <v>15650</v>
      </c>
    </row>
    <row r="2398" spans="1:67">
      <c r="A2398" s="1">
        <f>HYPERLINK("https://lsnyc.legalserver.org/matter/dynamic-profile/view/1860451","18-1860451")</f>
        <v>0</v>
      </c>
      <c r="B2398" t="s">
        <v>153</v>
      </c>
      <c r="C2398" t="s">
        <v>247</v>
      </c>
      <c r="D2398" t="s">
        <v>825</v>
      </c>
      <c r="F2398" t="s">
        <v>2118</v>
      </c>
      <c r="G2398" t="s">
        <v>2886</v>
      </c>
      <c r="H2398" t="s">
        <v>5567</v>
      </c>
      <c r="I2398" t="s">
        <v>6856</v>
      </c>
      <c r="J2398" t="s">
        <v>7177</v>
      </c>
      <c r="K2398">
        <v>11432</v>
      </c>
      <c r="N2398" t="s">
        <v>7238</v>
      </c>
      <c r="O2398" t="s">
        <v>8790</v>
      </c>
      <c r="P2398">
        <v>3</v>
      </c>
      <c r="Q2398">
        <v>1</v>
      </c>
      <c r="R2398">
        <v>121.95</v>
      </c>
      <c r="S2398" t="s">
        <v>10263</v>
      </c>
      <c r="U2398">
        <v>30000</v>
      </c>
      <c r="W2398">
        <v>0.2</v>
      </c>
      <c r="X2398" t="s">
        <v>672</v>
      </c>
      <c r="Y2398" t="s">
        <v>202</v>
      </c>
      <c r="AA2398" t="s">
        <v>10974</v>
      </c>
      <c r="AB2398" t="s">
        <v>11046</v>
      </c>
      <c r="AD2398" t="s">
        <v>11096</v>
      </c>
      <c r="AF2398" t="s">
        <v>11122</v>
      </c>
      <c r="AH2398" t="s">
        <v>10974</v>
      </c>
      <c r="AJ2398" t="s">
        <v>11129</v>
      </c>
      <c r="AK2398" t="s">
        <v>7225</v>
      </c>
      <c r="AM2398">
        <v>1467</v>
      </c>
      <c r="AO2398">
        <v>60</v>
      </c>
      <c r="AQ2398" t="s">
        <v>11157</v>
      </c>
      <c r="AS2398" t="s">
        <v>11173</v>
      </c>
      <c r="AU2398">
        <v>21</v>
      </c>
      <c r="AW2398" t="s">
        <v>11189</v>
      </c>
      <c r="AZ2398" t="s">
        <v>11221</v>
      </c>
      <c r="BC2398" t="s">
        <v>11228</v>
      </c>
      <c r="BE2398" t="s">
        <v>13045</v>
      </c>
      <c r="BG2398" t="s">
        <v>14964</v>
      </c>
      <c r="BM2398" t="s">
        <v>15650</v>
      </c>
    </row>
    <row r="2399" spans="1:67">
      <c r="A2399" s="1">
        <f>HYPERLINK("https://lsnyc.legalserver.org/matter/dynamic-profile/view/1878021","18-1878021")</f>
        <v>0</v>
      </c>
      <c r="B2399" t="s">
        <v>153</v>
      </c>
      <c r="C2399" t="s">
        <v>247</v>
      </c>
      <c r="D2399" t="s">
        <v>556</v>
      </c>
      <c r="F2399" t="s">
        <v>2120</v>
      </c>
      <c r="G2399" t="s">
        <v>3837</v>
      </c>
      <c r="H2399" t="s">
        <v>5585</v>
      </c>
      <c r="I2399">
        <v>807</v>
      </c>
      <c r="J2399" t="s">
        <v>7194</v>
      </c>
      <c r="K2399">
        <v>11692</v>
      </c>
      <c r="N2399" t="s">
        <v>7237</v>
      </c>
      <c r="O2399" t="s">
        <v>8792</v>
      </c>
      <c r="P2399">
        <v>1</v>
      </c>
      <c r="Q2399">
        <v>3</v>
      </c>
      <c r="R2399">
        <v>127.49</v>
      </c>
      <c r="U2399">
        <v>32000</v>
      </c>
      <c r="W2399">
        <v>6.75</v>
      </c>
      <c r="X2399" t="s">
        <v>10836</v>
      </c>
      <c r="Y2399" t="s">
        <v>10870</v>
      </c>
      <c r="AA2399" t="s">
        <v>10974</v>
      </c>
      <c r="AB2399" t="s">
        <v>556</v>
      </c>
      <c r="AD2399" t="s">
        <v>11082</v>
      </c>
      <c r="AF2399" t="s">
        <v>11118</v>
      </c>
      <c r="AH2399" t="s">
        <v>10975</v>
      </c>
      <c r="AJ2399" t="s">
        <v>11138</v>
      </c>
      <c r="AK2399" t="s">
        <v>7225</v>
      </c>
      <c r="AM2399">
        <v>1650</v>
      </c>
      <c r="AO2399">
        <v>103</v>
      </c>
      <c r="AQ2399" t="s">
        <v>11157</v>
      </c>
      <c r="AS2399" t="s">
        <v>11178</v>
      </c>
      <c r="AU2399">
        <v>1</v>
      </c>
      <c r="AW2399" t="s">
        <v>11187</v>
      </c>
      <c r="AY2399" t="s">
        <v>11216</v>
      </c>
      <c r="AZ2399" t="s">
        <v>11221</v>
      </c>
      <c r="BC2399" t="s">
        <v>11425</v>
      </c>
      <c r="BE2399" t="s">
        <v>13047</v>
      </c>
      <c r="BG2399" t="s">
        <v>14982</v>
      </c>
      <c r="BI2399" t="s">
        <v>15607</v>
      </c>
      <c r="BK2399" t="s">
        <v>15637</v>
      </c>
      <c r="BM2399" t="s">
        <v>15650</v>
      </c>
      <c r="BN2399" t="s">
        <v>15652</v>
      </c>
      <c r="BO2399" t="s">
        <v>15708</v>
      </c>
    </row>
    <row r="2400" spans="1:67">
      <c r="A2400" s="1">
        <f>HYPERLINK("https://lsnyc.legalserver.org/matter/dynamic-profile/view/1915221","19-1915221")</f>
        <v>0</v>
      </c>
      <c r="B2400" t="s">
        <v>153</v>
      </c>
      <c r="C2400" t="s">
        <v>247</v>
      </c>
      <c r="D2400" t="s">
        <v>426</v>
      </c>
      <c r="F2400" t="s">
        <v>1121</v>
      </c>
      <c r="G2400" t="s">
        <v>3079</v>
      </c>
      <c r="H2400" t="s">
        <v>5565</v>
      </c>
      <c r="I2400" t="s">
        <v>6423</v>
      </c>
      <c r="J2400" t="s">
        <v>7172</v>
      </c>
      <c r="K2400">
        <v>11691</v>
      </c>
      <c r="N2400" t="s">
        <v>7237</v>
      </c>
      <c r="O2400" t="s">
        <v>8760</v>
      </c>
      <c r="P2400">
        <v>3</v>
      </c>
      <c r="Q2400">
        <v>0</v>
      </c>
      <c r="R2400">
        <v>448.2</v>
      </c>
      <c r="U2400">
        <v>95600</v>
      </c>
      <c r="W2400">
        <v>0.5</v>
      </c>
      <c r="X2400" t="s">
        <v>426</v>
      </c>
      <c r="Y2400" t="s">
        <v>10870</v>
      </c>
      <c r="AA2400" t="s">
        <v>10974</v>
      </c>
      <c r="AB2400" t="s">
        <v>426</v>
      </c>
      <c r="AD2400" t="s">
        <v>11082</v>
      </c>
      <c r="AF2400" t="s">
        <v>11118</v>
      </c>
      <c r="AH2400" t="s">
        <v>10975</v>
      </c>
      <c r="AJ2400" t="s">
        <v>11134</v>
      </c>
      <c r="AK2400" t="s">
        <v>7225</v>
      </c>
      <c r="AM2400">
        <v>660</v>
      </c>
      <c r="AO2400">
        <v>48</v>
      </c>
      <c r="AQ2400" t="s">
        <v>11157</v>
      </c>
      <c r="AS2400" t="s">
        <v>11173</v>
      </c>
      <c r="AU2400">
        <v>10</v>
      </c>
      <c r="AW2400" t="s">
        <v>11187</v>
      </c>
      <c r="BA2400" t="s">
        <v>11222</v>
      </c>
      <c r="BE2400" t="s">
        <v>11236</v>
      </c>
      <c r="BF2400" t="s">
        <v>14364</v>
      </c>
      <c r="BM2400" t="s">
        <v>15650</v>
      </c>
    </row>
    <row r="2401" spans="1:65">
      <c r="A2401" s="1">
        <f>HYPERLINK("https://lsnyc.legalserver.org/matter/dynamic-profile/view/1862565","18-1862565")</f>
        <v>0</v>
      </c>
      <c r="B2401" t="s">
        <v>153</v>
      </c>
      <c r="C2401" t="s">
        <v>247</v>
      </c>
      <c r="D2401" t="s">
        <v>725</v>
      </c>
      <c r="F2401" t="s">
        <v>2121</v>
      </c>
      <c r="G2401" t="s">
        <v>3916</v>
      </c>
      <c r="H2401" t="s">
        <v>5191</v>
      </c>
      <c r="I2401" t="s">
        <v>6858</v>
      </c>
      <c r="J2401" t="s">
        <v>7177</v>
      </c>
      <c r="K2401">
        <v>11432</v>
      </c>
      <c r="N2401" t="s">
        <v>7237</v>
      </c>
      <c r="O2401" t="s">
        <v>8793</v>
      </c>
      <c r="P2401">
        <v>3</v>
      </c>
      <c r="Q2401">
        <v>2</v>
      </c>
      <c r="R2401">
        <v>163.15</v>
      </c>
      <c r="S2401" t="s">
        <v>10263</v>
      </c>
      <c r="U2401">
        <v>48000</v>
      </c>
      <c r="W2401">
        <v>0.2</v>
      </c>
      <c r="X2401" t="s">
        <v>672</v>
      </c>
      <c r="Y2401" t="s">
        <v>10870</v>
      </c>
      <c r="AA2401" t="s">
        <v>10974</v>
      </c>
      <c r="AB2401" t="s">
        <v>725</v>
      </c>
      <c r="AD2401" t="s">
        <v>11096</v>
      </c>
      <c r="AF2401" t="s">
        <v>11122</v>
      </c>
      <c r="AH2401" t="s">
        <v>10974</v>
      </c>
      <c r="AJ2401" t="s">
        <v>11131</v>
      </c>
      <c r="AK2401" t="s">
        <v>7225</v>
      </c>
      <c r="AM2401">
        <v>1904</v>
      </c>
      <c r="AO2401">
        <v>60</v>
      </c>
      <c r="AQ2401" t="s">
        <v>11157</v>
      </c>
      <c r="AS2401" t="s">
        <v>11173</v>
      </c>
      <c r="AU2401">
        <v>12</v>
      </c>
      <c r="AW2401" t="s">
        <v>11198</v>
      </c>
      <c r="AZ2401" t="s">
        <v>11221</v>
      </c>
      <c r="BC2401" t="s">
        <v>11228</v>
      </c>
      <c r="BE2401" t="s">
        <v>13048</v>
      </c>
      <c r="BG2401" t="s">
        <v>14965</v>
      </c>
      <c r="BM2401" t="s">
        <v>15650</v>
      </c>
    </row>
    <row r="2402" spans="1:65">
      <c r="A2402" s="1">
        <f>HYPERLINK("https://lsnyc.legalserver.org/matter/dynamic-profile/view/1912648","19-1912648")</f>
        <v>0</v>
      </c>
      <c r="B2402" t="s">
        <v>153</v>
      </c>
      <c r="C2402" t="s">
        <v>247</v>
      </c>
      <c r="D2402" t="s">
        <v>599</v>
      </c>
      <c r="F2402" t="s">
        <v>1155</v>
      </c>
      <c r="G2402" t="s">
        <v>3913</v>
      </c>
      <c r="H2402" t="s">
        <v>5565</v>
      </c>
      <c r="I2402" t="s">
        <v>6405</v>
      </c>
      <c r="J2402" t="s">
        <v>7172</v>
      </c>
      <c r="K2402">
        <v>11691</v>
      </c>
      <c r="N2402" t="s">
        <v>7237</v>
      </c>
      <c r="O2402" t="s">
        <v>8787</v>
      </c>
      <c r="P2402">
        <v>2</v>
      </c>
      <c r="Q2402">
        <v>0</v>
      </c>
      <c r="R2402">
        <v>215.26</v>
      </c>
      <c r="S2402" t="s">
        <v>297</v>
      </c>
      <c r="T2402" t="s">
        <v>10276</v>
      </c>
      <c r="U2402">
        <v>36400</v>
      </c>
      <c r="W2402">
        <v>0.5</v>
      </c>
      <c r="X2402" t="s">
        <v>266</v>
      </c>
      <c r="Y2402" t="s">
        <v>10870</v>
      </c>
      <c r="AA2402" t="s">
        <v>10974</v>
      </c>
      <c r="AB2402" t="s">
        <v>599</v>
      </c>
      <c r="AD2402" t="s">
        <v>11082</v>
      </c>
      <c r="AF2402" t="s">
        <v>11118</v>
      </c>
      <c r="AH2402" t="s">
        <v>10974</v>
      </c>
      <c r="AJ2402" t="s">
        <v>11134</v>
      </c>
      <c r="AK2402" t="s">
        <v>7225</v>
      </c>
      <c r="AM2402">
        <v>637</v>
      </c>
      <c r="AO2402">
        <v>43</v>
      </c>
      <c r="AQ2402" t="s">
        <v>11157</v>
      </c>
      <c r="AS2402" t="s">
        <v>11173</v>
      </c>
      <c r="AU2402">
        <v>17</v>
      </c>
      <c r="AW2402" t="s">
        <v>11189</v>
      </c>
      <c r="AY2402" t="s">
        <v>11213</v>
      </c>
      <c r="BA2402" t="s">
        <v>11222</v>
      </c>
      <c r="BE2402" t="s">
        <v>13039</v>
      </c>
      <c r="BF2402" t="s">
        <v>14364</v>
      </c>
      <c r="BK2402" t="s">
        <v>11104</v>
      </c>
      <c r="BM2402" t="s">
        <v>15650</v>
      </c>
    </row>
    <row r="2403" spans="1:65">
      <c r="A2403" s="1">
        <f>HYPERLINK("https://lsnyc.legalserver.org/matter/dynamic-profile/view/1862573","18-1862573")</f>
        <v>0</v>
      </c>
      <c r="B2403" t="s">
        <v>153</v>
      </c>
      <c r="C2403" t="s">
        <v>247</v>
      </c>
      <c r="D2403" t="s">
        <v>725</v>
      </c>
      <c r="F2403" t="s">
        <v>2121</v>
      </c>
      <c r="G2403" t="s">
        <v>3916</v>
      </c>
      <c r="H2403" t="s">
        <v>5191</v>
      </c>
      <c r="I2403" t="s">
        <v>6858</v>
      </c>
      <c r="J2403" t="s">
        <v>7177</v>
      </c>
      <c r="K2403">
        <v>11432</v>
      </c>
      <c r="N2403" t="s">
        <v>7237</v>
      </c>
      <c r="O2403" t="s">
        <v>8793</v>
      </c>
      <c r="P2403">
        <v>3</v>
      </c>
      <c r="Q2403">
        <v>2</v>
      </c>
      <c r="R2403">
        <v>163.15</v>
      </c>
      <c r="S2403" t="s">
        <v>10263</v>
      </c>
      <c r="U2403">
        <v>48000</v>
      </c>
      <c r="W2403">
        <v>0.2</v>
      </c>
      <c r="X2403" t="s">
        <v>672</v>
      </c>
      <c r="Y2403" t="s">
        <v>10870</v>
      </c>
      <c r="AA2403" t="s">
        <v>10974</v>
      </c>
      <c r="AB2403" t="s">
        <v>725</v>
      </c>
      <c r="AD2403" t="s">
        <v>11096</v>
      </c>
      <c r="AF2403" t="s">
        <v>11122</v>
      </c>
      <c r="AH2403" t="s">
        <v>10974</v>
      </c>
      <c r="AJ2403" t="s">
        <v>11131</v>
      </c>
      <c r="AK2403" t="s">
        <v>7225</v>
      </c>
      <c r="AM2403">
        <v>1904</v>
      </c>
      <c r="AO2403">
        <v>60</v>
      </c>
      <c r="AQ2403" t="s">
        <v>11164</v>
      </c>
      <c r="AS2403" t="s">
        <v>11173</v>
      </c>
      <c r="AU2403">
        <v>12</v>
      </c>
      <c r="AW2403" t="s">
        <v>11198</v>
      </c>
      <c r="AZ2403" t="s">
        <v>11221</v>
      </c>
      <c r="BC2403" t="s">
        <v>11228</v>
      </c>
      <c r="BE2403" t="s">
        <v>13048</v>
      </c>
      <c r="BG2403" t="s">
        <v>14964</v>
      </c>
      <c r="BM2403" t="s">
        <v>15650</v>
      </c>
    </row>
    <row r="2404" spans="1:65">
      <c r="A2404" s="1">
        <f>HYPERLINK("https://lsnyc.legalserver.org/matter/dynamic-profile/view/1860305","18-1860305")</f>
        <v>0</v>
      </c>
      <c r="B2404" t="s">
        <v>153</v>
      </c>
      <c r="C2404" t="s">
        <v>247</v>
      </c>
      <c r="D2404" t="s">
        <v>871</v>
      </c>
      <c r="F2404" t="s">
        <v>2122</v>
      </c>
      <c r="G2404" t="s">
        <v>2938</v>
      </c>
      <c r="H2404" t="s">
        <v>5191</v>
      </c>
      <c r="I2404" t="s">
        <v>6859</v>
      </c>
      <c r="J2404" t="s">
        <v>7177</v>
      </c>
      <c r="K2404">
        <v>11432</v>
      </c>
      <c r="N2404" t="s">
        <v>7238</v>
      </c>
      <c r="O2404" t="s">
        <v>8794</v>
      </c>
      <c r="P2404">
        <v>2</v>
      </c>
      <c r="Q2404">
        <v>4</v>
      </c>
      <c r="R2404">
        <v>106.19</v>
      </c>
      <c r="S2404" t="s">
        <v>10263</v>
      </c>
      <c r="U2404">
        <v>35000</v>
      </c>
      <c r="W2404">
        <v>0.2</v>
      </c>
      <c r="X2404" t="s">
        <v>672</v>
      </c>
      <c r="Y2404" t="s">
        <v>202</v>
      </c>
      <c r="AA2404" t="s">
        <v>10974</v>
      </c>
      <c r="AB2404" t="s">
        <v>11046</v>
      </c>
      <c r="AD2404" t="s">
        <v>11096</v>
      </c>
      <c r="AF2404" t="s">
        <v>11122</v>
      </c>
      <c r="AH2404" t="s">
        <v>10974</v>
      </c>
      <c r="AJ2404" t="s">
        <v>11131</v>
      </c>
      <c r="AK2404" t="s">
        <v>7225</v>
      </c>
      <c r="AL2404" t="s">
        <v>11150</v>
      </c>
      <c r="AM2404">
        <v>0</v>
      </c>
      <c r="AO2404">
        <v>60</v>
      </c>
      <c r="AQ2404" t="s">
        <v>11157</v>
      </c>
      <c r="AS2404" t="s">
        <v>11173</v>
      </c>
      <c r="AT2404" t="s">
        <v>11184</v>
      </c>
      <c r="AU2404">
        <v>0</v>
      </c>
      <c r="AW2404" t="s">
        <v>11189</v>
      </c>
      <c r="AZ2404" t="s">
        <v>11221</v>
      </c>
      <c r="BC2404" t="s">
        <v>11228</v>
      </c>
      <c r="BE2404" t="s">
        <v>13049</v>
      </c>
      <c r="BG2404" t="s">
        <v>14964</v>
      </c>
      <c r="BM2404" t="s">
        <v>15650</v>
      </c>
    </row>
    <row r="2405" spans="1:65">
      <c r="A2405" s="1">
        <f>HYPERLINK("https://lsnyc.legalserver.org/matter/dynamic-profile/view/1860226","18-1860226")</f>
        <v>0</v>
      </c>
      <c r="B2405" t="s">
        <v>153</v>
      </c>
      <c r="C2405" t="s">
        <v>247</v>
      </c>
      <c r="D2405" t="s">
        <v>871</v>
      </c>
      <c r="F2405" t="s">
        <v>2101</v>
      </c>
      <c r="G2405" t="s">
        <v>3896</v>
      </c>
      <c r="H2405" t="s">
        <v>5567</v>
      </c>
      <c r="I2405" t="s">
        <v>6440</v>
      </c>
      <c r="J2405" t="s">
        <v>7177</v>
      </c>
      <c r="K2405">
        <v>11432</v>
      </c>
      <c r="N2405" t="s">
        <v>7238</v>
      </c>
      <c r="O2405" t="s">
        <v>8766</v>
      </c>
      <c r="P2405">
        <v>2</v>
      </c>
      <c r="Q2405">
        <v>0</v>
      </c>
      <c r="R2405">
        <v>55.93</v>
      </c>
      <c r="S2405" t="s">
        <v>10263</v>
      </c>
      <c r="U2405">
        <v>9083.52</v>
      </c>
      <c r="W2405">
        <v>0.2</v>
      </c>
      <c r="X2405" t="s">
        <v>672</v>
      </c>
      <c r="Y2405" t="s">
        <v>202</v>
      </c>
      <c r="AA2405" t="s">
        <v>10974</v>
      </c>
      <c r="AB2405" t="s">
        <v>11046</v>
      </c>
      <c r="AD2405" t="s">
        <v>11096</v>
      </c>
      <c r="AF2405" t="s">
        <v>11122</v>
      </c>
      <c r="AH2405" t="s">
        <v>10974</v>
      </c>
      <c r="AJ2405" t="s">
        <v>11131</v>
      </c>
      <c r="AK2405" t="s">
        <v>7225</v>
      </c>
      <c r="AM2405">
        <v>1600</v>
      </c>
      <c r="AO2405">
        <v>60</v>
      </c>
      <c r="AQ2405" t="s">
        <v>11157</v>
      </c>
      <c r="AS2405" t="s">
        <v>11173</v>
      </c>
      <c r="AU2405">
        <v>31</v>
      </c>
      <c r="AW2405" t="s">
        <v>11187</v>
      </c>
      <c r="AZ2405" t="s">
        <v>11221</v>
      </c>
      <c r="BC2405" t="s">
        <v>11228</v>
      </c>
      <c r="BE2405" t="s">
        <v>13020</v>
      </c>
      <c r="BG2405" t="s">
        <v>14965</v>
      </c>
      <c r="BM2405" t="s">
        <v>15650</v>
      </c>
    </row>
    <row r="2406" spans="1:65">
      <c r="A2406" s="1">
        <f>HYPERLINK("https://lsnyc.legalserver.org/matter/dynamic-profile/view/1860363","18-1860363")</f>
        <v>0</v>
      </c>
      <c r="B2406" t="s">
        <v>153</v>
      </c>
      <c r="C2406" t="s">
        <v>247</v>
      </c>
      <c r="D2406" t="s">
        <v>871</v>
      </c>
      <c r="F2406" t="s">
        <v>1644</v>
      </c>
      <c r="G2406" t="s">
        <v>3407</v>
      </c>
      <c r="H2406" t="s">
        <v>5191</v>
      </c>
      <c r="I2406" t="s">
        <v>6418</v>
      </c>
      <c r="J2406" t="s">
        <v>7177</v>
      </c>
      <c r="K2406">
        <v>11432</v>
      </c>
      <c r="N2406" t="s">
        <v>7238</v>
      </c>
      <c r="O2406" t="s">
        <v>7977</v>
      </c>
      <c r="P2406">
        <v>4</v>
      </c>
      <c r="Q2406">
        <v>0</v>
      </c>
      <c r="R2406">
        <v>215.14</v>
      </c>
      <c r="S2406" t="s">
        <v>10268</v>
      </c>
      <c r="U2406">
        <v>54000</v>
      </c>
      <c r="W2406">
        <v>0.7</v>
      </c>
      <c r="X2406" t="s">
        <v>672</v>
      </c>
      <c r="Y2406" t="s">
        <v>202</v>
      </c>
      <c r="AA2406" t="s">
        <v>10974</v>
      </c>
      <c r="AB2406" t="s">
        <v>11046</v>
      </c>
      <c r="AD2406" t="s">
        <v>11096</v>
      </c>
      <c r="AF2406" t="s">
        <v>11122</v>
      </c>
      <c r="AH2406" t="s">
        <v>10974</v>
      </c>
      <c r="AJ2406" t="s">
        <v>11129</v>
      </c>
      <c r="AK2406" t="s">
        <v>7225</v>
      </c>
      <c r="AM2406">
        <v>2000.23</v>
      </c>
      <c r="AO2406">
        <v>60</v>
      </c>
      <c r="AQ2406" t="s">
        <v>11157</v>
      </c>
      <c r="AS2406" t="s">
        <v>11173</v>
      </c>
      <c r="AU2406">
        <v>13</v>
      </c>
      <c r="AW2406" t="s">
        <v>11187</v>
      </c>
      <c r="AZ2406" t="s">
        <v>11221</v>
      </c>
      <c r="BC2406" t="s">
        <v>11228</v>
      </c>
      <c r="BE2406" t="s">
        <v>12304</v>
      </c>
      <c r="BG2406" t="s">
        <v>14965</v>
      </c>
      <c r="BM2406" t="s">
        <v>15650</v>
      </c>
    </row>
    <row r="2407" spans="1:65">
      <c r="A2407" s="1">
        <f>HYPERLINK("https://lsnyc.legalserver.org/matter/dynamic-profile/view/1860216","18-1860216")</f>
        <v>0</v>
      </c>
      <c r="B2407" t="s">
        <v>153</v>
      </c>
      <c r="C2407" t="s">
        <v>247</v>
      </c>
      <c r="D2407" t="s">
        <v>852</v>
      </c>
      <c r="F2407" t="s">
        <v>2122</v>
      </c>
      <c r="G2407" t="s">
        <v>2938</v>
      </c>
      <c r="H2407" t="s">
        <v>5191</v>
      </c>
      <c r="I2407" t="s">
        <v>6859</v>
      </c>
      <c r="J2407" t="s">
        <v>7177</v>
      </c>
      <c r="K2407">
        <v>11432</v>
      </c>
      <c r="N2407" t="s">
        <v>7238</v>
      </c>
      <c r="O2407" t="s">
        <v>8794</v>
      </c>
      <c r="P2407">
        <v>2</v>
      </c>
      <c r="Q2407">
        <v>4</v>
      </c>
      <c r="R2407">
        <v>106.19</v>
      </c>
      <c r="S2407" t="s">
        <v>10263</v>
      </c>
      <c r="U2407">
        <v>35000</v>
      </c>
      <c r="W2407">
        <v>0.2</v>
      </c>
      <c r="X2407" t="s">
        <v>672</v>
      </c>
      <c r="Y2407" t="s">
        <v>202</v>
      </c>
      <c r="AA2407" t="s">
        <v>10974</v>
      </c>
      <c r="AB2407" t="s">
        <v>11046</v>
      </c>
      <c r="AD2407" t="s">
        <v>11096</v>
      </c>
      <c r="AF2407" t="s">
        <v>11122</v>
      </c>
      <c r="AH2407" t="s">
        <v>10974</v>
      </c>
      <c r="AJ2407" t="s">
        <v>11131</v>
      </c>
      <c r="AK2407" t="s">
        <v>7225</v>
      </c>
      <c r="AL2407" t="s">
        <v>11150</v>
      </c>
      <c r="AM2407">
        <v>0</v>
      </c>
      <c r="AO2407">
        <v>60</v>
      </c>
      <c r="AQ2407" t="s">
        <v>11157</v>
      </c>
      <c r="AS2407" t="s">
        <v>11173</v>
      </c>
      <c r="AT2407" t="s">
        <v>11184</v>
      </c>
      <c r="AU2407">
        <v>0</v>
      </c>
      <c r="AW2407" t="s">
        <v>11189</v>
      </c>
      <c r="AZ2407" t="s">
        <v>11221</v>
      </c>
      <c r="BC2407" t="s">
        <v>11228</v>
      </c>
      <c r="BE2407" t="s">
        <v>13049</v>
      </c>
      <c r="BG2407" t="s">
        <v>14965</v>
      </c>
      <c r="BM2407" t="s">
        <v>15650</v>
      </c>
    </row>
    <row r="2408" spans="1:65">
      <c r="A2408" s="1">
        <f>HYPERLINK("https://lsnyc.legalserver.org/matter/dynamic-profile/view/1861995","18-1861995")</f>
        <v>0</v>
      </c>
      <c r="B2408" t="s">
        <v>153</v>
      </c>
      <c r="C2408" t="s">
        <v>247</v>
      </c>
      <c r="D2408" t="s">
        <v>308</v>
      </c>
      <c r="F2408" t="s">
        <v>1342</v>
      </c>
      <c r="G2408" t="s">
        <v>1149</v>
      </c>
      <c r="H2408" t="s">
        <v>5191</v>
      </c>
      <c r="I2408" t="s">
        <v>6860</v>
      </c>
      <c r="J2408" t="s">
        <v>7177</v>
      </c>
      <c r="K2408">
        <v>11432</v>
      </c>
      <c r="N2408" t="s">
        <v>7237</v>
      </c>
      <c r="O2408" t="s">
        <v>8563</v>
      </c>
      <c r="P2408">
        <v>3</v>
      </c>
      <c r="Q2408">
        <v>1</v>
      </c>
      <c r="R2408">
        <v>72.86</v>
      </c>
      <c r="S2408" t="s">
        <v>10263</v>
      </c>
      <c r="U2408">
        <v>18288</v>
      </c>
      <c r="W2408">
        <v>0.2</v>
      </c>
      <c r="X2408" t="s">
        <v>672</v>
      </c>
      <c r="Y2408" t="s">
        <v>10870</v>
      </c>
      <c r="AA2408" t="s">
        <v>10974</v>
      </c>
      <c r="AB2408" t="s">
        <v>308</v>
      </c>
      <c r="AD2408" t="s">
        <v>11096</v>
      </c>
      <c r="AF2408" t="s">
        <v>11122</v>
      </c>
      <c r="AH2408" t="s">
        <v>10974</v>
      </c>
      <c r="AJ2408" t="s">
        <v>11131</v>
      </c>
      <c r="AK2408" t="s">
        <v>7225</v>
      </c>
      <c r="AM2408">
        <v>887</v>
      </c>
      <c r="AO2408">
        <v>60</v>
      </c>
      <c r="AQ2408" t="s">
        <v>11157</v>
      </c>
      <c r="AS2408" t="s">
        <v>11173</v>
      </c>
      <c r="AU2408">
        <v>35</v>
      </c>
      <c r="AW2408" t="s">
        <v>11189</v>
      </c>
      <c r="AZ2408" t="s">
        <v>11221</v>
      </c>
      <c r="BC2408" t="s">
        <v>11228</v>
      </c>
      <c r="BE2408" t="s">
        <v>13050</v>
      </c>
      <c r="BG2408" t="s">
        <v>14965</v>
      </c>
      <c r="BM2408" t="s">
        <v>15650</v>
      </c>
    </row>
    <row r="2409" spans="1:65">
      <c r="A2409" s="1">
        <f>HYPERLINK("https://lsnyc.legalserver.org/matter/dynamic-profile/view/1860466","18-1860466")</f>
        <v>0</v>
      </c>
      <c r="B2409" t="s">
        <v>153</v>
      </c>
      <c r="C2409" t="s">
        <v>247</v>
      </c>
      <c r="D2409" t="s">
        <v>825</v>
      </c>
      <c r="F2409" t="s">
        <v>1936</v>
      </c>
      <c r="G2409" t="s">
        <v>3917</v>
      </c>
      <c r="H2409" t="s">
        <v>5191</v>
      </c>
      <c r="I2409" t="s">
        <v>6608</v>
      </c>
      <c r="J2409" t="s">
        <v>7177</v>
      </c>
      <c r="K2409">
        <v>11432</v>
      </c>
      <c r="N2409" t="s">
        <v>7238</v>
      </c>
      <c r="O2409" t="s">
        <v>7782</v>
      </c>
      <c r="P2409">
        <v>2</v>
      </c>
      <c r="Q2409">
        <v>3</v>
      </c>
      <c r="R2409">
        <v>105.37</v>
      </c>
      <c r="S2409" t="s">
        <v>10263</v>
      </c>
      <c r="U2409">
        <v>31000</v>
      </c>
      <c r="W2409">
        <v>0.2</v>
      </c>
      <c r="X2409" t="s">
        <v>672</v>
      </c>
      <c r="Y2409" t="s">
        <v>202</v>
      </c>
      <c r="AA2409" t="s">
        <v>10974</v>
      </c>
      <c r="AB2409" t="s">
        <v>11046</v>
      </c>
      <c r="AD2409" t="s">
        <v>11096</v>
      </c>
      <c r="AF2409" t="s">
        <v>11122</v>
      </c>
      <c r="AH2409" t="s">
        <v>10974</v>
      </c>
      <c r="AJ2409" t="s">
        <v>11129</v>
      </c>
      <c r="AK2409" t="s">
        <v>7225</v>
      </c>
      <c r="AM2409">
        <v>1673.53</v>
      </c>
      <c r="AO2409">
        <v>60</v>
      </c>
      <c r="AQ2409" t="s">
        <v>11157</v>
      </c>
      <c r="AS2409" t="s">
        <v>11173</v>
      </c>
      <c r="AU2409">
        <v>20</v>
      </c>
      <c r="AW2409" t="s">
        <v>11189</v>
      </c>
      <c r="AZ2409" t="s">
        <v>11221</v>
      </c>
      <c r="BC2409" t="s">
        <v>11228</v>
      </c>
      <c r="BE2409" t="s">
        <v>13051</v>
      </c>
      <c r="BG2409" t="s">
        <v>14965</v>
      </c>
      <c r="BM2409" t="s">
        <v>15650</v>
      </c>
    </row>
    <row r="2410" spans="1:65">
      <c r="A2410" s="1">
        <f>HYPERLINK("https://lsnyc.legalserver.org/matter/dynamic-profile/view/1895808","19-1895808")</f>
        <v>0</v>
      </c>
      <c r="B2410" t="s">
        <v>153</v>
      </c>
      <c r="C2410" t="s">
        <v>247</v>
      </c>
      <c r="D2410" t="s">
        <v>557</v>
      </c>
      <c r="F2410" t="s">
        <v>1759</v>
      </c>
      <c r="G2410" t="s">
        <v>3918</v>
      </c>
      <c r="H2410" t="s">
        <v>5586</v>
      </c>
      <c r="I2410">
        <v>4</v>
      </c>
      <c r="J2410" t="s">
        <v>7172</v>
      </c>
      <c r="K2410">
        <v>11691</v>
      </c>
      <c r="N2410" t="s">
        <v>7237</v>
      </c>
      <c r="O2410" t="s">
        <v>8795</v>
      </c>
      <c r="P2410">
        <v>2</v>
      </c>
      <c r="Q2410">
        <v>0</v>
      </c>
      <c r="R2410">
        <v>166.77</v>
      </c>
      <c r="U2410">
        <v>28200</v>
      </c>
      <c r="W2410">
        <v>0</v>
      </c>
      <c r="Y2410" t="s">
        <v>10939</v>
      </c>
      <c r="AA2410" t="s">
        <v>10974</v>
      </c>
      <c r="AB2410" t="s">
        <v>557</v>
      </c>
      <c r="AD2410" t="s">
        <v>11090</v>
      </c>
      <c r="AF2410" t="s">
        <v>10384</v>
      </c>
      <c r="AH2410" t="s">
        <v>10974</v>
      </c>
      <c r="AJ2410" t="s">
        <v>11134</v>
      </c>
      <c r="AK2410" t="s">
        <v>7225</v>
      </c>
      <c r="AM2410">
        <v>475</v>
      </c>
      <c r="AO2410">
        <v>43</v>
      </c>
      <c r="AQ2410" t="s">
        <v>11157</v>
      </c>
      <c r="AS2410" t="s">
        <v>11173</v>
      </c>
      <c r="AU2410">
        <v>4</v>
      </c>
      <c r="AW2410" t="s">
        <v>11187</v>
      </c>
      <c r="AZ2410" t="s">
        <v>11221</v>
      </c>
      <c r="BB2410" t="s">
        <v>11224</v>
      </c>
      <c r="BC2410" t="s">
        <v>11236</v>
      </c>
      <c r="BE2410" t="s">
        <v>13052</v>
      </c>
      <c r="BF2410" t="s">
        <v>14364</v>
      </c>
      <c r="BM2410" t="s">
        <v>15650</v>
      </c>
    </row>
    <row r="2411" spans="1:65">
      <c r="A2411" s="1">
        <f>HYPERLINK("https://lsnyc.legalserver.org/matter/dynamic-profile/view/1862007","18-1862007")</f>
        <v>0</v>
      </c>
      <c r="B2411" t="s">
        <v>153</v>
      </c>
      <c r="C2411" t="s">
        <v>247</v>
      </c>
      <c r="D2411" t="s">
        <v>308</v>
      </c>
      <c r="F2411" t="s">
        <v>1342</v>
      </c>
      <c r="G2411" t="s">
        <v>1149</v>
      </c>
      <c r="H2411" t="s">
        <v>5191</v>
      </c>
      <c r="I2411" t="s">
        <v>6860</v>
      </c>
      <c r="J2411" t="s">
        <v>7177</v>
      </c>
      <c r="K2411">
        <v>11432</v>
      </c>
      <c r="N2411" t="s">
        <v>7237</v>
      </c>
      <c r="O2411" t="s">
        <v>8563</v>
      </c>
      <c r="P2411">
        <v>3</v>
      </c>
      <c r="Q2411">
        <v>1</v>
      </c>
      <c r="R2411">
        <v>72.86</v>
      </c>
      <c r="S2411" t="s">
        <v>10263</v>
      </c>
      <c r="U2411">
        <v>27288</v>
      </c>
      <c r="W2411">
        <v>0.2</v>
      </c>
      <c r="X2411" t="s">
        <v>672</v>
      </c>
      <c r="Y2411" t="s">
        <v>10870</v>
      </c>
      <c r="AA2411" t="s">
        <v>10974</v>
      </c>
      <c r="AB2411" t="s">
        <v>308</v>
      </c>
      <c r="AD2411" t="s">
        <v>11096</v>
      </c>
      <c r="AF2411" t="s">
        <v>11122</v>
      </c>
      <c r="AH2411" t="s">
        <v>10974</v>
      </c>
      <c r="AJ2411" t="s">
        <v>11131</v>
      </c>
      <c r="AK2411" t="s">
        <v>7225</v>
      </c>
      <c r="AM2411">
        <v>887</v>
      </c>
      <c r="AO2411">
        <v>60</v>
      </c>
      <c r="AQ2411" t="s">
        <v>11157</v>
      </c>
      <c r="AS2411" t="s">
        <v>11173</v>
      </c>
      <c r="AU2411">
        <v>35</v>
      </c>
      <c r="AW2411" t="s">
        <v>11189</v>
      </c>
      <c r="AZ2411" t="s">
        <v>11221</v>
      </c>
      <c r="BC2411" t="s">
        <v>11228</v>
      </c>
      <c r="BE2411" t="s">
        <v>13050</v>
      </c>
      <c r="BG2411" t="s">
        <v>14964</v>
      </c>
      <c r="BM2411" t="s">
        <v>15650</v>
      </c>
    </row>
    <row r="2412" spans="1:65">
      <c r="A2412" s="1">
        <f>HYPERLINK("https://lsnyc.legalserver.org/matter/dynamic-profile/view/1896172","19-1896172")</f>
        <v>0</v>
      </c>
      <c r="B2412" t="s">
        <v>153</v>
      </c>
      <c r="C2412" t="s">
        <v>247</v>
      </c>
      <c r="D2412" t="s">
        <v>445</v>
      </c>
      <c r="F2412" t="s">
        <v>1142</v>
      </c>
      <c r="G2412" t="s">
        <v>3891</v>
      </c>
      <c r="H2412" t="s">
        <v>5565</v>
      </c>
      <c r="I2412" t="s">
        <v>6861</v>
      </c>
      <c r="J2412" t="s">
        <v>7172</v>
      </c>
      <c r="K2412">
        <v>11691</v>
      </c>
      <c r="N2412" t="s">
        <v>7237</v>
      </c>
      <c r="O2412" t="s">
        <v>8757</v>
      </c>
      <c r="P2412">
        <v>2</v>
      </c>
      <c r="Q2412">
        <v>0</v>
      </c>
      <c r="R2412">
        <v>141.45</v>
      </c>
      <c r="U2412">
        <v>23920</v>
      </c>
      <c r="W2412">
        <v>0</v>
      </c>
      <c r="Y2412" t="s">
        <v>10939</v>
      </c>
      <c r="AA2412" t="s">
        <v>10974</v>
      </c>
      <c r="AB2412" t="s">
        <v>445</v>
      </c>
      <c r="AD2412" t="s">
        <v>11090</v>
      </c>
      <c r="AF2412" t="s">
        <v>10384</v>
      </c>
      <c r="AH2412" t="s">
        <v>10974</v>
      </c>
      <c r="AJ2412" t="s">
        <v>11134</v>
      </c>
      <c r="AK2412" t="s">
        <v>7225</v>
      </c>
      <c r="AM2412">
        <v>675</v>
      </c>
      <c r="AO2412">
        <v>43</v>
      </c>
      <c r="AQ2412" t="s">
        <v>11157</v>
      </c>
      <c r="AS2412" t="s">
        <v>11173</v>
      </c>
      <c r="AU2412">
        <v>5</v>
      </c>
      <c r="AW2412" t="s">
        <v>11187</v>
      </c>
      <c r="AZ2412" t="s">
        <v>11221</v>
      </c>
      <c r="BB2412" t="s">
        <v>11224</v>
      </c>
      <c r="BC2412" t="s">
        <v>11236</v>
      </c>
      <c r="BE2412" t="s">
        <v>13012</v>
      </c>
      <c r="BF2412" t="s">
        <v>14364</v>
      </c>
      <c r="BM2412" t="s">
        <v>15650</v>
      </c>
    </row>
    <row r="2413" spans="1:65">
      <c r="A2413" s="1">
        <f>HYPERLINK("https://lsnyc.legalserver.org/matter/dynamic-profile/view/1898722","19-1898722")</f>
        <v>0</v>
      </c>
      <c r="B2413" t="s">
        <v>153</v>
      </c>
      <c r="C2413" t="s">
        <v>247</v>
      </c>
      <c r="D2413" t="s">
        <v>562</v>
      </c>
      <c r="F2413" t="s">
        <v>1122</v>
      </c>
      <c r="G2413" t="s">
        <v>2902</v>
      </c>
      <c r="H2413" t="s">
        <v>5587</v>
      </c>
      <c r="I2413" t="s">
        <v>6429</v>
      </c>
      <c r="J2413" t="s">
        <v>7184</v>
      </c>
      <c r="K2413">
        <v>11372</v>
      </c>
      <c r="N2413" t="s">
        <v>7237</v>
      </c>
      <c r="O2413" t="s">
        <v>8796</v>
      </c>
      <c r="P2413">
        <v>3</v>
      </c>
      <c r="Q2413">
        <v>0</v>
      </c>
      <c r="R2413">
        <v>57.83</v>
      </c>
      <c r="U2413">
        <v>12336</v>
      </c>
      <c r="W2413">
        <v>35.8</v>
      </c>
      <c r="X2413" t="s">
        <v>565</v>
      </c>
      <c r="Y2413" t="s">
        <v>10870</v>
      </c>
      <c r="AA2413" t="s">
        <v>10974</v>
      </c>
      <c r="AB2413" t="s">
        <v>562</v>
      </c>
      <c r="AD2413" t="s">
        <v>11082</v>
      </c>
      <c r="AF2413" t="s">
        <v>11118</v>
      </c>
      <c r="AH2413" t="s">
        <v>10975</v>
      </c>
      <c r="AJ2413" t="s">
        <v>11138</v>
      </c>
      <c r="AK2413" t="s">
        <v>7225</v>
      </c>
      <c r="AM2413">
        <v>1010.12</v>
      </c>
      <c r="AO2413">
        <v>57</v>
      </c>
      <c r="AQ2413" t="s">
        <v>11157</v>
      </c>
      <c r="AS2413" t="s">
        <v>11173</v>
      </c>
      <c r="AU2413">
        <v>25</v>
      </c>
      <c r="AW2413" t="s">
        <v>11189</v>
      </c>
      <c r="AY2413" t="s">
        <v>11213</v>
      </c>
      <c r="BA2413" t="s">
        <v>11222</v>
      </c>
      <c r="BB2413" t="s">
        <v>11224</v>
      </c>
      <c r="BC2413" t="s">
        <v>11236</v>
      </c>
      <c r="BE2413" t="s">
        <v>13053</v>
      </c>
      <c r="BG2413" t="s">
        <v>14983</v>
      </c>
      <c r="BM2413" t="s">
        <v>15650</v>
      </c>
    </row>
    <row r="2414" spans="1:65">
      <c r="A2414" s="1">
        <f>HYPERLINK("https://lsnyc.legalserver.org/matter/dynamic-profile/view/1912645","19-1912645")</f>
        <v>0</v>
      </c>
      <c r="B2414" t="s">
        <v>153</v>
      </c>
      <c r="C2414" t="s">
        <v>247</v>
      </c>
      <c r="D2414" t="s">
        <v>599</v>
      </c>
      <c r="F2414" t="s">
        <v>2123</v>
      </c>
      <c r="G2414" t="s">
        <v>3919</v>
      </c>
      <c r="H2414" t="s">
        <v>5565</v>
      </c>
      <c r="I2414" t="s">
        <v>6595</v>
      </c>
      <c r="J2414" t="s">
        <v>7172</v>
      </c>
      <c r="K2414">
        <v>11691</v>
      </c>
      <c r="N2414" t="s">
        <v>7237</v>
      </c>
      <c r="O2414" t="s">
        <v>8568</v>
      </c>
      <c r="P2414">
        <v>1</v>
      </c>
      <c r="Q2414">
        <v>0</v>
      </c>
      <c r="R2414">
        <v>0</v>
      </c>
      <c r="U2414">
        <v>0</v>
      </c>
      <c r="W2414">
        <v>0.3</v>
      </c>
      <c r="X2414" t="s">
        <v>599</v>
      </c>
      <c r="Y2414" t="s">
        <v>10870</v>
      </c>
      <c r="AA2414" t="s">
        <v>10974</v>
      </c>
      <c r="AB2414" t="s">
        <v>599</v>
      </c>
      <c r="AD2414" t="s">
        <v>11101</v>
      </c>
      <c r="AF2414" t="s">
        <v>11120</v>
      </c>
      <c r="AH2414" t="s">
        <v>10974</v>
      </c>
      <c r="AJ2414" t="s">
        <v>11134</v>
      </c>
      <c r="AK2414" t="s">
        <v>7225</v>
      </c>
      <c r="AM2414">
        <v>660</v>
      </c>
      <c r="AO2414">
        <v>43</v>
      </c>
      <c r="AQ2414" t="s">
        <v>11157</v>
      </c>
      <c r="AS2414" t="s">
        <v>11173</v>
      </c>
      <c r="AU2414">
        <v>8</v>
      </c>
      <c r="AW2414" t="s">
        <v>11187</v>
      </c>
      <c r="BA2414" t="s">
        <v>11222</v>
      </c>
      <c r="BE2414" t="s">
        <v>13054</v>
      </c>
      <c r="BF2414" t="s">
        <v>14364</v>
      </c>
      <c r="BM2414" t="s">
        <v>15650</v>
      </c>
    </row>
    <row r="2415" spans="1:65">
      <c r="A2415" s="1">
        <f>HYPERLINK("https://lsnyc.legalserver.org/matter/dynamic-profile/view/1912643","19-1912643")</f>
        <v>0</v>
      </c>
      <c r="B2415" t="s">
        <v>153</v>
      </c>
      <c r="C2415" t="s">
        <v>247</v>
      </c>
      <c r="D2415" t="s">
        <v>599</v>
      </c>
      <c r="F2415" t="s">
        <v>2123</v>
      </c>
      <c r="G2415" t="s">
        <v>3919</v>
      </c>
      <c r="H2415" t="s">
        <v>5565</v>
      </c>
      <c r="I2415" t="s">
        <v>6595</v>
      </c>
      <c r="J2415" t="s">
        <v>7172</v>
      </c>
      <c r="K2415">
        <v>11691</v>
      </c>
      <c r="N2415" t="s">
        <v>7237</v>
      </c>
      <c r="O2415" t="s">
        <v>8568</v>
      </c>
      <c r="P2415">
        <v>1</v>
      </c>
      <c r="Q2415">
        <v>0</v>
      </c>
      <c r="R2415">
        <v>0</v>
      </c>
      <c r="U2415">
        <v>0</v>
      </c>
      <c r="W2415">
        <v>0.3</v>
      </c>
      <c r="X2415" t="s">
        <v>599</v>
      </c>
      <c r="Y2415" t="s">
        <v>10870</v>
      </c>
      <c r="AA2415" t="s">
        <v>10974</v>
      </c>
      <c r="AB2415" t="s">
        <v>599</v>
      </c>
      <c r="AD2415" t="s">
        <v>11082</v>
      </c>
      <c r="AF2415" t="s">
        <v>11120</v>
      </c>
      <c r="AH2415" t="s">
        <v>10974</v>
      </c>
      <c r="AJ2415" t="s">
        <v>11134</v>
      </c>
      <c r="AK2415" t="s">
        <v>7225</v>
      </c>
      <c r="AM2415">
        <v>660</v>
      </c>
      <c r="AO2415">
        <v>43</v>
      </c>
      <c r="AQ2415" t="s">
        <v>11157</v>
      </c>
      <c r="AS2415" t="s">
        <v>11173</v>
      </c>
      <c r="AU2415">
        <v>8</v>
      </c>
      <c r="AW2415" t="s">
        <v>11187</v>
      </c>
      <c r="BA2415" t="s">
        <v>11222</v>
      </c>
      <c r="BE2415" t="s">
        <v>13054</v>
      </c>
      <c r="BF2415" t="s">
        <v>14364</v>
      </c>
      <c r="BM2415" t="s">
        <v>15650</v>
      </c>
    </row>
    <row r="2416" spans="1:65">
      <c r="A2416" s="1">
        <f>HYPERLINK("https://lsnyc.legalserver.org/matter/dynamic-profile/view/1860471","18-1860471")</f>
        <v>0</v>
      </c>
      <c r="B2416" t="s">
        <v>153</v>
      </c>
      <c r="C2416" t="s">
        <v>247</v>
      </c>
      <c r="D2416" t="s">
        <v>825</v>
      </c>
      <c r="F2416" t="s">
        <v>1936</v>
      </c>
      <c r="G2416" t="s">
        <v>3917</v>
      </c>
      <c r="H2416" t="s">
        <v>5191</v>
      </c>
      <c r="I2416" t="s">
        <v>6608</v>
      </c>
      <c r="J2416" t="s">
        <v>7177</v>
      </c>
      <c r="K2416">
        <v>11432</v>
      </c>
      <c r="N2416" t="s">
        <v>7238</v>
      </c>
      <c r="O2416" t="s">
        <v>7782</v>
      </c>
      <c r="P2416">
        <v>2</v>
      </c>
      <c r="Q2416">
        <v>3</v>
      </c>
      <c r="R2416">
        <v>107.71</v>
      </c>
      <c r="U2416">
        <v>46000</v>
      </c>
      <c r="W2416">
        <v>0.1</v>
      </c>
      <c r="X2416" t="s">
        <v>672</v>
      </c>
      <c r="Y2416" t="s">
        <v>202</v>
      </c>
      <c r="AA2416" t="s">
        <v>10974</v>
      </c>
      <c r="AB2416" t="s">
        <v>825</v>
      </c>
      <c r="AD2416" t="s">
        <v>11096</v>
      </c>
      <c r="AF2416" t="s">
        <v>11122</v>
      </c>
      <c r="AH2416" t="s">
        <v>10974</v>
      </c>
      <c r="AJ2416" t="s">
        <v>11140</v>
      </c>
      <c r="AK2416" t="s">
        <v>7225</v>
      </c>
      <c r="AM2416">
        <v>1673.53</v>
      </c>
      <c r="AO2416">
        <v>60</v>
      </c>
      <c r="AQ2416" t="s">
        <v>11157</v>
      </c>
      <c r="AS2416" t="s">
        <v>11173</v>
      </c>
      <c r="AU2416">
        <v>20</v>
      </c>
      <c r="AV2416" t="s">
        <v>11186</v>
      </c>
      <c r="AY2416" t="s">
        <v>11213</v>
      </c>
      <c r="AZ2416" t="s">
        <v>11221</v>
      </c>
      <c r="BE2416" t="s">
        <v>13051</v>
      </c>
      <c r="BG2416" t="s">
        <v>14964</v>
      </c>
      <c r="BM2416" t="s">
        <v>15650</v>
      </c>
    </row>
    <row r="2417" spans="1:66">
      <c r="A2417" s="1">
        <f>HYPERLINK("https://lsnyc.legalserver.org/matter/dynamic-profile/view/1896408","19-1896408")</f>
        <v>0</v>
      </c>
      <c r="B2417" t="s">
        <v>153</v>
      </c>
      <c r="C2417" t="s">
        <v>247</v>
      </c>
      <c r="D2417" t="s">
        <v>412</v>
      </c>
      <c r="F2417" t="s">
        <v>1135</v>
      </c>
      <c r="G2417" t="s">
        <v>3125</v>
      </c>
      <c r="H2417" t="s">
        <v>5565</v>
      </c>
      <c r="I2417">
        <v>40</v>
      </c>
      <c r="J2417" t="s">
        <v>7172</v>
      </c>
      <c r="K2417">
        <v>11691</v>
      </c>
      <c r="N2417" t="s">
        <v>7237</v>
      </c>
      <c r="O2417" t="s">
        <v>8797</v>
      </c>
      <c r="P2417">
        <v>2</v>
      </c>
      <c r="Q2417">
        <v>0</v>
      </c>
      <c r="R2417">
        <v>158.6</v>
      </c>
      <c r="U2417">
        <v>26820</v>
      </c>
      <c r="W2417">
        <v>0</v>
      </c>
      <c r="Y2417" t="s">
        <v>10939</v>
      </c>
      <c r="AA2417" t="s">
        <v>10974</v>
      </c>
      <c r="AB2417" t="s">
        <v>412</v>
      </c>
      <c r="AD2417" t="s">
        <v>11098</v>
      </c>
      <c r="AF2417" t="s">
        <v>10384</v>
      </c>
      <c r="AH2417" t="s">
        <v>10974</v>
      </c>
      <c r="AJ2417" t="s">
        <v>11134</v>
      </c>
      <c r="AK2417" t="s">
        <v>7225</v>
      </c>
      <c r="AM2417">
        <v>660</v>
      </c>
      <c r="AO2417">
        <v>43</v>
      </c>
      <c r="AQ2417" t="s">
        <v>11157</v>
      </c>
      <c r="AS2417" t="s">
        <v>11173</v>
      </c>
      <c r="AU2417">
        <v>40</v>
      </c>
      <c r="AW2417" t="s">
        <v>11187</v>
      </c>
      <c r="AZ2417" t="s">
        <v>11221</v>
      </c>
      <c r="BB2417" t="s">
        <v>11224</v>
      </c>
      <c r="BC2417" t="s">
        <v>11236</v>
      </c>
      <c r="BE2417" t="s">
        <v>13055</v>
      </c>
      <c r="BF2417" t="s">
        <v>14364</v>
      </c>
      <c r="BM2417" t="s">
        <v>15650</v>
      </c>
    </row>
    <row r="2418" spans="1:66">
      <c r="A2418" s="1">
        <f>HYPERLINK("https://lsnyc.legalserver.org/matter/dynamic-profile/view/1915213","19-1915213")</f>
        <v>0</v>
      </c>
      <c r="B2418" t="s">
        <v>153</v>
      </c>
      <c r="C2418" t="s">
        <v>247</v>
      </c>
      <c r="D2418" t="s">
        <v>426</v>
      </c>
      <c r="F2418" t="s">
        <v>2124</v>
      </c>
      <c r="G2418" t="s">
        <v>3293</v>
      </c>
      <c r="H2418" t="s">
        <v>5565</v>
      </c>
      <c r="I2418" t="s">
        <v>6420</v>
      </c>
      <c r="J2418" t="s">
        <v>7172</v>
      </c>
      <c r="K2418">
        <v>11691</v>
      </c>
      <c r="N2418" t="s">
        <v>7237</v>
      </c>
      <c r="O2418" t="s">
        <v>8798</v>
      </c>
      <c r="P2418">
        <v>1</v>
      </c>
      <c r="Q2418">
        <v>0</v>
      </c>
      <c r="R2418">
        <v>166.53</v>
      </c>
      <c r="U2418">
        <v>20800</v>
      </c>
      <c r="W2418">
        <v>0.4</v>
      </c>
      <c r="X2418" t="s">
        <v>426</v>
      </c>
      <c r="Y2418" t="s">
        <v>10870</v>
      </c>
      <c r="AA2418" t="s">
        <v>10974</v>
      </c>
      <c r="AB2418" t="s">
        <v>426</v>
      </c>
      <c r="AD2418" t="s">
        <v>11082</v>
      </c>
      <c r="AF2418" t="s">
        <v>11118</v>
      </c>
      <c r="AH2418" t="s">
        <v>10975</v>
      </c>
      <c r="AJ2418" t="s">
        <v>11134</v>
      </c>
      <c r="AK2418" t="s">
        <v>7225</v>
      </c>
      <c r="AM2418">
        <v>637</v>
      </c>
      <c r="AO2418">
        <v>48</v>
      </c>
      <c r="AP2418" t="s">
        <v>11155</v>
      </c>
      <c r="AS2418" t="s">
        <v>11173</v>
      </c>
      <c r="AU2418">
        <v>20</v>
      </c>
      <c r="AW2418" t="s">
        <v>11187</v>
      </c>
      <c r="BA2418" t="s">
        <v>11222</v>
      </c>
      <c r="BE2418" t="s">
        <v>13056</v>
      </c>
      <c r="BF2418" t="s">
        <v>14364</v>
      </c>
      <c r="BM2418" t="s">
        <v>15650</v>
      </c>
    </row>
    <row r="2419" spans="1:66">
      <c r="A2419" s="1">
        <f>HYPERLINK("https://lsnyc.legalserver.org/matter/dynamic-profile/view/1895768","19-1895768")</f>
        <v>0</v>
      </c>
      <c r="B2419" t="s">
        <v>153</v>
      </c>
      <c r="C2419" t="s">
        <v>247</v>
      </c>
      <c r="D2419" t="s">
        <v>557</v>
      </c>
      <c r="F2419" t="s">
        <v>2125</v>
      </c>
      <c r="G2419" t="s">
        <v>2962</v>
      </c>
      <c r="H2419" t="s">
        <v>5565</v>
      </c>
      <c r="I2419">
        <v>4</v>
      </c>
      <c r="J2419" t="s">
        <v>7172</v>
      </c>
      <c r="K2419">
        <v>11691</v>
      </c>
      <c r="N2419" t="s">
        <v>7237</v>
      </c>
      <c r="O2419" t="s">
        <v>8799</v>
      </c>
      <c r="P2419">
        <v>2</v>
      </c>
      <c r="Q2419">
        <v>0</v>
      </c>
      <c r="R2419">
        <v>14.19</v>
      </c>
      <c r="U2419">
        <v>2400</v>
      </c>
      <c r="W2419">
        <v>0</v>
      </c>
      <c r="Y2419" t="s">
        <v>10939</v>
      </c>
      <c r="AA2419" t="s">
        <v>10974</v>
      </c>
      <c r="AB2419" t="s">
        <v>557</v>
      </c>
      <c r="AD2419" t="s">
        <v>11090</v>
      </c>
      <c r="AF2419" t="s">
        <v>10384</v>
      </c>
      <c r="AH2419" t="s">
        <v>10974</v>
      </c>
      <c r="AJ2419" t="s">
        <v>11134</v>
      </c>
      <c r="AK2419" t="s">
        <v>7225</v>
      </c>
      <c r="AM2419">
        <v>540</v>
      </c>
      <c r="AO2419">
        <v>43</v>
      </c>
      <c r="AQ2419" t="s">
        <v>11157</v>
      </c>
      <c r="AS2419" t="s">
        <v>11173</v>
      </c>
      <c r="AU2419">
        <v>28</v>
      </c>
      <c r="AW2419" t="s">
        <v>11187</v>
      </c>
      <c r="AZ2419" t="s">
        <v>11221</v>
      </c>
      <c r="BB2419" t="s">
        <v>11224</v>
      </c>
      <c r="BC2419" t="s">
        <v>11236</v>
      </c>
      <c r="BE2419" t="s">
        <v>13057</v>
      </c>
      <c r="BF2419" t="s">
        <v>14364</v>
      </c>
      <c r="BM2419" t="s">
        <v>15650</v>
      </c>
    </row>
    <row r="2420" spans="1:66">
      <c r="A2420" s="1">
        <f>HYPERLINK("https://lsnyc.legalserver.org/matter/dynamic-profile/view/1895955","19-1895955")</f>
        <v>0</v>
      </c>
      <c r="B2420" t="s">
        <v>153</v>
      </c>
      <c r="C2420" t="s">
        <v>247</v>
      </c>
      <c r="D2420" t="s">
        <v>295</v>
      </c>
      <c r="F2420" t="s">
        <v>2126</v>
      </c>
      <c r="G2420" t="s">
        <v>3920</v>
      </c>
      <c r="H2420" t="s">
        <v>5588</v>
      </c>
      <c r="J2420" t="s">
        <v>7173</v>
      </c>
      <c r="K2420">
        <v>11358</v>
      </c>
      <c r="N2420" t="s">
        <v>7237</v>
      </c>
      <c r="O2420" t="s">
        <v>8800</v>
      </c>
      <c r="P2420">
        <v>1</v>
      </c>
      <c r="Q2420">
        <v>0</v>
      </c>
      <c r="R2420">
        <v>40.03</v>
      </c>
      <c r="U2420">
        <v>5000</v>
      </c>
      <c r="W2420">
        <v>50.85</v>
      </c>
      <c r="X2420" t="s">
        <v>627</v>
      </c>
      <c r="Y2420" t="s">
        <v>10939</v>
      </c>
      <c r="AA2420" t="s">
        <v>10974</v>
      </c>
      <c r="AB2420" t="s">
        <v>295</v>
      </c>
      <c r="AD2420" t="s">
        <v>11083</v>
      </c>
      <c r="AF2420" t="s">
        <v>11118</v>
      </c>
      <c r="AH2420" t="s">
        <v>10975</v>
      </c>
      <c r="AJ2420" t="s">
        <v>11138</v>
      </c>
      <c r="AK2420" t="s">
        <v>7225</v>
      </c>
      <c r="AM2420">
        <v>430</v>
      </c>
      <c r="AO2420">
        <v>6</v>
      </c>
      <c r="AQ2420" t="s">
        <v>11164</v>
      </c>
      <c r="AS2420" t="s">
        <v>11173</v>
      </c>
      <c r="AU2420">
        <v>2</v>
      </c>
      <c r="AW2420" t="s">
        <v>11187</v>
      </c>
      <c r="AY2420" t="s">
        <v>11213</v>
      </c>
      <c r="AZ2420" t="s">
        <v>11221</v>
      </c>
      <c r="BB2420" t="s">
        <v>11224</v>
      </c>
      <c r="BC2420" t="s">
        <v>11236</v>
      </c>
      <c r="BE2420" t="s">
        <v>13058</v>
      </c>
      <c r="BG2420" t="s">
        <v>14984</v>
      </c>
      <c r="BM2420" t="s">
        <v>15650</v>
      </c>
    </row>
    <row r="2421" spans="1:66">
      <c r="A2421" s="1">
        <f>HYPERLINK("https://lsnyc.legalserver.org/matter/dynamic-profile/view/1843591","17-1843591")</f>
        <v>0</v>
      </c>
      <c r="B2421" t="s">
        <v>154</v>
      </c>
      <c r="C2421" t="s">
        <v>245</v>
      </c>
      <c r="D2421" t="s">
        <v>851</v>
      </c>
      <c r="F2421" t="s">
        <v>2061</v>
      </c>
      <c r="G2421" t="s">
        <v>3231</v>
      </c>
      <c r="H2421" t="s">
        <v>5494</v>
      </c>
      <c r="J2421" t="s">
        <v>7169</v>
      </c>
      <c r="K2421">
        <v>10040</v>
      </c>
      <c r="N2421" t="s">
        <v>7237</v>
      </c>
      <c r="O2421" t="s">
        <v>8683</v>
      </c>
      <c r="P2421">
        <v>3</v>
      </c>
      <c r="Q2421">
        <v>0</v>
      </c>
      <c r="R2421">
        <v>193.1</v>
      </c>
      <c r="S2421" t="s">
        <v>652</v>
      </c>
      <c r="U2421">
        <v>39432</v>
      </c>
      <c r="W2421">
        <v>1.8</v>
      </c>
      <c r="X2421" t="s">
        <v>519</v>
      </c>
      <c r="Y2421" t="s">
        <v>127</v>
      </c>
      <c r="AA2421" t="s">
        <v>10974</v>
      </c>
      <c r="AB2421" t="s">
        <v>411</v>
      </c>
      <c r="AD2421" t="s">
        <v>11101</v>
      </c>
      <c r="AF2421" t="s">
        <v>11122</v>
      </c>
      <c r="AH2421" t="s">
        <v>10974</v>
      </c>
      <c r="AJ2421" t="s">
        <v>11130</v>
      </c>
      <c r="AK2421" t="s">
        <v>7225</v>
      </c>
      <c r="AM2421">
        <v>1147</v>
      </c>
      <c r="AO2421">
        <v>44</v>
      </c>
      <c r="AQ2421" t="s">
        <v>11157</v>
      </c>
      <c r="AS2421" t="s">
        <v>11173</v>
      </c>
      <c r="AU2421">
        <v>8</v>
      </c>
      <c r="AW2421" t="s">
        <v>11189</v>
      </c>
      <c r="AZ2421" t="s">
        <v>11221</v>
      </c>
      <c r="BE2421" t="s">
        <v>12946</v>
      </c>
      <c r="BG2421" t="s">
        <v>14985</v>
      </c>
      <c r="BM2421" t="s">
        <v>15650</v>
      </c>
    </row>
    <row r="2422" spans="1:66">
      <c r="A2422" s="1">
        <f>HYPERLINK("https://lsnyc.legalserver.org/matter/dynamic-profile/view/1909340","19-1909340")</f>
        <v>0</v>
      </c>
      <c r="B2422" t="s">
        <v>154</v>
      </c>
      <c r="C2422" t="s">
        <v>245</v>
      </c>
      <c r="D2422" t="s">
        <v>375</v>
      </c>
      <c r="F2422" t="s">
        <v>2127</v>
      </c>
      <c r="G2422" t="s">
        <v>3921</v>
      </c>
      <c r="H2422" t="s">
        <v>5589</v>
      </c>
      <c r="I2422" t="s">
        <v>6609</v>
      </c>
      <c r="J2422" t="s">
        <v>7169</v>
      </c>
      <c r="K2422">
        <v>10033</v>
      </c>
      <c r="N2422" t="s">
        <v>7237</v>
      </c>
      <c r="O2422" t="s">
        <v>8801</v>
      </c>
      <c r="P2422">
        <v>1</v>
      </c>
      <c r="Q2422">
        <v>0</v>
      </c>
      <c r="R2422">
        <v>83.27</v>
      </c>
      <c r="U2422">
        <v>10400</v>
      </c>
      <c r="W2422">
        <v>25</v>
      </c>
      <c r="X2422" t="s">
        <v>297</v>
      </c>
      <c r="Y2422" t="s">
        <v>127</v>
      </c>
      <c r="AA2422" t="s">
        <v>10974</v>
      </c>
      <c r="AB2422" t="s">
        <v>375</v>
      </c>
      <c r="AC2422" t="s">
        <v>11081</v>
      </c>
      <c r="AF2422" t="s">
        <v>11121</v>
      </c>
      <c r="AH2422" t="s">
        <v>10975</v>
      </c>
      <c r="AJ2422" t="s">
        <v>11130</v>
      </c>
      <c r="AK2422" t="s">
        <v>7225</v>
      </c>
      <c r="AM2422">
        <v>1235</v>
      </c>
      <c r="AN2422" t="s">
        <v>11151</v>
      </c>
      <c r="AO2422" t="s">
        <v>11153</v>
      </c>
      <c r="AQ2422" t="s">
        <v>11157</v>
      </c>
      <c r="AS2422" t="s">
        <v>11173</v>
      </c>
      <c r="AU2422">
        <v>18</v>
      </c>
      <c r="AW2422" t="s">
        <v>11189</v>
      </c>
      <c r="BA2422" t="s">
        <v>11222</v>
      </c>
      <c r="BE2422" t="s">
        <v>13059</v>
      </c>
      <c r="BF2422" t="s">
        <v>14364</v>
      </c>
      <c r="BM2422" t="s">
        <v>15650</v>
      </c>
    </row>
    <row r="2423" spans="1:66">
      <c r="A2423" s="1">
        <f>HYPERLINK("https://lsnyc.legalserver.org/matter/dynamic-profile/view/1898437","19-1898437")</f>
        <v>0</v>
      </c>
      <c r="B2423" t="s">
        <v>154</v>
      </c>
      <c r="C2423" t="s">
        <v>245</v>
      </c>
      <c r="D2423" t="s">
        <v>519</v>
      </c>
      <c r="F2423" t="s">
        <v>1498</v>
      </c>
      <c r="G2423" t="s">
        <v>2902</v>
      </c>
      <c r="H2423" t="s">
        <v>5494</v>
      </c>
      <c r="I2423" t="s">
        <v>6486</v>
      </c>
      <c r="J2423" t="s">
        <v>7169</v>
      </c>
      <c r="K2423">
        <v>10040</v>
      </c>
      <c r="N2423" t="s">
        <v>7237</v>
      </c>
      <c r="O2423" t="s">
        <v>8802</v>
      </c>
      <c r="P2423">
        <v>3</v>
      </c>
      <c r="Q2423">
        <v>0</v>
      </c>
      <c r="R2423">
        <v>89.84999999999999</v>
      </c>
      <c r="U2423">
        <v>19164</v>
      </c>
      <c r="W2423">
        <v>22.3</v>
      </c>
      <c r="X2423" t="s">
        <v>614</v>
      </c>
      <c r="Y2423" t="s">
        <v>127</v>
      </c>
      <c r="AA2423" t="s">
        <v>10974</v>
      </c>
      <c r="AB2423" t="s">
        <v>519</v>
      </c>
      <c r="AC2423" t="s">
        <v>11081</v>
      </c>
      <c r="AF2423" t="s">
        <v>11119</v>
      </c>
      <c r="AH2423" t="s">
        <v>10975</v>
      </c>
      <c r="AJ2423" t="s">
        <v>11129</v>
      </c>
      <c r="AK2423" t="s">
        <v>7225</v>
      </c>
      <c r="AM2423">
        <v>1045.94</v>
      </c>
      <c r="AO2423">
        <v>44</v>
      </c>
      <c r="AQ2423" t="s">
        <v>11157</v>
      </c>
      <c r="AS2423" t="s">
        <v>11173</v>
      </c>
      <c r="AU2423">
        <v>36</v>
      </c>
      <c r="AW2423" t="s">
        <v>11189</v>
      </c>
      <c r="AZ2423" t="s">
        <v>11221</v>
      </c>
      <c r="BE2423" t="s">
        <v>13060</v>
      </c>
      <c r="BF2423" t="s">
        <v>14364</v>
      </c>
      <c r="BM2423" t="s">
        <v>15650</v>
      </c>
    </row>
    <row r="2424" spans="1:66">
      <c r="A2424" s="1">
        <f>HYPERLINK("https://lsnyc.legalserver.org/matter/dynamic-profile/view/1898973","19-1898973")</f>
        <v>0</v>
      </c>
      <c r="B2424" t="s">
        <v>154</v>
      </c>
      <c r="C2424" t="s">
        <v>245</v>
      </c>
      <c r="D2424" t="s">
        <v>608</v>
      </c>
      <c r="F2424" t="s">
        <v>2061</v>
      </c>
      <c r="G2424" t="s">
        <v>3231</v>
      </c>
      <c r="H2424" t="s">
        <v>5494</v>
      </c>
      <c r="J2424" t="s">
        <v>7169</v>
      </c>
      <c r="K2424">
        <v>10040</v>
      </c>
      <c r="N2424" t="s">
        <v>7237</v>
      </c>
      <c r="O2424" t="s">
        <v>8683</v>
      </c>
      <c r="P2424">
        <v>3</v>
      </c>
      <c r="Q2424">
        <v>0</v>
      </c>
      <c r="R2424">
        <v>184.87</v>
      </c>
      <c r="U2424">
        <v>39432</v>
      </c>
      <c r="W2424">
        <v>117.5</v>
      </c>
      <c r="X2424" t="s">
        <v>614</v>
      </c>
      <c r="Y2424" t="s">
        <v>127</v>
      </c>
      <c r="AA2424" t="s">
        <v>10974</v>
      </c>
      <c r="AB2424" t="s">
        <v>608</v>
      </c>
      <c r="AD2424" t="s">
        <v>11082</v>
      </c>
      <c r="AF2424" t="s">
        <v>11118</v>
      </c>
      <c r="AH2424" t="s">
        <v>10974</v>
      </c>
      <c r="AJ2424" t="s">
        <v>11129</v>
      </c>
      <c r="AK2424" t="s">
        <v>7225</v>
      </c>
      <c r="AM2424">
        <v>1147</v>
      </c>
      <c r="AO2424">
        <v>44</v>
      </c>
      <c r="AQ2424" t="s">
        <v>11157</v>
      </c>
      <c r="AS2424" t="s">
        <v>11173</v>
      </c>
      <c r="AU2424">
        <v>8</v>
      </c>
      <c r="AW2424" t="s">
        <v>11189</v>
      </c>
      <c r="BA2424" t="s">
        <v>11222</v>
      </c>
      <c r="BE2424" t="s">
        <v>12946</v>
      </c>
      <c r="BF2424" t="s">
        <v>14364</v>
      </c>
      <c r="BM2424" t="s">
        <v>15650</v>
      </c>
    </row>
    <row r="2425" spans="1:66">
      <c r="A2425" s="1">
        <f>HYPERLINK("https://lsnyc.legalserver.org/matter/dynamic-profile/view/1899749","19-1899749")</f>
        <v>0</v>
      </c>
      <c r="B2425" t="s">
        <v>154</v>
      </c>
      <c r="C2425" t="s">
        <v>245</v>
      </c>
      <c r="D2425" t="s">
        <v>584</v>
      </c>
      <c r="F2425" t="s">
        <v>1282</v>
      </c>
      <c r="G2425" t="s">
        <v>3922</v>
      </c>
      <c r="H2425" t="s">
        <v>5590</v>
      </c>
      <c r="I2425" t="s">
        <v>6407</v>
      </c>
      <c r="J2425" t="s">
        <v>7169</v>
      </c>
      <c r="K2425">
        <v>10034</v>
      </c>
      <c r="N2425" t="s">
        <v>7237</v>
      </c>
      <c r="O2425" t="s">
        <v>8803</v>
      </c>
      <c r="P2425">
        <v>1</v>
      </c>
      <c r="Q2425">
        <v>0</v>
      </c>
      <c r="R2425">
        <v>80.06</v>
      </c>
      <c r="U2425">
        <v>10000</v>
      </c>
      <c r="W2425">
        <v>37.55</v>
      </c>
      <c r="X2425" t="s">
        <v>436</v>
      </c>
      <c r="Y2425" t="s">
        <v>127</v>
      </c>
      <c r="AA2425" t="s">
        <v>10974</v>
      </c>
      <c r="AB2425" t="s">
        <v>584</v>
      </c>
      <c r="AD2425" t="s">
        <v>11082</v>
      </c>
      <c r="AF2425" t="s">
        <v>11120</v>
      </c>
      <c r="AH2425" t="s">
        <v>10974</v>
      </c>
      <c r="AJ2425" t="s">
        <v>11130</v>
      </c>
      <c r="AK2425" t="s">
        <v>7225</v>
      </c>
      <c r="AM2425">
        <v>1270</v>
      </c>
      <c r="AO2425">
        <v>44</v>
      </c>
      <c r="AQ2425" t="s">
        <v>11157</v>
      </c>
      <c r="AS2425" t="s">
        <v>11173</v>
      </c>
      <c r="AU2425">
        <v>5</v>
      </c>
      <c r="AW2425" t="s">
        <v>11187</v>
      </c>
      <c r="BA2425" t="s">
        <v>11222</v>
      </c>
      <c r="BC2425" t="s">
        <v>11426</v>
      </c>
      <c r="BE2425" t="s">
        <v>13061</v>
      </c>
      <c r="BF2425" t="s">
        <v>14364</v>
      </c>
      <c r="BM2425" t="s">
        <v>15650</v>
      </c>
    </row>
    <row r="2426" spans="1:66">
      <c r="A2426" s="1">
        <f>HYPERLINK("https://lsnyc.legalserver.org/matter/dynamic-profile/view/1864189","18-1864189")</f>
        <v>0</v>
      </c>
      <c r="B2426" t="s">
        <v>154</v>
      </c>
      <c r="C2426" t="s">
        <v>245</v>
      </c>
      <c r="D2426" t="s">
        <v>817</v>
      </c>
      <c r="F2426" t="s">
        <v>1680</v>
      </c>
      <c r="G2426" t="s">
        <v>3923</v>
      </c>
      <c r="H2426" t="s">
        <v>5462</v>
      </c>
      <c r="I2426" t="s">
        <v>6862</v>
      </c>
      <c r="J2426" t="s">
        <v>7169</v>
      </c>
      <c r="K2426">
        <v>10034</v>
      </c>
      <c r="N2426" t="s">
        <v>7237</v>
      </c>
      <c r="O2426" t="s">
        <v>8804</v>
      </c>
      <c r="P2426">
        <v>1</v>
      </c>
      <c r="Q2426">
        <v>0</v>
      </c>
      <c r="R2426">
        <v>69.28</v>
      </c>
      <c r="U2426">
        <v>8410.440000000001</v>
      </c>
      <c r="W2426">
        <v>6.01</v>
      </c>
      <c r="X2426" t="s">
        <v>568</v>
      </c>
      <c r="Y2426" t="s">
        <v>127</v>
      </c>
      <c r="AA2426" t="s">
        <v>10974</v>
      </c>
      <c r="AB2426" t="s">
        <v>817</v>
      </c>
      <c r="AD2426" t="s">
        <v>11101</v>
      </c>
      <c r="AF2426" t="s">
        <v>11118</v>
      </c>
      <c r="AH2426" t="s">
        <v>10974</v>
      </c>
      <c r="AJ2426" t="s">
        <v>11129</v>
      </c>
      <c r="AK2426" t="s">
        <v>7225</v>
      </c>
      <c r="AM2426">
        <v>1023.97</v>
      </c>
      <c r="AO2426">
        <v>60</v>
      </c>
      <c r="AQ2426" t="s">
        <v>11161</v>
      </c>
      <c r="AS2426" t="s">
        <v>11174</v>
      </c>
      <c r="AU2426">
        <v>14</v>
      </c>
      <c r="AW2426" t="s">
        <v>11189</v>
      </c>
      <c r="AZ2426" t="s">
        <v>11221</v>
      </c>
      <c r="BE2426" t="s">
        <v>13062</v>
      </c>
      <c r="BG2426" t="s">
        <v>14985</v>
      </c>
      <c r="BM2426" t="s">
        <v>15650</v>
      </c>
    </row>
    <row r="2427" spans="1:66">
      <c r="A2427" s="1">
        <f>HYPERLINK("https://lsnyc.legalserver.org/matter/dynamic-profile/view/1864095","18-1864095")</f>
        <v>0</v>
      </c>
      <c r="B2427" t="s">
        <v>154</v>
      </c>
      <c r="C2427" t="s">
        <v>245</v>
      </c>
      <c r="D2427" t="s">
        <v>817</v>
      </c>
      <c r="E2427" t="s">
        <v>539</v>
      </c>
      <c r="F2427" t="s">
        <v>1711</v>
      </c>
      <c r="G2427" t="s">
        <v>2892</v>
      </c>
      <c r="H2427" t="s">
        <v>5494</v>
      </c>
      <c r="I2427" t="s">
        <v>6414</v>
      </c>
      <c r="J2427" t="s">
        <v>7169</v>
      </c>
      <c r="K2427">
        <v>10040</v>
      </c>
      <c r="L2427" t="s">
        <v>7219</v>
      </c>
      <c r="N2427" t="s">
        <v>7237</v>
      </c>
      <c r="O2427" t="s">
        <v>8805</v>
      </c>
      <c r="P2427">
        <v>3</v>
      </c>
      <c r="Q2427">
        <v>0</v>
      </c>
      <c r="R2427">
        <v>171.65</v>
      </c>
      <c r="S2427" t="s">
        <v>652</v>
      </c>
      <c r="U2427">
        <v>35668</v>
      </c>
      <c r="W2427">
        <v>0.11</v>
      </c>
      <c r="X2427" t="s">
        <v>528</v>
      </c>
      <c r="Y2427" t="s">
        <v>127</v>
      </c>
      <c r="AA2427" t="s">
        <v>10974</v>
      </c>
      <c r="AB2427" t="s">
        <v>817</v>
      </c>
      <c r="AD2427" t="s">
        <v>11101</v>
      </c>
      <c r="AF2427" t="s">
        <v>11118</v>
      </c>
      <c r="AH2427" t="s">
        <v>10974</v>
      </c>
      <c r="AJ2427" t="s">
        <v>11129</v>
      </c>
      <c r="AK2427" t="s">
        <v>7225</v>
      </c>
      <c r="AM2427">
        <v>1494.26</v>
      </c>
      <c r="AO2427">
        <v>44</v>
      </c>
      <c r="AQ2427" t="s">
        <v>11157</v>
      </c>
      <c r="AS2427" t="s">
        <v>11173</v>
      </c>
      <c r="AU2427">
        <v>29</v>
      </c>
      <c r="AW2427" t="s">
        <v>11189</v>
      </c>
      <c r="AZ2427" t="s">
        <v>11221</v>
      </c>
      <c r="BD2427" t="s">
        <v>11667</v>
      </c>
      <c r="BG2427" t="s">
        <v>14985</v>
      </c>
      <c r="BJ2427" t="s">
        <v>15615</v>
      </c>
      <c r="BM2427" t="s">
        <v>15651</v>
      </c>
    </row>
    <row r="2428" spans="1:66">
      <c r="A2428" s="1">
        <f>HYPERLINK("https://lsnyc.legalserver.org/matter/dynamic-profile/view/1888294","19-1888294")</f>
        <v>0</v>
      </c>
      <c r="B2428" t="s">
        <v>154</v>
      </c>
      <c r="C2428" t="s">
        <v>245</v>
      </c>
      <c r="D2428" t="s">
        <v>484</v>
      </c>
      <c r="F2428" t="s">
        <v>2082</v>
      </c>
      <c r="G2428" t="s">
        <v>3924</v>
      </c>
      <c r="H2428" t="s">
        <v>5591</v>
      </c>
      <c r="I2428" t="s">
        <v>6495</v>
      </c>
      <c r="J2428" t="s">
        <v>7169</v>
      </c>
      <c r="K2428">
        <v>10032</v>
      </c>
      <c r="N2428" t="s">
        <v>7237</v>
      </c>
      <c r="O2428" t="s">
        <v>8806</v>
      </c>
      <c r="P2428">
        <v>4</v>
      </c>
      <c r="Q2428">
        <v>0</v>
      </c>
      <c r="R2428">
        <v>294.82</v>
      </c>
      <c r="S2428" t="s">
        <v>850</v>
      </c>
      <c r="T2428" t="s">
        <v>10276</v>
      </c>
      <c r="U2428">
        <v>74000</v>
      </c>
      <c r="W2428">
        <v>72.5</v>
      </c>
      <c r="X2428" t="s">
        <v>449</v>
      </c>
      <c r="Y2428" t="s">
        <v>127</v>
      </c>
      <c r="AA2428" t="s">
        <v>10974</v>
      </c>
      <c r="AB2428" t="s">
        <v>681</v>
      </c>
      <c r="AD2428" t="s">
        <v>11082</v>
      </c>
      <c r="AF2428" t="s">
        <v>11118</v>
      </c>
      <c r="AH2428" t="s">
        <v>10975</v>
      </c>
      <c r="AJ2428" t="s">
        <v>11129</v>
      </c>
      <c r="AK2428" t="s">
        <v>7225</v>
      </c>
      <c r="AM2428">
        <v>799.9</v>
      </c>
      <c r="AO2428">
        <v>115</v>
      </c>
      <c r="AQ2428" t="s">
        <v>11157</v>
      </c>
      <c r="AS2428" t="s">
        <v>11173</v>
      </c>
      <c r="AU2428">
        <v>29</v>
      </c>
      <c r="AW2428" t="s">
        <v>11189</v>
      </c>
      <c r="AZ2428" t="s">
        <v>11221</v>
      </c>
      <c r="BE2428" t="s">
        <v>13063</v>
      </c>
      <c r="BF2428" t="s">
        <v>14364</v>
      </c>
      <c r="BM2428" t="s">
        <v>15650</v>
      </c>
    </row>
    <row r="2429" spans="1:66">
      <c r="A2429" s="1">
        <f>HYPERLINK("https://lsnyc.legalserver.org/matter/dynamic-profile/view/1843585","17-1843585")</f>
        <v>0</v>
      </c>
      <c r="B2429" t="s">
        <v>154</v>
      </c>
      <c r="C2429" t="s">
        <v>245</v>
      </c>
      <c r="D2429" t="s">
        <v>851</v>
      </c>
      <c r="F2429" t="s">
        <v>1115</v>
      </c>
      <c r="G2429" t="s">
        <v>3854</v>
      </c>
      <c r="H2429" t="s">
        <v>5494</v>
      </c>
      <c r="I2429" t="s">
        <v>6448</v>
      </c>
      <c r="J2429" t="s">
        <v>7169</v>
      </c>
      <c r="K2429">
        <v>10040</v>
      </c>
      <c r="N2429" t="s">
        <v>7237</v>
      </c>
      <c r="O2429" t="s">
        <v>8690</v>
      </c>
      <c r="P2429">
        <v>2</v>
      </c>
      <c r="Q2429">
        <v>1</v>
      </c>
      <c r="R2429">
        <v>78.34999999999999</v>
      </c>
      <c r="S2429" t="s">
        <v>652</v>
      </c>
      <c r="U2429">
        <v>16000</v>
      </c>
      <c r="W2429">
        <v>10.51</v>
      </c>
      <c r="X2429" t="s">
        <v>307</v>
      </c>
      <c r="Y2429" t="s">
        <v>127</v>
      </c>
      <c r="AA2429" t="s">
        <v>10974</v>
      </c>
      <c r="AB2429" t="s">
        <v>11047</v>
      </c>
      <c r="AD2429" t="s">
        <v>11101</v>
      </c>
      <c r="AF2429" t="s">
        <v>11118</v>
      </c>
      <c r="AH2429" t="s">
        <v>10974</v>
      </c>
      <c r="AJ2429" t="s">
        <v>11130</v>
      </c>
      <c r="AK2429" t="s">
        <v>7225</v>
      </c>
      <c r="AM2429">
        <v>1074</v>
      </c>
      <c r="AO2429">
        <v>44</v>
      </c>
      <c r="AQ2429" t="s">
        <v>11157</v>
      </c>
      <c r="AS2429" t="s">
        <v>11173</v>
      </c>
      <c r="AU2429">
        <v>20</v>
      </c>
      <c r="AW2429" t="s">
        <v>11189</v>
      </c>
      <c r="AZ2429" t="s">
        <v>11221</v>
      </c>
      <c r="BE2429" t="s">
        <v>12953</v>
      </c>
      <c r="BG2429" t="s">
        <v>14985</v>
      </c>
      <c r="BM2429" t="s">
        <v>15650</v>
      </c>
    </row>
    <row r="2430" spans="1:66">
      <c r="A2430" s="1">
        <f>HYPERLINK("https://lsnyc.legalserver.org/matter/dynamic-profile/view/1864089","18-1864089")</f>
        <v>0</v>
      </c>
      <c r="B2430" t="s">
        <v>154</v>
      </c>
      <c r="C2430" t="s">
        <v>245</v>
      </c>
      <c r="D2430" t="s">
        <v>817</v>
      </c>
      <c r="E2430" t="s">
        <v>528</v>
      </c>
      <c r="F2430" t="s">
        <v>2061</v>
      </c>
      <c r="G2430" t="s">
        <v>3231</v>
      </c>
      <c r="H2430" t="s">
        <v>5494</v>
      </c>
      <c r="J2430" t="s">
        <v>7169</v>
      </c>
      <c r="K2430">
        <v>10040</v>
      </c>
      <c r="L2430" t="s">
        <v>7219</v>
      </c>
      <c r="N2430" t="s">
        <v>7237</v>
      </c>
      <c r="O2430" t="s">
        <v>8683</v>
      </c>
      <c r="P2430">
        <v>3</v>
      </c>
      <c r="Q2430">
        <v>0</v>
      </c>
      <c r="R2430">
        <v>189.76</v>
      </c>
      <c r="S2430" t="s">
        <v>652</v>
      </c>
      <c r="U2430">
        <v>39432</v>
      </c>
      <c r="W2430">
        <v>0.7</v>
      </c>
      <c r="X2430" t="s">
        <v>528</v>
      </c>
      <c r="Y2430" t="s">
        <v>127</v>
      </c>
      <c r="AA2430" t="s">
        <v>10974</v>
      </c>
      <c r="AB2430" t="s">
        <v>817</v>
      </c>
      <c r="AD2430" t="s">
        <v>11101</v>
      </c>
      <c r="AF2430" t="s">
        <v>11118</v>
      </c>
      <c r="AH2430" t="s">
        <v>10974</v>
      </c>
      <c r="AJ2430" t="s">
        <v>11129</v>
      </c>
      <c r="AK2430" t="s">
        <v>7225</v>
      </c>
      <c r="AM2430">
        <v>1147</v>
      </c>
      <c r="AO2430">
        <v>44</v>
      </c>
      <c r="AQ2430" t="s">
        <v>11157</v>
      </c>
      <c r="AS2430" t="s">
        <v>11173</v>
      </c>
      <c r="AU2430">
        <v>8</v>
      </c>
      <c r="AW2430" t="s">
        <v>11189</v>
      </c>
      <c r="AZ2430" t="s">
        <v>11221</v>
      </c>
      <c r="BE2430" t="s">
        <v>12946</v>
      </c>
      <c r="BG2430" t="s">
        <v>14985</v>
      </c>
      <c r="BJ2430" t="s">
        <v>15615</v>
      </c>
      <c r="BM2430" t="s">
        <v>15651</v>
      </c>
      <c r="BN2430" t="s">
        <v>15652</v>
      </c>
    </row>
    <row r="2431" spans="1:66">
      <c r="A2431" s="1">
        <f>HYPERLINK("https://lsnyc.legalserver.org/matter/dynamic-profile/view/1893170","19-1893170")</f>
        <v>0</v>
      </c>
      <c r="B2431" t="s">
        <v>154</v>
      </c>
      <c r="C2431" t="s">
        <v>245</v>
      </c>
      <c r="D2431" t="s">
        <v>696</v>
      </c>
      <c r="F2431" t="s">
        <v>1279</v>
      </c>
      <c r="G2431" t="s">
        <v>3925</v>
      </c>
      <c r="H2431" t="s">
        <v>5592</v>
      </c>
      <c r="I2431" t="s">
        <v>6420</v>
      </c>
      <c r="J2431" t="s">
        <v>7169</v>
      </c>
      <c r="K2431">
        <v>10033</v>
      </c>
      <c r="N2431" t="s">
        <v>7237</v>
      </c>
      <c r="O2431" t="s">
        <v>8807</v>
      </c>
      <c r="P2431">
        <v>1</v>
      </c>
      <c r="Q2431">
        <v>0</v>
      </c>
      <c r="R2431">
        <v>81.76000000000001</v>
      </c>
      <c r="U2431">
        <v>10212</v>
      </c>
      <c r="W2431">
        <v>46.9</v>
      </c>
      <c r="X2431" t="s">
        <v>293</v>
      </c>
      <c r="Y2431" t="s">
        <v>127</v>
      </c>
      <c r="AA2431" t="s">
        <v>10974</v>
      </c>
      <c r="AB2431" t="s">
        <v>696</v>
      </c>
      <c r="AD2431" t="s">
        <v>11082</v>
      </c>
      <c r="AF2431" t="s">
        <v>11118</v>
      </c>
      <c r="AH2431" t="s">
        <v>10975</v>
      </c>
      <c r="AJ2431" t="s">
        <v>11130</v>
      </c>
      <c r="AK2431" t="s">
        <v>7225</v>
      </c>
      <c r="AM2431">
        <v>798</v>
      </c>
      <c r="AO2431">
        <v>39</v>
      </c>
      <c r="AQ2431" t="s">
        <v>11157</v>
      </c>
      <c r="AS2431" t="s">
        <v>11173</v>
      </c>
      <c r="AU2431">
        <v>43</v>
      </c>
      <c r="AW2431" t="s">
        <v>11187</v>
      </c>
      <c r="BA2431" t="s">
        <v>11222</v>
      </c>
      <c r="BE2431" t="s">
        <v>13064</v>
      </c>
      <c r="BF2431" t="s">
        <v>14364</v>
      </c>
      <c r="BM2431" t="s">
        <v>15650</v>
      </c>
    </row>
    <row r="2432" spans="1:66">
      <c r="A2432" s="1">
        <f>HYPERLINK("https://lsnyc.legalserver.org/matter/dynamic-profile/view/1862289","18-1862289")</f>
        <v>0</v>
      </c>
      <c r="B2432" t="s">
        <v>154</v>
      </c>
      <c r="C2432" t="s">
        <v>245</v>
      </c>
      <c r="D2432" t="s">
        <v>285</v>
      </c>
      <c r="F2432" t="s">
        <v>1174</v>
      </c>
      <c r="G2432" t="s">
        <v>3926</v>
      </c>
      <c r="H2432" t="s">
        <v>5462</v>
      </c>
      <c r="I2432" t="s">
        <v>6414</v>
      </c>
      <c r="J2432" t="s">
        <v>7169</v>
      </c>
      <c r="K2432">
        <v>10034</v>
      </c>
      <c r="N2432" t="s">
        <v>7237</v>
      </c>
      <c r="O2432" t="s">
        <v>8808</v>
      </c>
      <c r="P2432">
        <v>3</v>
      </c>
      <c r="Q2432">
        <v>1</v>
      </c>
      <c r="R2432">
        <v>99.59999999999999</v>
      </c>
      <c r="U2432">
        <v>25000</v>
      </c>
      <c r="W2432">
        <v>7.5</v>
      </c>
      <c r="X2432" t="s">
        <v>387</v>
      </c>
      <c r="Y2432" t="s">
        <v>127</v>
      </c>
      <c r="AA2432" t="s">
        <v>10974</v>
      </c>
      <c r="AB2432" t="s">
        <v>285</v>
      </c>
      <c r="AD2432" t="s">
        <v>11101</v>
      </c>
      <c r="AF2432" t="s">
        <v>11118</v>
      </c>
      <c r="AH2432" t="s">
        <v>10974</v>
      </c>
      <c r="AJ2432" t="s">
        <v>11130</v>
      </c>
      <c r="AK2432" t="s">
        <v>7225</v>
      </c>
      <c r="AM2432">
        <v>758</v>
      </c>
      <c r="AO2432">
        <v>60</v>
      </c>
      <c r="AQ2432" t="s">
        <v>11157</v>
      </c>
      <c r="AS2432" t="s">
        <v>11173</v>
      </c>
      <c r="AU2432">
        <v>25</v>
      </c>
      <c r="AW2432" t="s">
        <v>11189</v>
      </c>
      <c r="AZ2432" t="s">
        <v>11221</v>
      </c>
      <c r="BE2432" t="s">
        <v>13065</v>
      </c>
      <c r="BF2432" t="s">
        <v>14364</v>
      </c>
      <c r="BG2432" t="s">
        <v>14878</v>
      </c>
      <c r="BM2432" t="s">
        <v>15650</v>
      </c>
    </row>
    <row r="2433" spans="1:66">
      <c r="A2433" s="1">
        <f>HYPERLINK("https://lsnyc.legalserver.org/matter/dynamic-profile/view/1864054","18-1864054")</f>
        <v>0</v>
      </c>
      <c r="B2433" t="s">
        <v>154</v>
      </c>
      <c r="C2433" t="s">
        <v>245</v>
      </c>
      <c r="D2433" t="s">
        <v>817</v>
      </c>
      <c r="E2433" t="s">
        <v>539</v>
      </c>
      <c r="F2433" t="s">
        <v>2128</v>
      </c>
      <c r="G2433" t="s">
        <v>3927</v>
      </c>
      <c r="H2433" t="s">
        <v>5494</v>
      </c>
      <c r="I2433" t="s">
        <v>6415</v>
      </c>
      <c r="J2433" t="s">
        <v>7169</v>
      </c>
      <c r="K2433">
        <v>10040</v>
      </c>
      <c r="L2433" t="s">
        <v>7219</v>
      </c>
      <c r="N2433" t="s">
        <v>7237</v>
      </c>
      <c r="O2433" t="s">
        <v>8809</v>
      </c>
      <c r="P2433">
        <v>1</v>
      </c>
      <c r="Q2433">
        <v>0</v>
      </c>
      <c r="R2433">
        <v>149.92</v>
      </c>
      <c r="S2433" t="s">
        <v>652</v>
      </c>
      <c r="U2433">
        <v>18200</v>
      </c>
      <c r="W2433">
        <v>0.11</v>
      </c>
      <c r="X2433" t="s">
        <v>528</v>
      </c>
      <c r="Y2433" t="s">
        <v>127</v>
      </c>
      <c r="AA2433" t="s">
        <v>10974</v>
      </c>
      <c r="AB2433" t="s">
        <v>817</v>
      </c>
      <c r="AD2433" t="s">
        <v>11101</v>
      </c>
      <c r="AF2433" t="s">
        <v>11118</v>
      </c>
      <c r="AH2433" t="s">
        <v>10974</v>
      </c>
      <c r="AJ2433" t="s">
        <v>11129</v>
      </c>
      <c r="AK2433" t="s">
        <v>7225</v>
      </c>
      <c r="AM2433">
        <v>1398.48</v>
      </c>
      <c r="AO2433">
        <v>44</v>
      </c>
      <c r="AQ2433" t="s">
        <v>11157</v>
      </c>
      <c r="AS2433" t="s">
        <v>11173</v>
      </c>
      <c r="AU2433">
        <v>18</v>
      </c>
      <c r="AW2433" t="s">
        <v>11189</v>
      </c>
      <c r="AZ2433" t="s">
        <v>11221</v>
      </c>
      <c r="BE2433" t="s">
        <v>13066</v>
      </c>
      <c r="BF2433" t="s">
        <v>14364</v>
      </c>
      <c r="BG2433" t="s">
        <v>14986</v>
      </c>
      <c r="BJ2433" t="s">
        <v>15615</v>
      </c>
      <c r="BM2433" t="s">
        <v>15651</v>
      </c>
    </row>
    <row r="2434" spans="1:66">
      <c r="A2434" s="1">
        <f>HYPERLINK("https://lsnyc.legalserver.org/matter/dynamic-profile/view/1864126","18-1864126")</f>
        <v>0</v>
      </c>
      <c r="B2434" t="s">
        <v>154</v>
      </c>
      <c r="C2434" t="s">
        <v>245</v>
      </c>
      <c r="D2434" t="s">
        <v>817</v>
      </c>
      <c r="F2434" t="s">
        <v>2129</v>
      </c>
      <c r="G2434" t="s">
        <v>3928</v>
      </c>
      <c r="H2434" t="s">
        <v>5494</v>
      </c>
      <c r="I2434" t="s">
        <v>6502</v>
      </c>
      <c r="J2434" t="s">
        <v>7169</v>
      </c>
      <c r="K2434">
        <v>10040</v>
      </c>
      <c r="N2434" t="s">
        <v>7237</v>
      </c>
      <c r="O2434" t="s">
        <v>8810</v>
      </c>
      <c r="P2434">
        <v>1</v>
      </c>
      <c r="Q2434">
        <v>2</v>
      </c>
      <c r="R2434">
        <v>8.949999999999999</v>
      </c>
      <c r="S2434" t="s">
        <v>652</v>
      </c>
      <c r="U2434">
        <v>1860</v>
      </c>
      <c r="W2434">
        <v>0.11</v>
      </c>
      <c r="X2434" t="s">
        <v>528</v>
      </c>
      <c r="Y2434" t="s">
        <v>127</v>
      </c>
      <c r="Z2434" t="s">
        <v>10973</v>
      </c>
      <c r="AA2434" t="s">
        <v>10975</v>
      </c>
      <c r="AB2434" t="s">
        <v>817</v>
      </c>
      <c r="AD2434" t="s">
        <v>11101</v>
      </c>
      <c r="AF2434" t="s">
        <v>11118</v>
      </c>
      <c r="AH2434" t="s">
        <v>10974</v>
      </c>
      <c r="AJ2434" t="s">
        <v>11129</v>
      </c>
      <c r="AK2434" t="s">
        <v>7225</v>
      </c>
      <c r="AM2434">
        <v>169.04</v>
      </c>
      <c r="AO2434">
        <v>44</v>
      </c>
      <c r="AQ2434" t="s">
        <v>11157</v>
      </c>
      <c r="AS2434" t="s">
        <v>11176</v>
      </c>
      <c r="AU2434">
        <v>19</v>
      </c>
      <c r="AW2434" t="s">
        <v>11189</v>
      </c>
      <c r="AZ2434" t="s">
        <v>11221</v>
      </c>
      <c r="BE2434" t="s">
        <v>13067</v>
      </c>
      <c r="BG2434" t="s">
        <v>14985</v>
      </c>
      <c r="BM2434" t="s">
        <v>15650</v>
      </c>
      <c r="BN2434" t="s">
        <v>15652</v>
      </c>
    </row>
    <row r="2435" spans="1:66">
      <c r="A2435" s="1">
        <f>HYPERLINK("https://lsnyc.legalserver.org/matter/dynamic-profile/view/1907066","19-1907066")</f>
        <v>0</v>
      </c>
      <c r="B2435" t="s">
        <v>154</v>
      </c>
      <c r="C2435" t="s">
        <v>245</v>
      </c>
      <c r="D2435" t="s">
        <v>653</v>
      </c>
      <c r="F2435" t="s">
        <v>1430</v>
      </c>
      <c r="G2435" t="s">
        <v>3836</v>
      </c>
      <c r="H2435" t="s">
        <v>5475</v>
      </c>
      <c r="I2435" t="s">
        <v>6585</v>
      </c>
      <c r="J2435" t="s">
        <v>7169</v>
      </c>
      <c r="K2435">
        <v>10034</v>
      </c>
      <c r="N2435" t="s">
        <v>7237</v>
      </c>
      <c r="O2435" t="s">
        <v>8811</v>
      </c>
      <c r="P2435">
        <v>1</v>
      </c>
      <c r="Q2435">
        <v>0</v>
      </c>
      <c r="R2435">
        <v>163.33</v>
      </c>
      <c r="U2435">
        <v>20400</v>
      </c>
      <c r="W2435">
        <v>4.1</v>
      </c>
      <c r="X2435" t="s">
        <v>433</v>
      </c>
      <c r="Y2435" t="s">
        <v>127</v>
      </c>
      <c r="AA2435" t="s">
        <v>10974</v>
      </c>
      <c r="AB2435" t="s">
        <v>653</v>
      </c>
      <c r="AD2435" t="s">
        <v>11086</v>
      </c>
      <c r="AF2435" t="s">
        <v>10384</v>
      </c>
      <c r="AH2435" t="s">
        <v>10975</v>
      </c>
      <c r="AJ2435" t="s">
        <v>11129</v>
      </c>
      <c r="AK2435" t="s">
        <v>7225</v>
      </c>
      <c r="AM2435">
        <v>1220</v>
      </c>
      <c r="AO2435">
        <v>70</v>
      </c>
      <c r="AQ2435" t="s">
        <v>11157</v>
      </c>
      <c r="AS2435" t="s">
        <v>11173</v>
      </c>
      <c r="AU2435">
        <v>33</v>
      </c>
      <c r="AW2435" t="s">
        <v>11189</v>
      </c>
      <c r="BA2435" t="s">
        <v>11222</v>
      </c>
      <c r="BE2435" t="s">
        <v>13068</v>
      </c>
      <c r="BF2435" t="s">
        <v>14364</v>
      </c>
      <c r="BM2435" t="s">
        <v>15650</v>
      </c>
    </row>
    <row r="2436" spans="1:66">
      <c r="A2436" s="1">
        <f>HYPERLINK("https://lsnyc.legalserver.org/matter/dynamic-profile/view/1864115","18-1864115")</f>
        <v>0</v>
      </c>
      <c r="B2436" t="s">
        <v>154</v>
      </c>
      <c r="C2436" t="s">
        <v>245</v>
      </c>
      <c r="D2436" t="s">
        <v>817</v>
      </c>
      <c r="E2436" t="s">
        <v>539</v>
      </c>
      <c r="F2436" t="s">
        <v>1498</v>
      </c>
      <c r="G2436" t="s">
        <v>2902</v>
      </c>
      <c r="H2436" t="s">
        <v>5494</v>
      </c>
      <c r="I2436" t="s">
        <v>6486</v>
      </c>
      <c r="J2436" t="s">
        <v>7169</v>
      </c>
      <c r="K2436">
        <v>10040</v>
      </c>
      <c r="L2436" t="s">
        <v>7219</v>
      </c>
      <c r="N2436" t="s">
        <v>7237</v>
      </c>
      <c r="O2436" t="s">
        <v>8802</v>
      </c>
      <c r="P2436">
        <v>3</v>
      </c>
      <c r="Q2436">
        <v>0</v>
      </c>
      <c r="R2436">
        <v>118.67</v>
      </c>
      <c r="S2436" t="s">
        <v>652</v>
      </c>
      <c r="U2436">
        <v>24660</v>
      </c>
      <c r="W2436">
        <v>92</v>
      </c>
      <c r="X2436" t="s">
        <v>528</v>
      </c>
      <c r="Y2436" t="s">
        <v>127</v>
      </c>
      <c r="AA2436" t="s">
        <v>10974</v>
      </c>
      <c r="AB2436" t="s">
        <v>11046</v>
      </c>
      <c r="AD2436" t="s">
        <v>11101</v>
      </c>
      <c r="AF2436" t="s">
        <v>11118</v>
      </c>
      <c r="AH2436" t="s">
        <v>10974</v>
      </c>
      <c r="AJ2436" t="s">
        <v>11129</v>
      </c>
      <c r="AK2436" t="s">
        <v>7225</v>
      </c>
      <c r="AM2436">
        <v>1045.94</v>
      </c>
      <c r="AO2436">
        <v>44</v>
      </c>
      <c r="AQ2436" t="s">
        <v>11157</v>
      </c>
      <c r="AS2436" t="s">
        <v>11173</v>
      </c>
      <c r="AU2436">
        <v>36</v>
      </c>
      <c r="AW2436" t="s">
        <v>11189</v>
      </c>
      <c r="AZ2436" t="s">
        <v>11221</v>
      </c>
      <c r="BE2436" t="s">
        <v>13060</v>
      </c>
      <c r="BG2436" t="s">
        <v>14985</v>
      </c>
      <c r="BJ2436" t="s">
        <v>15615</v>
      </c>
      <c r="BM2436" t="s">
        <v>15651</v>
      </c>
    </row>
    <row r="2437" spans="1:66">
      <c r="A2437" s="1">
        <f>HYPERLINK("https://lsnyc.legalserver.org/matter/dynamic-profile/view/1902778","19-1902778")</f>
        <v>0</v>
      </c>
      <c r="B2437" t="s">
        <v>154</v>
      </c>
      <c r="C2437" t="s">
        <v>245</v>
      </c>
      <c r="D2437" t="s">
        <v>276</v>
      </c>
      <c r="F2437" t="s">
        <v>1279</v>
      </c>
      <c r="G2437" t="s">
        <v>3925</v>
      </c>
      <c r="H2437" t="s">
        <v>5592</v>
      </c>
      <c r="I2437" t="s">
        <v>6420</v>
      </c>
      <c r="J2437" t="s">
        <v>7169</v>
      </c>
      <c r="K2437">
        <v>10033</v>
      </c>
      <c r="N2437" t="s">
        <v>7243</v>
      </c>
      <c r="O2437" t="s">
        <v>8807</v>
      </c>
      <c r="P2437">
        <v>1</v>
      </c>
      <c r="Q2437">
        <v>0</v>
      </c>
      <c r="R2437">
        <v>81.76000000000001</v>
      </c>
      <c r="U2437">
        <v>10212</v>
      </c>
      <c r="W2437">
        <v>4.25</v>
      </c>
      <c r="X2437" t="s">
        <v>925</v>
      </c>
      <c r="Y2437" t="s">
        <v>127</v>
      </c>
      <c r="AA2437" t="s">
        <v>10974</v>
      </c>
      <c r="AB2437" t="s">
        <v>276</v>
      </c>
      <c r="AD2437" t="s">
        <v>11091</v>
      </c>
      <c r="AF2437" t="s">
        <v>10384</v>
      </c>
      <c r="AH2437" t="s">
        <v>10975</v>
      </c>
      <c r="AJ2437" t="s">
        <v>11129</v>
      </c>
      <c r="AK2437" t="s">
        <v>7225</v>
      </c>
      <c r="AM2437">
        <v>798</v>
      </c>
      <c r="AO2437">
        <v>39</v>
      </c>
      <c r="AQ2437" t="s">
        <v>11157</v>
      </c>
      <c r="AS2437" t="s">
        <v>11180</v>
      </c>
      <c r="AU2437">
        <v>43</v>
      </c>
      <c r="AW2437" t="s">
        <v>11187</v>
      </c>
      <c r="BA2437" t="s">
        <v>11222</v>
      </c>
      <c r="BE2437" t="s">
        <v>13064</v>
      </c>
      <c r="BF2437" t="s">
        <v>14364</v>
      </c>
      <c r="BM2437" t="s">
        <v>15650</v>
      </c>
    </row>
    <row r="2438" spans="1:66">
      <c r="A2438" s="1">
        <f>HYPERLINK("https://lsnyc.legalserver.org/matter/dynamic-profile/view/1863014","18-1863014")</f>
        <v>0</v>
      </c>
      <c r="B2438" t="s">
        <v>154</v>
      </c>
      <c r="C2438" t="s">
        <v>245</v>
      </c>
      <c r="D2438" t="s">
        <v>758</v>
      </c>
      <c r="F2438" t="s">
        <v>1247</v>
      </c>
      <c r="G2438" t="s">
        <v>3929</v>
      </c>
      <c r="H2438" t="s">
        <v>5462</v>
      </c>
      <c r="I2438" t="s">
        <v>6451</v>
      </c>
      <c r="J2438" t="s">
        <v>7169</v>
      </c>
      <c r="K2438">
        <v>10034</v>
      </c>
      <c r="N2438" t="s">
        <v>7237</v>
      </c>
      <c r="O2438" t="s">
        <v>8812</v>
      </c>
      <c r="P2438">
        <v>1</v>
      </c>
      <c r="Q2438">
        <v>0</v>
      </c>
      <c r="R2438">
        <v>83.23</v>
      </c>
      <c r="U2438">
        <v>10104</v>
      </c>
      <c r="W2438">
        <v>0.01</v>
      </c>
      <c r="X2438" t="s">
        <v>276</v>
      </c>
      <c r="Y2438" t="s">
        <v>127</v>
      </c>
      <c r="AA2438" t="s">
        <v>10974</v>
      </c>
      <c r="AB2438" t="s">
        <v>758</v>
      </c>
      <c r="AD2438" t="s">
        <v>11101</v>
      </c>
      <c r="AF2438" t="s">
        <v>11118</v>
      </c>
      <c r="AH2438" t="s">
        <v>10974</v>
      </c>
      <c r="AJ2438" t="s">
        <v>11130</v>
      </c>
      <c r="AK2438" t="s">
        <v>7225</v>
      </c>
      <c r="AM2438">
        <v>170</v>
      </c>
      <c r="AO2438">
        <v>60</v>
      </c>
      <c r="AQ2438" t="s">
        <v>11157</v>
      </c>
      <c r="AS2438" t="s">
        <v>11174</v>
      </c>
      <c r="AU2438">
        <v>17</v>
      </c>
      <c r="AW2438" t="s">
        <v>11189</v>
      </c>
      <c r="AZ2438" t="s">
        <v>11221</v>
      </c>
      <c r="BE2438" t="s">
        <v>13069</v>
      </c>
      <c r="BG2438" t="s">
        <v>14987</v>
      </c>
      <c r="BM2438" t="s">
        <v>15650</v>
      </c>
    </row>
    <row r="2439" spans="1:66">
      <c r="A2439" s="1">
        <f>HYPERLINK("https://lsnyc.legalserver.org/matter/dynamic-profile/view/1909324","19-1909324")</f>
        <v>0</v>
      </c>
      <c r="B2439" t="s">
        <v>154</v>
      </c>
      <c r="C2439" t="s">
        <v>245</v>
      </c>
      <c r="D2439" t="s">
        <v>375</v>
      </c>
      <c r="F2439" t="s">
        <v>2130</v>
      </c>
      <c r="G2439" t="s">
        <v>3930</v>
      </c>
      <c r="H2439" t="s">
        <v>5593</v>
      </c>
      <c r="I2439">
        <v>31</v>
      </c>
      <c r="J2439" t="s">
        <v>7169</v>
      </c>
      <c r="K2439">
        <v>10033</v>
      </c>
      <c r="N2439" t="s">
        <v>7237</v>
      </c>
      <c r="O2439" t="s">
        <v>8468</v>
      </c>
      <c r="P2439">
        <v>1</v>
      </c>
      <c r="Q2439">
        <v>0</v>
      </c>
      <c r="R2439">
        <v>72.06</v>
      </c>
      <c r="U2439">
        <v>9000</v>
      </c>
      <c r="W2439">
        <v>14.8</v>
      </c>
      <c r="X2439" t="s">
        <v>539</v>
      </c>
      <c r="Y2439" t="s">
        <v>127</v>
      </c>
      <c r="AA2439" t="s">
        <v>10974</v>
      </c>
      <c r="AB2439" t="s">
        <v>375</v>
      </c>
      <c r="AD2439" t="s">
        <v>11083</v>
      </c>
      <c r="AF2439" t="s">
        <v>11121</v>
      </c>
      <c r="AH2439" t="s">
        <v>10975</v>
      </c>
      <c r="AJ2439" t="s">
        <v>11137</v>
      </c>
      <c r="AK2439" t="s">
        <v>7225</v>
      </c>
      <c r="AM2439">
        <v>792.47</v>
      </c>
      <c r="AO2439">
        <v>38</v>
      </c>
      <c r="AQ2439" t="s">
        <v>11157</v>
      </c>
      <c r="AS2439" t="s">
        <v>11175</v>
      </c>
      <c r="AU2439">
        <v>16</v>
      </c>
      <c r="AW2439" t="s">
        <v>11189</v>
      </c>
      <c r="BA2439" t="s">
        <v>11222</v>
      </c>
      <c r="BE2439" t="s">
        <v>13070</v>
      </c>
      <c r="BF2439" t="s">
        <v>14364</v>
      </c>
      <c r="BM2439" t="s">
        <v>15650</v>
      </c>
    </row>
    <row r="2440" spans="1:66">
      <c r="A2440" s="1">
        <f>HYPERLINK("https://lsnyc.legalserver.org/matter/dynamic-profile/view/1872229","18-1872229")</f>
        <v>0</v>
      </c>
      <c r="B2440" t="s">
        <v>154</v>
      </c>
      <c r="C2440" t="s">
        <v>245</v>
      </c>
      <c r="D2440" t="s">
        <v>541</v>
      </c>
      <c r="F2440" t="s">
        <v>1122</v>
      </c>
      <c r="G2440" t="s">
        <v>3226</v>
      </c>
      <c r="H2440" t="s">
        <v>5594</v>
      </c>
      <c r="I2440" t="s">
        <v>6863</v>
      </c>
      <c r="J2440" t="s">
        <v>7169</v>
      </c>
      <c r="K2440">
        <v>10033</v>
      </c>
      <c r="N2440" t="s">
        <v>7237</v>
      </c>
      <c r="O2440" t="s">
        <v>8813</v>
      </c>
      <c r="P2440">
        <v>3</v>
      </c>
      <c r="Q2440">
        <v>0</v>
      </c>
      <c r="R2440">
        <v>150.14</v>
      </c>
      <c r="U2440">
        <v>31200</v>
      </c>
      <c r="W2440">
        <v>100.4</v>
      </c>
      <c r="X2440" t="s">
        <v>441</v>
      </c>
      <c r="Y2440" t="s">
        <v>127</v>
      </c>
      <c r="AA2440" t="s">
        <v>10974</v>
      </c>
      <c r="AB2440" t="s">
        <v>541</v>
      </c>
      <c r="AD2440" t="s">
        <v>11083</v>
      </c>
      <c r="AF2440" t="s">
        <v>11118</v>
      </c>
      <c r="AH2440" t="s">
        <v>10975</v>
      </c>
      <c r="AJ2440" t="s">
        <v>11130</v>
      </c>
      <c r="AK2440" t="s">
        <v>7225</v>
      </c>
      <c r="AM2440">
        <v>1849.62</v>
      </c>
      <c r="AO2440">
        <v>19</v>
      </c>
      <c r="AQ2440" t="s">
        <v>11157</v>
      </c>
      <c r="AS2440" t="s">
        <v>11173</v>
      </c>
      <c r="AU2440">
        <v>15</v>
      </c>
      <c r="AW2440" t="s">
        <v>11189</v>
      </c>
      <c r="AZ2440" t="s">
        <v>11221</v>
      </c>
      <c r="BE2440" t="s">
        <v>13071</v>
      </c>
      <c r="BG2440" t="s">
        <v>14988</v>
      </c>
      <c r="BM2440" t="s">
        <v>15650</v>
      </c>
    </row>
    <row r="2441" spans="1:66">
      <c r="A2441" s="1">
        <f>HYPERLINK("https://lsnyc.legalserver.org/matter/dynamic-profile/view/1899751","19-1899751")</f>
        <v>0</v>
      </c>
      <c r="B2441" t="s">
        <v>154</v>
      </c>
      <c r="C2441" t="s">
        <v>245</v>
      </c>
      <c r="D2441" t="s">
        <v>584</v>
      </c>
      <c r="F2441" t="s">
        <v>1149</v>
      </c>
      <c r="G2441" t="s">
        <v>3931</v>
      </c>
      <c r="H2441" t="s">
        <v>5595</v>
      </c>
      <c r="I2441" t="s">
        <v>6864</v>
      </c>
      <c r="J2441" t="s">
        <v>7169</v>
      </c>
      <c r="K2441">
        <v>10034</v>
      </c>
      <c r="N2441" t="s">
        <v>7237</v>
      </c>
      <c r="O2441" t="s">
        <v>8814</v>
      </c>
      <c r="P2441">
        <v>1</v>
      </c>
      <c r="Q2441">
        <v>0</v>
      </c>
      <c r="R2441">
        <v>82.23999999999999</v>
      </c>
      <c r="U2441">
        <v>10272</v>
      </c>
      <c r="W2441">
        <v>0.51</v>
      </c>
      <c r="X2441" t="s">
        <v>801</v>
      </c>
      <c r="Y2441" t="s">
        <v>127</v>
      </c>
      <c r="AA2441" t="s">
        <v>10974</v>
      </c>
      <c r="AB2441" t="s">
        <v>584</v>
      </c>
      <c r="AD2441" t="s">
        <v>11082</v>
      </c>
      <c r="AF2441" t="s">
        <v>11119</v>
      </c>
      <c r="AH2441" t="s">
        <v>10974</v>
      </c>
      <c r="AJ2441" t="s">
        <v>11130</v>
      </c>
      <c r="AK2441" t="s">
        <v>7225</v>
      </c>
      <c r="AM2441">
        <v>856</v>
      </c>
      <c r="AO2441">
        <v>44</v>
      </c>
      <c r="AQ2441" t="s">
        <v>11157</v>
      </c>
      <c r="AS2441" t="s">
        <v>11174</v>
      </c>
      <c r="AU2441">
        <v>44</v>
      </c>
      <c r="AW2441" t="s">
        <v>11187</v>
      </c>
      <c r="BA2441" t="s">
        <v>11222</v>
      </c>
      <c r="BE2441" t="s">
        <v>13072</v>
      </c>
      <c r="BF2441" t="s">
        <v>14364</v>
      </c>
      <c r="BM2441" t="s">
        <v>15650</v>
      </c>
    </row>
    <row r="2442" spans="1:66">
      <c r="A2442" s="1">
        <f>HYPERLINK("https://lsnyc.legalserver.org/matter/dynamic-profile/view/1864044","18-1864044")</f>
        <v>0</v>
      </c>
      <c r="B2442" t="s">
        <v>154</v>
      </c>
      <c r="C2442" t="s">
        <v>245</v>
      </c>
      <c r="D2442" t="s">
        <v>817</v>
      </c>
      <c r="E2442" t="s">
        <v>638</v>
      </c>
      <c r="F2442" t="s">
        <v>1094</v>
      </c>
      <c r="G2442" t="s">
        <v>2886</v>
      </c>
      <c r="H2442" t="s">
        <v>5494</v>
      </c>
      <c r="I2442" t="s">
        <v>6405</v>
      </c>
      <c r="J2442" t="s">
        <v>7169</v>
      </c>
      <c r="K2442">
        <v>10040</v>
      </c>
      <c r="L2442" t="s">
        <v>7219</v>
      </c>
      <c r="N2442" t="s">
        <v>7237</v>
      </c>
      <c r="O2442" t="s">
        <v>7263</v>
      </c>
      <c r="P2442">
        <v>3</v>
      </c>
      <c r="Q2442">
        <v>2</v>
      </c>
      <c r="R2442">
        <v>163.15</v>
      </c>
      <c r="S2442" t="s">
        <v>652</v>
      </c>
      <c r="U2442">
        <v>76800</v>
      </c>
      <c r="W2442">
        <v>1.3</v>
      </c>
      <c r="X2442" t="s">
        <v>528</v>
      </c>
      <c r="Y2442" t="s">
        <v>127</v>
      </c>
      <c r="AA2442" t="s">
        <v>10974</v>
      </c>
      <c r="AB2442" t="s">
        <v>817</v>
      </c>
      <c r="AD2442" t="s">
        <v>11101</v>
      </c>
      <c r="AF2442" t="s">
        <v>11118</v>
      </c>
      <c r="AH2442" t="s">
        <v>10974</v>
      </c>
      <c r="AJ2442" t="s">
        <v>11129</v>
      </c>
      <c r="AK2442" t="s">
        <v>7225</v>
      </c>
      <c r="AM2442">
        <v>1355</v>
      </c>
      <c r="AO2442">
        <v>44</v>
      </c>
      <c r="AQ2442" t="s">
        <v>11157</v>
      </c>
      <c r="AS2442" t="s">
        <v>11173</v>
      </c>
      <c r="AU2442">
        <v>19</v>
      </c>
      <c r="AW2442" t="s">
        <v>11189</v>
      </c>
      <c r="BA2442" t="s">
        <v>11222</v>
      </c>
      <c r="BE2442" t="s">
        <v>11679</v>
      </c>
      <c r="BG2442" t="s">
        <v>14985</v>
      </c>
      <c r="BJ2442" t="s">
        <v>15615</v>
      </c>
      <c r="BM2442" t="s">
        <v>15651</v>
      </c>
    </row>
    <row r="2443" spans="1:66">
      <c r="A2443" s="1">
        <f>HYPERLINK("https://lsnyc.legalserver.org/matter/dynamic-profile/view/0830528","17-0830528")</f>
        <v>0</v>
      </c>
      <c r="B2443" t="s">
        <v>154</v>
      </c>
      <c r="C2443" t="s">
        <v>245</v>
      </c>
      <c r="D2443" t="s">
        <v>385</v>
      </c>
      <c r="F2443" t="s">
        <v>1498</v>
      </c>
      <c r="G2443" t="s">
        <v>2902</v>
      </c>
      <c r="H2443" t="s">
        <v>5494</v>
      </c>
      <c r="I2443" t="s">
        <v>6486</v>
      </c>
      <c r="J2443" t="s">
        <v>7169</v>
      </c>
      <c r="K2443">
        <v>10040</v>
      </c>
      <c r="N2443" t="s">
        <v>7237</v>
      </c>
      <c r="O2443" t="s">
        <v>8802</v>
      </c>
      <c r="P2443">
        <v>2</v>
      </c>
      <c r="Q2443">
        <v>0</v>
      </c>
      <c r="R2443">
        <v>118</v>
      </c>
      <c r="U2443">
        <v>19164</v>
      </c>
      <c r="W2443">
        <v>232.85</v>
      </c>
      <c r="X2443" t="s">
        <v>262</v>
      </c>
      <c r="Y2443" t="s">
        <v>10859</v>
      </c>
      <c r="Z2443" t="s">
        <v>10972</v>
      </c>
      <c r="AA2443" t="s">
        <v>10976</v>
      </c>
      <c r="AB2443" t="s">
        <v>361</v>
      </c>
      <c r="AD2443" t="s">
        <v>11086</v>
      </c>
      <c r="AF2443" t="s">
        <v>11118</v>
      </c>
      <c r="AH2443" t="s">
        <v>10975</v>
      </c>
      <c r="AJ2443" t="s">
        <v>11134</v>
      </c>
      <c r="AK2443" t="s">
        <v>7225</v>
      </c>
      <c r="AM2443">
        <v>1045.94</v>
      </c>
      <c r="AN2443" t="s">
        <v>11151</v>
      </c>
      <c r="AO2443" t="s">
        <v>11153</v>
      </c>
      <c r="AP2443" t="s">
        <v>11155</v>
      </c>
      <c r="AS2443" t="s">
        <v>11173</v>
      </c>
      <c r="AU2443">
        <v>36</v>
      </c>
      <c r="AW2443" t="s">
        <v>11189</v>
      </c>
      <c r="AZ2443" t="s">
        <v>11221</v>
      </c>
      <c r="BE2443" t="s">
        <v>13060</v>
      </c>
      <c r="BF2443" t="s">
        <v>14364</v>
      </c>
      <c r="BM2443" t="s">
        <v>15650</v>
      </c>
    </row>
    <row r="2444" spans="1:66">
      <c r="A2444" s="1">
        <f>HYPERLINK("https://lsnyc.legalserver.org/matter/dynamic-profile/view/1836411","17-1836411")</f>
        <v>0</v>
      </c>
      <c r="B2444" t="s">
        <v>154</v>
      </c>
      <c r="C2444" t="s">
        <v>245</v>
      </c>
      <c r="D2444" t="s">
        <v>875</v>
      </c>
      <c r="F2444" t="s">
        <v>1231</v>
      </c>
      <c r="G2444" t="s">
        <v>3100</v>
      </c>
      <c r="H2444" t="s">
        <v>5494</v>
      </c>
      <c r="I2444" t="s">
        <v>6410</v>
      </c>
      <c r="J2444" t="s">
        <v>7169</v>
      </c>
      <c r="K2444">
        <v>10040</v>
      </c>
      <c r="N2444" t="s">
        <v>7237</v>
      </c>
      <c r="O2444" t="s">
        <v>8815</v>
      </c>
      <c r="P2444">
        <v>2</v>
      </c>
      <c r="Q2444">
        <v>1</v>
      </c>
      <c r="R2444">
        <v>80.51000000000001</v>
      </c>
      <c r="S2444" t="s">
        <v>652</v>
      </c>
      <c r="U2444">
        <v>16440</v>
      </c>
      <c r="W2444">
        <v>0.21</v>
      </c>
      <c r="X2444" t="s">
        <v>307</v>
      </c>
      <c r="Y2444" t="s">
        <v>10859</v>
      </c>
      <c r="AA2444" t="s">
        <v>10974</v>
      </c>
      <c r="AB2444" t="s">
        <v>809</v>
      </c>
      <c r="AD2444" t="s">
        <v>11101</v>
      </c>
      <c r="AF2444" t="s">
        <v>11122</v>
      </c>
      <c r="AH2444" t="s">
        <v>10974</v>
      </c>
      <c r="AJ2444" t="s">
        <v>11134</v>
      </c>
      <c r="AK2444" t="s">
        <v>7225</v>
      </c>
      <c r="AM2444">
        <v>10085</v>
      </c>
      <c r="AO2444">
        <v>45</v>
      </c>
      <c r="AQ2444" t="s">
        <v>11157</v>
      </c>
      <c r="AS2444" t="s">
        <v>11173</v>
      </c>
      <c r="AU2444">
        <v>20</v>
      </c>
      <c r="AW2444" t="s">
        <v>11189</v>
      </c>
      <c r="AZ2444" t="s">
        <v>11221</v>
      </c>
      <c r="BC2444" t="s">
        <v>11427</v>
      </c>
      <c r="BE2444" t="s">
        <v>13073</v>
      </c>
      <c r="BF2444" t="s">
        <v>14364</v>
      </c>
      <c r="BM2444" t="s">
        <v>15650</v>
      </c>
    </row>
    <row r="2445" spans="1:66">
      <c r="A2445" s="1">
        <f>HYPERLINK("https://lsnyc.legalserver.org/matter/dynamic-profile/view/1904723","19-1904723")</f>
        <v>0</v>
      </c>
      <c r="B2445" t="s">
        <v>154</v>
      </c>
      <c r="C2445" t="s">
        <v>245</v>
      </c>
      <c r="D2445" t="s">
        <v>373</v>
      </c>
      <c r="F2445" t="s">
        <v>1250</v>
      </c>
      <c r="G2445" t="s">
        <v>3301</v>
      </c>
      <c r="H2445" t="s">
        <v>5596</v>
      </c>
      <c r="I2445" t="s">
        <v>6613</v>
      </c>
      <c r="J2445" t="s">
        <v>7169</v>
      </c>
      <c r="K2445">
        <v>10034</v>
      </c>
      <c r="N2445" t="s">
        <v>7237</v>
      </c>
      <c r="O2445" t="s">
        <v>8816</v>
      </c>
      <c r="P2445">
        <v>2</v>
      </c>
      <c r="Q2445">
        <v>0</v>
      </c>
      <c r="R2445">
        <v>413.96</v>
      </c>
      <c r="U2445">
        <v>70000</v>
      </c>
      <c r="W2445">
        <v>0.2</v>
      </c>
      <c r="X2445" t="s">
        <v>433</v>
      </c>
      <c r="Y2445" t="s">
        <v>127</v>
      </c>
      <c r="AA2445" t="s">
        <v>10974</v>
      </c>
      <c r="AB2445" t="s">
        <v>373</v>
      </c>
      <c r="AD2445" t="s">
        <v>11101</v>
      </c>
      <c r="AF2445" t="s">
        <v>11118</v>
      </c>
      <c r="AH2445" t="s">
        <v>10974</v>
      </c>
      <c r="AJ2445" t="s">
        <v>11130</v>
      </c>
      <c r="AK2445" t="s">
        <v>7225</v>
      </c>
      <c r="AM2445">
        <v>1625</v>
      </c>
      <c r="AO2445">
        <v>43</v>
      </c>
      <c r="AQ2445" t="s">
        <v>11157</v>
      </c>
      <c r="AS2445" t="s">
        <v>11173</v>
      </c>
      <c r="AU2445">
        <v>2</v>
      </c>
      <c r="AW2445" t="s">
        <v>11187</v>
      </c>
      <c r="BA2445" t="s">
        <v>11222</v>
      </c>
      <c r="BE2445" t="s">
        <v>13074</v>
      </c>
      <c r="BF2445" t="s">
        <v>14364</v>
      </c>
      <c r="BM2445" t="s">
        <v>15650</v>
      </c>
    </row>
    <row r="2446" spans="1:66">
      <c r="A2446" s="1">
        <f>HYPERLINK("https://lsnyc.legalserver.org/matter/dynamic-profile/view/1874448","18-1874448")</f>
        <v>0</v>
      </c>
      <c r="B2446" t="s">
        <v>154</v>
      </c>
      <c r="C2446" t="s">
        <v>245</v>
      </c>
      <c r="D2446" t="s">
        <v>876</v>
      </c>
      <c r="F2446" t="s">
        <v>1632</v>
      </c>
      <c r="G2446" t="s">
        <v>3504</v>
      </c>
      <c r="H2446" t="s">
        <v>5458</v>
      </c>
      <c r="I2446" t="s">
        <v>6425</v>
      </c>
      <c r="J2446" t="s">
        <v>7169</v>
      </c>
      <c r="K2446">
        <v>10034</v>
      </c>
      <c r="N2446" t="s">
        <v>7237</v>
      </c>
      <c r="O2446" t="s">
        <v>8817</v>
      </c>
      <c r="P2446">
        <v>1</v>
      </c>
      <c r="Q2446">
        <v>0</v>
      </c>
      <c r="R2446">
        <v>164.74</v>
      </c>
      <c r="U2446">
        <v>20000</v>
      </c>
      <c r="W2446">
        <v>9.25</v>
      </c>
      <c r="X2446" t="s">
        <v>271</v>
      </c>
      <c r="Y2446" t="s">
        <v>10882</v>
      </c>
      <c r="AA2446" t="s">
        <v>10974</v>
      </c>
      <c r="AB2446" t="s">
        <v>876</v>
      </c>
      <c r="AD2446" t="s">
        <v>11086</v>
      </c>
      <c r="AF2446" t="s">
        <v>11122</v>
      </c>
      <c r="AH2446" t="s">
        <v>10975</v>
      </c>
      <c r="AJ2446" t="s">
        <v>11130</v>
      </c>
      <c r="AK2446" t="s">
        <v>7225</v>
      </c>
      <c r="AM2446">
        <v>1634</v>
      </c>
      <c r="AO2446">
        <v>20</v>
      </c>
      <c r="AQ2446" t="s">
        <v>11164</v>
      </c>
      <c r="AS2446" t="s">
        <v>11173</v>
      </c>
      <c r="AU2446">
        <v>5</v>
      </c>
      <c r="AW2446" t="s">
        <v>11187</v>
      </c>
      <c r="BA2446" t="s">
        <v>11222</v>
      </c>
      <c r="BE2446" t="s">
        <v>13075</v>
      </c>
      <c r="BF2446" t="s">
        <v>14364</v>
      </c>
      <c r="BM2446" t="s">
        <v>15650</v>
      </c>
    </row>
    <row r="2447" spans="1:66">
      <c r="A2447" s="1">
        <f>HYPERLINK("https://lsnyc.legalserver.org/matter/dynamic-profile/view/1913398","19-1913398")</f>
        <v>0</v>
      </c>
      <c r="B2447" t="s">
        <v>154</v>
      </c>
      <c r="C2447" t="s">
        <v>245</v>
      </c>
      <c r="D2447" t="s">
        <v>273</v>
      </c>
      <c r="F2447" t="s">
        <v>2131</v>
      </c>
      <c r="G2447" t="s">
        <v>3932</v>
      </c>
      <c r="H2447" t="s">
        <v>5597</v>
      </c>
      <c r="I2447">
        <v>43</v>
      </c>
      <c r="J2447" t="s">
        <v>7169</v>
      </c>
      <c r="K2447">
        <v>10034</v>
      </c>
      <c r="N2447" t="s">
        <v>7237</v>
      </c>
      <c r="O2447" t="s">
        <v>8818</v>
      </c>
      <c r="P2447">
        <v>1</v>
      </c>
      <c r="Q2447">
        <v>0</v>
      </c>
      <c r="R2447">
        <v>144.12</v>
      </c>
      <c r="U2447">
        <v>18000</v>
      </c>
      <c r="W2447">
        <v>0</v>
      </c>
      <c r="Y2447" t="s">
        <v>127</v>
      </c>
      <c r="AA2447" t="s">
        <v>10974</v>
      </c>
      <c r="AB2447" t="s">
        <v>273</v>
      </c>
      <c r="AD2447" t="s">
        <v>11098</v>
      </c>
      <c r="AF2447" t="s">
        <v>11122</v>
      </c>
      <c r="AH2447" t="s">
        <v>10974</v>
      </c>
      <c r="AJ2447" t="s">
        <v>11130</v>
      </c>
      <c r="AK2447" t="s">
        <v>7225</v>
      </c>
      <c r="AM2447">
        <v>2000</v>
      </c>
      <c r="AN2447" t="s">
        <v>11151</v>
      </c>
      <c r="AO2447" t="s">
        <v>11153</v>
      </c>
      <c r="AQ2447" t="s">
        <v>11157</v>
      </c>
      <c r="AS2447" t="s">
        <v>11173</v>
      </c>
      <c r="AU2447">
        <v>10</v>
      </c>
      <c r="AW2447" t="s">
        <v>11187</v>
      </c>
      <c r="BA2447" t="s">
        <v>11222</v>
      </c>
      <c r="BD2447" t="s">
        <v>11667</v>
      </c>
      <c r="BF2447" t="s">
        <v>14364</v>
      </c>
      <c r="BM2447" t="s">
        <v>15650</v>
      </c>
    </row>
    <row r="2448" spans="1:66">
      <c r="A2448" s="1">
        <f>HYPERLINK("https://lsnyc.legalserver.org/matter/dynamic-profile/view/1899746","19-1899746")</f>
        <v>0</v>
      </c>
      <c r="B2448" t="s">
        <v>154</v>
      </c>
      <c r="C2448" t="s">
        <v>245</v>
      </c>
      <c r="D2448" t="s">
        <v>584</v>
      </c>
      <c r="F2448" t="s">
        <v>2132</v>
      </c>
      <c r="G2448" t="s">
        <v>3933</v>
      </c>
      <c r="H2448" t="s">
        <v>5590</v>
      </c>
      <c r="I2448" t="s">
        <v>6865</v>
      </c>
      <c r="J2448" t="s">
        <v>7169</v>
      </c>
      <c r="K2448">
        <v>10034</v>
      </c>
      <c r="N2448" t="s">
        <v>7237</v>
      </c>
      <c r="O2448" t="s">
        <v>8819</v>
      </c>
      <c r="P2448">
        <v>2</v>
      </c>
      <c r="Q2448">
        <v>0</v>
      </c>
      <c r="R2448">
        <v>54.71</v>
      </c>
      <c r="U2448">
        <v>9252</v>
      </c>
      <c r="W2448">
        <v>0.01</v>
      </c>
      <c r="X2448" t="s">
        <v>276</v>
      </c>
      <c r="Y2448" t="s">
        <v>127</v>
      </c>
      <c r="AA2448" t="s">
        <v>10974</v>
      </c>
      <c r="AB2448" t="s">
        <v>584</v>
      </c>
      <c r="AD2448" t="s">
        <v>11082</v>
      </c>
      <c r="AF2448" t="s">
        <v>11120</v>
      </c>
      <c r="AH2448" t="s">
        <v>10974</v>
      </c>
      <c r="AJ2448" t="s">
        <v>11129</v>
      </c>
      <c r="AK2448" t="s">
        <v>7225</v>
      </c>
      <c r="AM2448">
        <v>2200</v>
      </c>
      <c r="AO2448">
        <v>44</v>
      </c>
      <c r="AQ2448" t="s">
        <v>11157</v>
      </c>
      <c r="AS2448" t="s">
        <v>11173</v>
      </c>
      <c r="AU2448">
        <v>2</v>
      </c>
      <c r="AW2448" t="s">
        <v>11187</v>
      </c>
      <c r="BA2448" t="s">
        <v>11222</v>
      </c>
      <c r="BE2448" t="s">
        <v>13076</v>
      </c>
      <c r="BF2448" t="s">
        <v>14364</v>
      </c>
      <c r="BM2448" t="s">
        <v>15650</v>
      </c>
    </row>
    <row r="2449" spans="1:65">
      <c r="A2449" s="1">
        <f>HYPERLINK("https://lsnyc.legalserver.org/matter/dynamic-profile/view/1910706","19-1910706")</f>
        <v>0</v>
      </c>
      <c r="B2449" t="s">
        <v>154</v>
      </c>
      <c r="C2449" t="s">
        <v>245</v>
      </c>
      <c r="D2449" t="s">
        <v>327</v>
      </c>
      <c r="F2449" t="s">
        <v>1260</v>
      </c>
      <c r="G2449" t="s">
        <v>3438</v>
      </c>
      <c r="H2449" t="s">
        <v>5598</v>
      </c>
      <c r="I2449" t="s">
        <v>6440</v>
      </c>
      <c r="J2449" t="s">
        <v>7169</v>
      </c>
      <c r="K2449">
        <v>10040</v>
      </c>
      <c r="N2449" t="s">
        <v>7237</v>
      </c>
      <c r="O2449" t="s">
        <v>8820</v>
      </c>
      <c r="P2449">
        <v>2</v>
      </c>
      <c r="Q2449">
        <v>0</v>
      </c>
      <c r="R2449">
        <v>70.95999999999999</v>
      </c>
      <c r="U2449">
        <v>12000</v>
      </c>
      <c r="W2449">
        <v>1.25</v>
      </c>
      <c r="X2449" t="s">
        <v>327</v>
      </c>
      <c r="Y2449" t="s">
        <v>127</v>
      </c>
      <c r="AA2449" t="s">
        <v>10974</v>
      </c>
      <c r="AB2449" t="s">
        <v>327</v>
      </c>
      <c r="AD2449" t="s">
        <v>11101</v>
      </c>
      <c r="AF2449" t="s">
        <v>11121</v>
      </c>
      <c r="AH2449" t="s">
        <v>10975</v>
      </c>
      <c r="AJ2449" t="s">
        <v>11129</v>
      </c>
      <c r="AK2449" t="s">
        <v>7225</v>
      </c>
      <c r="AM2449">
        <v>2050</v>
      </c>
      <c r="AO2449">
        <v>54</v>
      </c>
      <c r="AQ2449" t="s">
        <v>11157</v>
      </c>
      <c r="AS2449" t="s">
        <v>11173</v>
      </c>
      <c r="AU2449">
        <v>4</v>
      </c>
      <c r="AW2449" t="s">
        <v>11187</v>
      </c>
      <c r="BA2449" t="s">
        <v>11222</v>
      </c>
      <c r="BE2449" t="s">
        <v>13077</v>
      </c>
      <c r="BF2449" t="s">
        <v>14364</v>
      </c>
      <c r="BM2449" t="s">
        <v>15650</v>
      </c>
    </row>
    <row r="2450" spans="1:65">
      <c r="A2450" s="1">
        <f>HYPERLINK("https://lsnyc.legalserver.org/matter/dynamic-profile/view/1863061","18-1863061")</f>
        <v>0</v>
      </c>
      <c r="B2450" t="s">
        <v>154</v>
      </c>
      <c r="C2450" t="s">
        <v>245</v>
      </c>
      <c r="D2450" t="s">
        <v>758</v>
      </c>
      <c r="F2450" t="s">
        <v>2133</v>
      </c>
      <c r="G2450" t="s">
        <v>2507</v>
      </c>
      <c r="H2450" t="s">
        <v>5462</v>
      </c>
      <c r="I2450" t="s">
        <v>6501</v>
      </c>
      <c r="J2450" t="s">
        <v>7169</v>
      </c>
      <c r="K2450">
        <v>10034</v>
      </c>
      <c r="N2450" t="s">
        <v>7237</v>
      </c>
      <c r="O2450" t="s">
        <v>8821</v>
      </c>
      <c r="P2450">
        <v>2</v>
      </c>
      <c r="Q2450">
        <v>0</v>
      </c>
      <c r="R2450">
        <v>662.21</v>
      </c>
      <c r="U2450">
        <v>109000</v>
      </c>
      <c r="W2450">
        <v>0.05</v>
      </c>
      <c r="X2450" t="s">
        <v>307</v>
      </c>
      <c r="Y2450" t="s">
        <v>127</v>
      </c>
      <c r="AA2450" t="s">
        <v>10974</v>
      </c>
      <c r="AB2450" t="s">
        <v>10984</v>
      </c>
      <c r="AD2450" t="s">
        <v>11101</v>
      </c>
      <c r="AF2450" t="s">
        <v>11118</v>
      </c>
      <c r="AH2450" t="s">
        <v>10974</v>
      </c>
      <c r="AJ2450" t="s">
        <v>11130</v>
      </c>
      <c r="AK2450" t="s">
        <v>7225</v>
      </c>
      <c r="AM2450">
        <v>1363.5</v>
      </c>
      <c r="AO2450">
        <v>63</v>
      </c>
      <c r="AQ2450" t="s">
        <v>11157</v>
      </c>
      <c r="AS2450" t="s">
        <v>11173</v>
      </c>
      <c r="AU2450">
        <v>4</v>
      </c>
      <c r="AW2450" t="s">
        <v>11187</v>
      </c>
      <c r="AZ2450" t="s">
        <v>11221</v>
      </c>
      <c r="BE2450" t="s">
        <v>13078</v>
      </c>
      <c r="BF2450" t="s">
        <v>14364</v>
      </c>
      <c r="BM2450" t="s">
        <v>15650</v>
      </c>
    </row>
    <row r="2451" spans="1:65">
      <c r="A2451" s="1">
        <f>HYPERLINK("https://lsnyc.legalserver.org/matter/dynamic-profile/view/1853541","17-1853541")</f>
        <v>0</v>
      </c>
      <c r="B2451" t="s">
        <v>154</v>
      </c>
      <c r="C2451" t="s">
        <v>245</v>
      </c>
      <c r="D2451" t="s">
        <v>877</v>
      </c>
      <c r="F2451" t="s">
        <v>1090</v>
      </c>
      <c r="G2451" t="s">
        <v>3385</v>
      </c>
      <c r="H2451" t="s">
        <v>5599</v>
      </c>
      <c r="I2451" t="s">
        <v>6573</v>
      </c>
      <c r="J2451" t="s">
        <v>7169</v>
      </c>
      <c r="K2451">
        <v>10034</v>
      </c>
      <c r="N2451" t="s">
        <v>7237</v>
      </c>
      <c r="O2451" t="s">
        <v>8822</v>
      </c>
      <c r="P2451">
        <v>1</v>
      </c>
      <c r="Q2451">
        <v>0</v>
      </c>
      <c r="R2451">
        <v>21.39</v>
      </c>
      <c r="U2451">
        <v>2580</v>
      </c>
      <c r="W2451">
        <v>121.38</v>
      </c>
      <c r="X2451" t="s">
        <v>638</v>
      </c>
      <c r="Y2451" t="s">
        <v>127</v>
      </c>
      <c r="AA2451" t="s">
        <v>10974</v>
      </c>
      <c r="AB2451" t="s">
        <v>644</v>
      </c>
      <c r="AD2451" t="s">
        <v>11082</v>
      </c>
      <c r="AF2451" t="s">
        <v>11118</v>
      </c>
      <c r="AH2451" t="s">
        <v>10975</v>
      </c>
      <c r="AJ2451" t="s">
        <v>11130</v>
      </c>
      <c r="AK2451" t="s">
        <v>7225</v>
      </c>
      <c r="AM2451">
        <v>972.72</v>
      </c>
      <c r="AO2451">
        <v>121</v>
      </c>
      <c r="AQ2451" t="s">
        <v>11157</v>
      </c>
      <c r="AS2451" t="s">
        <v>11173</v>
      </c>
      <c r="AU2451">
        <v>32</v>
      </c>
      <c r="AW2451" t="s">
        <v>11189</v>
      </c>
      <c r="AZ2451" t="s">
        <v>11221</v>
      </c>
      <c r="BE2451" t="s">
        <v>13079</v>
      </c>
      <c r="BG2451" t="s">
        <v>14989</v>
      </c>
      <c r="BM2451" t="s">
        <v>15650</v>
      </c>
    </row>
    <row r="2452" spans="1:65">
      <c r="A2452" s="1">
        <f>HYPERLINK("https://lsnyc.legalserver.org/matter/dynamic-profile/view/1913174","19-1913174")</f>
        <v>0</v>
      </c>
      <c r="B2452" t="s">
        <v>154</v>
      </c>
      <c r="C2452" t="s">
        <v>245</v>
      </c>
      <c r="D2452" t="s">
        <v>801</v>
      </c>
      <c r="E2452" t="s">
        <v>638</v>
      </c>
      <c r="F2452" t="s">
        <v>2059</v>
      </c>
      <c r="G2452" t="s">
        <v>3851</v>
      </c>
      <c r="H2452" t="s">
        <v>5494</v>
      </c>
      <c r="I2452" t="s">
        <v>6421</v>
      </c>
      <c r="J2452" t="s">
        <v>7169</v>
      </c>
      <c r="K2452">
        <v>10040</v>
      </c>
      <c r="L2452" t="s">
        <v>7219</v>
      </c>
      <c r="N2452" t="s">
        <v>7237</v>
      </c>
      <c r="O2452" t="s">
        <v>8678</v>
      </c>
      <c r="P2452">
        <v>1</v>
      </c>
      <c r="Q2452">
        <v>0</v>
      </c>
      <c r="R2452">
        <v>187.64</v>
      </c>
      <c r="U2452">
        <v>23436</v>
      </c>
      <c r="W2452">
        <v>0.1</v>
      </c>
      <c r="X2452" t="s">
        <v>528</v>
      </c>
      <c r="Y2452" t="s">
        <v>127</v>
      </c>
      <c r="AA2452" t="s">
        <v>10974</v>
      </c>
      <c r="AB2452" t="s">
        <v>801</v>
      </c>
      <c r="AD2452" t="s">
        <v>11101</v>
      </c>
      <c r="AF2452" t="s">
        <v>11118</v>
      </c>
      <c r="AH2452" t="s">
        <v>10974</v>
      </c>
      <c r="AJ2452" t="s">
        <v>11129</v>
      </c>
      <c r="AK2452" t="s">
        <v>7225</v>
      </c>
      <c r="AM2452">
        <v>700</v>
      </c>
      <c r="AO2452">
        <v>44</v>
      </c>
      <c r="AQ2452" t="s">
        <v>11157</v>
      </c>
      <c r="AS2452" t="s">
        <v>11173</v>
      </c>
      <c r="AU2452">
        <v>47</v>
      </c>
      <c r="AW2452" t="s">
        <v>11189</v>
      </c>
      <c r="BA2452" t="s">
        <v>11222</v>
      </c>
      <c r="BE2452" t="s">
        <v>12941</v>
      </c>
      <c r="BF2452" t="s">
        <v>14364</v>
      </c>
      <c r="BG2452" t="s">
        <v>14913</v>
      </c>
      <c r="BJ2452" t="s">
        <v>15615</v>
      </c>
      <c r="BM2452" t="s">
        <v>15651</v>
      </c>
    </row>
    <row r="2453" spans="1:65">
      <c r="A2453" s="1">
        <f>HYPERLINK("https://lsnyc.legalserver.org/matter/dynamic-profile/view/1913394","19-1913394")</f>
        <v>0</v>
      </c>
      <c r="B2453" t="s">
        <v>154</v>
      </c>
      <c r="C2453" t="s">
        <v>245</v>
      </c>
      <c r="D2453" t="s">
        <v>273</v>
      </c>
      <c r="F2453" t="s">
        <v>2134</v>
      </c>
      <c r="G2453" t="s">
        <v>2877</v>
      </c>
      <c r="H2453" t="s">
        <v>5597</v>
      </c>
      <c r="I2453">
        <v>42</v>
      </c>
      <c r="J2453" t="s">
        <v>7169</v>
      </c>
      <c r="K2453">
        <v>10034</v>
      </c>
      <c r="N2453" t="s">
        <v>7237</v>
      </c>
      <c r="O2453" t="s">
        <v>7602</v>
      </c>
      <c r="P2453">
        <v>1</v>
      </c>
      <c r="Q2453">
        <v>0</v>
      </c>
      <c r="R2453">
        <v>291.43</v>
      </c>
      <c r="U2453">
        <v>36400</v>
      </c>
      <c r="W2453">
        <v>47.25</v>
      </c>
      <c r="X2453" t="s">
        <v>638</v>
      </c>
      <c r="Y2453" t="s">
        <v>127</v>
      </c>
      <c r="AA2453" t="s">
        <v>10974</v>
      </c>
      <c r="AB2453" t="s">
        <v>273</v>
      </c>
      <c r="AD2453" t="s">
        <v>11098</v>
      </c>
      <c r="AF2453" t="s">
        <v>11122</v>
      </c>
      <c r="AH2453" t="s">
        <v>10974</v>
      </c>
      <c r="AJ2453" t="s">
        <v>11129</v>
      </c>
      <c r="AK2453" t="s">
        <v>7225</v>
      </c>
      <c r="AM2453">
        <v>937.48</v>
      </c>
      <c r="AN2453" t="s">
        <v>11151</v>
      </c>
      <c r="AO2453" t="s">
        <v>11153</v>
      </c>
      <c r="AQ2453" t="s">
        <v>11157</v>
      </c>
      <c r="AS2453" t="s">
        <v>11173</v>
      </c>
      <c r="AU2453">
        <v>45</v>
      </c>
      <c r="AW2453" t="s">
        <v>11187</v>
      </c>
      <c r="BA2453" t="s">
        <v>11222</v>
      </c>
      <c r="BE2453" t="s">
        <v>13080</v>
      </c>
      <c r="BF2453" t="s">
        <v>14364</v>
      </c>
      <c r="BM2453" t="s">
        <v>15650</v>
      </c>
    </row>
    <row r="2454" spans="1:65">
      <c r="A2454" s="1">
        <f>HYPERLINK("https://lsnyc.legalserver.org/matter/dynamic-profile/view/1836398","17-1836398")</f>
        <v>0</v>
      </c>
      <c r="B2454" t="s">
        <v>154</v>
      </c>
      <c r="C2454" t="s">
        <v>245</v>
      </c>
      <c r="D2454" t="s">
        <v>875</v>
      </c>
      <c r="F2454" t="s">
        <v>1090</v>
      </c>
      <c r="G2454" t="s">
        <v>2885</v>
      </c>
      <c r="H2454" t="s">
        <v>5494</v>
      </c>
      <c r="I2454" t="s">
        <v>6403</v>
      </c>
      <c r="J2454" t="s">
        <v>7169</v>
      </c>
      <c r="K2454">
        <v>10040</v>
      </c>
      <c r="N2454" t="s">
        <v>7237</v>
      </c>
      <c r="O2454" t="s">
        <v>8654</v>
      </c>
      <c r="P2454">
        <v>1</v>
      </c>
      <c r="Q2454">
        <v>0</v>
      </c>
      <c r="R2454">
        <v>81.39</v>
      </c>
      <c r="U2454">
        <v>9816</v>
      </c>
      <c r="W2454">
        <v>2.46</v>
      </c>
      <c r="X2454" t="s">
        <v>307</v>
      </c>
      <c r="Y2454" t="s">
        <v>10859</v>
      </c>
      <c r="Z2454" t="s">
        <v>10972</v>
      </c>
      <c r="AA2454" t="s">
        <v>10976</v>
      </c>
      <c r="AB2454" t="s">
        <v>809</v>
      </c>
      <c r="AD2454" t="s">
        <v>11101</v>
      </c>
      <c r="AF2454" t="s">
        <v>11122</v>
      </c>
      <c r="AH2454" t="s">
        <v>10974</v>
      </c>
      <c r="AJ2454" t="s">
        <v>11134</v>
      </c>
      <c r="AK2454" t="s">
        <v>7225</v>
      </c>
      <c r="AL2454" t="s">
        <v>11150</v>
      </c>
      <c r="AM2454">
        <v>0</v>
      </c>
      <c r="AO2454">
        <v>45</v>
      </c>
      <c r="AQ2454" t="s">
        <v>11157</v>
      </c>
      <c r="AS2454" t="s">
        <v>11173</v>
      </c>
      <c r="AU2454">
        <v>35</v>
      </c>
      <c r="AW2454" t="s">
        <v>11189</v>
      </c>
      <c r="AZ2454" t="s">
        <v>11221</v>
      </c>
      <c r="BE2454" t="s">
        <v>12921</v>
      </c>
      <c r="BF2454" t="s">
        <v>14364</v>
      </c>
      <c r="BM2454" t="s">
        <v>15650</v>
      </c>
    </row>
    <row r="2455" spans="1:65">
      <c r="A2455" s="1">
        <f>HYPERLINK("https://lsnyc.legalserver.org/matter/dynamic-profile/view/1869879","18-1869879")</f>
        <v>0</v>
      </c>
      <c r="B2455" t="s">
        <v>154</v>
      </c>
      <c r="C2455" t="s">
        <v>245</v>
      </c>
      <c r="D2455" t="s">
        <v>298</v>
      </c>
      <c r="F2455" t="s">
        <v>1343</v>
      </c>
      <c r="G2455" t="s">
        <v>2911</v>
      </c>
      <c r="H2455" t="s">
        <v>5600</v>
      </c>
      <c r="I2455" t="s">
        <v>6623</v>
      </c>
      <c r="J2455" t="s">
        <v>7169</v>
      </c>
      <c r="K2455">
        <v>10034</v>
      </c>
      <c r="N2455" t="s">
        <v>7237</v>
      </c>
      <c r="O2455" t="s">
        <v>8823</v>
      </c>
      <c r="P2455">
        <v>1</v>
      </c>
      <c r="Q2455">
        <v>1</v>
      </c>
      <c r="R2455">
        <v>243.01</v>
      </c>
      <c r="U2455">
        <v>40000</v>
      </c>
      <c r="W2455">
        <v>3.86</v>
      </c>
      <c r="X2455" t="s">
        <v>660</v>
      </c>
      <c r="Y2455" t="s">
        <v>127</v>
      </c>
      <c r="AA2455" t="s">
        <v>10974</v>
      </c>
      <c r="AB2455" t="s">
        <v>298</v>
      </c>
      <c r="AD2455" t="s">
        <v>11098</v>
      </c>
      <c r="AF2455" t="s">
        <v>11118</v>
      </c>
      <c r="AH2455" t="s">
        <v>10974</v>
      </c>
      <c r="AJ2455" t="s">
        <v>11130</v>
      </c>
      <c r="AK2455" t="s">
        <v>7225</v>
      </c>
      <c r="AM2455">
        <v>1700</v>
      </c>
      <c r="AO2455">
        <v>228</v>
      </c>
      <c r="AQ2455" t="s">
        <v>11157</v>
      </c>
      <c r="AS2455" t="s">
        <v>11173</v>
      </c>
      <c r="AU2455">
        <v>4</v>
      </c>
      <c r="AW2455" t="s">
        <v>11187</v>
      </c>
      <c r="AZ2455" t="s">
        <v>11221</v>
      </c>
      <c r="BE2455" t="s">
        <v>13081</v>
      </c>
      <c r="BF2455" t="s">
        <v>14364</v>
      </c>
      <c r="BM2455" t="s">
        <v>15650</v>
      </c>
    </row>
    <row r="2456" spans="1:65">
      <c r="A2456" s="1">
        <f>HYPERLINK("https://lsnyc.legalserver.org/matter/dynamic-profile/view/1875631","18-1875631")</f>
        <v>0</v>
      </c>
      <c r="B2456" t="s">
        <v>154</v>
      </c>
      <c r="C2456" t="s">
        <v>245</v>
      </c>
      <c r="D2456" t="s">
        <v>518</v>
      </c>
      <c r="F2456" t="s">
        <v>2135</v>
      </c>
      <c r="G2456" t="s">
        <v>3168</v>
      </c>
      <c r="H2456" t="s">
        <v>5601</v>
      </c>
      <c r="I2456">
        <v>49</v>
      </c>
      <c r="J2456" t="s">
        <v>7169</v>
      </c>
      <c r="K2456">
        <v>10033</v>
      </c>
      <c r="N2456" t="s">
        <v>7237</v>
      </c>
      <c r="O2456" t="s">
        <v>8824</v>
      </c>
      <c r="P2456">
        <v>2</v>
      </c>
      <c r="Q2456">
        <v>0</v>
      </c>
      <c r="R2456">
        <v>71.23</v>
      </c>
      <c r="U2456">
        <v>11724</v>
      </c>
      <c r="W2456">
        <v>4.25</v>
      </c>
      <c r="X2456" t="s">
        <v>896</v>
      </c>
      <c r="Y2456" t="s">
        <v>127</v>
      </c>
      <c r="AA2456" t="s">
        <v>10974</v>
      </c>
      <c r="AB2456" t="s">
        <v>518</v>
      </c>
      <c r="AD2456" t="s">
        <v>11082</v>
      </c>
      <c r="AF2456" t="s">
        <v>11120</v>
      </c>
      <c r="AH2456" t="s">
        <v>10975</v>
      </c>
      <c r="AJ2456" t="s">
        <v>11130</v>
      </c>
      <c r="AK2456" t="s">
        <v>7225</v>
      </c>
      <c r="AM2456">
        <v>1756.71</v>
      </c>
      <c r="AO2456">
        <v>50</v>
      </c>
      <c r="AQ2456" t="s">
        <v>11157</v>
      </c>
      <c r="AS2456" t="s">
        <v>11174</v>
      </c>
      <c r="AU2456">
        <v>25</v>
      </c>
      <c r="AW2456" t="s">
        <v>11187</v>
      </c>
      <c r="AZ2456" t="s">
        <v>11221</v>
      </c>
      <c r="BE2456" t="s">
        <v>13082</v>
      </c>
      <c r="BF2456" t="s">
        <v>14364</v>
      </c>
      <c r="BM2456" t="s">
        <v>15650</v>
      </c>
    </row>
    <row r="2457" spans="1:65">
      <c r="A2457" s="1">
        <f>HYPERLINK("https://lsnyc.legalserver.org/matter/dynamic-profile/view/1861676","18-1861676")</f>
        <v>0</v>
      </c>
      <c r="B2457" t="s">
        <v>154</v>
      </c>
      <c r="C2457" t="s">
        <v>245</v>
      </c>
      <c r="D2457" t="s">
        <v>873</v>
      </c>
      <c r="F2457" t="s">
        <v>1102</v>
      </c>
      <c r="G2457" t="s">
        <v>3934</v>
      </c>
      <c r="H2457" t="s">
        <v>4888</v>
      </c>
      <c r="I2457">
        <v>22</v>
      </c>
      <c r="J2457" t="s">
        <v>7169</v>
      </c>
      <c r="K2457">
        <v>10034</v>
      </c>
      <c r="N2457" t="s">
        <v>7237</v>
      </c>
      <c r="O2457" t="s">
        <v>8825</v>
      </c>
      <c r="P2457">
        <v>1</v>
      </c>
      <c r="Q2457">
        <v>0</v>
      </c>
      <c r="R2457">
        <v>9.880000000000001</v>
      </c>
      <c r="U2457">
        <v>1200</v>
      </c>
      <c r="W2457">
        <v>156.61</v>
      </c>
      <c r="X2457" t="s">
        <v>307</v>
      </c>
      <c r="Y2457" t="s">
        <v>10890</v>
      </c>
      <c r="AA2457" t="s">
        <v>10974</v>
      </c>
      <c r="AB2457" t="s">
        <v>817</v>
      </c>
      <c r="AD2457" t="s">
        <v>11082</v>
      </c>
      <c r="AF2457" t="s">
        <v>11118</v>
      </c>
      <c r="AH2457" t="s">
        <v>10975</v>
      </c>
      <c r="AJ2457" t="s">
        <v>11143</v>
      </c>
      <c r="AK2457" t="s">
        <v>7225</v>
      </c>
      <c r="AM2457">
        <v>2000</v>
      </c>
      <c r="AO2457">
        <v>30</v>
      </c>
      <c r="AP2457" t="s">
        <v>11155</v>
      </c>
      <c r="AS2457" t="s">
        <v>11176</v>
      </c>
      <c r="AU2457">
        <v>24</v>
      </c>
      <c r="AW2457" t="s">
        <v>11187</v>
      </c>
      <c r="AZ2457" t="s">
        <v>11221</v>
      </c>
      <c r="BD2457" t="s">
        <v>11667</v>
      </c>
      <c r="BG2457" t="s">
        <v>14990</v>
      </c>
      <c r="BM2457" t="s">
        <v>15650</v>
      </c>
    </row>
    <row r="2458" spans="1:65">
      <c r="A2458" s="1">
        <f>HYPERLINK("https://lsnyc.legalserver.org/matter/dynamic-profile/view/1836404","17-1836404")</f>
        <v>0</v>
      </c>
      <c r="B2458" t="s">
        <v>154</v>
      </c>
      <c r="C2458" t="s">
        <v>245</v>
      </c>
      <c r="D2458" t="s">
        <v>875</v>
      </c>
      <c r="F2458" t="s">
        <v>2128</v>
      </c>
      <c r="G2458" t="s">
        <v>3927</v>
      </c>
      <c r="H2458" t="s">
        <v>5494</v>
      </c>
      <c r="I2458" t="s">
        <v>6415</v>
      </c>
      <c r="J2458" t="s">
        <v>7169</v>
      </c>
      <c r="K2458">
        <v>10040</v>
      </c>
      <c r="N2458" t="s">
        <v>7237</v>
      </c>
      <c r="O2458" t="s">
        <v>8809</v>
      </c>
      <c r="P2458">
        <v>1</v>
      </c>
      <c r="Q2458">
        <v>0</v>
      </c>
      <c r="R2458">
        <v>150.91</v>
      </c>
      <c r="S2458" t="s">
        <v>652</v>
      </c>
      <c r="U2458">
        <v>18200</v>
      </c>
      <c r="W2458">
        <v>0.51</v>
      </c>
      <c r="X2458" t="s">
        <v>276</v>
      </c>
      <c r="Y2458" t="s">
        <v>10859</v>
      </c>
      <c r="AA2458" t="s">
        <v>10974</v>
      </c>
      <c r="AB2458" t="s">
        <v>361</v>
      </c>
      <c r="AD2458" t="s">
        <v>11098</v>
      </c>
      <c r="AF2458" t="s">
        <v>11122</v>
      </c>
      <c r="AH2458" t="s">
        <v>10974</v>
      </c>
      <c r="AJ2458" t="s">
        <v>11134</v>
      </c>
      <c r="AK2458" t="s">
        <v>7225</v>
      </c>
      <c r="AM2458">
        <v>1398.48</v>
      </c>
      <c r="AO2458">
        <v>45</v>
      </c>
      <c r="AQ2458" t="s">
        <v>11157</v>
      </c>
      <c r="AS2458" t="s">
        <v>11173</v>
      </c>
      <c r="AU2458">
        <v>18</v>
      </c>
      <c r="AW2458" t="s">
        <v>11189</v>
      </c>
      <c r="AZ2458" t="s">
        <v>11221</v>
      </c>
      <c r="BE2458" t="s">
        <v>13066</v>
      </c>
      <c r="BF2458" t="s">
        <v>14364</v>
      </c>
      <c r="BM2458" t="s">
        <v>15650</v>
      </c>
    </row>
    <row r="2459" spans="1:65">
      <c r="A2459" s="1">
        <f>HYPERLINK("https://lsnyc.legalserver.org/matter/dynamic-profile/view/1836155","17-1836155")</f>
        <v>0</v>
      </c>
      <c r="B2459" t="s">
        <v>154</v>
      </c>
      <c r="C2459" t="s">
        <v>245</v>
      </c>
      <c r="D2459" t="s">
        <v>808</v>
      </c>
      <c r="F2459" t="s">
        <v>1498</v>
      </c>
      <c r="G2459" t="s">
        <v>2902</v>
      </c>
      <c r="H2459" t="s">
        <v>5602</v>
      </c>
      <c r="I2459" t="s">
        <v>6486</v>
      </c>
      <c r="J2459" t="s">
        <v>7169</v>
      </c>
      <c r="K2459">
        <v>10040</v>
      </c>
      <c r="N2459" t="s">
        <v>7237</v>
      </c>
      <c r="O2459" t="s">
        <v>8802</v>
      </c>
      <c r="P2459">
        <v>3</v>
      </c>
      <c r="Q2459">
        <v>0</v>
      </c>
      <c r="R2459">
        <v>173.36</v>
      </c>
      <c r="S2459" t="s">
        <v>652</v>
      </c>
      <c r="U2459">
        <v>45648</v>
      </c>
      <c r="W2459">
        <v>96.20999999999999</v>
      </c>
      <c r="X2459" t="s">
        <v>337</v>
      </c>
      <c r="Y2459" t="s">
        <v>10859</v>
      </c>
      <c r="AA2459" t="s">
        <v>10974</v>
      </c>
      <c r="AB2459" t="s">
        <v>11046</v>
      </c>
      <c r="AD2459" t="s">
        <v>11101</v>
      </c>
      <c r="AF2459" t="s">
        <v>11122</v>
      </c>
      <c r="AH2459" t="s">
        <v>10974</v>
      </c>
      <c r="AJ2459" t="s">
        <v>11134</v>
      </c>
      <c r="AK2459" t="s">
        <v>7225</v>
      </c>
      <c r="AM2459">
        <v>1045.94</v>
      </c>
      <c r="AO2459">
        <v>45</v>
      </c>
      <c r="AQ2459" t="s">
        <v>11157</v>
      </c>
      <c r="AS2459" t="s">
        <v>11173</v>
      </c>
      <c r="AU2459">
        <v>36</v>
      </c>
      <c r="AW2459" t="s">
        <v>11189</v>
      </c>
      <c r="AZ2459" t="s">
        <v>11221</v>
      </c>
      <c r="BE2459" t="s">
        <v>13060</v>
      </c>
      <c r="BG2459" t="s">
        <v>14985</v>
      </c>
      <c r="BM2459" t="s">
        <v>15650</v>
      </c>
    </row>
    <row r="2460" spans="1:65">
      <c r="A2460" s="1">
        <f>HYPERLINK("https://lsnyc.legalserver.org/matter/dynamic-profile/view/1836130","17-1836130")</f>
        <v>0</v>
      </c>
      <c r="B2460" t="s">
        <v>154</v>
      </c>
      <c r="C2460" t="s">
        <v>245</v>
      </c>
      <c r="D2460" t="s">
        <v>808</v>
      </c>
      <c r="F2460" t="s">
        <v>1125</v>
      </c>
      <c r="G2460" t="s">
        <v>3192</v>
      </c>
      <c r="H2460" t="s">
        <v>5494</v>
      </c>
      <c r="I2460" t="s">
        <v>6422</v>
      </c>
      <c r="J2460" t="s">
        <v>7169</v>
      </c>
      <c r="K2460">
        <v>10040</v>
      </c>
      <c r="N2460" t="s">
        <v>7237</v>
      </c>
      <c r="O2460" t="s">
        <v>8657</v>
      </c>
      <c r="P2460">
        <v>2</v>
      </c>
      <c r="Q2460">
        <v>0</v>
      </c>
      <c r="R2460">
        <v>235.99</v>
      </c>
      <c r="S2460" t="s">
        <v>652</v>
      </c>
      <c r="U2460">
        <v>38324</v>
      </c>
      <c r="W2460">
        <v>1.2</v>
      </c>
      <c r="X2460" t="s">
        <v>872</v>
      </c>
      <c r="Y2460" t="s">
        <v>10859</v>
      </c>
      <c r="AA2460" t="s">
        <v>10974</v>
      </c>
      <c r="AB2460" t="s">
        <v>11046</v>
      </c>
      <c r="AD2460" t="s">
        <v>11098</v>
      </c>
      <c r="AF2460" t="s">
        <v>11122</v>
      </c>
      <c r="AH2460" t="s">
        <v>10974</v>
      </c>
      <c r="AJ2460" t="s">
        <v>11134</v>
      </c>
      <c r="AK2460" t="s">
        <v>7225</v>
      </c>
      <c r="AM2460">
        <v>1231.45</v>
      </c>
      <c r="AO2460">
        <v>45</v>
      </c>
      <c r="AQ2460" t="s">
        <v>11157</v>
      </c>
      <c r="AS2460" t="s">
        <v>11173</v>
      </c>
      <c r="AU2460">
        <v>13</v>
      </c>
      <c r="AW2460" t="s">
        <v>11189</v>
      </c>
      <c r="AZ2460" t="s">
        <v>11221</v>
      </c>
      <c r="BE2460" t="s">
        <v>12924</v>
      </c>
      <c r="BG2460" t="s">
        <v>14985</v>
      </c>
      <c r="BM2460" t="s">
        <v>15650</v>
      </c>
    </row>
    <row r="2461" spans="1:65">
      <c r="A2461" s="1">
        <f>HYPERLINK("https://lsnyc.legalserver.org/matter/dynamic-profile/view/1915370","19-1915370")</f>
        <v>0</v>
      </c>
      <c r="B2461" t="s">
        <v>154</v>
      </c>
      <c r="C2461" t="s">
        <v>245</v>
      </c>
      <c r="D2461" t="s">
        <v>436</v>
      </c>
      <c r="F2461" t="s">
        <v>1704</v>
      </c>
      <c r="G2461" t="s">
        <v>3745</v>
      </c>
      <c r="H2461" t="s">
        <v>5603</v>
      </c>
      <c r="I2461" t="s">
        <v>6551</v>
      </c>
      <c r="J2461" t="s">
        <v>7170</v>
      </c>
      <c r="K2461">
        <v>10463</v>
      </c>
      <c r="N2461" t="s">
        <v>7237</v>
      </c>
      <c r="O2461" t="s">
        <v>8826</v>
      </c>
      <c r="P2461">
        <v>3</v>
      </c>
      <c r="Q2461">
        <v>1</v>
      </c>
      <c r="R2461">
        <v>121.17</v>
      </c>
      <c r="U2461">
        <v>31200</v>
      </c>
      <c r="W2461">
        <v>1</v>
      </c>
      <c r="X2461" t="s">
        <v>436</v>
      </c>
      <c r="Y2461" t="s">
        <v>127</v>
      </c>
      <c r="AA2461" t="s">
        <v>10974</v>
      </c>
      <c r="AB2461" t="s">
        <v>436</v>
      </c>
      <c r="AD2461" t="s">
        <v>11089</v>
      </c>
      <c r="AF2461" t="s">
        <v>11121</v>
      </c>
      <c r="AH2461" t="s">
        <v>10975</v>
      </c>
      <c r="AJ2461" t="s">
        <v>11139</v>
      </c>
      <c r="AK2461" t="s">
        <v>7225</v>
      </c>
      <c r="AM2461">
        <v>399</v>
      </c>
      <c r="AO2461">
        <v>120</v>
      </c>
      <c r="AQ2461" t="s">
        <v>11166</v>
      </c>
      <c r="AS2461" t="s">
        <v>11173</v>
      </c>
      <c r="AU2461">
        <v>51</v>
      </c>
      <c r="AW2461" t="s">
        <v>11187</v>
      </c>
      <c r="BA2461" t="s">
        <v>11222</v>
      </c>
      <c r="BE2461" t="s">
        <v>13083</v>
      </c>
      <c r="BF2461" t="s">
        <v>14364</v>
      </c>
      <c r="BM2461" t="s">
        <v>15650</v>
      </c>
    </row>
    <row r="2462" spans="1:65">
      <c r="A2462" s="1">
        <f>HYPERLINK("https://lsnyc.legalserver.org/matter/dynamic-profile/view/1863004","18-1863004")</f>
        <v>0</v>
      </c>
      <c r="B2462" t="s">
        <v>154</v>
      </c>
      <c r="C2462" t="s">
        <v>245</v>
      </c>
      <c r="D2462" t="s">
        <v>758</v>
      </c>
      <c r="F2462" t="s">
        <v>1155</v>
      </c>
      <c r="G2462" t="s">
        <v>3935</v>
      </c>
      <c r="H2462" t="s">
        <v>5462</v>
      </c>
      <c r="I2462" t="s">
        <v>6408</v>
      </c>
      <c r="J2462" t="s">
        <v>7169</v>
      </c>
      <c r="K2462">
        <v>10034</v>
      </c>
      <c r="N2462" t="s">
        <v>7237</v>
      </c>
      <c r="O2462" t="s">
        <v>8827</v>
      </c>
      <c r="P2462">
        <v>3</v>
      </c>
      <c r="Q2462">
        <v>0</v>
      </c>
      <c r="R2462">
        <v>94.31</v>
      </c>
      <c r="U2462">
        <v>19597.58</v>
      </c>
      <c r="W2462">
        <v>55.1</v>
      </c>
      <c r="X2462" t="s">
        <v>337</v>
      </c>
      <c r="Y2462" t="s">
        <v>127</v>
      </c>
      <c r="AA2462" t="s">
        <v>10974</v>
      </c>
      <c r="AB2462" t="s">
        <v>758</v>
      </c>
      <c r="AD2462" t="s">
        <v>11101</v>
      </c>
      <c r="AF2462" t="s">
        <v>11118</v>
      </c>
      <c r="AH2462" t="s">
        <v>10974</v>
      </c>
      <c r="AJ2462" t="s">
        <v>11130</v>
      </c>
      <c r="AK2462" t="s">
        <v>7225</v>
      </c>
      <c r="AM2462">
        <v>1285.69</v>
      </c>
      <c r="AO2462">
        <v>60</v>
      </c>
      <c r="AQ2462" t="s">
        <v>11157</v>
      </c>
      <c r="AS2462" t="s">
        <v>11173</v>
      </c>
      <c r="AU2462">
        <v>5</v>
      </c>
      <c r="AW2462" t="s">
        <v>11189</v>
      </c>
      <c r="AZ2462" t="s">
        <v>11221</v>
      </c>
      <c r="BE2462" t="s">
        <v>13084</v>
      </c>
      <c r="BG2462" t="s">
        <v>14987</v>
      </c>
      <c r="BM2462" t="s">
        <v>15650</v>
      </c>
    </row>
    <row r="2463" spans="1:65">
      <c r="A2463" s="1">
        <f>HYPERLINK("https://lsnyc.legalserver.org/matter/dynamic-profile/view/1874579","18-1874579")</f>
        <v>0</v>
      </c>
      <c r="B2463" t="s">
        <v>154</v>
      </c>
      <c r="C2463" t="s">
        <v>245</v>
      </c>
      <c r="D2463" t="s">
        <v>878</v>
      </c>
      <c r="F2463" t="s">
        <v>2136</v>
      </c>
      <c r="G2463" t="s">
        <v>3936</v>
      </c>
      <c r="H2463" t="s">
        <v>4851</v>
      </c>
      <c r="I2463" t="s">
        <v>6413</v>
      </c>
      <c r="J2463" t="s">
        <v>7169</v>
      </c>
      <c r="K2463">
        <v>10034</v>
      </c>
      <c r="N2463" t="s">
        <v>7237</v>
      </c>
      <c r="O2463" t="s">
        <v>8828</v>
      </c>
      <c r="P2463">
        <v>1</v>
      </c>
      <c r="Q2463">
        <v>0</v>
      </c>
      <c r="R2463">
        <v>106.75</v>
      </c>
      <c r="U2463">
        <v>12960</v>
      </c>
      <c r="W2463">
        <v>4.05</v>
      </c>
      <c r="X2463" t="s">
        <v>441</v>
      </c>
      <c r="Y2463" t="s">
        <v>127</v>
      </c>
      <c r="AA2463" t="s">
        <v>10974</v>
      </c>
      <c r="AB2463" t="s">
        <v>878</v>
      </c>
      <c r="AD2463" t="s">
        <v>11101</v>
      </c>
      <c r="AF2463" t="s">
        <v>11118</v>
      </c>
      <c r="AH2463" t="s">
        <v>10974</v>
      </c>
      <c r="AJ2463" t="s">
        <v>11130</v>
      </c>
      <c r="AK2463" t="s">
        <v>7225</v>
      </c>
      <c r="AM2463">
        <v>257</v>
      </c>
      <c r="AO2463">
        <v>63</v>
      </c>
      <c r="AQ2463" t="s">
        <v>11157</v>
      </c>
      <c r="AS2463" t="s">
        <v>11173</v>
      </c>
      <c r="AU2463">
        <v>18</v>
      </c>
      <c r="AW2463" t="s">
        <v>11187</v>
      </c>
      <c r="AZ2463" t="s">
        <v>11221</v>
      </c>
      <c r="BE2463" t="s">
        <v>13085</v>
      </c>
      <c r="BF2463" t="s">
        <v>14364</v>
      </c>
      <c r="BM2463" t="s">
        <v>15650</v>
      </c>
    </row>
    <row r="2464" spans="1:65">
      <c r="A2464" s="1">
        <f>HYPERLINK("https://lsnyc.legalserver.org/matter/dynamic-profile/view/1898991","19-1898991")</f>
        <v>0</v>
      </c>
      <c r="B2464" t="s">
        <v>154</v>
      </c>
      <c r="C2464" t="s">
        <v>245</v>
      </c>
      <c r="D2464" t="s">
        <v>608</v>
      </c>
      <c r="F2464" t="s">
        <v>1125</v>
      </c>
      <c r="G2464" t="s">
        <v>3192</v>
      </c>
      <c r="H2464" t="s">
        <v>5494</v>
      </c>
      <c r="I2464" t="s">
        <v>6422</v>
      </c>
      <c r="J2464" t="s">
        <v>7169</v>
      </c>
      <c r="K2464">
        <v>10040</v>
      </c>
      <c r="N2464" t="s">
        <v>7237</v>
      </c>
      <c r="O2464" t="s">
        <v>8657</v>
      </c>
      <c r="P2464">
        <v>2</v>
      </c>
      <c r="Q2464">
        <v>0</v>
      </c>
      <c r="R2464">
        <v>226.64</v>
      </c>
      <c r="S2464" t="s">
        <v>512</v>
      </c>
      <c r="T2464" t="s">
        <v>10276</v>
      </c>
      <c r="U2464">
        <v>38324</v>
      </c>
      <c r="W2464">
        <v>25.7</v>
      </c>
      <c r="X2464" t="s">
        <v>614</v>
      </c>
      <c r="Y2464" t="s">
        <v>127</v>
      </c>
      <c r="AA2464" t="s">
        <v>10974</v>
      </c>
      <c r="AB2464" t="s">
        <v>608</v>
      </c>
      <c r="AD2464" t="s">
        <v>11082</v>
      </c>
      <c r="AF2464" t="s">
        <v>11118</v>
      </c>
      <c r="AH2464" t="s">
        <v>10974</v>
      </c>
      <c r="AJ2464" t="s">
        <v>11129</v>
      </c>
      <c r="AK2464" t="s">
        <v>7225</v>
      </c>
      <c r="AM2464">
        <v>1231.45</v>
      </c>
      <c r="AO2464">
        <v>44</v>
      </c>
      <c r="AQ2464" t="s">
        <v>11157</v>
      </c>
      <c r="AS2464" t="s">
        <v>11173</v>
      </c>
      <c r="AU2464">
        <v>13</v>
      </c>
      <c r="AW2464" t="s">
        <v>11189</v>
      </c>
      <c r="BA2464" t="s">
        <v>11222</v>
      </c>
      <c r="BE2464" t="s">
        <v>12924</v>
      </c>
      <c r="BF2464" t="s">
        <v>14364</v>
      </c>
      <c r="BM2464" t="s">
        <v>15650</v>
      </c>
    </row>
    <row r="2465" spans="1:66">
      <c r="A2465" s="1">
        <f>HYPERLINK("https://lsnyc.legalserver.org/matter/dynamic-profile/view/1900583","19-1900583")</f>
        <v>0</v>
      </c>
      <c r="B2465" t="s">
        <v>154</v>
      </c>
      <c r="C2465" t="s">
        <v>245</v>
      </c>
      <c r="D2465" t="s">
        <v>549</v>
      </c>
      <c r="F2465" t="s">
        <v>1247</v>
      </c>
      <c r="G2465" t="s">
        <v>3937</v>
      </c>
      <c r="H2465" t="s">
        <v>5595</v>
      </c>
      <c r="I2465" t="s">
        <v>6866</v>
      </c>
      <c r="J2465" t="s">
        <v>7169</v>
      </c>
      <c r="K2465">
        <v>10034</v>
      </c>
      <c r="N2465" t="s">
        <v>7237</v>
      </c>
      <c r="O2465" t="s">
        <v>8829</v>
      </c>
      <c r="P2465">
        <v>5</v>
      </c>
      <c r="Q2465">
        <v>1</v>
      </c>
      <c r="R2465">
        <v>64.2</v>
      </c>
      <c r="U2465">
        <v>22208</v>
      </c>
      <c r="W2465">
        <v>0.01</v>
      </c>
      <c r="X2465" t="s">
        <v>276</v>
      </c>
      <c r="Y2465" t="s">
        <v>127</v>
      </c>
      <c r="AA2465" t="s">
        <v>10974</v>
      </c>
      <c r="AB2465" t="s">
        <v>549</v>
      </c>
      <c r="AC2465" t="s">
        <v>11081</v>
      </c>
      <c r="AF2465" t="s">
        <v>11119</v>
      </c>
      <c r="AH2465" t="s">
        <v>10974</v>
      </c>
      <c r="AJ2465" t="s">
        <v>11130</v>
      </c>
      <c r="AK2465" t="s">
        <v>7225</v>
      </c>
      <c r="AM2465">
        <v>1178.65</v>
      </c>
      <c r="AO2465">
        <v>43</v>
      </c>
      <c r="AQ2465" t="s">
        <v>11157</v>
      </c>
      <c r="AS2465" t="s">
        <v>11173</v>
      </c>
      <c r="AU2465">
        <v>12</v>
      </c>
      <c r="AW2465" t="s">
        <v>11189</v>
      </c>
      <c r="BA2465" t="s">
        <v>11222</v>
      </c>
      <c r="BE2465" t="s">
        <v>13086</v>
      </c>
      <c r="BF2465" t="s">
        <v>14364</v>
      </c>
      <c r="BM2465" t="s">
        <v>15650</v>
      </c>
    </row>
    <row r="2466" spans="1:66">
      <c r="A2466" s="1">
        <f>HYPERLINK("https://lsnyc.legalserver.org/matter/dynamic-profile/view/1904729","19-1904729")</f>
        <v>0</v>
      </c>
      <c r="B2466" t="s">
        <v>154</v>
      </c>
      <c r="C2466" t="s">
        <v>245</v>
      </c>
      <c r="D2466" t="s">
        <v>373</v>
      </c>
      <c r="F2466" t="s">
        <v>1993</v>
      </c>
      <c r="G2466" t="s">
        <v>2877</v>
      </c>
      <c r="H2466" t="s">
        <v>5596</v>
      </c>
      <c r="I2466" t="s">
        <v>6772</v>
      </c>
      <c r="J2466" t="s">
        <v>7169</v>
      </c>
      <c r="K2466">
        <v>10034</v>
      </c>
      <c r="N2466" t="s">
        <v>7237</v>
      </c>
      <c r="O2466" t="s">
        <v>8830</v>
      </c>
      <c r="P2466">
        <v>3</v>
      </c>
      <c r="Q2466">
        <v>1</v>
      </c>
      <c r="R2466">
        <v>154.72</v>
      </c>
      <c r="U2466">
        <v>39840</v>
      </c>
      <c r="W2466">
        <v>1</v>
      </c>
      <c r="X2466" t="s">
        <v>341</v>
      </c>
      <c r="Y2466" t="s">
        <v>127</v>
      </c>
      <c r="AA2466" t="s">
        <v>10974</v>
      </c>
      <c r="AB2466" t="s">
        <v>373</v>
      </c>
      <c r="AD2466" t="s">
        <v>11101</v>
      </c>
      <c r="AF2466" t="s">
        <v>11118</v>
      </c>
      <c r="AH2466" t="s">
        <v>10974</v>
      </c>
      <c r="AJ2466" t="s">
        <v>11130</v>
      </c>
      <c r="AK2466" t="s">
        <v>7225</v>
      </c>
      <c r="AM2466">
        <v>1600</v>
      </c>
      <c r="AO2466">
        <v>43</v>
      </c>
      <c r="AQ2466" t="s">
        <v>11157</v>
      </c>
      <c r="AS2466" t="s">
        <v>11173</v>
      </c>
      <c r="AT2466" t="s">
        <v>11184</v>
      </c>
      <c r="AU2466">
        <v>0</v>
      </c>
      <c r="AW2466" t="s">
        <v>11189</v>
      </c>
      <c r="BA2466" t="s">
        <v>11222</v>
      </c>
      <c r="BE2466" t="s">
        <v>13087</v>
      </c>
      <c r="BF2466" t="s">
        <v>14364</v>
      </c>
      <c r="BM2466" t="s">
        <v>15650</v>
      </c>
    </row>
    <row r="2467" spans="1:66">
      <c r="A2467" s="1">
        <f>HYPERLINK("https://lsnyc.legalserver.org/matter/dynamic-profile/view/1912617","19-1912617")</f>
        <v>0</v>
      </c>
      <c r="B2467" t="s">
        <v>154</v>
      </c>
      <c r="C2467" t="s">
        <v>245</v>
      </c>
      <c r="D2467" t="s">
        <v>599</v>
      </c>
      <c r="F2467" t="s">
        <v>1632</v>
      </c>
      <c r="G2467" t="s">
        <v>3504</v>
      </c>
      <c r="H2467" t="s">
        <v>5458</v>
      </c>
      <c r="I2467" t="s">
        <v>6425</v>
      </c>
      <c r="J2467" t="s">
        <v>7169</v>
      </c>
      <c r="K2467">
        <v>10034</v>
      </c>
      <c r="N2467" t="s">
        <v>7237</v>
      </c>
      <c r="O2467" t="s">
        <v>8817</v>
      </c>
      <c r="P2467">
        <v>1</v>
      </c>
      <c r="Q2467">
        <v>0</v>
      </c>
      <c r="R2467">
        <v>160.13</v>
      </c>
      <c r="U2467">
        <v>20000</v>
      </c>
      <c r="W2467">
        <v>1</v>
      </c>
      <c r="X2467" t="s">
        <v>599</v>
      </c>
      <c r="Y2467" t="s">
        <v>127</v>
      </c>
      <c r="AA2467" t="s">
        <v>10974</v>
      </c>
      <c r="AB2467" t="s">
        <v>599</v>
      </c>
      <c r="AC2467" t="s">
        <v>11081</v>
      </c>
      <c r="AF2467" t="s">
        <v>10384</v>
      </c>
      <c r="AH2467" t="s">
        <v>10975</v>
      </c>
      <c r="AJ2467" t="s">
        <v>11129</v>
      </c>
      <c r="AK2467" t="s">
        <v>7225</v>
      </c>
      <c r="AM2467">
        <v>1702.26</v>
      </c>
      <c r="AO2467">
        <v>25</v>
      </c>
      <c r="AQ2467" t="s">
        <v>11157</v>
      </c>
      <c r="AS2467" t="s">
        <v>11173</v>
      </c>
      <c r="AU2467">
        <v>6</v>
      </c>
      <c r="AW2467" t="s">
        <v>11187</v>
      </c>
      <c r="BA2467" t="s">
        <v>11222</v>
      </c>
      <c r="BE2467" t="s">
        <v>13075</v>
      </c>
      <c r="BF2467" t="s">
        <v>14364</v>
      </c>
      <c r="BM2467" t="s">
        <v>15650</v>
      </c>
    </row>
    <row r="2468" spans="1:66">
      <c r="A2468" s="1">
        <f>HYPERLINK("https://lsnyc.legalserver.org/matter/dynamic-profile/view/1907074","19-1907074")</f>
        <v>0</v>
      </c>
      <c r="B2468" t="s">
        <v>154</v>
      </c>
      <c r="C2468" t="s">
        <v>245</v>
      </c>
      <c r="D2468" t="s">
        <v>653</v>
      </c>
      <c r="F2468" t="s">
        <v>1090</v>
      </c>
      <c r="G2468" t="s">
        <v>3385</v>
      </c>
      <c r="H2468" t="s">
        <v>5599</v>
      </c>
      <c r="I2468" t="s">
        <v>6573</v>
      </c>
      <c r="J2468" t="s">
        <v>7169</v>
      </c>
      <c r="K2468">
        <v>10034</v>
      </c>
      <c r="N2468" t="s">
        <v>7237</v>
      </c>
      <c r="O2468" t="s">
        <v>8822</v>
      </c>
      <c r="P2468">
        <v>1</v>
      </c>
      <c r="Q2468">
        <v>0</v>
      </c>
      <c r="R2468">
        <v>20.66</v>
      </c>
      <c r="U2468">
        <v>2580</v>
      </c>
      <c r="W2468">
        <v>0.1</v>
      </c>
      <c r="X2468" t="s">
        <v>653</v>
      </c>
      <c r="Y2468" t="s">
        <v>127</v>
      </c>
      <c r="AA2468" t="s">
        <v>10974</v>
      </c>
      <c r="AB2468" t="s">
        <v>653</v>
      </c>
      <c r="AD2468" t="s">
        <v>11098</v>
      </c>
      <c r="AF2468" t="s">
        <v>11122</v>
      </c>
      <c r="AH2468" t="s">
        <v>10975</v>
      </c>
      <c r="AJ2468" t="s">
        <v>11129</v>
      </c>
      <c r="AK2468" t="s">
        <v>7225</v>
      </c>
      <c r="AM2468">
        <v>972.72</v>
      </c>
      <c r="AO2468">
        <v>121</v>
      </c>
      <c r="AQ2468" t="s">
        <v>11157</v>
      </c>
      <c r="AS2468" t="s">
        <v>11173</v>
      </c>
      <c r="AU2468">
        <v>32</v>
      </c>
      <c r="AW2468" t="s">
        <v>11189</v>
      </c>
      <c r="BA2468" t="s">
        <v>11222</v>
      </c>
      <c r="BE2468" t="s">
        <v>13079</v>
      </c>
      <c r="BF2468" t="s">
        <v>14364</v>
      </c>
      <c r="BM2468" t="s">
        <v>15650</v>
      </c>
    </row>
    <row r="2469" spans="1:66">
      <c r="A2469" s="1">
        <f>HYPERLINK("https://lsnyc.legalserver.org/matter/dynamic-profile/view/1915402","19-1915402")</f>
        <v>0</v>
      </c>
      <c r="B2469" t="s">
        <v>154</v>
      </c>
      <c r="C2469" t="s">
        <v>245</v>
      </c>
      <c r="D2469" t="s">
        <v>436</v>
      </c>
      <c r="F2469" t="s">
        <v>1280</v>
      </c>
      <c r="G2469" t="s">
        <v>3938</v>
      </c>
      <c r="H2469" t="s">
        <v>5604</v>
      </c>
      <c r="I2469" t="s">
        <v>6867</v>
      </c>
      <c r="J2469" t="s">
        <v>7169</v>
      </c>
      <c r="K2469">
        <v>10040</v>
      </c>
      <c r="N2469" t="s">
        <v>7237</v>
      </c>
      <c r="O2469" t="s">
        <v>8831</v>
      </c>
      <c r="P2469">
        <v>1</v>
      </c>
      <c r="Q2469">
        <v>0</v>
      </c>
      <c r="R2469">
        <v>20.66</v>
      </c>
      <c r="U2469">
        <v>2580</v>
      </c>
      <c r="W2469">
        <v>1.5</v>
      </c>
      <c r="X2469" t="s">
        <v>436</v>
      </c>
      <c r="Y2469" t="s">
        <v>127</v>
      </c>
      <c r="AA2469" t="s">
        <v>10974</v>
      </c>
      <c r="AB2469" t="s">
        <v>436</v>
      </c>
      <c r="AC2469" t="s">
        <v>11081</v>
      </c>
      <c r="AF2469" t="s">
        <v>11121</v>
      </c>
      <c r="AH2469" t="s">
        <v>10975</v>
      </c>
      <c r="AJ2469" t="s">
        <v>11129</v>
      </c>
      <c r="AK2469" t="s">
        <v>7225</v>
      </c>
      <c r="AM2469">
        <v>833.99</v>
      </c>
      <c r="AO2469">
        <v>43</v>
      </c>
      <c r="AQ2469" t="s">
        <v>11160</v>
      </c>
      <c r="AS2469" t="s">
        <v>11173</v>
      </c>
      <c r="AU2469">
        <v>33</v>
      </c>
      <c r="AW2469" t="s">
        <v>11189</v>
      </c>
      <c r="BA2469" t="s">
        <v>11222</v>
      </c>
      <c r="BE2469" t="s">
        <v>13088</v>
      </c>
      <c r="BF2469" t="s">
        <v>14364</v>
      </c>
      <c r="BM2469" t="s">
        <v>15650</v>
      </c>
    </row>
    <row r="2470" spans="1:66">
      <c r="A2470" s="1">
        <f>HYPERLINK("https://lsnyc.legalserver.org/matter/dynamic-profile/view/1836401","17-1836401")</f>
        <v>0</v>
      </c>
      <c r="B2470" t="s">
        <v>154</v>
      </c>
      <c r="C2470" t="s">
        <v>245</v>
      </c>
      <c r="D2470" t="s">
        <v>875</v>
      </c>
      <c r="F2470" t="s">
        <v>2064</v>
      </c>
      <c r="G2470" t="s">
        <v>3718</v>
      </c>
      <c r="H2470" t="s">
        <v>5494</v>
      </c>
      <c r="I2470" t="s">
        <v>6409</v>
      </c>
      <c r="J2470" t="s">
        <v>7169</v>
      </c>
      <c r="K2470">
        <v>10040</v>
      </c>
      <c r="N2470" t="s">
        <v>7237</v>
      </c>
      <c r="O2470" t="s">
        <v>8689</v>
      </c>
      <c r="P2470">
        <v>2</v>
      </c>
      <c r="Q2470">
        <v>0</v>
      </c>
      <c r="R2470">
        <v>104.68</v>
      </c>
      <c r="U2470">
        <v>17000</v>
      </c>
      <c r="W2470">
        <v>6.01</v>
      </c>
      <c r="X2470" t="s">
        <v>637</v>
      </c>
      <c r="Y2470" t="s">
        <v>10859</v>
      </c>
      <c r="Z2470" t="s">
        <v>10972</v>
      </c>
      <c r="AA2470" t="s">
        <v>10976</v>
      </c>
      <c r="AB2470" t="s">
        <v>809</v>
      </c>
      <c r="AD2470" t="s">
        <v>11101</v>
      </c>
      <c r="AF2470" t="s">
        <v>11122</v>
      </c>
      <c r="AH2470" t="s">
        <v>10974</v>
      </c>
      <c r="AJ2470" t="s">
        <v>11134</v>
      </c>
      <c r="AK2470" t="s">
        <v>7225</v>
      </c>
      <c r="AL2470" t="s">
        <v>11150</v>
      </c>
      <c r="AM2470">
        <v>0</v>
      </c>
      <c r="AO2470">
        <v>45</v>
      </c>
      <c r="AQ2470" t="s">
        <v>11157</v>
      </c>
      <c r="AS2470" t="s">
        <v>11173</v>
      </c>
      <c r="AU2470">
        <v>22</v>
      </c>
      <c r="AW2470" t="s">
        <v>11189</v>
      </c>
      <c r="AZ2470" t="s">
        <v>11221</v>
      </c>
      <c r="BE2470" t="s">
        <v>12952</v>
      </c>
      <c r="BF2470" t="s">
        <v>14364</v>
      </c>
      <c r="BM2470" t="s">
        <v>15650</v>
      </c>
    </row>
    <row r="2471" spans="1:66">
      <c r="A2471" s="1">
        <f>HYPERLINK("https://lsnyc.legalserver.org/matter/dynamic-profile/view/1836131","17-1836131")</f>
        <v>0</v>
      </c>
      <c r="B2471" t="s">
        <v>154</v>
      </c>
      <c r="C2471" t="s">
        <v>245</v>
      </c>
      <c r="D2471" t="s">
        <v>808</v>
      </c>
      <c r="F2471" t="s">
        <v>1226</v>
      </c>
      <c r="G2471" t="s">
        <v>3928</v>
      </c>
      <c r="H2471" t="s">
        <v>5494</v>
      </c>
      <c r="I2471" t="s">
        <v>6421</v>
      </c>
      <c r="J2471" t="s">
        <v>7169</v>
      </c>
      <c r="K2471">
        <v>10040</v>
      </c>
      <c r="N2471" t="s">
        <v>7237</v>
      </c>
      <c r="O2471" t="s">
        <v>8832</v>
      </c>
      <c r="P2471">
        <v>2</v>
      </c>
      <c r="Q2471">
        <v>2</v>
      </c>
      <c r="R2471">
        <v>170.73</v>
      </c>
      <c r="U2471">
        <v>57000</v>
      </c>
      <c r="W2471">
        <v>0.51</v>
      </c>
      <c r="X2471" t="s">
        <v>307</v>
      </c>
      <c r="Y2471" t="s">
        <v>10859</v>
      </c>
      <c r="Z2471" t="s">
        <v>10972</v>
      </c>
      <c r="AA2471" t="s">
        <v>10976</v>
      </c>
      <c r="AB2471" t="s">
        <v>361</v>
      </c>
      <c r="AD2471" t="s">
        <v>11101</v>
      </c>
      <c r="AF2471" t="s">
        <v>11122</v>
      </c>
      <c r="AH2471" t="s">
        <v>10974</v>
      </c>
      <c r="AJ2471" t="s">
        <v>11134</v>
      </c>
      <c r="AK2471" t="s">
        <v>7225</v>
      </c>
      <c r="AM2471">
        <v>1444.48</v>
      </c>
      <c r="AO2471">
        <v>45</v>
      </c>
      <c r="AQ2471" t="s">
        <v>11157</v>
      </c>
      <c r="AS2471" t="s">
        <v>11173</v>
      </c>
      <c r="AU2471">
        <v>25</v>
      </c>
      <c r="AW2471" t="s">
        <v>11187</v>
      </c>
      <c r="AZ2471" t="s">
        <v>11221</v>
      </c>
      <c r="BE2471" t="s">
        <v>13089</v>
      </c>
      <c r="BF2471" t="s">
        <v>14364</v>
      </c>
      <c r="BM2471" t="s">
        <v>15650</v>
      </c>
    </row>
    <row r="2472" spans="1:66">
      <c r="A2472" s="1">
        <f>HYPERLINK("https://lsnyc.legalserver.org/matter/dynamic-profile/view/1864121","18-1864121")</f>
        <v>0</v>
      </c>
      <c r="B2472" t="s">
        <v>154</v>
      </c>
      <c r="C2472" t="s">
        <v>245</v>
      </c>
      <c r="D2472" t="s">
        <v>817</v>
      </c>
      <c r="F2472" t="s">
        <v>2137</v>
      </c>
      <c r="G2472" t="s">
        <v>3939</v>
      </c>
      <c r="H2472" t="s">
        <v>5494</v>
      </c>
      <c r="I2472" t="s">
        <v>6495</v>
      </c>
      <c r="J2472" t="s">
        <v>7169</v>
      </c>
      <c r="K2472">
        <v>10040</v>
      </c>
      <c r="N2472" t="s">
        <v>7237</v>
      </c>
      <c r="O2472" t="s">
        <v>8833</v>
      </c>
      <c r="P2472">
        <v>2</v>
      </c>
      <c r="Q2472">
        <v>1</v>
      </c>
      <c r="R2472">
        <v>102.6</v>
      </c>
      <c r="S2472" t="s">
        <v>652</v>
      </c>
      <c r="U2472">
        <v>26520</v>
      </c>
      <c r="W2472">
        <v>0.11</v>
      </c>
      <c r="X2472" t="s">
        <v>528</v>
      </c>
      <c r="Y2472" t="s">
        <v>127</v>
      </c>
      <c r="AA2472" t="s">
        <v>10974</v>
      </c>
      <c r="AB2472" t="s">
        <v>817</v>
      </c>
      <c r="AD2472" t="s">
        <v>11101</v>
      </c>
      <c r="AF2472" t="s">
        <v>11118</v>
      </c>
      <c r="AH2472" t="s">
        <v>10974</v>
      </c>
      <c r="AJ2472" t="s">
        <v>11129</v>
      </c>
      <c r="AK2472" t="s">
        <v>7225</v>
      </c>
      <c r="AM2472">
        <v>892.52</v>
      </c>
      <c r="AO2472">
        <v>44</v>
      </c>
      <c r="AQ2472" t="s">
        <v>11157</v>
      </c>
      <c r="AS2472" t="s">
        <v>11173</v>
      </c>
      <c r="AU2472">
        <v>13</v>
      </c>
      <c r="AW2472" t="s">
        <v>11189</v>
      </c>
      <c r="AZ2472" t="s">
        <v>11221</v>
      </c>
      <c r="BE2472" t="s">
        <v>13090</v>
      </c>
      <c r="BG2472" t="s">
        <v>14985</v>
      </c>
      <c r="BM2472" t="s">
        <v>15650</v>
      </c>
      <c r="BN2472" t="s">
        <v>15652</v>
      </c>
    </row>
    <row r="2473" spans="1:66">
      <c r="A2473" s="1">
        <f>HYPERLINK("https://lsnyc.legalserver.org/matter/dynamic-profile/view/1838659","17-1838659")</f>
        <v>0</v>
      </c>
      <c r="B2473" t="s">
        <v>154</v>
      </c>
      <c r="C2473" t="s">
        <v>245</v>
      </c>
      <c r="D2473" t="s">
        <v>807</v>
      </c>
      <c r="F2473" t="s">
        <v>2129</v>
      </c>
      <c r="G2473" t="s">
        <v>3928</v>
      </c>
      <c r="H2473" t="s">
        <v>5494</v>
      </c>
      <c r="I2473" t="s">
        <v>6502</v>
      </c>
      <c r="J2473" t="s">
        <v>7169</v>
      </c>
      <c r="K2473">
        <v>10040</v>
      </c>
      <c r="N2473" t="s">
        <v>7237</v>
      </c>
      <c r="O2473" t="s">
        <v>8810</v>
      </c>
      <c r="P2473">
        <v>1</v>
      </c>
      <c r="Q2473">
        <v>2</v>
      </c>
      <c r="R2473">
        <v>9.109999999999999</v>
      </c>
      <c r="U2473">
        <v>1860</v>
      </c>
      <c r="W2473">
        <v>0.01</v>
      </c>
      <c r="X2473" t="s">
        <v>276</v>
      </c>
      <c r="Y2473" t="s">
        <v>127</v>
      </c>
      <c r="Z2473" t="s">
        <v>10972</v>
      </c>
      <c r="AA2473" t="s">
        <v>10976</v>
      </c>
      <c r="AB2473" t="s">
        <v>361</v>
      </c>
      <c r="AD2473" t="s">
        <v>11101</v>
      </c>
      <c r="AF2473" t="s">
        <v>11122</v>
      </c>
      <c r="AH2473" t="s">
        <v>10974</v>
      </c>
      <c r="AJ2473" t="s">
        <v>11134</v>
      </c>
      <c r="AK2473" t="s">
        <v>7225</v>
      </c>
      <c r="AM2473">
        <v>169.04</v>
      </c>
      <c r="AN2473" t="s">
        <v>11151</v>
      </c>
      <c r="AO2473" t="s">
        <v>11153</v>
      </c>
      <c r="AQ2473" t="s">
        <v>11160</v>
      </c>
      <c r="AS2473" t="s">
        <v>11176</v>
      </c>
      <c r="AU2473">
        <v>19</v>
      </c>
      <c r="AW2473" t="s">
        <v>11189</v>
      </c>
      <c r="AZ2473" t="s">
        <v>11221</v>
      </c>
      <c r="BE2473" t="s">
        <v>13067</v>
      </c>
      <c r="BF2473" t="s">
        <v>14364</v>
      </c>
      <c r="BM2473" t="s">
        <v>15650</v>
      </c>
    </row>
    <row r="2474" spans="1:66">
      <c r="A2474" s="1">
        <f>HYPERLINK("https://lsnyc.legalserver.org/matter/dynamic-profile/view/1864083","18-1864083")</f>
        <v>0</v>
      </c>
      <c r="B2474" t="s">
        <v>154</v>
      </c>
      <c r="C2474" t="s">
        <v>245</v>
      </c>
      <c r="D2474" t="s">
        <v>817</v>
      </c>
      <c r="F2474" t="s">
        <v>2064</v>
      </c>
      <c r="G2474" t="s">
        <v>3718</v>
      </c>
      <c r="H2474" t="s">
        <v>5494</v>
      </c>
      <c r="I2474" t="s">
        <v>6409</v>
      </c>
      <c r="J2474" t="s">
        <v>7169</v>
      </c>
      <c r="K2474">
        <v>10040</v>
      </c>
      <c r="N2474" t="s">
        <v>7237</v>
      </c>
      <c r="O2474" t="s">
        <v>8689</v>
      </c>
      <c r="P2474">
        <v>2</v>
      </c>
      <c r="Q2474">
        <v>0</v>
      </c>
      <c r="R2474">
        <v>103.28</v>
      </c>
      <c r="S2474" t="s">
        <v>652</v>
      </c>
      <c r="U2474">
        <v>17000</v>
      </c>
      <c r="W2474">
        <v>0.21</v>
      </c>
      <c r="X2474" t="s">
        <v>528</v>
      </c>
      <c r="Y2474" t="s">
        <v>127</v>
      </c>
      <c r="AA2474" t="s">
        <v>10974</v>
      </c>
      <c r="AB2474" t="s">
        <v>817</v>
      </c>
      <c r="AD2474" t="s">
        <v>11101</v>
      </c>
      <c r="AF2474" t="s">
        <v>11118</v>
      </c>
      <c r="AH2474" t="s">
        <v>10974</v>
      </c>
      <c r="AJ2474" t="s">
        <v>11129</v>
      </c>
      <c r="AK2474" t="s">
        <v>7225</v>
      </c>
      <c r="AM2474">
        <v>340</v>
      </c>
      <c r="AO2474">
        <v>44</v>
      </c>
      <c r="AQ2474" t="s">
        <v>11157</v>
      </c>
      <c r="AS2474" t="s">
        <v>11174</v>
      </c>
      <c r="AU2474">
        <v>22</v>
      </c>
      <c r="AW2474" t="s">
        <v>11189</v>
      </c>
      <c r="AZ2474" t="s">
        <v>11221</v>
      </c>
      <c r="BE2474" t="s">
        <v>12952</v>
      </c>
      <c r="BG2474" t="s">
        <v>14985</v>
      </c>
      <c r="BM2474" t="s">
        <v>15650</v>
      </c>
      <c r="BN2474" t="s">
        <v>15652</v>
      </c>
    </row>
    <row r="2475" spans="1:66">
      <c r="A2475" s="1">
        <f>HYPERLINK("https://lsnyc.legalserver.org/matter/dynamic-profile/view/0818184","16-0818184")</f>
        <v>0</v>
      </c>
      <c r="B2475" t="s">
        <v>154</v>
      </c>
      <c r="C2475" t="s">
        <v>245</v>
      </c>
      <c r="D2475" t="s">
        <v>879</v>
      </c>
      <c r="F2475" t="s">
        <v>2138</v>
      </c>
      <c r="G2475" t="s">
        <v>3849</v>
      </c>
      <c r="H2475" t="s">
        <v>5605</v>
      </c>
      <c r="I2475" t="s">
        <v>6433</v>
      </c>
      <c r="J2475" t="s">
        <v>7169</v>
      </c>
      <c r="K2475">
        <v>10034</v>
      </c>
      <c r="N2475" t="s">
        <v>7237</v>
      </c>
      <c r="O2475" t="s">
        <v>8834</v>
      </c>
      <c r="P2475">
        <v>2</v>
      </c>
      <c r="Q2475">
        <v>0</v>
      </c>
      <c r="R2475">
        <v>194.76</v>
      </c>
      <c r="U2475">
        <v>31200</v>
      </c>
      <c r="W2475">
        <v>43.71</v>
      </c>
      <c r="X2475" t="s">
        <v>524</v>
      </c>
      <c r="Y2475" t="s">
        <v>10889</v>
      </c>
      <c r="AA2475" t="s">
        <v>10974</v>
      </c>
      <c r="AB2475" t="s">
        <v>346</v>
      </c>
      <c r="AD2475" t="s">
        <v>11086</v>
      </c>
      <c r="AF2475" t="s">
        <v>11120</v>
      </c>
      <c r="AH2475" t="s">
        <v>10975</v>
      </c>
      <c r="AJ2475" t="s">
        <v>11144</v>
      </c>
      <c r="AK2475" t="s">
        <v>7225</v>
      </c>
      <c r="AM2475">
        <v>659.6</v>
      </c>
      <c r="AO2475">
        <v>30</v>
      </c>
      <c r="AQ2475" t="s">
        <v>11157</v>
      </c>
      <c r="AS2475" t="s">
        <v>11173</v>
      </c>
      <c r="AU2475">
        <v>43</v>
      </c>
      <c r="AW2475" t="s">
        <v>11189</v>
      </c>
      <c r="AZ2475" t="s">
        <v>11221</v>
      </c>
      <c r="BE2475" t="s">
        <v>13091</v>
      </c>
      <c r="BF2475" t="s">
        <v>14364</v>
      </c>
      <c r="BM2475" t="s">
        <v>15650</v>
      </c>
    </row>
    <row r="2476" spans="1:66">
      <c r="A2476" s="1">
        <f>HYPERLINK("https://lsnyc.legalserver.org/matter/dynamic-profile/view/1907071","19-1907071")</f>
        <v>0</v>
      </c>
      <c r="B2476" t="s">
        <v>154</v>
      </c>
      <c r="C2476" t="s">
        <v>245</v>
      </c>
      <c r="D2476" t="s">
        <v>653</v>
      </c>
      <c r="F2476" t="s">
        <v>1722</v>
      </c>
      <c r="G2476" t="s">
        <v>3060</v>
      </c>
      <c r="H2476" t="s">
        <v>5606</v>
      </c>
      <c r="I2476" t="s">
        <v>6868</v>
      </c>
      <c r="J2476" t="s">
        <v>7169</v>
      </c>
      <c r="K2476">
        <v>10032</v>
      </c>
      <c r="N2476" t="s">
        <v>7237</v>
      </c>
      <c r="O2476" t="s">
        <v>8835</v>
      </c>
      <c r="P2476">
        <v>3</v>
      </c>
      <c r="Q2476">
        <v>0</v>
      </c>
      <c r="R2476">
        <v>109.7</v>
      </c>
      <c r="U2476">
        <v>23400</v>
      </c>
      <c r="W2476">
        <v>10.6</v>
      </c>
      <c r="X2476" t="s">
        <v>265</v>
      </c>
      <c r="Y2476" t="s">
        <v>127</v>
      </c>
      <c r="AA2476" t="s">
        <v>10974</v>
      </c>
      <c r="AB2476" t="s">
        <v>653</v>
      </c>
      <c r="AD2476" t="s">
        <v>11090</v>
      </c>
      <c r="AF2476" t="s">
        <v>11120</v>
      </c>
      <c r="AH2476" t="s">
        <v>10975</v>
      </c>
      <c r="AJ2476" t="s">
        <v>11129</v>
      </c>
      <c r="AK2476" t="s">
        <v>7225</v>
      </c>
      <c r="AM2476">
        <v>370</v>
      </c>
      <c r="AO2476">
        <v>69</v>
      </c>
      <c r="AQ2476" t="s">
        <v>11160</v>
      </c>
      <c r="AS2476" t="s">
        <v>11173</v>
      </c>
      <c r="AU2476">
        <v>9</v>
      </c>
      <c r="AW2476" t="s">
        <v>11189</v>
      </c>
      <c r="BA2476" t="s">
        <v>11222</v>
      </c>
      <c r="BE2476" t="s">
        <v>13092</v>
      </c>
      <c r="BF2476" t="s">
        <v>14364</v>
      </c>
      <c r="BM2476" t="s">
        <v>15650</v>
      </c>
    </row>
    <row r="2477" spans="1:66">
      <c r="A2477" s="1">
        <f>HYPERLINK("https://lsnyc.legalserver.org/matter/dynamic-profile/view/1911731","19-1911731")</f>
        <v>0</v>
      </c>
      <c r="B2477" t="s">
        <v>154</v>
      </c>
      <c r="C2477" t="s">
        <v>245</v>
      </c>
      <c r="D2477" t="s">
        <v>563</v>
      </c>
      <c r="F2477" t="s">
        <v>1722</v>
      </c>
      <c r="G2477" t="s">
        <v>3060</v>
      </c>
      <c r="H2477" t="s">
        <v>5606</v>
      </c>
      <c r="I2477" t="s">
        <v>6868</v>
      </c>
      <c r="J2477" t="s">
        <v>7169</v>
      </c>
      <c r="K2477">
        <v>10032</v>
      </c>
      <c r="N2477" t="s">
        <v>7237</v>
      </c>
      <c r="O2477" t="s">
        <v>8835</v>
      </c>
      <c r="P2477">
        <v>3</v>
      </c>
      <c r="Q2477">
        <v>0</v>
      </c>
      <c r="R2477">
        <v>109.7</v>
      </c>
      <c r="U2477">
        <v>23400</v>
      </c>
      <c r="W2477">
        <v>9.300000000000001</v>
      </c>
      <c r="X2477" t="s">
        <v>293</v>
      </c>
      <c r="Y2477" t="s">
        <v>127</v>
      </c>
      <c r="AA2477" t="s">
        <v>10974</v>
      </c>
      <c r="AB2477" t="s">
        <v>563</v>
      </c>
      <c r="AD2477" t="s">
        <v>11083</v>
      </c>
      <c r="AF2477" t="s">
        <v>11118</v>
      </c>
      <c r="AH2477" t="s">
        <v>10975</v>
      </c>
      <c r="AJ2477" t="s">
        <v>11129</v>
      </c>
      <c r="AK2477" t="s">
        <v>7225</v>
      </c>
      <c r="AM2477">
        <v>370</v>
      </c>
      <c r="AO2477">
        <v>69</v>
      </c>
      <c r="AQ2477" t="s">
        <v>11157</v>
      </c>
      <c r="AS2477" t="s">
        <v>11173</v>
      </c>
      <c r="AU2477">
        <v>9</v>
      </c>
      <c r="AW2477" t="s">
        <v>11189</v>
      </c>
      <c r="BA2477" t="s">
        <v>11222</v>
      </c>
      <c r="BE2477" t="s">
        <v>13092</v>
      </c>
      <c r="BF2477" t="s">
        <v>14364</v>
      </c>
      <c r="BM2477" t="s">
        <v>15650</v>
      </c>
    </row>
    <row r="2478" spans="1:66">
      <c r="A2478" s="1">
        <f>HYPERLINK("https://lsnyc.legalserver.org/matter/dynamic-profile/view/1864117","18-1864117")</f>
        <v>0</v>
      </c>
      <c r="B2478" t="s">
        <v>154</v>
      </c>
      <c r="C2478" t="s">
        <v>245</v>
      </c>
      <c r="D2478" t="s">
        <v>817</v>
      </c>
      <c r="F2478" t="s">
        <v>1226</v>
      </c>
      <c r="G2478" t="s">
        <v>3928</v>
      </c>
      <c r="H2478" t="s">
        <v>5602</v>
      </c>
      <c r="I2478" t="s">
        <v>6420</v>
      </c>
      <c r="J2478" t="s">
        <v>7169</v>
      </c>
      <c r="K2478">
        <v>10040</v>
      </c>
      <c r="N2478" t="s">
        <v>7237</v>
      </c>
      <c r="O2478" t="s">
        <v>8832</v>
      </c>
      <c r="P2478">
        <v>2</v>
      </c>
      <c r="Q2478">
        <v>2</v>
      </c>
      <c r="R2478">
        <v>223.11</v>
      </c>
      <c r="S2478" t="s">
        <v>652</v>
      </c>
      <c r="U2478">
        <v>71000</v>
      </c>
      <c r="W2478">
        <v>6.11</v>
      </c>
      <c r="X2478" t="s">
        <v>528</v>
      </c>
      <c r="Y2478" t="s">
        <v>127</v>
      </c>
      <c r="AA2478" t="s">
        <v>10974</v>
      </c>
      <c r="AB2478" t="s">
        <v>817</v>
      </c>
      <c r="AD2478" t="s">
        <v>11101</v>
      </c>
      <c r="AF2478" t="s">
        <v>11118</v>
      </c>
      <c r="AH2478" t="s">
        <v>10974</v>
      </c>
      <c r="AJ2478" t="s">
        <v>11129</v>
      </c>
      <c r="AK2478" t="s">
        <v>7225</v>
      </c>
      <c r="AM2478">
        <v>1370.61</v>
      </c>
      <c r="AO2478">
        <v>44</v>
      </c>
      <c r="AQ2478" t="s">
        <v>11157</v>
      </c>
      <c r="AS2478" t="s">
        <v>11173</v>
      </c>
      <c r="AU2478">
        <v>11</v>
      </c>
      <c r="AW2478" t="s">
        <v>11187</v>
      </c>
      <c r="AZ2478" t="s">
        <v>11221</v>
      </c>
      <c r="BE2478" t="s">
        <v>13089</v>
      </c>
      <c r="BG2478" t="s">
        <v>14985</v>
      </c>
      <c r="BM2478" t="s">
        <v>15650</v>
      </c>
    </row>
    <row r="2479" spans="1:66">
      <c r="A2479" s="1">
        <f>HYPERLINK("https://lsnyc.legalserver.org/matter/dynamic-profile/view/1836136","17-1836136")</f>
        <v>0</v>
      </c>
      <c r="B2479" t="s">
        <v>154</v>
      </c>
      <c r="C2479" t="s">
        <v>245</v>
      </c>
      <c r="D2479" t="s">
        <v>808</v>
      </c>
      <c r="F2479" t="s">
        <v>2047</v>
      </c>
      <c r="G2479" t="s">
        <v>2992</v>
      </c>
      <c r="H2479" t="s">
        <v>5494</v>
      </c>
      <c r="I2479" t="s">
        <v>6422</v>
      </c>
      <c r="J2479" t="s">
        <v>7169</v>
      </c>
      <c r="K2479">
        <v>10040</v>
      </c>
      <c r="N2479" t="s">
        <v>7237</v>
      </c>
      <c r="O2479" t="s">
        <v>8651</v>
      </c>
      <c r="P2479">
        <v>1</v>
      </c>
      <c r="Q2479">
        <v>0</v>
      </c>
      <c r="R2479">
        <v>113.03</v>
      </c>
      <c r="U2479">
        <v>13632</v>
      </c>
      <c r="W2479">
        <v>2.2</v>
      </c>
      <c r="X2479" t="s">
        <v>800</v>
      </c>
      <c r="Y2479" t="s">
        <v>10859</v>
      </c>
      <c r="Z2479" t="s">
        <v>10972</v>
      </c>
      <c r="AA2479" t="s">
        <v>10976</v>
      </c>
      <c r="AB2479" t="s">
        <v>809</v>
      </c>
      <c r="AD2479" t="s">
        <v>11101</v>
      </c>
      <c r="AF2479" t="s">
        <v>11122</v>
      </c>
      <c r="AH2479" t="s">
        <v>10974</v>
      </c>
      <c r="AJ2479" t="s">
        <v>11134</v>
      </c>
      <c r="AK2479" t="s">
        <v>7225</v>
      </c>
      <c r="AM2479">
        <v>1230.2</v>
      </c>
      <c r="AO2479">
        <v>45</v>
      </c>
      <c r="AQ2479" t="s">
        <v>11157</v>
      </c>
      <c r="AS2479" t="s">
        <v>11104</v>
      </c>
      <c r="AU2479">
        <v>21</v>
      </c>
      <c r="AW2479" t="s">
        <v>11189</v>
      </c>
      <c r="AZ2479" t="s">
        <v>11221</v>
      </c>
      <c r="BE2479" t="s">
        <v>12917</v>
      </c>
      <c r="BF2479" t="s">
        <v>14364</v>
      </c>
      <c r="BM2479" t="s">
        <v>15650</v>
      </c>
    </row>
    <row r="2480" spans="1:66">
      <c r="A2480" s="1">
        <f>HYPERLINK("https://lsnyc.legalserver.org/matter/dynamic-profile/view/1905488","19-1905488")</f>
        <v>0</v>
      </c>
      <c r="B2480" t="s">
        <v>154</v>
      </c>
      <c r="C2480" t="s">
        <v>245</v>
      </c>
      <c r="D2480" t="s">
        <v>685</v>
      </c>
      <c r="F2480" t="s">
        <v>2139</v>
      </c>
      <c r="G2480" t="s">
        <v>3940</v>
      </c>
      <c r="H2480" t="s">
        <v>5590</v>
      </c>
      <c r="I2480" t="s">
        <v>6468</v>
      </c>
      <c r="J2480" t="s">
        <v>7169</v>
      </c>
      <c r="K2480">
        <v>10034</v>
      </c>
      <c r="N2480" t="s">
        <v>7237</v>
      </c>
      <c r="O2480" t="s">
        <v>8836</v>
      </c>
      <c r="P2480">
        <v>1</v>
      </c>
      <c r="Q2480">
        <v>1</v>
      </c>
      <c r="R2480">
        <v>325.25</v>
      </c>
      <c r="S2480" t="s">
        <v>271</v>
      </c>
      <c r="T2480" t="s">
        <v>10276</v>
      </c>
      <c r="U2480">
        <v>55000</v>
      </c>
      <c r="W2480">
        <v>0</v>
      </c>
      <c r="Y2480" t="s">
        <v>127</v>
      </c>
      <c r="AA2480" t="s">
        <v>10974</v>
      </c>
      <c r="AB2480" t="s">
        <v>685</v>
      </c>
      <c r="AD2480" t="s">
        <v>11101</v>
      </c>
      <c r="AF2480" t="s">
        <v>11118</v>
      </c>
      <c r="AH2480" t="s">
        <v>10975</v>
      </c>
      <c r="AJ2480" t="s">
        <v>11130</v>
      </c>
      <c r="AK2480" t="s">
        <v>7225</v>
      </c>
      <c r="AM2480">
        <v>1550</v>
      </c>
      <c r="AO2480">
        <v>44</v>
      </c>
      <c r="AQ2480" t="s">
        <v>11157</v>
      </c>
      <c r="AS2480" t="s">
        <v>11173</v>
      </c>
      <c r="AU2480">
        <v>3</v>
      </c>
      <c r="AW2480" t="s">
        <v>11187</v>
      </c>
      <c r="BA2480" t="s">
        <v>11222</v>
      </c>
      <c r="BE2480" t="s">
        <v>13093</v>
      </c>
      <c r="BF2480" t="s">
        <v>14364</v>
      </c>
      <c r="BM2480" t="s">
        <v>15650</v>
      </c>
    </row>
    <row r="2481" spans="1:65">
      <c r="A2481" s="1">
        <f>HYPERLINK("https://lsnyc.legalserver.org/matter/dynamic-profile/view/1907072","19-1907072")</f>
        <v>0</v>
      </c>
      <c r="B2481" t="s">
        <v>154</v>
      </c>
      <c r="C2481" t="s">
        <v>245</v>
      </c>
      <c r="D2481" t="s">
        <v>653</v>
      </c>
      <c r="F2481" t="s">
        <v>1090</v>
      </c>
      <c r="G2481" t="s">
        <v>3385</v>
      </c>
      <c r="H2481" t="s">
        <v>5599</v>
      </c>
      <c r="I2481" t="s">
        <v>6573</v>
      </c>
      <c r="J2481" t="s">
        <v>7169</v>
      </c>
      <c r="K2481">
        <v>10034</v>
      </c>
      <c r="N2481" t="s">
        <v>7237</v>
      </c>
      <c r="O2481" t="s">
        <v>8822</v>
      </c>
      <c r="P2481">
        <v>1</v>
      </c>
      <c r="Q2481">
        <v>0</v>
      </c>
      <c r="R2481">
        <v>20.66</v>
      </c>
      <c r="U2481">
        <v>2580</v>
      </c>
      <c r="W2481">
        <v>0.1</v>
      </c>
      <c r="X2481" t="s">
        <v>653</v>
      </c>
      <c r="Y2481" t="s">
        <v>127</v>
      </c>
      <c r="AA2481" t="s">
        <v>10974</v>
      </c>
      <c r="AB2481" t="s">
        <v>653</v>
      </c>
      <c r="AD2481" t="s">
        <v>11090</v>
      </c>
      <c r="AF2481" t="s">
        <v>11122</v>
      </c>
      <c r="AH2481" t="s">
        <v>10975</v>
      </c>
      <c r="AJ2481" t="s">
        <v>11129</v>
      </c>
      <c r="AK2481" t="s">
        <v>7225</v>
      </c>
      <c r="AM2481">
        <v>972.72</v>
      </c>
      <c r="AO2481">
        <v>121</v>
      </c>
      <c r="AQ2481" t="s">
        <v>11157</v>
      </c>
      <c r="AS2481" t="s">
        <v>11173</v>
      </c>
      <c r="AU2481">
        <v>32</v>
      </c>
      <c r="AW2481" t="s">
        <v>11189</v>
      </c>
      <c r="BA2481" t="s">
        <v>11222</v>
      </c>
      <c r="BE2481" t="s">
        <v>13079</v>
      </c>
      <c r="BF2481" t="s">
        <v>14364</v>
      </c>
      <c r="BM2481" t="s">
        <v>15650</v>
      </c>
    </row>
    <row r="2482" spans="1:65">
      <c r="A2482" s="1">
        <f>HYPERLINK("https://lsnyc.legalserver.org/matter/dynamic-profile/view/1912103","19-1912103")</f>
        <v>0</v>
      </c>
      <c r="B2482" t="s">
        <v>154</v>
      </c>
      <c r="C2482" t="s">
        <v>245</v>
      </c>
      <c r="D2482" t="s">
        <v>271</v>
      </c>
      <c r="F2482" t="s">
        <v>2140</v>
      </c>
      <c r="G2482" t="s">
        <v>3941</v>
      </c>
      <c r="H2482" t="s">
        <v>5607</v>
      </c>
      <c r="I2482" t="s">
        <v>6405</v>
      </c>
      <c r="J2482" t="s">
        <v>7169</v>
      </c>
      <c r="K2482">
        <v>10034</v>
      </c>
      <c r="N2482" t="s">
        <v>7237</v>
      </c>
      <c r="O2482" t="s">
        <v>8837</v>
      </c>
      <c r="P2482">
        <v>2</v>
      </c>
      <c r="Q2482">
        <v>0</v>
      </c>
      <c r="R2482">
        <v>313.42</v>
      </c>
      <c r="S2482" t="s">
        <v>381</v>
      </c>
      <c r="T2482" t="s">
        <v>10276</v>
      </c>
      <c r="U2482">
        <v>53000</v>
      </c>
      <c r="W2482">
        <v>18.25</v>
      </c>
      <c r="X2482" t="s">
        <v>497</v>
      </c>
      <c r="Y2482" t="s">
        <v>127</v>
      </c>
      <c r="AA2482" t="s">
        <v>10974</v>
      </c>
      <c r="AB2482" t="s">
        <v>271</v>
      </c>
      <c r="AC2482" t="s">
        <v>11081</v>
      </c>
      <c r="AF2482" t="s">
        <v>11118</v>
      </c>
      <c r="AH2482" t="s">
        <v>10975</v>
      </c>
      <c r="AJ2482" t="s">
        <v>11129</v>
      </c>
      <c r="AK2482" t="s">
        <v>7225</v>
      </c>
      <c r="AM2482">
        <v>2300</v>
      </c>
      <c r="AO2482">
        <v>20</v>
      </c>
      <c r="AQ2482" t="s">
        <v>11157</v>
      </c>
      <c r="AS2482" t="s">
        <v>11173</v>
      </c>
      <c r="AU2482">
        <v>11</v>
      </c>
      <c r="AW2482" t="s">
        <v>11187</v>
      </c>
      <c r="BA2482" t="s">
        <v>11222</v>
      </c>
      <c r="BE2482" t="s">
        <v>13094</v>
      </c>
      <c r="BF2482" t="s">
        <v>14364</v>
      </c>
      <c r="BM2482" t="s">
        <v>15650</v>
      </c>
    </row>
    <row r="2483" spans="1:65">
      <c r="A2483" s="1">
        <f>HYPERLINK("https://lsnyc.legalserver.org/matter/dynamic-profile/view/1904725","19-1904725")</f>
        <v>0</v>
      </c>
      <c r="B2483" t="s">
        <v>154</v>
      </c>
      <c r="C2483" t="s">
        <v>245</v>
      </c>
      <c r="D2483" t="s">
        <v>373</v>
      </c>
      <c r="F2483" t="s">
        <v>1093</v>
      </c>
      <c r="G2483" t="s">
        <v>3693</v>
      </c>
      <c r="H2483" t="s">
        <v>5596</v>
      </c>
      <c r="I2483" t="s">
        <v>6439</v>
      </c>
      <c r="J2483" t="s">
        <v>7169</v>
      </c>
      <c r="K2483">
        <v>10034</v>
      </c>
      <c r="N2483" t="s">
        <v>7237</v>
      </c>
      <c r="O2483" t="s">
        <v>8838</v>
      </c>
      <c r="P2483">
        <v>2</v>
      </c>
      <c r="Q2483">
        <v>2</v>
      </c>
      <c r="R2483">
        <v>252.43</v>
      </c>
      <c r="S2483" t="s">
        <v>271</v>
      </c>
      <c r="T2483" t="s">
        <v>10276</v>
      </c>
      <c r="U2483">
        <v>65000</v>
      </c>
      <c r="W2483">
        <v>0</v>
      </c>
      <c r="Y2483" t="s">
        <v>127</v>
      </c>
      <c r="AA2483" t="s">
        <v>10974</v>
      </c>
      <c r="AB2483" t="s">
        <v>373</v>
      </c>
      <c r="AD2483" t="s">
        <v>11101</v>
      </c>
      <c r="AF2483" t="s">
        <v>11118</v>
      </c>
      <c r="AH2483" t="s">
        <v>10974</v>
      </c>
      <c r="AJ2483" t="s">
        <v>11130</v>
      </c>
      <c r="AK2483" t="s">
        <v>7225</v>
      </c>
      <c r="AM2483">
        <v>1650</v>
      </c>
      <c r="AO2483">
        <v>43</v>
      </c>
      <c r="AQ2483" t="s">
        <v>11157</v>
      </c>
      <c r="AS2483" t="s">
        <v>11173</v>
      </c>
      <c r="AU2483">
        <v>24</v>
      </c>
      <c r="AW2483" t="s">
        <v>11187</v>
      </c>
      <c r="BA2483" t="s">
        <v>11222</v>
      </c>
      <c r="BE2483" t="s">
        <v>13095</v>
      </c>
      <c r="BF2483" t="s">
        <v>14364</v>
      </c>
      <c r="BM2483" t="s">
        <v>15650</v>
      </c>
    </row>
    <row r="2484" spans="1:65">
      <c r="A2484" s="1">
        <f>HYPERLINK("https://lsnyc.legalserver.org/matter/dynamic-profile/view/1863062","18-1863062")</f>
        <v>0</v>
      </c>
      <c r="B2484" t="s">
        <v>154</v>
      </c>
      <c r="C2484" t="s">
        <v>245</v>
      </c>
      <c r="D2484" t="s">
        <v>758</v>
      </c>
      <c r="F2484" t="s">
        <v>2066</v>
      </c>
      <c r="G2484" t="s">
        <v>3942</v>
      </c>
      <c r="H2484" t="s">
        <v>5462</v>
      </c>
      <c r="I2484" t="s">
        <v>6409</v>
      </c>
      <c r="J2484" t="s">
        <v>7169</v>
      </c>
      <c r="K2484">
        <v>10034</v>
      </c>
      <c r="N2484" t="s">
        <v>7237</v>
      </c>
      <c r="O2484" t="s">
        <v>8839</v>
      </c>
      <c r="P2484">
        <v>1</v>
      </c>
      <c r="Q2484">
        <v>0</v>
      </c>
      <c r="R2484">
        <v>74.14</v>
      </c>
      <c r="U2484">
        <v>9000</v>
      </c>
      <c r="W2484">
        <v>4.15</v>
      </c>
      <c r="X2484" t="s">
        <v>264</v>
      </c>
      <c r="Y2484" t="s">
        <v>127</v>
      </c>
      <c r="AA2484" t="s">
        <v>10974</v>
      </c>
      <c r="AB2484" t="s">
        <v>758</v>
      </c>
      <c r="AD2484" t="s">
        <v>11101</v>
      </c>
      <c r="AF2484" t="s">
        <v>11118</v>
      </c>
      <c r="AH2484" t="s">
        <v>10974</v>
      </c>
      <c r="AJ2484" t="s">
        <v>11130</v>
      </c>
      <c r="AK2484" t="s">
        <v>7225</v>
      </c>
      <c r="AM2484">
        <v>246</v>
      </c>
      <c r="AO2484">
        <v>60</v>
      </c>
      <c r="AQ2484" t="s">
        <v>11157</v>
      </c>
      <c r="AS2484" t="s">
        <v>11173</v>
      </c>
      <c r="AU2484">
        <v>3</v>
      </c>
      <c r="AW2484" t="s">
        <v>11187</v>
      </c>
      <c r="AZ2484" t="s">
        <v>11221</v>
      </c>
      <c r="BE2484" t="s">
        <v>13096</v>
      </c>
      <c r="BF2484" t="s">
        <v>14364</v>
      </c>
      <c r="BM2484" t="s">
        <v>15650</v>
      </c>
    </row>
    <row r="2485" spans="1:65">
      <c r="A2485" s="1">
        <f>HYPERLINK("https://lsnyc.legalserver.org/matter/dynamic-profile/view/1899126","19-1899126")</f>
        <v>0</v>
      </c>
      <c r="B2485" t="s">
        <v>154</v>
      </c>
      <c r="C2485" t="s">
        <v>245</v>
      </c>
      <c r="D2485" t="s">
        <v>880</v>
      </c>
      <c r="F2485" t="s">
        <v>2141</v>
      </c>
      <c r="G2485" t="s">
        <v>3943</v>
      </c>
      <c r="H2485" t="s">
        <v>5608</v>
      </c>
      <c r="I2485" t="s">
        <v>6841</v>
      </c>
      <c r="J2485" t="s">
        <v>7169</v>
      </c>
      <c r="K2485">
        <v>10128</v>
      </c>
      <c r="N2485" t="s">
        <v>7237</v>
      </c>
      <c r="O2485" t="s">
        <v>8840</v>
      </c>
      <c r="P2485">
        <v>1</v>
      </c>
      <c r="Q2485">
        <v>1</v>
      </c>
      <c r="R2485">
        <v>201.06</v>
      </c>
      <c r="S2485" t="s">
        <v>10254</v>
      </c>
      <c r="T2485" t="s">
        <v>10275</v>
      </c>
      <c r="U2485">
        <v>34000</v>
      </c>
      <c r="W2485">
        <v>95</v>
      </c>
      <c r="X2485" t="s">
        <v>333</v>
      </c>
      <c r="Y2485" t="s">
        <v>127</v>
      </c>
      <c r="AA2485" t="s">
        <v>10974</v>
      </c>
      <c r="AB2485" t="s">
        <v>880</v>
      </c>
      <c r="AD2485" t="s">
        <v>11090</v>
      </c>
      <c r="AF2485" t="s">
        <v>11119</v>
      </c>
      <c r="AH2485" t="s">
        <v>10975</v>
      </c>
      <c r="AJ2485" t="s">
        <v>11133</v>
      </c>
      <c r="AK2485" t="s">
        <v>11149</v>
      </c>
      <c r="AL2485" t="s">
        <v>11150</v>
      </c>
      <c r="AM2485">
        <v>0</v>
      </c>
      <c r="AN2485" t="s">
        <v>11151</v>
      </c>
      <c r="AO2485" t="s">
        <v>11153</v>
      </c>
      <c r="AQ2485" t="s">
        <v>11157</v>
      </c>
      <c r="AS2485" t="s">
        <v>11104</v>
      </c>
      <c r="AT2485" t="s">
        <v>11184</v>
      </c>
      <c r="AU2485">
        <v>0</v>
      </c>
      <c r="AW2485" t="s">
        <v>11187</v>
      </c>
      <c r="BA2485" t="s">
        <v>11222</v>
      </c>
      <c r="BD2485" t="s">
        <v>11667</v>
      </c>
      <c r="BF2485" t="s">
        <v>14364</v>
      </c>
      <c r="BM2485" t="s">
        <v>15650</v>
      </c>
    </row>
    <row r="2486" spans="1:65">
      <c r="A2486" s="1">
        <f>HYPERLINK("https://lsnyc.legalserver.org/matter/dynamic-profile/view/1841513","17-1841513")</f>
        <v>0</v>
      </c>
      <c r="B2486" t="s">
        <v>154</v>
      </c>
      <c r="C2486" t="s">
        <v>245</v>
      </c>
      <c r="D2486" t="s">
        <v>840</v>
      </c>
      <c r="F2486" t="s">
        <v>1596</v>
      </c>
      <c r="G2486" t="s">
        <v>3944</v>
      </c>
      <c r="H2486" t="s">
        <v>5411</v>
      </c>
      <c r="I2486" t="s">
        <v>6437</v>
      </c>
      <c r="J2486" t="s">
        <v>7169</v>
      </c>
      <c r="K2486">
        <v>10034</v>
      </c>
      <c r="N2486" t="s">
        <v>7237</v>
      </c>
      <c r="O2486" t="s">
        <v>8841</v>
      </c>
      <c r="P2486">
        <v>1</v>
      </c>
      <c r="Q2486">
        <v>0</v>
      </c>
      <c r="R2486">
        <v>232.17</v>
      </c>
      <c r="S2486" t="s">
        <v>10255</v>
      </c>
      <c r="U2486">
        <v>28000</v>
      </c>
      <c r="W2486">
        <v>69.16</v>
      </c>
      <c r="X2486" t="s">
        <v>598</v>
      </c>
      <c r="Y2486" t="s">
        <v>127</v>
      </c>
      <c r="AA2486" t="s">
        <v>10974</v>
      </c>
      <c r="AB2486" t="s">
        <v>348</v>
      </c>
      <c r="AD2486" t="s">
        <v>11101</v>
      </c>
      <c r="AF2486" t="s">
        <v>11122</v>
      </c>
      <c r="AH2486" t="s">
        <v>10974</v>
      </c>
      <c r="AJ2486" t="s">
        <v>11137</v>
      </c>
      <c r="AK2486" t="s">
        <v>7225</v>
      </c>
      <c r="AM2486">
        <v>1738.72</v>
      </c>
      <c r="AO2486">
        <v>48</v>
      </c>
      <c r="AQ2486" t="s">
        <v>11157</v>
      </c>
      <c r="AS2486" t="s">
        <v>11173</v>
      </c>
      <c r="AU2486">
        <v>1</v>
      </c>
      <c r="AW2486" t="s">
        <v>11187</v>
      </c>
      <c r="AZ2486" t="s">
        <v>11221</v>
      </c>
      <c r="BE2486" t="s">
        <v>13097</v>
      </c>
      <c r="BG2486" t="s">
        <v>14991</v>
      </c>
      <c r="BM2486" t="s">
        <v>15650</v>
      </c>
    </row>
    <row r="2487" spans="1:65">
      <c r="A2487" s="1">
        <f>HYPERLINK("https://lsnyc.legalserver.org/matter/dynamic-profile/view/1874396","18-1874396")</f>
        <v>0</v>
      </c>
      <c r="B2487" t="s">
        <v>154</v>
      </c>
      <c r="C2487" t="s">
        <v>245</v>
      </c>
      <c r="D2487" t="s">
        <v>876</v>
      </c>
      <c r="F2487" t="s">
        <v>2142</v>
      </c>
      <c r="G2487" t="s">
        <v>3945</v>
      </c>
      <c r="H2487" t="s">
        <v>5591</v>
      </c>
      <c r="I2487" t="s">
        <v>6573</v>
      </c>
      <c r="J2487" t="s">
        <v>7169</v>
      </c>
      <c r="K2487">
        <v>10032</v>
      </c>
      <c r="N2487" t="s">
        <v>7237</v>
      </c>
      <c r="O2487" t="s">
        <v>8842</v>
      </c>
      <c r="P2487">
        <v>2</v>
      </c>
      <c r="Q2487">
        <v>0</v>
      </c>
      <c r="R2487">
        <v>178.54</v>
      </c>
      <c r="U2487">
        <v>29388</v>
      </c>
      <c r="W2487">
        <v>14.56</v>
      </c>
      <c r="X2487" t="s">
        <v>441</v>
      </c>
      <c r="Y2487" t="s">
        <v>127</v>
      </c>
      <c r="AA2487" t="s">
        <v>10974</v>
      </c>
      <c r="AB2487" t="s">
        <v>876</v>
      </c>
      <c r="AD2487" t="s">
        <v>11083</v>
      </c>
      <c r="AF2487" t="s">
        <v>11118</v>
      </c>
      <c r="AH2487" t="s">
        <v>10975</v>
      </c>
      <c r="AJ2487" t="s">
        <v>11130</v>
      </c>
      <c r="AK2487" t="s">
        <v>7225</v>
      </c>
      <c r="AM2487">
        <v>2116.65</v>
      </c>
      <c r="AO2487">
        <v>115</v>
      </c>
      <c r="AQ2487" t="s">
        <v>11157</v>
      </c>
      <c r="AS2487" t="s">
        <v>11173</v>
      </c>
      <c r="AU2487">
        <v>7</v>
      </c>
      <c r="AW2487" t="s">
        <v>11189</v>
      </c>
      <c r="AZ2487" t="s">
        <v>11221</v>
      </c>
      <c r="BE2487" t="s">
        <v>13098</v>
      </c>
      <c r="BF2487" t="s">
        <v>14364</v>
      </c>
      <c r="BM2487" t="s">
        <v>15650</v>
      </c>
    </row>
    <row r="2488" spans="1:65">
      <c r="A2488" s="1">
        <f>HYPERLINK("https://lsnyc.legalserver.org/matter/dynamic-profile/view/1836415","17-1836415")</f>
        <v>0</v>
      </c>
      <c r="B2488" t="s">
        <v>154</v>
      </c>
      <c r="C2488" t="s">
        <v>245</v>
      </c>
      <c r="D2488" t="s">
        <v>875</v>
      </c>
      <c r="F2488" t="s">
        <v>2137</v>
      </c>
      <c r="G2488" t="s">
        <v>3939</v>
      </c>
      <c r="H2488" t="s">
        <v>5494</v>
      </c>
      <c r="I2488" t="s">
        <v>6495</v>
      </c>
      <c r="J2488" t="s">
        <v>7169</v>
      </c>
      <c r="K2488">
        <v>10040</v>
      </c>
      <c r="N2488" t="s">
        <v>7237</v>
      </c>
      <c r="O2488" t="s">
        <v>8833</v>
      </c>
      <c r="P2488">
        <v>2</v>
      </c>
      <c r="Q2488">
        <v>1</v>
      </c>
      <c r="R2488">
        <v>104.41</v>
      </c>
      <c r="S2488" t="s">
        <v>652</v>
      </c>
      <c r="U2488">
        <v>21320</v>
      </c>
      <c r="W2488">
        <v>2.01</v>
      </c>
      <c r="X2488" t="s">
        <v>276</v>
      </c>
      <c r="Y2488" t="s">
        <v>10859</v>
      </c>
      <c r="AA2488" t="s">
        <v>10974</v>
      </c>
      <c r="AB2488" t="s">
        <v>11046</v>
      </c>
      <c r="AD2488" t="s">
        <v>11101</v>
      </c>
      <c r="AF2488" t="s">
        <v>11122</v>
      </c>
      <c r="AH2488" t="s">
        <v>10974</v>
      </c>
      <c r="AJ2488" t="s">
        <v>11134</v>
      </c>
      <c r="AK2488" t="s">
        <v>7225</v>
      </c>
      <c r="AM2488">
        <v>892.52</v>
      </c>
      <c r="AO2488">
        <v>45</v>
      </c>
      <c r="AQ2488" t="s">
        <v>11157</v>
      </c>
      <c r="AS2488" t="s">
        <v>11173</v>
      </c>
      <c r="AU2488">
        <v>13</v>
      </c>
      <c r="AW2488" t="s">
        <v>11189</v>
      </c>
      <c r="AZ2488" t="s">
        <v>11221</v>
      </c>
      <c r="BE2488" t="s">
        <v>13090</v>
      </c>
      <c r="BG2488" t="s">
        <v>14985</v>
      </c>
      <c r="BM2488" t="s">
        <v>15650</v>
      </c>
    </row>
    <row r="2489" spans="1:65">
      <c r="A2489" s="1">
        <f>HYPERLINK("https://lsnyc.legalserver.org/matter/dynamic-profile/view/1914976","19-1914976")</f>
        <v>0</v>
      </c>
      <c r="B2489" t="s">
        <v>154</v>
      </c>
      <c r="C2489" t="s">
        <v>245</v>
      </c>
      <c r="D2489" t="s">
        <v>264</v>
      </c>
      <c r="F2489" t="s">
        <v>2143</v>
      </c>
      <c r="G2489" t="s">
        <v>3946</v>
      </c>
      <c r="H2489" t="s">
        <v>4773</v>
      </c>
      <c r="I2489">
        <v>201</v>
      </c>
      <c r="J2489" t="s">
        <v>7169</v>
      </c>
      <c r="K2489">
        <v>10034</v>
      </c>
      <c r="N2489" t="s">
        <v>7237</v>
      </c>
      <c r="O2489" t="s">
        <v>8843</v>
      </c>
      <c r="P2489">
        <v>1</v>
      </c>
      <c r="Q2489">
        <v>1</v>
      </c>
      <c r="R2489">
        <v>0</v>
      </c>
      <c r="U2489">
        <v>0</v>
      </c>
      <c r="W2489">
        <v>0.5</v>
      </c>
      <c r="X2489" t="s">
        <v>436</v>
      </c>
      <c r="Y2489" t="s">
        <v>127</v>
      </c>
      <c r="AA2489" t="s">
        <v>10974</v>
      </c>
      <c r="AB2489" t="s">
        <v>264</v>
      </c>
      <c r="AD2489" t="s">
        <v>11082</v>
      </c>
      <c r="AF2489" t="s">
        <v>11118</v>
      </c>
      <c r="AH2489" t="s">
        <v>10975</v>
      </c>
      <c r="AJ2489" t="s">
        <v>11129</v>
      </c>
      <c r="AK2489" t="s">
        <v>7225</v>
      </c>
      <c r="AM2489">
        <v>1374</v>
      </c>
      <c r="AN2489" t="s">
        <v>11151</v>
      </c>
      <c r="AO2489" t="s">
        <v>11153</v>
      </c>
      <c r="AQ2489" t="s">
        <v>11157</v>
      </c>
      <c r="AR2489" t="s">
        <v>11172</v>
      </c>
      <c r="AU2489">
        <v>11</v>
      </c>
      <c r="AW2489" t="s">
        <v>11189</v>
      </c>
      <c r="BA2489" t="s">
        <v>11222</v>
      </c>
      <c r="BE2489" t="s">
        <v>13099</v>
      </c>
      <c r="BF2489" t="s">
        <v>14364</v>
      </c>
      <c r="BM2489" t="s">
        <v>15650</v>
      </c>
    </row>
    <row r="2490" spans="1:65">
      <c r="A2490" s="1">
        <f>HYPERLINK("https://lsnyc.legalserver.org/matter/dynamic-profile/view/1843620","17-1843620")</f>
        <v>0</v>
      </c>
      <c r="B2490" t="s">
        <v>154</v>
      </c>
      <c r="C2490" t="s">
        <v>245</v>
      </c>
      <c r="D2490" t="s">
        <v>851</v>
      </c>
      <c r="F2490" t="s">
        <v>1295</v>
      </c>
      <c r="G2490" t="s">
        <v>3947</v>
      </c>
      <c r="H2490" t="s">
        <v>5494</v>
      </c>
      <c r="I2490" t="s">
        <v>6419</v>
      </c>
      <c r="J2490" t="s">
        <v>7169</v>
      </c>
      <c r="K2490">
        <v>10040</v>
      </c>
      <c r="N2490" t="s">
        <v>7237</v>
      </c>
      <c r="O2490" t="s">
        <v>8844</v>
      </c>
      <c r="P2490">
        <v>2</v>
      </c>
      <c r="Q2490">
        <v>1</v>
      </c>
      <c r="R2490">
        <v>89.13</v>
      </c>
      <c r="S2490" t="s">
        <v>652</v>
      </c>
      <c r="U2490">
        <v>18200</v>
      </c>
      <c r="W2490">
        <v>0.11</v>
      </c>
      <c r="X2490" t="s">
        <v>276</v>
      </c>
      <c r="Y2490" t="s">
        <v>127</v>
      </c>
      <c r="Z2490" t="s">
        <v>10972</v>
      </c>
      <c r="AA2490" t="s">
        <v>10975</v>
      </c>
      <c r="AD2490" t="s">
        <v>11101</v>
      </c>
      <c r="AF2490" t="s">
        <v>11122</v>
      </c>
      <c r="AH2490" t="s">
        <v>10974</v>
      </c>
      <c r="AJ2490" t="s">
        <v>11130</v>
      </c>
      <c r="AK2490" t="s">
        <v>7225</v>
      </c>
      <c r="AM2490">
        <v>825</v>
      </c>
      <c r="AO2490">
        <v>44</v>
      </c>
      <c r="AQ2490" t="s">
        <v>11157</v>
      </c>
      <c r="AS2490" t="s">
        <v>11173</v>
      </c>
      <c r="AU2490">
        <v>20</v>
      </c>
      <c r="AW2490" t="s">
        <v>11189</v>
      </c>
      <c r="AX2490" t="s">
        <v>11212</v>
      </c>
      <c r="AZ2490" t="s">
        <v>11221</v>
      </c>
      <c r="BD2490" t="s">
        <v>11667</v>
      </c>
      <c r="BF2490" t="s">
        <v>14364</v>
      </c>
      <c r="BM2490" t="s">
        <v>15650</v>
      </c>
    </row>
    <row r="2491" spans="1:65">
      <c r="A2491" s="1">
        <f>HYPERLINK("https://lsnyc.legalserver.org/matter/dynamic-profile/view/1861611","18-1861611")</f>
        <v>0</v>
      </c>
      <c r="B2491" t="s">
        <v>154</v>
      </c>
      <c r="C2491" t="s">
        <v>245</v>
      </c>
      <c r="D2491" t="s">
        <v>873</v>
      </c>
      <c r="F2491" t="s">
        <v>1122</v>
      </c>
      <c r="G2491" t="s">
        <v>3948</v>
      </c>
      <c r="H2491" t="s">
        <v>4903</v>
      </c>
      <c r="I2491" t="s">
        <v>6869</v>
      </c>
      <c r="J2491" t="s">
        <v>7169</v>
      </c>
      <c r="K2491">
        <v>10034</v>
      </c>
      <c r="N2491" t="s">
        <v>7237</v>
      </c>
      <c r="O2491" t="s">
        <v>8845</v>
      </c>
      <c r="P2491">
        <v>3</v>
      </c>
      <c r="Q2491">
        <v>0</v>
      </c>
      <c r="R2491">
        <v>206.45</v>
      </c>
      <c r="U2491">
        <v>42900</v>
      </c>
      <c r="W2491">
        <v>54.75</v>
      </c>
      <c r="X2491" t="s">
        <v>266</v>
      </c>
      <c r="Y2491" t="s">
        <v>10882</v>
      </c>
      <c r="Z2491" t="s">
        <v>10972</v>
      </c>
      <c r="AA2491" t="s">
        <v>10976</v>
      </c>
      <c r="AD2491" t="s">
        <v>11082</v>
      </c>
      <c r="AF2491" t="s">
        <v>11118</v>
      </c>
      <c r="AG2491" t="s">
        <v>11124</v>
      </c>
      <c r="AI2491" t="s">
        <v>11126</v>
      </c>
      <c r="AK2491" t="s">
        <v>7225</v>
      </c>
      <c r="AM2491">
        <v>1200</v>
      </c>
      <c r="AO2491">
        <v>20</v>
      </c>
      <c r="AQ2491" t="s">
        <v>11164</v>
      </c>
      <c r="AS2491" t="s">
        <v>11173</v>
      </c>
      <c r="AU2491">
        <v>6</v>
      </c>
      <c r="AW2491" t="s">
        <v>11189</v>
      </c>
      <c r="AX2491" t="s">
        <v>11212</v>
      </c>
      <c r="AZ2491" t="s">
        <v>11221</v>
      </c>
      <c r="BE2491" t="s">
        <v>13100</v>
      </c>
      <c r="BG2491" t="s">
        <v>14992</v>
      </c>
      <c r="BM2491" t="s">
        <v>15650</v>
      </c>
    </row>
    <row r="2492" spans="1:65">
      <c r="A2492" s="1">
        <f>HYPERLINK("https://lsnyc.legalserver.org/matter/dynamic-profile/view/1863069","18-1863069")</f>
        <v>0</v>
      </c>
      <c r="B2492" t="s">
        <v>154</v>
      </c>
      <c r="C2492" t="s">
        <v>245</v>
      </c>
      <c r="D2492" t="s">
        <v>758</v>
      </c>
      <c r="F2492" t="s">
        <v>1344</v>
      </c>
      <c r="G2492" t="s">
        <v>3770</v>
      </c>
      <c r="H2492" t="s">
        <v>5462</v>
      </c>
      <c r="I2492" t="s">
        <v>6596</v>
      </c>
      <c r="J2492" t="s">
        <v>7169</v>
      </c>
      <c r="K2492">
        <v>10034</v>
      </c>
      <c r="N2492" t="s">
        <v>7237</v>
      </c>
      <c r="O2492" t="s">
        <v>8846</v>
      </c>
      <c r="P2492">
        <v>1</v>
      </c>
      <c r="Q2492">
        <v>0</v>
      </c>
      <c r="R2492">
        <v>84.70999999999999</v>
      </c>
      <c r="U2492">
        <v>10284</v>
      </c>
      <c r="W2492">
        <v>3.21</v>
      </c>
      <c r="X2492" t="s">
        <v>497</v>
      </c>
      <c r="Y2492" t="s">
        <v>127</v>
      </c>
      <c r="AA2492" t="s">
        <v>10974</v>
      </c>
      <c r="AB2492" t="s">
        <v>758</v>
      </c>
      <c r="AD2492" t="s">
        <v>11101</v>
      </c>
      <c r="AF2492" t="s">
        <v>11118</v>
      </c>
      <c r="AH2492" t="s">
        <v>10974</v>
      </c>
      <c r="AJ2492" t="s">
        <v>11130</v>
      </c>
      <c r="AK2492" t="s">
        <v>7225</v>
      </c>
      <c r="AM2492">
        <v>262.6</v>
      </c>
      <c r="AO2492">
        <v>60</v>
      </c>
      <c r="AQ2492" t="s">
        <v>11157</v>
      </c>
      <c r="AS2492" t="s">
        <v>11173</v>
      </c>
      <c r="AU2492">
        <v>10</v>
      </c>
      <c r="AW2492" t="s">
        <v>11189</v>
      </c>
      <c r="AZ2492" t="s">
        <v>11221</v>
      </c>
      <c r="BB2492" t="s">
        <v>11224</v>
      </c>
      <c r="BC2492" t="s">
        <v>11428</v>
      </c>
      <c r="BE2492" t="s">
        <v>13101</v>
      </c>
      <c r="BF2492" t="s">
        <v>14364</v>
      </c>
      <c r="BM2492" t="s">
        <v>15650</v>
      </c>
    </row>
    <row r="2493" spans="1:65">
      <c r="A2493" s="1">
        <f>HYPERLINK("https://lsnyc.legalserver.org/matter/dynamic-profile/view/1876048","18-1876048")</f>
        <v>0</v>
      </c>
      <c r="B2493" t="s">
        <v>155</v>
      </c>
      <c r="C2493" t="s">
        <v>248</v>
      </c>
      <c r="D2493" t="s">
        <v>532</v>
      </c>
      <c r="F2493" t="s">
        <v>1665</v>
      </c>
      <c r="G2493" t="s">
        <v>3126</v>
      </c>
      <c r="H2493" t="s">
        <v>5609</v>
      </c>
      <c r="J2493" t="s">
        <v>7174</v>
      </c>
      <c r="K2493">
        <v>11224</v>
      </c>
      <c r="N2493" t="s">
        <v>7237</v>
      </c>
      <c r="O2493" t="s">
        <v>8847</v>
      </c>
      <c r="P2493">
        <v>3</v>
      </c>
      <c r="Q2493">
        <v>0</v>
      </c>
      <c r="R2493">
        <v>46.87</v>
      </c>
      <c r="U2493">
        <v>9740.4</v>
      </c>
      <c r="W2493">
        <v>62.8</v>
      </c>
      <c r="X2493" t="s">
        <v>638</v>
      </c>
      <c r="Y2493" t="s">
        <v>10913</v>
      </c>
      <c r="Z2493" t="s">
        <v>10972</v>
      </c>
      <c r="AA2493" t="s">
        <v>10976</v>
      </c>
      <c r="AD2493" t="s">
        <v>11083</v>
      </c>
      <c r="AF2493" t="s">
        <v>11118</v>
      </c>
      <c r="AG2493" t="s">
        <v>11124</v>
      </c>
      <c r="AJ2493" t="s">
        <v>11138</v>
      </c>
      <c r="AK2493" t="s">
        <v>7225</v>
      </c>
      <c r="AM2493">
        <v>2135</v>
      </c>
      <c r="AN2493" t="s">
        <v>11151</v>
      </c>
      <c r="AO2493" t="s">
        <v>11153</v>
      </c>
      <c r="AP2493" t="s">
        <v>11155</v>
      </c>
      <c r="AS2493" t="s">
        <v>11174</v>
      </c>
      <c r="AU2493">
        <v>30</v>
      </c>
      <c r="AW2493" t="s">
        <v>11187</v>
      </c>
      <c r="AX2493" t="s">
        <v>11212</v>
      </c>
      <c r="AZ2493" t="s">
        <v>11221</v>
      </c>
      <c r="BD2493" t="s">
        <v>11667</v>
      </c>
      <c r="BG2493" t="s">
        <v>14993</v>
      </c>
      <c r="BM2493" t="s">
        <v>15650</v>
      </c>
    </row>
    <row r="2494" spans="1:65">
      <c r="A2494" s="1">
        <f>HYPERLINK("https://lsnyc.legalserver.org/matter/dynamic-profile/view/1899921","19-1899921")</f>
        <v>0</v>
      </c>
      <c r="B2494" t="s">
        <v>155</v>
      </c>
      <c r="C2494" t="s">
        <v>248</v>
      </c>
      <c r="D2494" t="s">
        <v>382</v>
      </c>
      <c r="F2494" t="s">
        <v>2144</v>
      </c>
      <c r="G2494" t="s">
        <v>3949</v>
      </c>
      <c r="H2494" t="s">
        <v>5610</v>
      </c>
      <c r="I2494" t="s">
        <v>6870</v>
      </c>
      <c r="J2494" t="s">
        <v>7174</v>
      </c>
      <c r="K2494">
        <v>11226</v>
      </c>
      <c r="N2494" t="s">
        <v>7237</v>
      </c>
      <c r="O2494" t="s">
        <v>8848</v>
      </c>
      <c r="P2494">
        <v>4</v>
      </c>
      <c r="Q2494">
        <v>1</v>
      </c>
      <c r="R2494">
        <v>76.23</v>
      </c>
      <c r="U2494">
        <v>23000</v>
      </c>
      <c r="W2494">
        <v>24.35</v>
      </c>
      <c r="X2494" t="s">
        <v>528</v>
      </c>
      <c r="Y2494" t="s">
        <v>10941</v>
      </c>
      <c r="Z2494" t="s">
        <v>10972</v>
      </c>
      <c r="AA2494" t="s">
        <v>10976</v>
      </c>
      <c r="AD2494" t="s">
        <v>11082</v>
      </c>
      <c r="AE2494" t="s">
        <v>11117</v>
      </c>
      <c r="AH2494" t="s">
        <v>10974</v>
      </c>
      <c r="AJ2494" t="s">
        <v>11129</v>
      </c>
      <c r="AK2494" t="s">
        <v>7225</v>
      </c>
      <c r="AM2494">
        <v>771.66</v>
      </c>
      <c r="AO2494">
        <v>16</v>
      </c>
      <c r="AQ2494" t="s">
        <v>11157</v>
      </c>
      <c r="AR2494" t="s">
        <v>11172</v>
      </c>
      <c r="AU2494">
        <v>36</v>
      </c>
      <c r="AW2494" t="s">
        <v>11187</v>
      </c>
      <c r="AX2494" t="s">
        <v>11212</v>
      </c>
      <c r="AZ2494" t="s">
        <v>11221</v>
      </c>
      <c r="BB2494" t="s">
        <v>11224</v>
      </c>
      <c r="BC2494">
        <v>35037572</v>
      </c>
      <c r="BE2494" t="s">
        <v>13102</v>
      </c>
      <c r="BF2494" t="s">
        <v>14364</v>
      </c>
      <c r="BG2494" t="s">
        <v>14994</v>
      </c>
      <c r="BM2494" t="s">
        <v>15650</v>
      </c>
    </row>
    <row r="2495" spans="1:65">
      <c r="A2495" s="1">
        <f>HYPERLINK("https://lsnyc.legalserver.org/matter/dynamic-profile/view/1914142","19-1914142")</f>
        <v>0</v>
      </c>
      <c r="B2495" t="s">
        <v>156</v>
      </c>
      <c r="C2495" t="s">
        <v>246</v>
      </c>
      <c r="D2495" t="s">
        <v>301</v>
      </c>
      <c r="F2495" t="s">
        <v>1437</v>
      </c>
      <c r="G2495" t="s">
        <v>2902</v>
      </c>
      <c r="H2495" t="s">
        <v>5611</v>
      </c>
      <c r="I2495" t="s">
        <v>6871</v>
      </c>
      <c r="J2495" t="s">
        <v>7170</v>
      </c>
      <c r="K2495">
        <v>10457</v>
      </c>
      <c r="N2495" t="s">
        <v>7237</v>
      </c>
      <c r="O2495" t="s">
        <v>8849</v>
      </c>
      <c r="P2495">
        <v>1</v>
      </c>
      <c r="Q2495">
        <v>0</v>
      </c>
      <c r="R2495">
        <v>89.3</v>
      </c>
      <c r="U2495">
        <v>11154</v>
      </c>
      <c r="W2495">
        <v>8</v>
      </c>
      <c r="X2495" t="s">
        <v>638</v>
      </c>
      <c r="Y2495" t="s">
        <v>10890</v>
      </c>
      <c r="AA2495" t="s">
        <v>10974</v>
      </c>
      <c r="AD2495" t="s">
        <v>11082</v>
      </c>
      <c r="AF2495" t="s">
        <v>11118</v>
      </c>
      <c r="AH2495" t="s">
        <v>10975</v>
      </c>
      <c r="AJ2495" t="s">
        <v>11143</v>
      </c>
      <c r="AK2495" t="s">
        <v>7225</v>
      </c>
      <c r="AM2495">
        <v>1034</v>
      </c>
      <c r="AN2495" t="s">
        <v>11151</v>
      </c>
      <c r="AO2495" t="s">
        <v>11153</v>
      </c>
      <c r="AQ2495" t="s">
        <v>11161</v>
      </c>
      <c r="AS2495" t="s">
        <v>11174</v>
      </c>
      <c r="AU2495">
        <v>10</v>
      </c>
      <c r="AW2495" t="s">
        <v>11189</v>
      </c>
      <c r="AY2495" t="s">
        <v>11216</v>
      </c>
      <c r="BA2495" t="s">
        <v>11223</v>
      </c>
      <c r="BC2495" t="s">
        <v>11429</v>
      </c>
      <c r="BE2495" t="s">
        <v>13103</v>
      </c>
      <c r="BG2495" t="s">
        <v>14995</v>
      </c>
      <c r="BM2495" t="s">
        <v>15650</v>
      </c>
    </row>
    <row r="2496" spans="1:65">
      <c r="A2496" s="1">
        <f>HYPERLINK("https://lsnyc.legalserver.org/matter/dynamic-profile/view/1910523","19-1910523")</f>
        <v>0</v>
      </c>
      <c r="B2496" t="s">
        <v>156</v>
      </c>
      <c r="C2496" t="s">
        <v>246</v>
      </c>
      <c r="D2496" t="s">
        <v>561</v>
      </c>
      <c r="F2496" t="s">
        <v>1555</v>
      </c>
      <c r="G2496" t="s">
        <v>3566</v>
      </c>
      <c r="H2496" t="s">
        <v>5286</v>
      </c>
      <c r="I2496" t="s">
        <v>6740</v>
      </c>
      <c r="J2496" t="s">
        <v>7170</v>
      </c>
      <c r="K2496">
        <v>10453</v>
      </c>
      <c r="N2496" t="s">
        <v>7237</v>
      </c>
      <c r="O2496" t="s">
        <v>8204</v>
      </c>
      <c r="P2496">
        <v>2</v>
      </c>
      <c r="Q2496">
        <v>0</v>
      </c>
      <c r="R2496">
        <v>184.51</v>
      </c>
      <c r="U2496">
        <v>31200</v>
      </c>
      <c r="W2496">
        <v>18.5</v>
      </c>
      <c r="X2496" t="s">
        <v>634</v>
      </c>
      <c r="Y2496" t="s">
        <v>216</v>
      </c>
      <c r="AA2496" t="s">
        <v>10974</v>
      </c>
      <c r="AD2496" t="s">
        <v>11082</v>
      </c>
      <c r="AF2496" t="s">
        <v>11118</v>
      </c>
      <c r="AH2496" t="s">
        <v>10975</v>
      </c>
      <c r="AJ2496" t="s">
        <v>11129</v>
      </c>
      <c r="AK2496" t="s">
        <v>7225</v>
      </c>
      <c r="AM2496">
        <v>1174</v>
      </c>
      <c r="AN2496" t="s">
        <v>11151</v>
      </c>
      <c r="AO2496" t="s">
        <v>11153</v>
      </c>
      <c r="AQ2496" t="s">
        <v>11157</v>
      </c>
      <c r="AR2496" t="s">
        <v>11172</v>
      </c>
      <c r="AU2496">
        <v>33</v>
      </c>
      <c r="AW2496" t="s">
        <v>11187</v>
      </c>
      <c r="AY2496" t="s">
        <v>11213</v>
      </c>
      <c r="BA2496" t="s">
        <v>11223</v>
      </c>
      <c r="BC2496" t="s">
        <v>11359</v>
      </c>
      <c r="BE2496" t="s">
        <v>12504</v>
      </c>
      <c r="BG2496" t="s">
        <v>14996</v>
      </c>
      <c r="BM2496" t="s">
        <v>15650</v>
      </c>
    </row>
    <row r="2497" spans="1:65">
      <c r="A2497" s="1">
        <f>HYPERLINK("https://lsnyc.legalserver.org/matter/dynamic-profile/view/1910407","19-1910407")</f>
        <v>0</v>
      </c>
      <c r="B2497" t="s">
        <v>156</v>
      </c>
      <c r="C2497" t="s">
        <v>246</v>
      </c>
      <c r="D2497" t="s">
        <v>263</v>
      </c>
      <c r="F2497" t="s">
        <v>1212</v>
      </c>
      <c r="G2497" t="s">
        <v>2889</v>
      </c>
      <c r="H2497" t="s">
        <v>5612</v>
      </c>
      <c r="I2497" t="s">
        <v>6404</v>
      </c>
      <c r="J2497" t="s">
        <v>7170</v>
      </c>
      <c r="K2497">
        <v>10452</v>
      </c>
      <c r="N2497" t="s">
        <v>7237</v>
      </c>
      <c r="O2497" t="s">
        <v>8850</v>
      </c>
      <c r="P2497">
        <v>1</v>
      </c>
      <c r="Q2497">
        <v>0</v>
      </c>
      <c r="R2497">
        <v>83.27</v>
      </c>
      <c r="U2497">
        <v>10400</v>
      </c>
      <c r="W2497">
        <v>19.2</v>
      </c>
      <c r="X2497" t="s">
        <v>638</v>
      </c>
      <c r="Y2497" t="s">
        <v>10890</v>
      </c>
      <c r="Z2497" t="s">
        <v>10972</v>
      </c>
      <c r="AA2497" t="s">
        <v>10976</v>
      </c>
      <c r="AD2497" t="s">
        <v>11083</v>
      </c>
      <c r="AF2497" t="s">
        <v>11118</v>
      </c>
      <c r="AH2497" t="s">
        <v>10975</v>
      </c>
      <c r="AJ2497" t="s">
        <v>11143</v>
      </c>
      <c r="AK2497" t="s">
        <v>7225</v>
      </c>
      <c r="AM2497">
        <v>518</v>
      </c>
      <c r="AO2497">
        <v>40</v>
      </c>
      <c r="AQ2497" t="s">
        <v>11157</v>
      </c>
      <c r="AR2497" t="s">
        <v>11172</v>
      </c>
      <c r="AU2497">
        <v>25</v>
      </c>
      <c r="AW2497" t="s">
        <v>11189</v>
      </c>
      <c r="AY2497" t="s">
        <v>11213</v>
      </c>
      <c r="AZ2497" t="s">
        <v>11221</v>
      </c>
      <c r="BE2497" t="s">
        <v>13104</v>
      </c>
      <c r="BF2497" t="s">
        <v>14364</v>
      </c>
      <c r="BG2497" t="s">
        <v>14997</v>
      </c>
      <c r="BM2497" t="s">
        <v>15650</v>
      </c>
    </row>
    <row r="2498" spans="1:65">
      <c r="A2498" s="1">
        <f>HYPERLINK("https://lsnyc.legalserver.org/matter/dynamic-profile/view/1912986","19-1912986")</f>
        <v>0</v>
      </c>
      <c r="B2498" t="s">
        <v>156</v>
      </c>
      <c r="C2498" t="s">
        <v>246</v>
      </c>
      <c r="D2498" t="s">
        <v>305</v>
      </c>
      <c r="F2498" t="s">
        <v>2145</v>
      </c>
      <c r="G2498" t="s">
        <v>3504</v>
      </c>
      <c r="H2498" t="s">
        <v>5613</v>
      </c>
      <c r="I2498" t="s">
        <v>6551</v>
      </c>
      <c r="J2498" t="s">
        <v>7170</v>
      </c>
      <c r="K2498">
        <v>10458</v>
      </c>
      <c r="N2498" t="s">
        <v>7237</v>
      </c>
      <c r="O2498" t="s">
        <v>8851</v>
      </c>
      <c r="P2498">
        <v>3</v>
      </c>
      <c r="Q2498">
        <v>1</v>
      </c>
      <c r="R2498">
        <v>87.56999999999999</v>
      </c>
      <c r="U2498">
        <v>22548</v>
      </c>
      <c r="W2498">
        <v>28.45</v>
      </c>
      <c r="X2498" t="s">
        <v>638</v>
      </c>
      <c r="Y2498" t="s">
        <v>10897</v>
      </c>
      <c r="AA2498" t="s">
        <v>10974</v>
      </c>
      <c r="AB2498" t="s">
        <v>305</v>
      </c>
      <c r="AD2498" t="s">
        <v>11082</v>
      </c>
      <c r="AF2498" t="s">
        <v>11118</v>
      </c>
      <c r="AH2498" t="s">
        <v>10975</v>
      </c>
      <c r="AJ2498" t="s">
        <v>11141</v>
      </c>
      <c r="AK2498" t="s">
        <v>7225</v>
      </c>
      <c r="AL2498" t="s">
        <v>11150</v>
      </c>
      <c r="AM2498">
        <v>0</v>
      </c>
      <c r="AN2498" t="s">
        <v>11151</v>
      </c>
      <c r="AO2498" t="s">
        <v>11153</v>
      </c>
      <c r="AQ2498" t="s">
        <v>11157</v>
      </c>
      <c r="AS2498" t="s">
        <v>11176</v>
      </c>
      <c r="AU2498">
        <v>7</v>
      </c>
      <c r="AW2498" t="s">
        <v>11189</v>
      </c>
      <c r="BA2498" t="s">
        <v>11223</v>
      </c>
      <c r="BC2498" t="s">
        <v>11430</v>
      </c>
      <c r="BE2498" t="s">
        <v>13105</v>
      </c>
      <c r="BG2498" t="s">
        <v>14998</v>
      </c>
      <c r="BM2498" t="s">
        <v>15650</v>
      </c>
    </row>
    <row r="2499" spans="1:65">
      <c r="A2499" s="1">
        <f>HYPERLINK("https://lsnyc.legalserver.org/matter/dynamic-profile/view/1848579","17-1848579")</f>
        <v>0</v>
      </c>
      <c r="B2499" t="s">
        <v>157</v>
      </c>
      <c r="C2499" t="s">
        <v>248</v>
      </c>
      <c r="D2499" t="s">
        <v>355</v>
      </c>
      <c r="E2499" t="s">
        <v>669</v>
      </c>
      <c r="F2499" t="s">
        <v>1142</v>
      </c>
      <c r="G2499" t="s">
        <v>3676</v>
      </c>
      <c r="H2499" t="s">
        <v>5367</v>
      </c>
      <c r="I2499" t="s">
        <v>6778</v>
      </c>
      <c r="J2499" t="s">
        <v>7174</v>
      </c>
      <c r="K2499">
        <v>11206</v>
      </c>
      <c r="L2499" t="s">
        <v>7219</v>
      </c>
      <c r="N2499" t="s">
        <v>7237</v>
      </c>
      <c r="O2499" t="s">
        <v>7701</v>
      </c>
      <c r="P2499">
        <v>2</v>
      </c>
      <c r="Q2499">
        <v>0</v>
      </c>
      <c r="R2499">
        <v>64.8</v>
      </c>
      <c r="U2499">
        <v>10524</v>
      </c>
      <c r="W2499">
        <v>50.4</v>
      </c>
      <c r="X2499" t="s">
        <v>370</v>
      </c>
      <c r="Y2499" t="s">
        <v>10901</v>
      </c>
      <c r="AA2499" t="s">
        <v>10974</v>
      </c>
      <c r="AB2499" t="s">
        <v>898</v>
      </c>
      <c r="AD2499" t="s">
        <v>11082</v>
      </c>
      <c r="AF2499" t="s">
        <v>11118</v>
      </c>
      <c r="AH2499" t="s">
        <v>10974</v>
      </c>
      <c r="AI2499" t="s">
        <v>11126</v>
      </c>
      <c r="AK2499" t="s">
        <v>7225</v>
      </c>
      <c r="AM2499">
        <v>1057.68</v>
      </c>
      <c r="AO2499">
        <v>25</v>
      </c>
      <c r="AQ2499" t="s">
        <v>11157</v>
      </c>
      <c r="AS2499" t="s">
        <v>11174</v>
      </c>
      <c r="AU2499">
        <v>9</v>
      </c>
      <c r="AW2499" t="s">
        <v>11187</v>
      </c>
      <c r="AZ2499" t="s">
        <v>11221</v>
      </c>
      <c r="BB2499" t="s">
        <v>11224</v>
      </c>
      <c r="BC2499" t="s">
        <v>11431</v>
      </c>
      <c r="BD2499" t="s">
        <v>11667</v>
      </c>
      <c r="BG2499" t="s">
        <v>14999</v>
      </c>
      <c r="BH2499" t="s">
        <v>15605</v>
      </c>
      <c r="BJ2499" t="s">
        <v>15615</v>
      </c>
      <c r="BL2499" t="s">
        <v>15648</v>
      </c>
      <c r="BM2499" t="s">
        <v>15651</v>
      </c>
    </row>
    <row r="2500" spans="1:65">
      <c r="A2500" s="1">
        <f>HYPERLINK("https://lsnyc.legalserver.org/matter/dynamic-profile/view/1912797","19-1912797")</f>
        <v>0</v>
      </c>
      <c r="B2500" t="s">
        <v>157</v>
      </c>
      <c r="C2500" t="s">
        <v>248</v>
      </c>
      <c r="D2500" t="s">
        <v>316</v>
      </c>
      <c r="F2500" t="s">
        <v>2146</v>
      </c>
      <c r="G2500" t="s">
        <v>3950</v>
      </c>
      <c r="H2500" t="s">
        <v>5614</v>
      </c>
      <c r="I2500" t="s">
        <v>6724</v>
      </c>
      <c r="J2500" t="s">
        <v>7174</v>
      </c>
      <c r="K2500">
        <v>11217</v>
      </c>
      <c r="N2500" t="s">
        <v>7237</v>
      </c>
      <c r="O2500" t="s">
        <v>8852</v>
      </c>
      <c r="P2500">
        <v>2</v>
      </c>
      <c r="Q2500">
        <v>0</v>
      </c>
      <c r="R2500">
        <v>51.8</v>
      </c>
      <c r="U2500">
        <v>8760</v>
      </c>
      <c r="W2500">
        <v>3.5</v>
      </c>
      <c r="X2500" t="s">
        <v>426</v>
      </c>
      <c r="Y2500" t="s">
        <v>101</v>
      </c>
      <c r="AA2500" t="s">
        <v>10974</v>
      </c>
      <c r="AB2500" t="s">
        <v>265</v>
      </c>
      <c r="AD2500" t="s">
        <v>11082</v>
      </c>
      <c r="AF2500" t="s">
        <v>11121</v>
      </c>
      <c r="AH2500" t="s">
        <v>10975</v>
      </c>
      <c r="AJ2500" t="s">
        <v>11135</v>
      </c>
      <c r="AK2500" t="s">
        <v>7225</v>
      </c>
      <c r="AM2500">
        <v>580</v>
      </c>
      <c r="AO2500">
        <v>9</v>
      </c>
      <c r="AQ2500" t="s">
        <v>11168</v>
      </c>
      <c r="AR2500" t="s">
        <v>11172</v>
      </c>
      <c r="AU2500">
        <v>15</v>
      </c>
      <c r="AW2500" t="s">
        <v>11187</v>
      </c>
      <c r="BA2500" t="s">
        <v>11222</v>
      </c>
      <c r="BE2500" t="s">
        <v>13106</v>
      </c>
      <c r="BG2500" t="s">
        <v>15000</v>
      </c>
      <c r="BM2500" t="s">
        <v>15650</v>
      </c>
    </row>
    <row r="2501" spans="1:65">
      <c r="A2501" s="1">
        <f>HYPERLINK("https://lsnyc.legalserver.org/matter/dynamic-profile/view/1845341","17-1845341")</f>
        <v>0</v>
      </c>
      <c r="B2501" t="s">
        <v>158</v>
      </c>
      <c r="C2501" t="s">
        <v>248</v>
      </c>
      <c r="D2501" t="s">
        <v>881</v>
      </c>
      <c r="F2501" t="s">
        <v>2147</v>
      </c>
      <c r="G2501" t="s">
        <v>3951</v>
      </c>
      <c r="H2501" t="s">
        <v>5615</v>
      </c>
      <c r="I2501" t="s">
        <v>6429</v>
      </c>
      <c r="J2501" t="s">
        <v>7174</v>
      </c>
      <c r="K2501">
        <v>11213</v>
      </c>
      <c r="N2501" t="s">
        <v>7237</v>
      </c>
      <c r="O2501" t="s">
        <v>8853</v>
      </c>
      <c r="P2501">
        <v>2</v>
      </c>
      <c r="Q2501">
        <v>1</v>
      </c>
      <c r="R2501">
        <v>142.86</v>
      </c>
      <c r="S2501" t="s">
        <v>843</v>
      </c>
      <c r="U2501">
        <v>29172</v>
      </c>
      <c r="W2501">
        <v>0</v>
      </c>
      <c r="Y2501" t="s">
        <v>10901</v>
      </c>
      <c r="AA2501" t="s">
        <v>10974</v>
      </c>
      <c r="AB2501" t="s">
        <v>348</v>
      </c>
      <c r="AD2501" t="s">
        <v>11101</v>
      </c>
      <c r="AF2501" t="s">
        <v>11118</v>
      </c>
      <c r="AH2501" t="s">
        <v>10974</v>
      </c>
      <c r="AI2501" t="s">
        <v>11126</v>
      </c>
      <c r="AK2501" t="s">
        <v>7225</v>
      </c>
      <c r="AL2501" t="s">
        <v>11150</v>
      </c>
      <c r="AM2501">
        <v>0</v>
      </c>
      <c r="AO2501">
        <v>74</v>
      </c>
      <c r="AQ2501" t="s">
        <v>11157</v>
      </c>
      <c r="AR2501" t="s">
        <v>11172</v>
      </c>
      <c r="AT2501" t="s">
        <v>11184</v>
      </c>
      <c r="AU2501">
        <v>0</v>
      </c>
      <c r="AW2501" t="s">
        <v>11187</v>
      </c>
      <c r="AZ2501" t="s">
        <v>11221</v>
      </c>
      <c r="BD2501" t="s">
        <v>11667</v>
      </c>
      <c r="BF2501" t="s">
        <v>14364</v>
      </c>
      <c r="BM2501" t="s">
        <v>15650</v>
      </c>
    </row>
    <row r="2502" spans="1:65">
      <c r="A2502" s="1">
        <f>HYPERLINK("https://lsnyc.legalserver.org/matter/dynamic-profile/view/1832972","17-1832972")</f>
        <v>0</v>
      </c>
      <c r="B2502" t="s">
        <v>158</v>
      </c>
      <c r="C2502" t="s">
        <v>248</v>
      </c>
      <c r="D2502" t="s">
        <v>882</v>
      </c>
      <c r="F2502" t="s">
        <v>1545</v>
      </c>
      <c r="G2502" t="s">
        <v>3952</v>
      </c>
      <c r="H2502" t="s">
        <v>5616</v>
      </c>
      <c r="J2502" t="s">
        <v>7174</v>
      </c>
      <c r="K2502">
        <v>11213</v>
      </c>
      <c r="N2502" t="s">
        <v>7237</v>
      </c>
      <c r="O2502" t="s">
        <v>8854</v>
      </c>
      <c r="P2502">
        <v>1</v>
      </c>
      <c r="Q2502">
        <v>0</v>
      </c>
      <c r="R2502">
        <v>261.89</v>
      </c>
      <c r="S2502" t="s">
        <v>843</v>
      </c>
      <c r="U2502">
        <v>31584</v>
      </c>
      <c r="W2502">
        <v>0</v>
      </c>
      <c r="Y2502" t="s">
        <v>10901</v>
      </c>
      <c r="AA2502" t="s">
        <v>10974</v>
      </c>
      <c r="AD2502" t="s">
        <v>11100</v>
      </c>
      <c r="AF2502" t="s">
        <v>10384</v>
      </c>
      <c r="AH2502" t="s">
        <v>10974</v>
      </c>
      <c r="AJ2502" t="s">
        <v>11134</v>
      </c>
      <c r="AK2502" t="s">
        <v>7225</v>
      </c>
      <c r="AL2502" t="s">
        <v>11150</v>
      </c>
      <c r="AM2502">
        <v>0</v>
      </c>
      <c r="AO2502">
        <v>74</v>
      </c>
      <c r="AQ2502" t="s">
        <v>11157</v>
      </c>
      <c r="AR2502" t="s">
        <v>11172</v>
      </c>
      <c r="AT2502" t="s">
        <v>11184</v>
      </c>
      <c r="AU2502">
        <v>0</v>
      </c>
      <c r="AW2502" t="s">
        <v>11187</v>
      </c>
      <c r="AX2502" t="s">
        <v>11212</v>
      </c>
      <c r="AZ2502" t="s">
        <v>11221</v>
      </c>
      <c r="BD2502" t="s">
        <v>11667</v>
      </c>
      <c r="BF2502" t="s">
        <v>14364</v>
      </c>
      <c r="BM2502" t="s">
        <v>15650</v>
      </c>
    </row>
    <row r="2503" spans="1:65">
      <c r="A2503" s="1">
        <f>HYPERLINK("https://lsnyc.legalserver.org/matter/dynamic-profile/view/1845348","17-1845348")</f>
        <v>0</v>
      </c>
      <c r="B2503" t="s">
        <v>158</v>
      </c>
      <c r="C2503" t="s">
        <v>248</v>
      </c>
      <c r="D2503" t="s">
        <v>883</v>
      </c>
      <c r="F2503" t="s">
        <v>2148</v>
      </c>
      <c r="G2503" t="s">
        <v>3953</v>
      </c>
      <c r="H2503" t="s">
        <v>5617</v>
      </c>
      <c r="I2503" t="s">
        <v>6872</v>
      </c>
      <c r="J2503" t="s">
        <v>7174</v>
      </c>
      <c r="K2503">
        <v>11207</v>
      </c>
      <c r="N2503" t="s">
        <v>7237</v>
      </c>
      <c r="O2503" t="s">
        <v>8855</v>
      </c>
      <c r="P2503">
        <v>2</v>
      </c>
      <c r="Q2503">
        <v>2</v>
      </c>
      <c r="R2503">
        <v>13.53</v>
      </c>
      <c r="U2503">
        <v>3328</v>
      </c>
      <c r="W2503">
        <v>43.4</v>
      </c>
      <c r="X2503" t="s">
        <v>895</v>
      </c>
      <c r="Y2503" t="s">
        <v>10901</v>
      </c>
      <c r="AA2503" t="s">
        <v>10974</v>
      </c>
      <c r="AB2503" t="s">
        <v>11048</v>
      </c>
      <c r="AD2503" t="s">
        <v>11082</v>
      </c>
      <c r="AF2503" t="s">
        <v>11118</v>
      </c>
      <c r="AG2503" t="s">
        <v>11124</v>
      </c>
      <c r="AJ2503" t="s">
        <v>11129</v>
      </c>
      <c r="AK2503" t="s">
        <v>7225</v>
      </c>
      <c r="AM2503">
        <v>1100</v>
      </c>
      <c r="AO2503">
        <v>6</v>
      </c>
      <c r="AQ2503" t="s">
        <v>11157</v>
      </c>
      <c r="AR2503" t="s">
        <v>11172</v>
      </c>
      <c r="AU2503">
        <v>4</v>
      </c>
      <c r="AW2503" t="s">
        <v>11187</v>
      </c>
      <c r="AZ2503" t="s">
        <v>11221</v>
      </c>
      <c r="BB2503" t="s">
        <v>11224</v>
      </c>
      <c r="BC2503" t="s">
        <v>11432</v>
      </c>
      <c r="BE2503" t="s">
        <v>13107</v>
      </c>
      <c r="BG2503" t="s">
        <v>15001</v>
      </c>
      <c r="BM2503" t="s">
        <v>15650</v>
      </c>
    </row>
    <row r="2504" spans="1:65">
      <c r="A2504" s="1">
        <f>HYPERLINK("https://lsnyc.legalserver.org/matter/dynamic-profile/view/0830504","17-0830504")</f>
        <v>0</v>
      </c>
      <c r="B2504" t="s">
        <v>158</v>
      </c>
      <c r="C2504" t="s">
        <v>248</v>
      </c>
      <c r="D2504" t="s">
        <v>385</v>
      </c>
      <c r="F2504" t="s">
        <v>2026</v>
      </c>
      <c r="G2504" t="s">
        <v>3954</v>
      </c>
      <c r="H2504" t="s">
        <v>5615</v>
      </c>
      <c r="I2504" t="s">
        <v>6429</v>
      </c>
      <c r="J2504" t="s">
        <v>7174</v>
      </c>
      <c r="K2504">
        <v>11213</v>
      </c>
      <c r="N2504" t="s">
        <v>7238</v>
      </c>
      <c r="O2504" t="s">
        <v>8856</v>
      </c>
      <c r="P2504">
        <v>2</v>
      </c>
      <c r="Q2504">
        <v>0</v>
      </c>
      <c r="R2504">
        <v>125.62</v>
      </c>
      <c r="S2504" t="s">
        <v>843</v>
      </c>
      <c r="U2504">
        <v>20400</v>
      </c>
      <c r="W2504">
        <v>0</v>
      </c>
      <c r="Y2504" t="s">
        <v>10901</v>
      </c>
      <c r="AA2504" t="s">
        <v>10974</v>
      </c>
      <c r="AB2504" t="s">
        <v>769</v>
      </c>
      <c r="AD2504" t="s">
        <v>11100</v>
      </c>
      <c r="AF2504" t="s">
        <v>10384</v>
      </c>
      <c r="AH2504" t="s">
        <v>10974</v>
      </c>
      <c r="AI2504" t="s">
        <v>11126</v>
      </c>
      <c r="AK2504" t="s">
        <v>7225</v>
      </c>
      <c r="AL2504" t="s">
        <v>11150</v>
      </c>
      <c r="AM2504">
        <v>0</v>
      </c>
      <c r="AO2504">
        <v>74</v>
      </c>
      <c r="AQ2504" t="s">
        <v>11157</v>
      </c>
      <c r="AR2504" t="s">
        <v>11172</v>
      </c>
      <c r="AT2504" t="s">
        <v>11184</v>
      </c>
      <c r="AU2504">
        <v>0</v>
      </c>
      <c r="AW2504" t="s">
        <v>11187</v>
      </c>
      <c r="AZ2504" t="s">
        <v>11221</v>
      </c>
      <c r="BD2504" t="s">
        <v>11667</v>
      </c>
      <c r="BF2504" t="s">
        <v>14364</v>
      </c>
      <c r="BM2504" t="s">
        <v>15650</v>
      </c>
    </row>
    <row r="2505" spans="1:65">
      <c r="A2505" s="1">
        <f>HYPERLINK("https://lsnyc.legalserver.org/matter/dynamic-profile/view/1849906","17-1849906")</f>
        <v>0</v>
      </c>
      <c r="B2505" t="s">
        <v>158</v>
      </c>
      <c r="C2505" t="s">
        <v>248</v>
      </c>
      <c r="D2505" t="s">
        <v>884</v>
      </c>
      <c r="F2505" t="s">
        <v>1208</v>
      </c>
      <c r="G2505" t="s">
        <v>3955</v>
      </c>
      <c r="H2505" t="s">
        <v>5618</v>
      </c>
      <c r="I2505" t="s">
        <v>6593</v>
      </c>
      <c r="J2505" t="s">
        <v>7174</v>
      </c>
      <c r="K2505">
        <v>11217</v>
      </c>
      <c r="N2505" t="s">
        <v>7237</v>
      </c>
      <c r="O2505" t="s">
        <v>8857</v>
      </c>
      <c r="P2505">
        <v>1</v>
      </c>
      <c r="Q2505">
        <v>0</v>
      </c>
      <c r="R2505">
        <v>95.94</v>
      </c>
      <c r="U2505">
        <v>11570</v>
      </c>
      <c r="W2505">
        <v>12.75</v>
      </c>
      <c r="X2505" t="s">
        <v>368</v>
      </c>
      <c r="Y2505" t="s">
        <v>76</v>
      </c>
      <c r="AA2505" t="s">
        <v>10974</v>
      </c>
      <c r="AB2505" t="s">
        <v>374</v>
      </c>
      <c r="AD2505" t="s">
        <v>11096</v>
      </c>
      <c r="AF2505" t="s">
        <v>11120</v>
      </c>
      <c r="AH2505" t="s">
        <v>10974</v>
      </c>
      <c r="AJ2505" t="s">
        <v>11129</v>
      </c>
      <c r="AK2505" t="s">
        <v>7225</v>
      </c>
      <c r="AL2505" t="s">
        <v>11150</v>
      </c>
      <c r="AM2505">
        <v>0</v>
      </c>
      <c r="AO2505">
        <v>2</v>
      </c>
      <c r="AQ2505" t="s">
        <v>11164</v>
      </c>
      <c r="AR2505" t="s">
        <v>11172</v>
      </c>
      <c r="AU2505">
        <v>14</v>
      </c>
      <c r="AW2505" t="s">
        <v>11187</v>
      </c>
      <c r="AZ2505" t="s">
        <v>11221</v>
      </c>
      <c r="BE2505" t="s">
        <v>13108</v>
      </c>
      <c r="BF2505" t="s">
        <v>14364</v>
      </c>
      <c r="BM2505" t="s">
        <v>15650</v>
      </c>
    </row>
    <row r="2506" spans="1:65">
      <c r="A2506" s="1">
        <f>HYPERLINK("https://lsnyc.legalserver.org/matter/dynamic-profile/view/1845615","17-1845615")</f>
        <v>0</v>
      </c>
      <c r="B2506" t="s">
        <v>158</v>
      </c>
      <c r="C2506" t="s">
        <v>248</v>
      </c>
      <c r="D2506" t="s">
        <v>303</v>
      </c>
      <c r="F2506" t="s">
        <v>2149</v>
      </c>
      <c r="G2506" t="s">
        <v>3956</v>
      </c>
      <c r="H2506" t="s">
        <v>5616</v>
      </c>
      <c r="J2506" t="s">
        <v>7174</v>
      </c>
      <c r="K2506">
        <v>11213</v>
      </c>
      <c r="N2506" t="s">
        <v>7237</v>
      </c>
      <c r="O2506" t="s">
        <v>8858</v>
      </c>
      <c r="P2506">
        <v>2</v>
      </c>
      <c r="Q2506">
        <v>0</v>
      </c>
      <c r="R2506">
        <v>646.55</v>
      </c>
      <c r="S2506" t="s">
        <v>843</v>
      </c>
      <c r="U2506">
        <v>145000</v>
      </c>
      <c r="W2506">
        <v>0</v>
      </c>
      <c r="Y2506" t="s">
        <v>10901</v>
      </c>
      <c r="AA2506" t="s">
        <v>10974</v>
      </c>
      <c r="AB2506" t="s">
        <v>348</v>
      </c>
      <c r="AD2506" t="s">
        <v>11100</v>
      </c>
      <c r="AF2506" t="s">
        <v>10384</v>
      </c>
      <c r="AH2506" t="s">
        <v>10974</v>
      </c>
      <c r="AI2506" t="s">
        <v>11126</v>
      </c>
      <c r="AK2506" t="s">
        <v>7225</v>
      </c>
      <c r="AL2506" t="s">
        <v>11150</v>
      </c>
      <c r="AM2506">
        <v>0</v>
      </c>
      <c r="AO2506">
        <v>74</v>
      </c>
      <c r="AQ2506" t="s">
        <v>11157</v>
      </c>
      <c r="AR2506" t="s">
        <v>11172</v>
      </c>
      <c r="AT2506" t="s">
        <v>11184</v>
      </c>
      <c r="AU2506">
        <v>0</v>
      </c>
      <c r="AW2506" t="s">
        <v>11187</v>
      </c>
      <c r="AZ2506" t="s">
        <v>11221</v>
      </c>
      <c r="BD2506" t="s">
        <v>11667</v>
      </c>
      <c r="BF2506" t="s">
        <v>14364</v>
      </c>
      <c r="BM2506" t="s">
        <v>15650</v>
      </c>
    </row>
    <row r="2507" spans="1:65">
      <c r="A2507" s="1">
        <f>HYPERLINK("https://lsnyc.legalserver.org/matter/dynamic-profile/view/1845301","17-1845301")</f>
        <v>0</v>
      </c>
      <c r="B2507" t="s">
        <v>158</v>
      </c>
      <c r="C2507" t="s">
        <v>248</v>
      </c>
      <c r="D2507" t="s">
        <v>661</v>
      </c>
      <c r="F2507" t="s">
        <v>2150</v>
      </c>
      <c r="G2507" t="s">
        <v>3449</v>
      </c>
      <c r="H2507" t="s">
        <v>5616</v>
      </c>
      <c r="I2507" t="s">
        <v>6873</v>
      </c>
      <c r="J2507" t="s">
        <v>7174</v>
      </c>
      <c r="K2507">
        <v>11213</v>
      </c>
      <c r="N2507" t="s">
        <v>7237</v>
      </c>
      <c r="O2507" t="s">
        <v>8859</v>
      </c>
      <c r="P2507">
        <v>2</v>
      </c>
      <c r="Q2507">
        <v>2</v>
      </c>
      <c r="R2507">
        <v>173.38</v>
      </c>
      <c r="S2507" t="s">
        <v>843</v>
      </c>
      <c r="U2507">
        <v>58252</v>
      </c>
      <c r="W2507">
        <v>0</v>
      </c>
      <c r="Y2507" t="s">
        <v>10901</v>
      </c>
      <c r="AA2507" t="s">
        <v>10974</v>
      </c>
      <c r="AB2507" t="s">
        <v>348</v>
      </c>
      <c r="AD2507" t="s">
        <v>11101</v>
      </c>
      <c r="AF2507" t="s">
        <v>11118</v>
      </c>
      <c r="AH2507" t="s">
        <v>10974</v>
      </c>
      <c r="AJ2507" t="s">
        <v>11141</v>
      </c>
      <c r="AK2507" t="s">
        <v>7225</v>
      </c>
      <c r="AL2507" t="s">
        <v>11150</v>
      </c>
      <c r="AM2507">
        <v>0</v>
      </c>
      <c r="AO2507">
        <v>74</v>
      </c>
      <c r="AQ2507" t="s">
        <v>11157</v>
      </c>
      <c r="AR2507" t="s">
        <v>11172</v>
      </c>
      <c r="AT2507" t="s">
        <v>11184</v>
      </c>
      <c r="AU2507">
        <v>0</v>
      </c>
      <c r="AW2507" t="s">
        <v>11187</v>
      </c>
      <c r="AZ2507" t="s">
        <v>11221</v>
      </c>
      <c r="BD2507" t="s">
        <v>11667</v>
      </c>
      <c r="BF2507" t="s">
        <v>14364</v>
      </c>
      <c r="BM2507" t="s">
        <v>15650</v>
      </c>
    </row>
    <row r="2508" spans="1:65">
      <c r="A2508" s="1">
        <f>HYPERLINK("https://lsnyc.legalserver.org/matter/dynamic-profile/view/1892356","19-1892356")</f>
        <v>0</v>
      </c>
      <c r="B2508" t="s">
        <v>158</v>
      </c>
      <c r="C2508" t="s">
        <v>248</v>
      </c>
      <c r="D2508" t="s">
        <v>483</v>
      </c>
      <c r="F2508" t="s">
        <v>1208</v>
      </c>
      <c r="G2508" t="s">
        <v>3955</v>
      </c>
      <c r="H2508" t="s">
        <v>5619</v>
      </c>
      <c r="I2508" t="s">
        <v>6424</v>
      </c>
      <c r="J2508" t="s">
        <v>7174</v>
      </c>
      <c r="K2508">
        <v>11217</v>
      </c>
      <c r="N2508" t="s">
        <v>7237</v>
      </c>
      <c r="O2508" t="s">
        <v>8857</v>
      </c>
      <c r="P2508">
        <v>1</v>
      </c>
      <c r="Q2508">
        <v>0</v>
      </c>
      <c r="R2508">
        <v>120.1</v>
      </c>
      <c r="U2508">
        <v>15000</v>
      </c>
      <c r="W2508">
        <v>0</v>
      </c>
      <c r="Y2508" t="s">
        <v>225</v>
      </c>
      <c r="AA2508" t="s">
        <v>10974</v>
      </c>
      <c r="AB2508" t="s">
        <v>588</v>
      </c>
      <c r="AD2508" t="s">
        <v>11082</v>
      </c>
      <c r="AF2508" t="s">
        <v>10384</v>
      </c>
      <c r="AH2508" t="s">
        <v>10975</v>
      </c>
      <c r="AJ2508" t="s">
        <v>11130</v>
      </c>
      <c r="AK2508" t="s">
        <v>7225</v>
      </c>
      <c r="AM2508">
        <v>431</v>
      </c>
      <c r="AO2508">
        <v>7</v>
      </c>
      <c r="AQ2508" t="s">
        <v>11157</v>
      </c>
      <c r="AS2508" t="s">
        <v>11174</v>
      </c>
      <c r="AT2508" t="s">
        <v>11184</v>
      </c>
      <c r="AU2508">
        <v>0</v>
      </c>
      <c r="AW2508" t="s">
        <v>11187</v>
      </c>
      <c r="AY2508" t="s">
        <v>11213</v>
      </c>
      <c r="AZ2508" t="s">
        <v>11221</v>
      </c>
      <c r="BC2508" t="s">
        <v>11173</v>
      </c>
      <c r="BE2508" t="s">
        <v>13108</v>
      </c>
      <c r="BG2508" t="s">
        <v>15002</v>
      </c>
      <c r="BM2508" t="s">
        <v>15650</v>
      </c>
    </row>
    <row r="2509" spans="1:65">
      <c r="A2509" s="1">
        <f>HYPERLINK("https://lsnyc.legalserver.org/matter/dynamic-profile/view/1845634","17-1845634")</f>
        <v>0</v>
      </c>
      <c r="B2509" t="s">
        <v>158</v>
      </c>
      <c r="C2509" t="s">
        <v>248</v>
      </c>
      <c r="D2509" t="s">
        <v>303</v>
      </c>
      <c r="F2509" t="s">
        <v>1545</v>
      </c>
      <c r="G2509" t="s">
        <v>3952</v>
      </c>
      <c r="H2509" t="s">
        <v>5616</v>
      </c>
      <c r="J2509" t="s">
        <v>7174</v>
      </c>
      <c r="K2509">
        <v>11213</v>
      </c>
      <c r="N2509" t="s">
        <v>7237</v>
      </c>
      <c r="O2509" t="s">
        <v>8854</v>
      </c>
      <c r="P2509">
        <v>1</v>
      </c>
      <c r="Q2509">
        <v>0</v>
      </c>
      <c r="R2509">
        <v>261.89</v>
      </c>
      <c r="S2509" t="s">
        <v>843</v>
      </c>
      <c r="U2509">
        <v>41352</v>
      </c>
      <c r="W2509">
        <v>0</v>
      </c>
      <c r="Y2509" t="s">
        <v>10901</v>
      </c>
      <c r="AA2509" t="s">
        <v>10974</v>
      </c>
      <c r="AB2509" t="s">
        <v>348</v>
      </c>
      <c r="AD2509" t="s">
        <v>11101</v>
      </c>
      <c r="AF2509" t="s">
        <v>11118</v>
      </c>
      <c r="AH2509" t="s">
        <v>10974</v>
      </c>
      <c r="AJ2509" t="s">
        <v>11141</v>
      </c>
      <c r="AK2509" t="s">
        <v>7225</v>
      </c>
      <c r="AL2509" t="s">
        <v>11150</v>
      </c>
      <c r="AM2509">
        <v>0</v>
      </c>
      <c r="AO2509">
        <v>74</v>
      </c>
      <c r="AQ2509" t="s">
        <v>11157</v>
      </c>
      <c r="AR2509" t="s">
        <v>11172</v>
      </c>
      <c r="AT2509" t="s">
        <v>11184</v>
      </c>
      <c r="AU2509">
        <v>0</v>
      </c>
      <c r="AW2509" t="s">
        <v>11187</v>
      </c>
      <c r="AZ2509" t="s">
        <v>11221</v>
      </c>
      <c r="BD2509" t="s">
        <v>11667</v>
      </c>
      <c r="BF2509" t="s">
        <v>14364</v>
      </c>
      <c r="BM2509" t="s">
        <v>15650</v>
      </c>
    </row>
    <row r="2510" spans="1:65">
      <c r="A2510" s="1">
        <f>HYPERLINK("https://lsnyc.legalserver.org/matter/dynamic-profile/view/1845320","17-1845320")</f>
        <v>0</v>
      </c>
      <c r="B2510" t="s">
        <v>158</v>
      </c>
      <c r="C2510" t="s">
        <v>248</v>
      </c>
      <c r="D2510" t="s">
        <v>883</v>
      </c>
      <c r="F2510" t="s">
        <v>2151</v>
      </c>
      <c r="G2510" t="s">
        <v>3079</v>
      </c>
      <c r="H2510" t="s">
        <v>5616</v>
      </c>
      <c r="I2510" t="s">
        <v>6447</v>
      </c>
      <c r="J2510" t="s">
        <v>7174</v>
      </c>
      <c r="K2510">
        <v>11213</v>
      </c>
      <c r="N2510" t="s">
        <v>7237</v>
      </c>
      <c r="O2510" t="s">
        <v>8860</v>
      </c>
      <c r="P2510">
        <v>1</v>
      </c>
      <c r="Q2510">
        <v>0</v>
      </c>
      <c r="R2510">
        <v>158.21</v>
      </c>
      <c r="S2510" t="s">
        <v>843</v>
      </c>
      <c r="U2510">
        <v>19080</v>
      </c>
      <c r="W2510">
        <v>0</v>
      </c>
      <c r="Y2510" t="s">
        <v>10901</v>
      </c>
      <c r="AA2510" t="s">
        <v>10974</v>
      </c>
      <c r="AB2510" t="s">
        <v>348</v>
      </c>
      <c r="AD2510" t="s">
        <v>11101</v>
      </c>
      <c r="AF2510" t="s">
        <v>11118</v>
      </c>
      <c r="AH2510" t="s">
        <v>10974</v>
      </c>
      <c r="AI2510" t="s">
        <v>11126</v>
      </c>
      <c r="AK2510" t="s">
        <v>7225</v>
      </c>
      <c r="AL2510" t="s">
        <v>11150</v>
      </c>
      <c r="AM2510">
        <v>0</v>
      </c>
      <c r="AO2510">
        <v>74</v>
      </c>
      <c r="AQ2510" t="s">
        <v>11157</v>
      </c>
      <c r="AR2510" t="s">
        <v>11172</v>
      </c>
      <c r="AT2510" t="s">
        <v>11184</v>
      </c>
      <c r="AU2510">
        <v>0</v>
      </c>
      <c r="AW2510" t="s">
        <v>11187</v>
      </c>
      <c r="AZ2510" t="s">
        <v>11221</v>
      </c>
      <c r="BD2510" t="s">
        <v>11667</v>
      </c>
      <c r="BF2510" t="s">
        <v>14364</v>
      </c>
      <c r="BM2510" t="s">
        <v>15650</v>
      </c>
    </row>
    <row r="2511" spans="1:65">
      <c r="A2511" s="1">
        <f>HYPERLINK("https://lsnyc.legalserver.org/matter/dynamic-profile/view/1845479","17-1845479")</f>
        <v>0</v>
      </c>
      <c r="B2511" t="s">
        <v>158</v>
      </c>
      <c r="C2511" t="s">
        <v>248</v>
      </c>
      <c r="D2511" t="s">
        <v>348</v>
      </c>
      <c r="F2511" t="s">
        <v>2152</v>
      </c>
      <c r="G2511" t="s">
        <v>3957</v>
      </c>
      <c r="H2511" t="s">
        <v>5615</v>
      </c>
      <c r="I2511" t="s">
        <v>6874</v>
      </c>
      <c r="J2511" t="s">
        <v>7174</v>
      </c>
      <c r="K2511">
        <v>11213</v>
      </c>
      <c r="N2511" t="s">
        <v>7238</v>
      </c>
      <c r="O2511" t="s">
        <v>8587</v>
      </c>
      <c r="P2511">
        <v>1</v>
      </c>
      <c r="Q2511">
        <v>0</v>
      </c>
      <c r="R2511">
        <v>69.65000000000001</v>
      </c>
      <c r="S2511" t="s">
        <v>843</v>
      </c>
      <c r="U2511">
        <v>8400</v>
      </c>
      <c r="W2511">
        <v>0</v>
      </c>
      <c r="Y2511" t="s">
        <v>209</v>
      </c>
      <c r="AA2511" t="s">
        <v>10974</v>
      </c>
      <c r="AB2511" t="s">
        <v>348</v>
      </c>
      <c r="AD2511" t="s">
        <v>11101</v>
      </c>
      <c r="AF2511" t="s">
        <v>11118</v>
      </c>
      <c r="AH2511" t="s">
        <v>10974</v>
      </c>
      <c r="AJ2511" t="s">
        <v>11141</v>
      </c>
      <c r="AK2511" t="s">
        <v>7225</v>
      </c>
      <c r="AM2511">
        <v>1077.05</v>
      </c>
      <c r="AO2511">
        <v>74</v>
      </c>
      <c r="AQ2511" t="s">
        <v>11157</v>
      </c>
      <c r="AR2511" t="s">
        <v>11172</v>
      </c>
      <c r="AU2511">
        <v>19</v>
      </c>
      <c r="AW2511" t="s">
        <v>11187</v>
      </c>
      <c r="AZ2511" t="s">
        <v>11221</v>
      </c>
      <c r="BD2511" t="s">
        <v>11667</v>
      </c>
      <c r="BF2511" t="s">
        <v>14364</v>
      </c>
      <c r="BM2511" t="s">
        <v>15650</v>
      </c>
    </row>
    <row r="2512" spans="1:65">
      <c r="A2512" s="1">
        <f>HYPERLINK("https://lsnyc.legalserver.org/matter/dynamic-profile/view/1860954","18-1860954")</f>
        <v>0</v>
      </c>
      <c r="B2512" t="s">
        <v>158</v>
      </c>
      <c r="C2512" t="s">
        <v>248</v>
      </c>
      <c r="D2512" t="s">
        <v>414</v>
      </c>
      <c r="F2512" t="s">
        <v>2153</v>
      </c>
      <c r="G2512" t="s">
        <v>2902</v>
      </c>
      <c r="H2512" t="s">
        <v>5620</v>
      </c>
      <c r="I2512" t="s">
        <v>6440</v>
      </c>
      <c r="J2512" t="s">
        <v>7174</v>
      </c>
      <c r="K2512">
        <v>11220</v>
      </c>
      <c r="N2512" t="s">
        <v>7237</v>
      </c>
      <c r="O2512" t="s">
        <v>8861</v>
      </c>
      <c r="P2512">
        <v>2</v>
      </c>
      <c r="Q2512">
        <v>1</v>
      </c>
      <c r="R2512">
        <v>45.39</v>
      </c>
      <c r="U2512">
        <v>9432</v>
      </c>
      <c r="W2512">
        <v>10.3</v>
      </c>
      <c r="X2512" t="s">
        <v>382</v>
      </c>
      <c r="Y2512" t="s">
        <v>10942</v>
      </c>
      <c r="AA2512" t="s">
        <v>10974</v>
      </c>
      <c r="AB2512" t="s">
        <v>944</v>
      </c>
      <c r="AD2512" t="s">
        <v>11082</v>
      </c>
      <c r="AF2512" t="s">
        <v>11118</v>
      </c>
      <c r="AH2512" t="s">
        <v>10975</v>
      </c>
      <c r="AJ2512" t="s">
        <v>11136</v>
      </c>
      <c r="AK2512" t="s">
        <v>7225</v>
      </c>
      <c r="AM2512">
        <v>1224</v>
      </c>
      <c r="AO2512">
        <v>30</v>
      </c>
      <c r="AQ2512" t="s">
        <v>11157</v>
      </c>
      <c r="AS2512" t="s">
        <v>11173</v>
      </c>
      <c r="AU2512">
        <v>7</v>
      </c>
      <c r="AW2512" t="s">
        <v>11187</v>
      </c>
      <c r="AZ2512" t="s">
        <v>11221</v>
      </c>
      <c r="BE2512" t="s">
        <v>13109</v>
      </c>
      <c r="BG2512" t="s">
        <v>15003</v>
      </c>
      <c r="BM2512" t="s">
        <v>15650</v>
      </c>
    </row>
    <row r="2513" spans="1:67">
      <c r="A2513" s="1">
        <f>HYPERLINK("https://lsnyc.legalserver.org/matter/dynamic-profile/view/1876794","18-1876794")</f>
        <v>0</v>
      </c>
      <c r="B2513" t="s">
        <v>158</v>
      </c>
      <c r="C2513" t="s">
        <v>248</v>
      </c>
      <c r="D2513" t="s">
        <v>656</v>
      </c>
      <c r="F2513" t="s">
        <v>2089</v>
      </c>
      <c r="G2513" t="s">
        <v>2888</v>
      </c>
      <c r="H2513" t="s">
        <v>5621</v>
      </c>
      <c r="I2513" t="s">
        <v>6637</v>
      </c>
      <c r="J2513" t="s">
        <v>7174</v>
      </c>
      <c r="K2513">
        <v>11207</v>
      </c>
      <c r="N2513" t="s">
        <v>7243</v>
      </c>
      <c r="O2513" t="s">
        <v>8862</v>
      </c>
      <c r="P2513">
        <v>2</v>
      </c>
      <c r="Q2513">
        <v>0</v>
      </c>
      <c r="R2513">
        <v>54.68</v>
      </c>
      <c r="U2513">
        <v>9000</v>
      </c>
      <c r="V2513" t="s">
        <v>10330</v>
      </c>
      <c r="W2513">
        <v>0</v>
      </c>
      <c r="Y2513" t="s">
        <v>10913</v>
      </c>
      <c r="AA2513" t="s">
        <v>10974</v>
      </c>
      <c r="AD2513" t="s">
        <v>11092</v>
      </c>
      <c r="AF2513" t="s">
        <v>10384</v>
      </c>
      <c r="AH2513" t="s">
        <v>10975</v>
      </c>
      <c r="AJ2513" t="s">
        <v>11138</v>
      </c>
      <c r="AK2513" t="s">
        <v>7225</v>
      </c>
      <c r="AM2513">
        <v>1301.25</v>
      </c>
      <c r="AO2513">
        <v>6</v>
      </c>
      <c r="AQ2513" t="s">
        <v>11157</v>
      </c>
      <c r="AS2513" t="s">
        <v>11177</v>
      </c>
      <c r="AU2513">
        <v>10</v>
      </c>
      <c r="AW2513" t="s">
        <v>11187</v>
      </c>
      <c r="AX2513" t="s">
        <v>11212</v>
      </c>
      <c r="BA2513" t="s">
        <v>11223</v>
      </c>
      <c r="BC2513" t="s">
        <v>11433</v>
      </c>
      <c r="BE2513" t="s">
        <v>13110</v>
      </c>
      <c r="BG2513" t="s">
        <v>15004</v>
      </c>
      <c r="BM2513" t="s">
        <v>15650</v>
      </c>
    </row>
    <row r="2514" spans="1:67">
      <c r="A2514" s="1">
        <f>HYPERLINK("https://lsnyc.legalserver.org/matter/dynamic-profile/view/1845563","17-1845563")</f>
        <v>0</v>
      </c>
      <c r="B2514" t="s">
        <v>158</v>
      </c>
      <c r="C2514" t="s">
        <v>248</v>
      </c>
      <c r="D2514" t="s">
        <v>303</v>
      </c>
      <c r="F2514" t="s">
        <v>1428</v>
      </c>
      <c r="G2514" t="s">
        <v>3653</v>
      </c>
      <c r="H2514" t="s">
        <v>5616</v>
      </c>
      <c r="J2514" t="s">
        <v>7174</v>
      </c>
      <c r="K2514">
        <v>11213</v>
      </c>
      <c r="N2514" t="s">
        <v>7237</v>
      </c>
      <c r="O2514" t="s">
        <v>8863</v>
      </c>
      <c r="P2514">
        <v>1</v>
      </c>
      <c r="Q2514">
        <v>0</v>
      </c>
      <c r="R2514">
        <v>89.65000000000001</v>
      </c>
      <c r="S2514" t="s">
        <v>843</v>
      </c>
      <c r="U2514">
        <v>10812</v>
      </c>
      <c r="W2514">
        <v>0</v>
      </c>
      <c r="Y2514" t="s">
        <v>10901</v>
      </c>
      <c r="AA2514" t="s">
        <v>10974</v>
      </c>
      <c r="AB2514" t="s">
        <v>348</v>
      </c>
      <c r="AD2514" t="s">
        <v>11101</v>
      </c>
      <c r="AF2514" t="s">
        <v>11118</v>
      </c>
      <c r="AH2514" t="s">
        <v>10974</v>
      </c>
      <c r="AJ2514" t="s">
        <v>11141</v>
      </c>
      <c r="AK2514" t="s">
        <v>7225</v>
      </c>
      <c r="AL2514" t="s">
        <v>11150</v>
      </c>
      <c r="AM2514">
        <v>0</v>
      </c>
      <c r="AO2514">
        <v>74</v>
      </c>
      <c r="AQ2514" t="s">
        <v>11157</v>
      </c>
      <c r="AR2514" t="s">
        <v>11172</v>
      </c>
      <c r="AT2514" t="s">
        <v>11184</v>
      </c>
      <c r="AU2514">
        <v>0</v>
      </c>
      <c r="AW2514" t="s">
        <v>11187</v>
      </c>
      <c r="AZ2514" t="s">
        <v>11221</v>
      </c>
      <c r="BE2514" t="s">
        <v>13111</v>
      </c>
      <c r="BF2514" t="s">
        <v>14364</v>
      </c>
      <c r="BM2514" t="s">
        <v>15650</v>
      </c>
    </row>
    <row r="2515" spans="1:67">
      <c r="A2515" s="1">
        <f>HYPERLINK("https://lsnyc.legalserver.org/matter/dynamic-profile/view/1845445","17-1845445")</f>
        <v>0</v>
      </c>
      <c r="B2515" t="s">
        <v>158</v>
      </c>
      <c r="C2515" t="s">
        <v>248</v>
      </c>
      <c r="D2515" t="s">
        <v>303</v>
      </c>
      <c r="F2515" t="s">
        <v>2026</v>
      </c>
      <c r="G2515" t="s">
        <v>3954</v>
      </c>
      <c r="H2515" t="s">
        <v>5615</v>
      </c>
      <c r="I2515" t="s">
        <v>6429</v>
      </c>
      <c r="J2515" t="s">
        <v>7174</v>
      </c>
      <c r="K2515">
        <v>11213</v>
      </c>
      <c r="N2515" t="s">
        <v>7237</v>
      </c>
      <c r="O2515" t="s">
        <v>8856</v>
      </c>
      <c r="P2515">
        <v>2</v>
      </c>
      <c r="Q2515">
        <v>0</v>
      </c>
      <c r="R2515">
        <v>125.62</v>
      </c>
      <c r="S2515" t="s">
        <v>843</v>
      </c>
      <c r="U2515">
        <v>32400</v>
      </c>
      <c r="W2515">
        <v>0</v>
      </c>
      <c r="Y2515" t="s">
        <v>10901</v>
      </c>
      <c r="Z2515" t="s">
        <v>10973</v>
      </c>
      <c r="AA2515" t="s">
        <v>10975</v>
      </c>
      <c r="AB2515" t="s">
        <v>303</v>
      </c>
      <c r="AD2515" t="s">
        <v>11101</v>
      </c>
      <c r="AF2515" t="s">
        <v>11118</v>
      </c>
      <c r="AH2515" t="s">
        <v>10974</v>
      </c>
      <c r="AJ2515" t="s">
        <v>11141</v>
      </c>
      <c r="AK2515" t="s">
        <v>7225</v>
      </c>
      <c r="AL2515" t="s">
        <v>11150</v>
      </c>
      <c r="AM2515">
        <v>0</v>
      </c>
      <c r="AO2515">
        <v>74</v>
      </c>
      <c r="AQ2515" t="s">
        <v>11157</v>
      </c>
      <c r="AR2515" t="s">
        <v>11172</v>
      </c>
      <c r="AT2515" t="s">
        <v>11184</v>
      </c>
      <c r="AU2515">
        <v>0</v>
      </c>
      <c r="AW2515" t="s">
        <v>11187</v>
      </c>
      <c r="AZ2515" t="s">
        <v>11221</v>
      </c>
      <c r="BD2515" t="s">
        <v>11667</v>
      </c>
      <c r="BF2515" t="s">
        <v>14364</v>
      </c>
      <c r="BM2515" t="s">
        <v>15650</v>
      </c>
    </row>
    <row r="2516" spans="1:67">
      <c r="A2516" s="1">
        <f>HYPERLINK("https://lsnyc.legalserver.org/matter/dynamic-profile/view/1845644","17-1845644")</f>
        <v>0</v>
      </c>
      <c r="B2516" t="s">
        <v>158</v>
      </c>
      <c r="C2516" t="s">
        <v>248</v>
      </c>
      <c r="D2516" t="s">
        <v>303</v>
      </c>
      <c r="F2516" t="s">
        <v>1177</v>
      </c>
      <c r="G2516" t="s">
        <v>3958</v>
      </c>
      <c r="H2516" t="s">
        <v>5616</v>
      </c>
      <c r="I2516" t="s">
        <v>6875</v>
      </c>
      <c r="J2516" t="s">
        <v>7174</v>
      </c>
      <c r="K2516">
        <v>11213</v>
      </c>
      <c r="N2516" t="s">
        <v>7237</v>
      </c>
      <c r="O2516" t="s">
        <v>8864</v>
      </c>
      <c r="P2516">
        <v>2</v>
      </c>
      <c r="Q2516">
        <v>1</v>
      </c>
      <c r="R2516">
        <v>30.81</v>
      </c>
      <c r="S2516" t="s">
        <v>843</v>
      </c>
      <c r="U2516">
        <v>6292</v>
      </c>
      <c r="W2516">
        <v>0</v>
      </c>
      <c r="Y2516" t="s">
        <v>10901</v>
      </c>
      <c r="AA2516" t="s">
        <v>10974</v>
      </c>
      <c r="AB2516" t="s">
        <v>348</v>
      </c>
      <c r="AD2516" t="s">
        <v>11101</v>
      </c>
      <c r="AF2516" t="s">
        <v>11118</v>
      </c>
      <c r="AH2516" t="s">
        <v>10974</v>
      </c>
      <c r="AI2516" t="s">
        <v>11126</v>
      </c>
      <c r="AK2516" t="s">
        <v>7225</v>
      </c>
      <c r="AM2516">
        <v>1100</v>
      </c>
      <c r="AO2516">
        <v>74</v>
      </c>
      <c r="AQ2516" t="s">
        <v>11157</v>
      </c>
      <c r="AR2516" t="s">
        <v>11172</v>
      </c>
      <c r="AU2516">
        <v>8</v>
      </c>
      <c r="AW2516" t="s">
        <v>11187</v>
      </c>
      <c r="AZ2516" t="s">
        <v>11221</v>
      </c>
      <c r="BE2516" t="s">
        <v>13112</v>
      </c>
      <c r="BF2516" t="s">
        <v>14364</v>
      </c>
      <c r="BM2516" t="s">
        <v>15650</v>
      </c>
    </row>
    <row r="2517" spans="1:67">
      <c r="A2517" s="1">
        <f>HYPERLINK("https://lsnyc.legalserver.org/matter/dynamic-profile/view/1840992","17-1840992")</f>
        <v>0</v>
      </c>
      <c r="B2517" t="s">
        <v>158</v>
      </c>
      <c r="C2517" t="s">
        <v>248</v>
      </c>
      <c r="D2517" t="s">
        <v>885</v>
      </c>
      <c r="F2517" t="s">
        <v>2154</v>
      </c>
      <c r="G2517" t="s">
        <v>3959</v>
      </c>
      <c r="H2517" t="s">
        <v>5615</v>
      </c>
      <c r="I2517" t="s">
        <v>6570</v>
      </c>
      <c r="J2517" t="s">
        <v>7174</v>
      </c>
      <c r="K2517">
        <v>11213</v>
      </c>
      <c r="N2517" t="s">
        <v>7237</v>
      </c>
      <c r="O2517" t="s">
        <v>8865</v>
      </c>
      <c r="P2517">
        <v>2</v>
      </c>
      <c r="Q2517">
        <v>2</v>
      </c>
      <c r="R2517">
        <v>406.5</v>
      </c>
      <c r="S2517" t="s">
        <v>843</v>
      </c>
      <c r="U2517">
        <v>100000</v>
      </c>
      <c r="W2517">
        <v>0</v>
      </c>
      <c r="Y2517" t="s">
        <v>10901</v>
      </c>
      <c r="AA2517" t="s">
        <v>10974</v>
      </c>
      <c r="AB2517" t="s">
        <v>348</v>
      </c>
      <c r="AD2517" t="s">
        <v>11100</v>
      </c>
      <c r="AF2517" t="s">
        <v>10384</v>
      </c>
      <c r="AH2517" t="s">
        <v>10974</v>
      </c>
      <c r="AI2517" t="s">
        <v>11126</v>
      </c>
      <c r="AK2517" t="s">
        <v>7225</v>
      </c>
      <c r="AL2517" t="s">
        <v>11150</v>
      </c>
      <c r="AM2517">
        <v>0</v>
      </c>
      <c r="AO2517">
        <v>74</v>
      </c>
      <c r="AQ2517" t="s">
        <v>11157</v>
      </c>
      <c r="AR2517" t="s">
        <v>11172</v>
      </c>
      <c r="AT2517" t="s">
        <v>11184</v>
      </c>
      <c r="AU2517">
        <v>0</v>
      </c>
      <c r="AW2517" t="s">
        <v>11187</v>
      </c>
      <c r="AZ2517" t="s">
        <v>11221</v>
      </c>
      <c r="BD2517" t="s">
        <v>11667</v>
      </c>
      <c r="BF2517" t="s">
        <v>14364</v>
      </c>
      <c r="BM2517" t="s">
        <v>15650</v>
      </c>
    </row>
    <row r="2518" spans="1:67">
      <c r="A2518" s="1">
        <f>HYPERLINK("https://lsnyc.legalserver.org/matter/dynamic-profile/view/1876790","18-1876790")</f>
        <v>0</v>
      </c>
      <c r="B2518" t="s">
        <v>158</v>
      </c>
      <c r="C2518" t="s">
        <v>248</v>
      </c>
      <c r="D2518" t="s">
        <v>656</v>
      </c>
      <c r="F2518" t="s">
        <v>2089</v>
      </c>
      <c r="G2518" t="s">
        <v>2888</v>
      </c>
      <c r="H2518" t="s">
        <v>5621</v>
      </c>
      <c r="I2518" t="s">
        <v>6637</v>
      </c>
      <c r="J2518" t="s">
        <v>7174</v>
      </c>
      <c r="K2518">
        <v>11207</v>
      </c>
      <c r="N2518" t="s">
        <v>7237</v>
      </c>
      <c r="O2518" t="s">
        <v>8862</v>
      </c>
      <c r="P2518">
        <v>2</v>
      </c>
      <c r="Q2518">
        <v>0</v>
      </c>
      <c r="R2518">
        <v>54.68</v>
      </c>
      <c r="U2518">
        <v>9000</v>
      </c>
      <c r="V2518" t="s">
        <v>10330</v>
      </c>
      <c r="W2518">
        <v>1.3</v>
      </c>
      <c r="X2518" t="s">
        <v>284</v>
      </c>
      <c r="Y2518" t="s">
        <v>10913</v>
      </c>
      <c r="AA2518" t="s">
        <v>10974</v>
      </c>
      <c r="AB2518" t="s">
        <v>656</v>
      </c>
      <c r="AD2518" t="s">
        <v>11082</v>
      </c>
      <c r="AF2518" t="s">
        <v>11118</v>
      </c>
      <c r="AH2518" t="s">
        <v>10975</v>
      </c>
      <c r="AJ2518" t="s">
        <v>11138</v>
      </c>
      <c r="AK2518" t="s">
        <v>7225</v>
      </c>
      <c r="AM2518">
        <v>1301</v>
      </c>
      <c r="AO2518">
        <v>6</v>
      </c>
      <c r="AQ2518" t="s">
        <v>11157</v>
      </c>
      <c r="AS2518" t="s">
        <v>11177</v>
      </c>
      <c r="AU2518">
        <v>10</v>
      </c>
      <c r="AW2518" t="s">
        <v>11187</v>
      </c>
      <c r="AY2518" t="s">
        <v>11214</v>
      </c>
      <c r="AZ2518" t="s">
        <v>11221</v>
      </c>
      <c r="BC2518" t="s">
        <v>11433</v>
      </c>
      <c r="BE2518" t="s">
        <v>13110</v>
      </c>
      <c r="BG2518" t="s">
        <v>15004</v>
      </c>
      <c r="BI2518" t="s">
        <v>15611</v>
      </c>
      <c r="BM2518" t="s">
        <v>15650</v>
      </c>
      <c r="BN2518" t="s">
        <v>15652</v>
      </c>
      <c r="BO2518" t="s">
        <v>15710</v>
      </c>
    </row>
    <row r="2519" spans="1:67">
      <c r="A2519" s="1">
        <f>HYPERLINK("https://lsnyc.legalserver.org/matter/dynamic-profile/view/1845273","17-1845273")</f>
        <v>0</v>
      </c>
      <c r="B2519" t="s">
        <v>158</v>
      </c>
      <c r="C2519" t="s">
        <v>248</v>
      </c>
      <c r="D2519" t="s">
        <v>661</v>
      </c>
      <c r="F2519" t="s">
        <v>1135</v>
      </c>
      <c r="G2519" t="s">
        <v>3960</v>
      </c>
      <c r="H2519" t="s">
        <v>5615</v>
      </c>
      <c r="I2519" t="s">
        <v>6622</v>
      </c>
      <c r="J2519" t="s">
        <v>7174</v>
      </c>
      <c r="K2519">
        <v>11213</v>
      </c>
      <c r="N2519" t="s">
        <v>7237</v>
      </c>
      <c r="O2519" t="s">
        <v>8866</v>
      </c>
      <c r="P2519">
        <v>1</v>
      </c>
      <c r="Q2519">
        <v>2</v>
      </c>
      <c r="R2519">
        <v>145.62</v>
      </c>
      <c r="S2519" t="s">
        <v>843</v>
      </c>
      <c r="U2519">
        <v>29736</v>
      </c>
      <c r="W2519">
        <v>0.5</v>
      </c>
      <c r="X2519" t="s">
        <v>613</v>
      </c>
      <c r="Y2519" t="s">
        <v>10901</v>
      </c>
      <c r="AA2519" t="s">
        <v>10974</v>
      </c>
      <c r="AB2519" t="s">
        <v>348</v>
      </c>
      <c r="AD2519" t="s">
        <v>11101</v>
      </c>
      <c r="AF2519" t="s">
        <v>11118</v>
      </c>
      <c r="AH2519" t="s">
        <v>10974</v>
      </c>
      <c r="AJ2519" t="s">
        <v>11141</v>
      </c>
      <c r="AK2519" t="s">
        <v>7225</v>
      </c>
      <c r="AL2519" t="s">
        <v>11150</v>
      </c>
      <c r="AM2519">
        <v>0</v>
      </c>
      <c r="AO2519">
        <v>74</v>
      </c>
      <c r="AQ2519" t="s">
        <v>11157</v>
      </c>
      <c r="AR2519" t="s">
        <v>11172</v>
      </c>
      <c r="AT2519" t="s">
        <v>11184</v>
      </c>
      <c r="AU2519">
        <v>0</v>
      </c>
      <c r="AW2519" t="s">
        <v>11187</v>
      </c>
      <c r="AZ2519" t="s">
        <v>11221</v>
      </c>
      <c r="BD2519" t="s">
        <v>11667</v>
      </c>
      <c r="BF2519" t="s">
        <v>14364</v>
      </c>
      <c r="BM2519" t="s">
        <v>15650</v>
      </c>
    </row>
    <row r="2520" spans="1:67">
      <c r="A2520" s="1">
        <f>HYPERLINK("https://lsnyc.legalserver.org/matter/dynamic-profile/view/1892345","19-1892345")</f>
        <v>0</v>
      </c>
      <c r="B2520" t="s">
        <v>158</v>
      </c>
      <c r="C2520" t="s">
        <v>248</v>
      </c>
      <c r="D2520" t="s">
        <v>483</v>
      </c>
      <c r="F2520" t="s">
        <v>2155</v>
      </c>
      <c r="G2520" t="s">
        <v>3961</v>
      </c>
      <c r="H2520" t="s">
        <v>5622</v>
      </c>
      <c r="I2520" t="s">
        <v>6419</v>
      </c>
      <c r="J2520" t="s">
        <v>7174</v>
      </c>
      <c r="K2520">
        <v>11233</v>
      </c>
      <c r="N2520" t="s">
        <v>7237</v>
      </c>
      <c r="O2520" t="s">
        <v>8867</v>
      </c>
      <c r="P2520">
        <v>1</v>
      </c>
      <c r="Q2520">
        <v>1</v>
      </c>
      <c r="R2520">
        <v>149.76</v>
      </c>
      <c r="U2520">
        <v>25324</v>
      </c>
      <c r="V2520" t="s">
        <v>10501</v>
      </c>
      <c r="W2520">
        <v>0</v>
      </c>
      <c r="Y2520" t="s">
        <v>225</v>
      </c>
      <c r="AA2520" t="s">
        <v>10974</v>
      </c>
      <c r="AB2520" t="s">
        <v>588</v>
      </c>
      <c r="AD2520" t="s">
        <v>11100</v>
      </c>
      <c r="AF2520" t="s">
        <v>10384</v>
      </c>
      <c r="AH2520" t="s">
        <v>10974</v>
      </c>
      <c r="AJ2520" t="s">
        <v>11130</v>
      </c>
      <c r="AK2520" t="s">
        <v>7225</v>
      </c>
      <c r="AM2520">
        <v>733.64</v>
      </c>
      <c r="AO2520">
        <v>32</v>
      </c>
      <c r="AQ2520" t="s">
        <v>11157</v>
      </c>
      <c r="AS2520" t="s">
        <v>11173</v>
      </c>
      <c r="AU2520">
        <v>5</v>
      </c>
      <c r="AW2520" t="s">
        <v>11187</v>
      </c>
      <c r="AY2520" t="s">
        <v>11213</v>
      </c>
      <c r="AZ2520" t="s">
        <v>11221</v>
      </c>
      <c r="BC2520" t="s">
        <v>11173</v>
      </c>
      <c r="BE2520" t="s">
        <v>13113</v>
      </c>
      <c r="BF2520" t="s">
        <v>14364</v>
      </c>
      <c r="BG2520" t="s">
        <v>11173</v>
      </c>
      <c r="BM2520" t="s">
        <v>15650</v>
      </c>
    </row>
    <row r="2521" spans="1:67">
      <c r="A2521" s="1">
        <f>HYPERLINK("https://lsnyc.legalserver.org/matter/dynamic-profile/view/1845640","17-1845640")</f>
        <v>0</v>
      </c>
      <c r="B2521" t="s">
        <v>158</v>
      </c>
      <c r="C2521" t="s">
        <v>248</v>
      </c>
      <c r="D2521" t="s">
        <v>303</v>
      </c>
      <c r="F2521" t="s">
        <v>2154</v>
      </c>
      <c r="G2521" t="s">
        <v>3959</v>
      </c>
      <c r="H2521" t="s">
        <v>5615</v>
      </c>
      <c r="I2521" t="s">
        <v>6570</v>
      </c>
      <c r="J2521" t="s">
        <v>7174</v>
      </c>
      <c r="K2521">
        <v>11213</v>
      </c>
      <c r="N2521" t="s">
        <v>7237</v>
      </c>
      <c r="O2521" t="s">
        <v>8865</v>
      </c>
      <c r="P2521">
        <v>2</v>
      </c>
      <c r="Q2521">
        <v>2</v>
      </c>
      <c r="R2521">
        <v>406.5</v>
      </c>
      <c r="S2521" t="s">
        <v>843</v>
      </c>
      <c r="U2521">
        <v>100000</v>
      </c>
      <c r="W2521">
        <v>0</v>
      </c>
      <c r="Y2521" t="s">
        <v>10901</v>
      </c>
      <c r="AA2521" t="s">
        <v>10974</v>
      </c>
      <c r="AB2521" t="s">
        <v>348</v>
      </c>
      <c r="AD2521" t="s">
        <v>11101</v>
      </c>
      <c r="AF2521" t="s">
        <v>11118</v>
      </c>
      <c r="AH2521" t="s">
        <v>10974</v>
      </c>
      <c r="AJ2521" t="s">
        <v>11141</v>
      </c>
      <c r="AK2521" t="s">
        <v>7225</v>
      </c>
      <c r="AL2521" t="s">
        <v>11150</v>
      </c>
      <c r="AM2521">
        <v>0</v>
      </c>
      <c r="AO2521">
        <v>74</v>
      </c>
      <c r="AQ2521" t="s">
        <v>11157</v>
      </c>
      <c r="AR2521" t="s">
        <v>11172</v>
      </c>
      <c r="AT2521" t="s">
        <v>11184</v>
      </c>
      <c r="AU2521">
        <v>0</v>
      </c>
      <c r="AW2521" t="s">
        <v>11187</v>
      </c>
      <c r="AZ2521" t="s">
        <v>11221</v>
      </c>
      <c r="BD2521" t="s">
        <v>11667</v>
      </c>
      <c r="BF2521" t="s">
        <v>14364</v>
      </c>
      <c r="BM2521" t="s">
        <v>15650</v>
      </c>
    </row>
    <row r="2522" spans="1:67">
      <c r="A2522" s="1">
        <f>HYPERLINK("https://lsnyc.legalserver.org/matter/dynamic-profile/view/0780350","15-0780350")</f>
        <v>0</v>
      </c>
      <c r="B2522" t="s">
        <v>158</v>
      </c>
      <c r="C2522" t="s">
        <v>248</v>
      </c>
      <c r="D2522" t="s">
        <v>886</v>
      </c>
      <c r="F2522" t="s">
        <v>1700</v>
      </c>
      <c r="G2522" t="s">
        <v>1187</v>
      </c>
      <c r="H2522" t="s">
        <v>5623</v>
      </c>
      <c r="I2522" t="s">
        <v>6876</v>
      </c>
      <c r="J2522" t="s">
        <v>7174</v>
      </c>
      <c r="K2522">
        <v>11208</v>
      </c>
      <c r="N2522" t="s">
        <v>7237</v>
      </c>
      <c r="O2522" t="s">
        <v>8868</v>
      </c>
      <c r="P2522">
        <v>2</v>
      </c>
      <c r="Q2522">
        <v>0</v>
      </c>
      <c r="R2522">
        <v>56.72</v>
      </c>
      <c r="U2522">
        <v>9036</v>
      </c>
      <c r="W2522">
        <v>61.1</v>
      </c>
      <c r="X2522" t="s">
        <v>10837</v>
      </c>
      <c r="Y2522" t="s">
        <v>10912</v>
      </c>
      <c r="Z2522" t="s">
        <v>10972</v>
      </c>
      <c r="AA2522" t="s">
        <v>10976</v>
      </c>
      <c r="AB2522" t="s">
        <v>926</v>
      </c>
      <c r="AD2522" t="s">
        <v>11082</v>
      </c>
      <c r="AF2522" t="s">
        <v>11118</v>
      </c>
      <c r="AG2522" t="s">
        <v>11124</v>
      </c>
      <c r="AJ2522" t="s">
        <v>11141</v>
      </c>
      <c r="AK2522" t="s">
        <v>7225</v>
      </c>
      <c r="AM2522">
        <v>1089</v>
      </c>
      <c r="AN2522" t="s">
        <v>11151</v>
      </c>
      <c r="AO2522" t="s">
        <v>11153</v>
      </c>
      <c r="AP2522" t="s">
        <v>11155</v>
      </c>
      <c r="AR2522" t="s">
        <v>11172</v>
      </c>
      <c r="AU2522">
        <v>38</v>
      </c>
      <c r="AW2522" t="s">
        <v>11187</v>
      </c>
      <c r="AZ2522" t="s">
        <v>11221</v>
      </c>
      <c r="BE2522" t="s">
        <v>13114</v>
      </c>
      <c r="BG2522" t="s">
        <v>15005</v>
      </c>
      <c r="BM2522" t="s">
        <v>15650</v>
      </c>
    </row>
    <row r="2523" spans="1:67">
      <c r="A2523" s="1">
        <f>HYPERLINK("https://lsnyc.legalserver.org/matter/dynamic-profile/view/0793591","15-0793591")</f>
        <v>0</v>
      </c>
      <c r="B2523" t="s">
        <v>158</v>
      </c>
      <c r="C2523" t="s">
        <v>248</v>
      </c>
      <c r="D2523" t="s">
        <v>887</v>
      </c>
      <c r="F2523" t="s">
        <v>1700</v>
      </c>
      <c r="G2523" t="s">
        <v>1187</v>
      </c>
      <c r="H2523" t="s">
        <v>5623</v>
      </c>
      <c r="I2523" t="s">
        <v>6876</v>
      </c>
      <c r="J2523" t="s">
        <v>7174</v>
      </c>
      <c r="K2523">
        <v>11208</v>
      </c>
      <c r="N2523" t="s">
        <v>7241</v>
      </c>
      <c r="O2523" t="s">
        <v>8868</v>
      </c>
      <c r="P2523">
        <v>2</v>
      </c>
      <c r="Q2523">
        <v>0</v>
      </c>
      <c r="R2523">
        <v>56.72</v>
      </c>
      <c r="U2523">
        <v>9036</v>
      </c>
      <c r="W2523">
        <v>19.75</v>
      </c>
      <c r="X2523" t="s">
        <v>10838</v>
      </c>
      <c r="Y2523" t="s">
        <v>209</v>
      </c>
      <c r="Z2523" t="s">
        <v>10972</v>
      </c>
      <c r="AA2523" t="s">
        <v>10976</v>
      </c>
      <c r="AB2523" t="s">
        <v>11049</v>
      </c>
      <c r="AD2523" t="s">
        <v>11084</v>
      </c>
      <c r="AF2523" t="s">
        <v>11118</v>
      </c>
      <c r="AG2523" t="s">
        <v>11124</v>
      </c>
      <c r="AJ2523" t="s">
        <v>11129</v>
      </c>
      <c r="AK2523" t="s">
        <v>7225</v>
      </c>
      <c r="AM2523">
        <v>1337</v>
      </c>
      <c r="AO2523">
        <v>294</v>
      </c>
      <c r="AQ2523" t="s">
        <v>11158</v>
      </c>
      <c r="AS2523" t="s">
        <v>11174</v>
      </c>
      <c r="AU2523">
        <v>40</v>
      </c>
      <c r="AW2523" t="s">
        <v>11187</v>
      </c>
      <c r="AZ2523" t="s">
        <v>11221</v>
      </c>
      <c r="BE2523" t="s">
        <v>13114</v>
      </c>
      <c r="BG2523" t="s">
        <v>15006</v>
      </c>
      <c r="BM2523" t="s">
        <v>15650</v>
      </c>
    </row>
    <row r="2524" spans="1:67">
      <c r="A2524" s="1">
        <f>HYPERLINK("https://lsnyc.legalserver.org/matter/dynamic-profile/view/0830285","17-0830285")</f>
        <v>0</v>
      </c>
      <c r="B2524" t="s">
        <v>158</v>
      </c>
      <c r="C2524" t="s">
        <v>248</v>
      </c>
      <c r="D2524" t="s">
        <v>888</v>
      </c>
      <c r="F2524" t="s">
        <v>1135</v>
      </c>
      <c r="G2524" t="s">
        <v>3960</v>
      </c>
      <c r="H2524" t="s">
        <v>5615</v>
      </c>
      <c r="I2524" t="s">
        <v>6622</v>
      </c>
      <c r="J2524" t="s">
        <v>7174</v>
      </c>
      <c r="K2524">
        <v>11213</v>
      </c>
      <c r="N2524" t="s">
        <v>7238</v>
      </c>
      <c r="O2524" t="s">
        <v>8866</v>
      </c>
      <c r="P2524">
        <v>1</v>
      </c>
      <c r="Q2524">
        <v>2</v>
      </c>
      <c r="R2524">
        <v>145.62</v>
      </c>
      <c r="S2524" t="s">
        <v>843</v>
      </c>
      <c r="U2524">
        <v>29736</v>
      </c>
      <c r="W2524">
        <v>45.25</v>
      </c>
      <c r="X2524" t="s">
        <v>712</v>
      </c>
      <c r="Y2524" t="s">
        <v>10901</v>
      </c>
      <c r="AA2524" t="s">
        <v>10974</v>
      </c>
      <c r="AB2524" t="s">
        <v>774</v>
      </c>
      <c r="AD2524" t="s">
        <v>11100</v>
      </c>
      <c r="AF2524" t="s">
        <v>10384</v>
      </c>
      <c r="AH2524" t="s">
        <v>10974</v>
      </c>
      <c r="AI2524" t="s">
        <v>11126</v>
      </c>
      <c r="AK2524" t="s">
        <v>7225</v>
      </c>
      <c r="AL2524" t="s">
        <v>11150</v>
      </c>
      <c r="AM2524">
        <v>0</v>
      </c>
      <c r="AO2524">
        <v>74</v>
      </c>
      <c r="AQ2524" t="s">
        <v>11157</v>
      </c>
      <c r="AR2524" t="s">
        <v>11172</v>
      </c>
      <c r="AT2524" t="s">
        <v>11184</v>
      </c>
      <c r="AU2524">
        <v>0</v>
      </c>
      <c r="AW2524" t="s">
        <v>11187</v>
      </c>
      <c r="AZ2524" t="s">
        <v>11221</v>
      </c>
      <c r="BD2524" t="s">
        <v>11667</v>
      </c>
      <c r="BF2524" t="s">
        <v>14364</v>
      </c>
      <c r="BM2524" t="s">
        <v>15650</v>
      </c>
    </row>
    <row r="2525" spans="1:67">
      <c r="A2525" s="1">
        <f>HYPERLINK("https://lsnyc.legalserver.org/matter/dynamic-profile/view/1892341","19-1892341")</f>
        <v>0</v>
      </c>
      <c r="B2525" t="s">
        <v>158</v>
      </c>
      <c r="C2525" t="s">
        <v>248</v>
      </c>
      <c r="D2525" t="s">
        <v>483</v>
      </c>
      <c r="F2525" t="s">
        <v>2155</v>
      </c>
      <c r="G2525" t="s">
        <v>3961</v>
      </c>
      <c r="H2525" t="s">
        <v>5622</v>
      </c>
      <c r="I2525" t="s">
        <v>6419</v>
      </c>
      <c r="J2525" t="s">
        <v>7174</v>
      </c>
      <c r="K2525">
        <v>11233</v>
      </c>
      <c r="N2525" t="s">
        <v>7237</v>
      </c>
      <c r="O2525" t="s">
        <v>8867</v>
      </c>
      <c r="P2525">
        <v>1</v>
      </c>
      <c r="Q2525">
        <v>1</v>
      </c>
      <c r="R2525">
        <v>149.76</v>
      </c>
      <c r="U2525">
        <v>25324</v>
      </c>
      <c r="W2525">
        <v>0</v>
      </c>
      <c r="Y2525" t="s">
        <v>225</v>
      </c>
      <c r="AA2525" t="s">
        <v>10974</v>
      </c>
      <c r="AB2525" t="s">
        <v>569</v>
      </c>
      <c r="AD2525" t="s">
        <v>11082</v>
      </c>
      <c r="AF2525" t="s">
        <v>11118</v>
      </c>
      <c r="AH2525" t="s">
        <v>10975</v>
      </c>
      <c r="AJ2525" t="s">
        <v>11130</v>
      </c>
      <c r="AK2525" t="s">
        <v>7225</v>
      </c>
      <c r="AM2525">
        <v>733.64</v>
      </c>
      <c r="AO2525">
        <v>32</v>
      </c>
      <c r="AQ2525" t="s">
        <v>11157</v>
      </c>
      <c r="AS2525" t="s">
        <v>11173</v>
      </c>
      <c r="AU2525">
        <v>5</v>
      </c>
      <c r="AW2525" t="s">
        <v>11187</v>
      </c>
      <c r="AY2525" t="s">
        <v>11213</v>
      </c>
      <c r="AZ2525" t="s">
        <v>11221</v>
      </c>
      <c r="BC2525" t="s">
        <v>11173</v>
      </c>
      <c r="BE2525" t="s">
        <v>13113</v>
      </c>
      <c r="BG2525" t="s">
        <v>15007</v>
      </c>
      <c r="BM2525" t="s">
        <v>15650</v>
      </c>
    </row>
    <row r="2526" spans="1:67">
      <c r="A2526" s="1">
        <f>HYPERLINK("https://lsnyc.legalserver.org/matter/dynamic-profile/view/1839938","17-1839938")</f>
        <v>0</v>
      </c>
      <c r="B2526" t="s">
        <v>158</v>
      </c>
      <c r="C2526" t="s">
        <v>248</v>
      </c>
      <c r="D2526" t="s">
        <v>889</v>
      </c>
      <c r="F2526" t="s">
        <v>1177</v>
      </c>
      <c r="G2526" t="s">
        <v>3958</v>
      </c>
      <c r="H2526" t="s">
        <v>5616</v>
      </c>
      <c r="I2526" t="s">
        <v>6875</v>
      </c>
      <c r="J2526" t="s">
        <v>7174</v>
      </c>
      <c r="K2526">
        <v>11213</v>
      </c>
      <c r="N2526" t="s">
        <v>7237</v>
      </c>
      <c r="O2526" t="s">
        <v>8864</v>
      </c>
      <c r="P2526">
        <v>2</v>
      </c>
      <c r="Q2526">
        <v>1</v>
      </c>
      <c r="R2526">
        <v>30.81</v>
      </c>
      <c r="S2526" t="s">
        <v>843</v>
      </c>
      <c r="U2526">
        <v>6292</v>
      </c>
      <c r="V2526" t="s">
        <v>10502</v>
      </c>
      <c r="W2526">
        <v>0</v>
      </c>
      <c r="Y2526" t="s">
        <v>10901</v>
      </c>
      <c r="AA2526" t="s">
        <v>10974</v>
      </c>
      <c r="AB2526" t="s">
        <v>348</v>
      </c>
      <c r="AD2526" t="s">
        <v>11100</v>
      </c>
      <c r="AF2526" t="s">
        <v>10384</v>
      </c>
      <c r="AH2526" t="s">
        <v>10974</v>
      </c>
      <c r="AI2526" t="s">
        <v>11126</v>
      </c>
      <c r="AK2526" t="s">
        <v>7225</v>
      </c>
      <c r="AM2526">
        <v>1100</v>
      </c>
      <c r="AO2526">
        <v>74</v>
      </c>
      <c r="AQ2526" t="s">
        <v>11157</v>
      </c>
      <c r="AR2526" t="s">
        <v>11172</v>
      </c>
      <c r="AU2526">
        <v>8</v>
      </c>
      <c r="AW2526" t="s">
        <v>11187</v>
      </c>
      <c r="AZ2526" t="s">
        <v>11221</v>
      </c>
      <c r="BE2526" t="s">
        <v>13112</v>
      </c>
      <c r="BF2526" t="s">
        <v>14364</v>
      </c>
      <c r="BM2526" t="s">
        <v>15650</v>
      </c>
    </row>
    <row r="2527" spans="1:67">
      <c r="A2527" s="1">
        <f>HYPERLINK("https://lsnyc.legalserver.org/matter/dynamic-profile/view/1892349","19-1892349")</f>
        <v>0</v>
      </c>
      <c r="B2527" t="s">
        <v>158</v>
      </c>
      <c r="C2527" t="s">
        <v>248</v>
      </c>
      <c r="D2527" t="s">
        <v>483</v>
      </c>
      <c r="F2527" t="s">
        <v>2155</v>
      </c>
      <c r="G2527" t="s">
        <v>3961</v>
      </c>
      <c r="H2527" t="s">
        <v>5622</v>
      </c>
      <c r="I2527" t="s">
        <v>6419</v>
      </c>
      <c r="J2527" t="s">
        <v>7174</v>
      </c>
      <c r="K2527">
        <v>11233</v>
      </c>
      <c r="N2527" t="s">
        <v>7237</v>
      </c>
      <c r="O2527" t="s">
        <v>8867</v>
      </c>
      <c r="P2527">
        <v>1</v>
      </c>
      <c r="Q2527">
        <v>1</v>
      </c>
      <c r="R2527">
        <v>149.76</v>
      </c>
      <c r="U2527">
        <v>25324</v>
      </c>
      <c r="V2527" t="s">
        <v>10501</v>
      </c>
      <c r="W2527">
        <v>0</v>
      </c>
      <c r="Y2527" t="s">
        <v>225</v>
      </c>
      <c r="AA2527" t="s">
        <v>10974</v>
      </c>
      <c r="AB2527" t="s">
        <v>11050</v>
      </c>
      <c r="AD2527" t="s">
        <v>11083</v>
      </c>
      <c r="AF2527" t="s">
        <v>11118</v>
      </c>
      <c r="AH2527" t="s">
        <v>10974</v>
      </c>
      <c r="AJ2527" t="s">
        <v>11130</v>
      </c>
      <c r="AK2527" t="s">
        <v>7225</v>
      </c>
      <c r="AM2527">
        <v>733.64</v>
      </c>
      <c r="AO2527">
        <v>32</v>
      </c>
      <c r="AQ2527" t="s">
        <v>11157</v>
      </c>
      <c r="AS2527" t="s">
        <v>11173</v>
      </c>
      <c r="AU2527">
        <v>5</v>
      </c>
      <c r="AW2527" t="s">
        <v>11187</v>
      </c>
      <c r="AY2527" t="s">
        <v>11213</v>
      </c>
      <c r="AZ2527" t="s">
        <v>11221</v>
      </c>
      <c r="BC2527" t="s">
        <v>11173</v>
      </c>
      <c r="BE2527" t="s">
        <v>13113</v>
      </c>
      <c r="BG2527" t="s">
        <v>15008</v>
      </c>
      <c r="BM2527" t="s">
        <v>15650</v>
      </c>
    </row>
    <row r="2528" spans="1:67">
      <c r="A2528" s="1">
        <f>HYPERLINK("https://lsnyc.legalserver.org/matter/dynamic-profile/view/1845335","17-1845335")</f>
        <v>0</v>
      </c>
      <c r="B2528" t="s">
        <v>158</v>
      </c>
      <c r="C2528" t="s">
        <v>248</v>
      </c>
      <c r="D2528" t="s">
        <v>883</v>
      </c>
      <c r="F2528" t="s">
        <v>2156</v>
      </c>
      <c r="G2528" t="s">
        <v>3962</v>
      </c>
      <c r="H2528" t="s">
        <v>5616</v>
      </c>
      <c r="I2528" t="s">
        <v>6662</v>
      </c>
      <c r="J2528" t="s">
        <v>7174</v>
      </c>
      <c r="K2528">
        <v>11213</v>
      </c>
      <c r="N2528" t="s">
        <v>7237</v>
      </c>
      <c r="O2528" t="s">
        <v>8869</v>
      </c>
      <c r="P2528">
        <v>2</v>
      </c>
      <c r="Q2528">
        <v>0</v>
      </c>
      <c r="R2528">
        <v>78.98999999999999</v>
      </c>
      <c r="S2528" t="s">
        <v>843</v>
      </c>
      <c r="U2528">
        <v>12828</v>
      </c>
      <c r="W2528">
        <v>0</v>
      </c>
      <c r="Y2528" t="s">
        <v>10901</v>
      </c>
      <c r="AA2528" t="s">
        <v>10974</v>
      </c>
      <c r="AB2528" t="s">
        <v>348</v>
      </c>
      <c r="AD2528" t="s">
        <v>11101</v>
      </c>
      <c r="AF2528" t="s">
        <v>11118</v>
      </c>
      <c r="AH2528" t="s">
        <v>10974</v>
      </c>
      <c r="AI2528" t="s">
        <v>11126</v>
      </c>
      <c r="AK2528" t="s">
        <v>7225</v>
      </c>
      <c r="AM2528">
        <v>1108.91</v>
      </c>
      <c r="AO2528">
        <v>74</v>
      </c>
      <c r="AQ2528" t="s">
        <v>11157</v>
      </c>
      <c r="AR2528" t="s">
        <v>11172</v>
      </c>
      <c r="AU2528">
        <v>25</v>
      </c>
      <c r="AW2528" t="s">
        <v>11187</v>
      </c>
      <c r="AZ2528" t="s">
        <v>11221</v>
      </c>
      <c r="BD2528" t="s">
        <v>11667</v>
      </c>
      <c r="BF2528" t="s">
        <v>14364</v>
      </c>
      <c r="BM2528" t="s">
        <v>15650</v>
      </c>
    </row>
    <row r="2529" spans="1:65">
      <c r="A2529" s="1">
        <f>HYPERLINK("https://lsnyc.legalserver.org/matter/dynamic-profile/view/1911000","19-1911000")</f>
        <v>0</v>
      </c>
      <c r="B2529" t="s">
        <v>159</v>
      </c>
      <c r="C2529" t="s">
        <v>248</v>
      </c>
      <c r="D2529" t="s">
        <v>626</v>
      </c>
      <c r="E2529" t="s">
        <v>536</v>
      </c>
      <c r="F2529" t="s">
        <v>2157</v>
      </c>
      <c r="G2529" t="s">
        <v>3963</v>
      </c>
      <c r="H2529" t="s">
        <v>4798</v>
      </c>
      <c r="J2529" t="s">
        <v>7174</v>
      </c>
      <c r="K2529">
        <v>11233</v>
      </c>
      <c r="L2529" t="s">
        <v>7216</v>
      </c>
      <c r="N2529" t="s">
        <v>7237</v>
      </c>
      <c r="O2529" t="s">
        <v>8870</v>
      </c>
      <c r="P2529">
        <v>2</v>
      </c>
      <c r="Q2529">
        <v>2</v>
      </c>
      <c r="R2529">
        <v>151.46</v>
      </c>
      <c r="U2529">
        <v>39000</v>
      </c>
      <c r="W2529">
        <v>4.3</v>
      </c>
      <c r="X2529" t="s">
        <v>345</v>
      </c>
      <c r="Y2529" t="s">
        <v>101</v>
      </c>
      <c r="AA2529" t="s">
        <v>10974</v>
      </c>
      <c r="AB2529" t="s">
        <v>306</v>
      </c>
      <c r="AD2529" t="s">
        <v>11084</v>
      </c>
      <c r="AF2529" t="s">
        <v>11119</v>
      </c>
      <c r="AH2529" t="s">
        <v>10975</v>
      </c>
      <c r="AJ2529" t="s">
        <v>11129</v>
      </c>
      <c r="AK2529" t="s">
        <v>7225</v>
      </c>
      <c r="AM2529">
        <v>1400</v>
      </c>
      <c r="AO2529">
        <v>359</v>
      </c>
      <c r="AQ2529" t="s">
        <v>11157</v>
      </c>
      <c r="AR2529" t="s">
        <v>11172</v>
      </c>
      <c r="AU2529">
        <v>7</v>
      </c>
      <c r="AW2529" t="s">
        <v>11187</v>
      </c>
      <c r="AY2529" t="s">
        <v>11213</v>
      </c>
      <c r="BA2529" t="s">
        <v>11222</v>
      </c>
      <c r="BC2529" t="s">
        <v>11173</v>
      </c>
      <c r="BE2529" t="s">
        <v>13115</v>
      </c>
      <c r="BF2529" t="s">
        <v>14364</v>
      </c>
      <c r="BM2529" t="s">
        <v>15651</v>
      </c>
    </row>
    <row r="2530" spans="1:65">
      <c r="A2530" s="1">
        <f>HYPERLINK("https://lsnyc.legalserver.org/matter/dynamic-profile/view/1880652","18-1880652")</f>
        <v>0</v>
      </c>
      <c r="B2530" t="s">
        <v>159</v>
      </c>
      <c r="C2530" t="s">
        <v>248</v>
      </c>
      <c r="D2530" t="s">
        <v>365</v>
      </c>
      <c r="F2530" t="s">
        <v>2158</v>
      </c>
      <c r="G2530" t="s">
        <v>3397</v>
      </c>
      <c r="H2530" t="s">
        <v>5624</v>
      </c>
      <c r="I2530" t="s">
        <v>6877</v>
      </c>
      <c r="J2530" t="s">
        <v>7174</v>
      </c>
      <c r="K2530">
        <v>11233</v>
      </c>
      <c r="N2530" t="s">
        <v>7237</v>
      </c>
      <c r="O2530" t="s">
        <v>8871</v>
      </c>
      <c r="P2530">
        <v>1</v>
      </c>
      <c r="Q2530">
        <v>0</v>
      </c>
      <c r="R2530">
        <v>66.72</v>
      </c>
      <c r="U2530">
        <v>8100</v>
      </c>
      <c r="V2530" t="s">
        <v>10503</v>
      </c>
      <c r="W2530">
        <v>37</v>
      </c>
      <c r="X2530" t="s">
        <v>301</v>
      </c>
      <c r="Y2530" t="s">
        <v>10892</v>
      </c>
      <c r="AA2530" t="s">
        <v>10974</v>
      </c>
      <c r="AB2530" t="s">
        <v>575</v>
      </c>
      <c r="AD2530" t="s">
        <v>11083</v>
      </c>
      <c r="AF2530" t="s">
        <v>11118</v>
      </c>
      <c r="AH2530" t="s">
        <v>10975</v>
      </c>
      <c r="AJ2530" t="s">
        <v>11135</v>
      </c>
      <c r="AK2530" t="s">
        <v>7225</v>
      </c>
      <c r="AM2530">
        <v>700</v>
      </c>
      <c r="AO2530">
        <v>27</v>
      </c>
      <c r="AP2530" t="s">
        <v>11155</v>
      </c>
      <c r="AR2530" t="s">
        <v>11172</v>
      </c>
      <c r="AU2530">
        <v>10</v>
      </c>
      <c r="AW2530" t="s">
        <v>11187</v>
      </c>
      <c r="AY2530" t="s">
        <v>11214</v>
      </c>
      <c r="BA2530" t="s">
        <v>11222</v>
      </c>
      <c r="BE2530" t="s">
        <v>13116</v>
      </c>
      <c r="BG2530" t="s">
        <v>15009</v>
      </c>
      <c r="BM2530" t="s">
        <v>15650</v>
      </c>
    </row>
    <row r="2531" spans="1:65">
      <c r="A2531" s="1">
        <f>HYPERLINK("https://lsnyc.legalserver.org/matter/dynamic-profile/view/1915563","19-1915563")</f>
        <v>0</v>
      </c>
      <c r="B2531" t="s">
        <v>159</v>
      </c>
      <c r="C2531" t="s">
        <v>248</v>
      </c>
      <c r="D2531" t="s">
        <v>548</v>
      </c>
      <c r="E2531" t="s">
        <v>638</v>
      </c>
      <c r="F2531" t="s">
        <v>1838</v>
      </c>
      <c r="G2531" t="s">
        <v>3964</v>
      </c>
      <c r="H2531" t="s">
        <v>5625</v>
      </c>
      <c r="I2531">
        <v>229</v>
      </c>
      <c r="J2531" t="s">
        <v>7174</v>
      </c>
      <c r="K2531">
        <v>11239</v>
      </c>
      <c r="L2531" t="s">
        <v>7216</v>
      </c>
      <c r="N2531" t="s">
        <v>7237</v>
      </c>
      <c r="O2531" t="s">
        <v>8872</v>
      </c>
      <c r="P2531">
        <v>1</v>
      </c>
      <c r="Q2531">
        <v>0</v>
      </c>
      <c r="R2531">
        <v>76.86</v>
      </c>
      <c r="U2531">
        <v>9600</v>
      </c>
      <c r="V2531" t="s">
        <v>10504</v>
      </c>
      <c r="W2531">
        <v>1.3</v>
      </c>
      <c r="X2531" t="s">
        <v>528</v>
      </c>
      <c r="Y2531" t="s">
        <v>10888</v>
      </c>
      <c r="Z2531" t="s">
        <v>10972</v>
      </c>
      <c r="AA2531" t="s">
        <v>10975</v>
      </c>
      <c r="AD2531" t="s">
        <v>11086</v>
      </c>
      <c r="AE2531" t="s">
        <v>11117</v>
      </c>
      <c r="AH2531" t="s">
        <v>10975</v>
      </c>
      <c r="AJ2531" t="s">
        <v>11104</v>
      </c>
      <c r="AK2531" t="s">
        <v>7225</v>
      </c>
      <c r="AM2531">
        <v>700</v>
      </c>
      <c r="AO2531">
        <v>250</v>
      </c>
      <c r="AQ2531" t="s">
        <v>11164</v>
      </c>
      <c r="AS2531" t="s">
        <v>11173</v>
      </c>
      <c r="AU2531">
        <v>1</v>
      </c>
      <c r="AW2531" t="s">
        <v>11187</v>
      </c>
      <c r="AY2531" t="s">
        <v>11213</v>
      </c>
      <c r="AZ2531" t="s">
        <v>11221</v>
      </c>
      <c r="BA2531" t="s">
        <v>11173</v>
      </c>
      <c r="BC2531" t="s">
        <v>11230</v>
      </c>
      <c r="BE2531" t="s">
        <v>13117</v>
      </c>
      <c r="BF2531" t="s">
        <v>14364</v>
      </c>
      <c r="BG2531" t="s">
        <v>11173</v>
      </c>
      <c r="BM2531" t="s">
        <v>15651</v>
      </c>
    </row>
    <row r="2532" spans="1:65">
      <c r="A2532" s="1">
        <f>HYPERLINK("https://lsnyc.legalserver.org/matter/dynamic-profile/view/1835328","17-1835328")</f>
        <v>0</v>
      </c>
      <c r="B2532" t="s">
        <v>159</v>
      </c>
      <c r="C2532" t="s">
        <v>248</v>
      </c>
      <c r="D2532" t="s">
        <v>890</v>
      </c>
      <c r="F2532" t="s">
        <v>1139</v>
      </c>
      <c r="G2532" t="s">
        <v>2956</v>
      </c>
      <c r="H2532" t="s">
        <v>5626</v>
      </c>
      <c r="I2532" t="s">
        <v>6632</v>
      </c>
      <c r="J2532" t="s">
        <v>7174</v>
      </c>
      <c r="K2532">
        <v>11219</v>
      </c>
      <c r="N2532" t="s">
        <v>7237</v>
      </c>
      <c r="O2532" t="s">
        <v>8873</v>
      </c>
      <c r="P2532">
        <v>3</v>
      </c>
      <c r="Q2532">
        <v>0</v>
      </c>
      <c r="R2532">
        <v>90.09</v>
      </c>
      <c r="U2532">
        <v>18396</v>
      </c>
      <c r="W2532">
        <v>121.95</v>
      </c>
      <c r="X2532" t="s">
        <v>433</v>
      </c>
      <c r="Y2532" t="s">
        <v>10901</v>
      </c>
      <c r="AA2532" t="s">
        <v>10974</v>
      </c>
      <c r="AB2532" t="s">
        <v>809</v>
      </c>
      <c r="AD2532" t="s">
        <v>11083</v>
      </c>
      <c r="AF2532" t="s">
        <v>11118</v>
      </c>
      <c r="AH2532" t="s">
        <v>10974</v>
      </c>
      <c r="AI2532" t="s">
        <v>11126</v>
      </c>
      <c r="AK2532" t="s">
        <v>7225</v>
      </c>
      <c r="AM2532">
        <v>900</v>
      </c>
      <c r="AO2532">
        <v>6</v>
      </c>
      <c r="AQ2532" t="s">
        <v>11157</v>
      </c>
      <c r="AS2532" t="s">
        <v>11173</v>
      </c>
      <c r="AU2532">
        <v>10</v>
      </c>
      <c r="AW2532" t="s">
        <v>11189</v>
      </c>
      <c r="AZ2532" t="s">
        <v>11221</v>
      </c>
      <c r="BE2532" t="s">
        <v>13118</v>
      </c>
      <c r="BG2532" t="s">
        <v>15010</v>
      </c>
      <c r="BM2532" t="s">
        <v>15650</v>
      </c>
    </row>
    <row r="2533" spans="1:65">
      <c r="A2533" s="1">
        <f>HYPERLINK("https://lsnyc.legalserver.org/matter/dynamic-profile/view/1879962","18-1879962")</f>
        <v>0</v>
      </c>
      <c r="B2533" t="s">
        <v>159</v>
      </c>
      <c r="C2533" t="s">
        <v>248</v>
      </c>
      <c r="D2533" t="s">
        <v>595</v>
      </c>
      <c r="E2533" t="s">
        <v>669</v>
      </c>
      <c r="F2533" t="s">
        <v>2159</v>
      </c>
      <c r="G2533" t="s">
        <v>3965</v>
      </c>
      <c r="H2533" t="s">
        <v>5627</v>
      </c>
      <c r="I2533" t="s">
        <v>6430</v>
      </c>
      <c r="J2533" t="s">
        <v>7174</v>
      </c>
      <c r="K2533">
        <v>11237</v>
      </c>
      <c r="L2533" t="s">
        <v>7219</v>
      </c>
      <c r="N2533" t="s">
        <v>7237</v>
      </c>
      <c r="O2533" t="s">
        <v>8874</v>
      </c>
      <c r="P2533">
        <v>1</v>
      </c>
      <c r="Q2533">
        <v>0</v>
      </c>
      <c r="R2533">
        <v>0</v>
      </c>
      <c r="U2533">
        <v>0</v>
      </c>
      <c r="W2533">
        <v>88.59999999999999</v>
      </c>
      <c r="X2533" t="s">
        <v>266</v>
      </c>
      <c r="Y2533" t="s">
        <v>10902</v>
      </c>
      <c r="AA2533" t="s">
        <v>10974</v>
      </c>
      <c r="AB2533" t="s">
        <v>483</v>
      </c>
      <c r="AD2533" t="s">
        <v>11083</v>
      </c>
      <c r="AF2533" t="s">
        <v>11118</v>
      </c>
      <c r="AG2533" t="s">
        <v>11124</v>
      </c>
      <c r="AJ2533" t="s">
        <v>11138</v>
      </c>
      <c r="AK2533" t="s">
        <v>7225</v>
      </c>
      <c r="AM2533">
        <v>973</v>
      </c>
      <c r="AN2533" t="s">
        <v>11151</v>
      </c>
      <c r="AO2533" t="s">
        <v>11153</v>
      </c>
      <c r="AP2533" t="s">
        <v>11155</v>
      </c>
      <c r="AS2533" t="s">
        <v>11174</v>
      </c>
      <c r="AU2533">
        <v>12</v>
      </c>
      <c r="AW2533" t="s">
        <v>11187</v>
      </c>
      <c r="AZ2533" t="s">
        <v>11221</v>
      </c>
      <c r="BC2533" t="s">
        <v>11434</v>
      </c>
      <c r="BE2533" t="s">
        <v>13119</v>
      </c>
      <c r="BG2533" t="s">
        <v>15011</v>
      </c>
      <c r="BH2533" t="s">
        <v>15605</v>
      </c>
      <c r="BJ2533" t="s">
        <v>15615</v>
      </c>
      <c r="BL2533" t="s">
        <v>15648</v>
      </c>
      <c r="BM2533" t="s">
        <v>15651</v>
      </c>
    </row>
    <row r="2534" spans="1:65">
      <c r="A2534" s="1">
        <f>HYPERLINK("https://lsnyc.legalserver.org/matter/dynamic-profile/view/1915466","19-1915466")</f>
        <v>0</v>
      </c>
      <c r="B2534" t="s">
        <v>159</v>
      </c>
      <c r="C2534" t="s">
        <v>248</v>
      </c>
      <c r="D2534" t="s">
        <v>669</v>
      </c>
      <c r="F2534" t="s">
        <v>2160</v>
      </c>
      <c r="G2534" t="s">
        <v>3924</v>
      </c>
      <c r="H2534" t="s">
        <v>5628</v>
      </c>
      <c r="I2534" t="s">
        <v>6405</v>
      </c>
      <c r="J2534" t="s">
        <v>7174</v>
      </c>
      <c r="K2534">
        <v>11208</v>
      </c>
      <c r="N2534" t="s">
        <v>7237</v>
      </c>
      <c r="O2534" t="s">
        <v>8875</v>
      </c>
      <c r="P2534">
        <v>2</v>
      </c>
      <c r="Q2534">
        <v>3</v>
      </c>
      <c r="R2534">
        <v>169.71</v>
      </c>
      <c r="U2534">
        <v>51200</v>
      </c>
      <c r="W2534">
        <v>0</v>
      </c>
      <c r="Y2534" t="s">
        <v>225</v>
      </c>
      <c r="AA2534" t="s">
        <v>10974</v>
      </c>
      <c r="AD2534" t="s">
        <v>11083</v>
      </c>
      <c r="AE2534" t="s">
        <v>11117</v>
      </c>
      <c r="AH2534" t="s">
        <v>10975</v>
      </c>
      <c r="AJ2534" t="s">
        <v>11146</v>
      </c>
      <c r="AK2534" t="s">
        <v>7225</v>
      </c>
      <c r="AM2534">
        <v>1250</v>
      </c>
      <c r="AO2534">
        <v>1</v>
      </c>
      <c r="AQ2534" t="s">
        <v>11156</v>
      </c>
      <c r="AS2534" t="s">
        <v>11173</v>
      </c>
      <c r="AU2534">
        <v>4</v>
      </c>
      <c r="AW2534" t="s">
        <v>11189</v>
      </c>
      <c r="AY2534" t="s">
        <v>11213</v>
      </c>
      <c r="BA2534" t="s">
        <v>11222</v>
      </c>
      <c r="BC2534" t="s">
        <v>11228</v>
      </c>
      <c r="BE2534" t="s">
        <v>13120</v>
      </c>
      <c r="BG2534" t="s">
        <v>15012</v>
      </c>
      <c r="BM2534" t="s">
        <v>15650</v>
      </c>
    </row>
    <row r="2535" spans="1:65">
      <c r="A2535" s="1">
        <f>HYPERLINK("https://lsnyc.legalserver.org/matter/dynamic-profile/view/1914730","19-1914730")</f>
        <v>0</v>
      </c>
      <c r="B2535" t="s">
        <v>159</v>
      </c>
      <c r="C2535" t="s">
        <v>248</v>
      </c>
      <c r="D2535" t="s">
        <v>614</v>
      </c>
      <c r="F2535" t="s">
        <v>1260</v>
      </c>
      <c r="G2535" t="s">
        <v>3966</v>
      </c>
      <c r="H2535" t="s">
        <v>5629</v>
      </c>
      <c r="I2535" t="s">
        <v>6611</v>
      </c>
      <c r="J2535" t="s">
        <v>7174</v>
      </c>
      <c r="K2535">
        <v>11236</v>
      </c>
      <c r="N2535" t="s">
        <v>7237</v>
      </c>
      <c r="O2535" t="s">
        <v>8876</v>
      </c>
      <c r="P2535">
        <v>2</v>
      </c>
      <c r="Q2535">
        <v>0</v>
      </c>
      <c r="R2535">
        <v>28.39</v>
      </c>
      <c r="U2535">
        <v>4800</v>
      </c>
      <c r="W2535">
        <v>2.2</v>
      </c>
      <c r="X2535" t="s">
        <v>426</v>
      </c>
      <c r="Y2535" t="s">
        <v>101</v>
      </c>
      <c r="AA2535" t="s">
        <v>10974</v>
      </c>
      <c r="AB2535" t="s">
        <v>614</v>
      </c>
      <c r="AD2535" t="s">
        <v>11082</v>
      </c>
      <c r="AF2535" t="s">
        <v>11121</v>
      </c>
      <c r="AH2535" t="s">
        <v>10975</v>
      </c>
      <c r="AJ2535" t="s">
        <v>11104</v>
      </c>
      <c r="AK2535" t="s">
        <v>7225</v>
      </c>
      <c r="AM2535">
        <v>1400</v>
      </c>
      <c r="AN2535" t="s">
        <v>11151</v>
      </c>
      <c r="AO2535" t="s">
        <v>11153</v>
      </c>
      <c r="AQ2535" t="s">
        <v>11166</v>
      </c>
      <c r="AS2535" t="s">
        <v>11173</v>
      </c>
      <c r="AU2535">
        <v>22</v>
      </c>
      <c r="AW2535" t="s">
        <v>11187</v>
      </c>
      <c r="BA2535" t="s">
        <v>11222</v>
      </c>
      <c r="BE2535" t="s">
        <v>13121</v>
      </c>
      <c r="BG2535" t="s">
        <v>15013</v>
      </c>
      <c r="BM2535" t="s">
        <v>15650</v>
      </c>
    </row>
    <row r="2536" spans="1:65">
      <c r="A2536" s="1">
        <f>HYPERLINK("https://lsnyc.legalserver.org/matter/dynamic-profile/view/1855866","18-1855866")</f>
        <v>0</v>
      </c>
      <c r="B2536" t="s">
        <v>159</v>
      </c>
      <c r="C2536" t="s">
        <v>248</v>
      </c>
      <c r="D2536" t="s">
        <v>350</v>
      </c>
      <c r="F2536" t="s">
        <v>1177</v>
      </c>
      <c r="G2536" t="s">
        <v>3395</v>
      </c>
      <c r="H2536" t="s">
        <v>5630</v>
      </c>
      <c r="I2536" t="s">
        <v>6438</v>
      </c>
      <c r="J2536" t="s">
        <v>7174</v>
      </c>
      <c r="K2536">
        <v>11237</v>
      </c>
      <c r="N2536" t="s">
        <v>7237</v>
      </c>
      <c r="O2536" t="s">
        <v>8877</v>
      </c>
      <c r="P2536">
        <v>1</v>
      </c>
      <c r="Q2536">
        <v>0</v>
      </c>
      <c r="R2536">
        <v>64.55</v>
      </c>
      <c r="U2536">
        <v>7836</v>
      </c>
      <c r="W2536">
        <v>30.8</v>
      </c>
      <c r="X2536" t="s">
        <v>332</v>
      </c>
      <c r="Y2536" t="s">
        <v>10943</v>
      </c>
      <c r="AA2536" t="s">
        <v>10974</v>
      </c>
      <c r="AB2536" t="s">
        <v>871</v>
      </c>
      <c r="AD2536" t="s">
        <v>11082</v>
      </c>
      <c r="AF2536" t="s">
        <v>11118</v>
      </c>
      <c r="AH2536" t="s">
        <v>10975</v>
      </c>
      <c r="AJ2536" t="s">
        <v>11141</v>
      </c>
      <c r="AK2536" t="s">
        <v>7225</v>
      </c>
      <c r="AM2536">
        <v>978</v>
      </c>
      <c r="AO2536">
        <v>8</v>
      </c>
      <c r="AQ2536" t="s">
        <v>11157</v>
      </c>
      <c r="AR2536" t="s">
        <v>11172</v>
      </c>
      <c r="AU2536">
        <v>20</v>
      </c>
      <c r="AV2536" t="s">
        <v>11186</v>
      </c>
      <c r="AY2536" t="s">
        <v>11213</v>
      </c>
      <c r="AZ2536" t="s">
        <v>11221</v>
      </c>
      <c r="BC2536" t="s">
        <v>11435</v>
      </c>
      <c r="BE2536" t="s">
        <v>13122</v>
      </c>
      <c r="BG2536" t="s">
        <v>15014</v>
      </c>
      <c r="BM2536" t="s">
        <v>15650</v>
      </c>
    </row>
    <row r="2537" spans="1:65">
      <c r="A2537" s="1">
        <f>HYPERLINK("https://lsnyc.legalserver.org/matter/dynamic-profile/view/1874691","18-1874691")</f>
        <v>0</v>
      </c>
      <c r="B2537" t="s">
        <v>159</v>
      </c>
      <c r="C2537" t="s">
        <v>248</v>
      </c>
      <c r="D2537" t="s">
        <v>402</v>
      </c>
      <c r="F2537" t="s">
        <v>1700</v>
      </c>
      <c r="G2537" t="s">
        <v>3967</v>
      </c>
      <c r="H2537" t="s">
        <v>5631</v>
      </c>
      <c r="I2537" t="s">
        <v>6436</v>
      </c>
      <c r="J2537" t="s">
        <v>7174</v>
      </c>
      <c r="K2537">
        <v>11233</v>
      </c>
      <c r="N2537" t="s">
        <v>7237</v>
      </c>
      <c r="O2537" t="s">
        <v>7255</v>
      </c>
      <c r="P2537">
        <v>2</v>
      </c>
      <c r="Q2537">
        <v>1</v>
      </c>
      <c r="R2537">
        <v>40.42</v>
      </c>
      <c r="U2537">
        <v>8400</v>
      </c>
      <c r="W2537">
        <v>18.22</v>
      </c>
      <c r="X2537" t="s">
        <v>614</v>
      </c>
      <c r="Y2537" t="s">
        <v>10882</v>
      </c>
      <c r="AA2537" t="s">
        <v>10974</v>
      </c>
      <c r="AB2537" t="s">
        <v>483</v>
      </c>
      <c r="AD2537" t="s">
        <v>11082</v>
      </c>
      <c r="AF2537" t="s">
        <v>11118</v>
      </c>
      <c r="AH2537" t="s">
        <v>10975</v>
      </c>
      <c r="AJ2537" t="s">
        <v>11129</v>
      </c>
      <c r="AK2537" t="s">
        <v>7225</v>
      </c>
      <c r="AM2537">
        <v>933.24</v>
      </c>
      <c r="AO2537">
        <v>8</v>
      </c>
      <c r="AQ2537" t="s">
        <v>11161</v>
      </c>
      <c r="AS2537" t="s">
        <v>11174</v>
      </c>
      <c r="AU2537">
        <v>20</v>
      </c>
      <c r="AW2537" t="s">
        <v>11187</v>
      </c>
      <c r="AY2537" t="s">
        <v>11213</v>
      </c>
      <c r="AZ2537" t="s">
        <v>11221</v>
      </c>
      <c r="BB2537" t="s">
        <v>11224</v>
      </c>
      <c r="BC2537" t="s">
        <v>11436</v>
      </c>
      <c r="BE2537" t="s">
        <v>13123</v>
      </c>
      <c r="BG2537" t="s">
        <v>15015</v>
      </c>
      <c r="BM2537" t="s">
        <v>15650</v>
      </c>
    </row>
    <row r="2538" spans="1:65">
      <c r="A2538" s="1">
        <f>HYPERLINK("https://lsnyc.legalserver.org/matter/dynamic-profile/view/1914134","19-1914134")</f>
        <v>0</v>
      </c>
      <c r="B2538" t="s">
        <v>160</v>
      </c>
      <c r="C2538" t="s">
        <v>245</v>
      </c>
      <c r="D2538" t="s">
        <v>301</v>
      </c>
      <c r="F2538" t="s">
        <v>1941</v>
      </c>
      <c r="G2538" t="s">
        <v>3968</v>
      </c>
      <c r="H2538" t="s">
        <v>4768</v>
      </c>
      <c r="I2538">
        <v>54</v>
      </c>
      <c r="J2538" t="s">
        <v>7169</v>
      </c>
      <c r="K2538">
        <v>10034</v>
      </c>
      <c r="N2538" t="s">
        <v>7237</v>
      </c>
      <c r="O2538" t="s">
        <v>8878</v>
      </c>
      <c r="P2538">
        <v>1</v>
      </c>
      <c r="Q2538">
        <v>0</v>
      </c>
      <c r="R2538">
        <v>74.94</v>
      </c>
      <c r="U2538">
        <v>9360</v>
      </c>
      <c r="W2538">
        <v>1</v>
      </c>
      <c r="X2538" t="s">
        <v>449</v>
      </c>
      <c r="Y2538" t="s">
        <v>127</v>
      </c>
      <c r="AA2538" t="s">
        <v>10974</v>
      </c>
      <c r="AB2538" t="s">
        <v>301</v>
      </c>
      <c r="AC2538" t="s">
        <v>11081</v>
      </c>
      <c r="AF2538" t="s">
        <v>11121</v>
      </c>
      <c r="AH2538" t="s">
        <v>10975</v>
      </c>
      <c r="AJ2538" t="s">
        <v>11130</v>
      </c>
      <c r="AK2538" t="s">
        <v>7225</v>
      </c>
      <c r="AM2538">
        <v>1840</v>
      </c>
      <c r="AO2538">
        <v>28</v>
      </c>
      <c r="AQ2538" t="s">
        <v>11157</v>
      </c>
      <c r="AS2538" t="s">
        <v>11173</v>
      </c>
      <c r="AU2538">
        <v>8</v>
      </c>
      <c r="AW2538" t="s">
        <v>11187</v>
      </c>
      <c r="BA2538" t="s">
        <v>11222</v>
      </c>
      <c r="BE2538" t="s">
        <v>13124</v>
      </c>
      <c r="BF2538" t="s">
        <v>14364</v>
      </c>
      <c r="BM2538" t="s">
        <v>15650</v>
      </c>
    </row>
    <row r="2539" spans="1:65">
      <c r="A2539" s="1">
        <f>HYPERLINK("https://lsnyc.legalserver.org/matter/dynamic-profile/view/1910598","19-1910598")</f>
        <v>0</v>
      </c>
      <c r="B2539" t="s">
        <v>160</v>
      </c>
      <c r="C2539" t="s">
        <v>245</v>
      </c>
      <c r="D2539" t="s">
        <v>554</v>
      </c>
      <c r="E2539" t="s">
        <v>638</v>
      </c>
      <c r="F2539" t="s">
        <v>2026</v>
      </c>
      <c r="G2539" t="s">
        <v>3969</v>
      </c>
      <c r="H2539" t="s">
        <v>5632</v>
      </c>
      <c r="I2539" t="s">
        <v>6620</v>
      </c>
      <c r="J2539" t="s">
        <v>7169</v>
      </c>
      <c r="K2539">
        <v>10040</v>
      </c>
      <c r="L2539" t="s">
        <v>7216</v>
      </c>
      <c r="N2539" t="s">
        <v>7237</v>
      </c>
      <c r="O2539" t="s">
        <v>8879</v>
      </c>
      <c r="P2539">
        <v>1</v>
      </c>
      <c r="Q2539">
        <v>0</v>
      </c>
      <c r="R2539">
        <v>156.12</v>
      </c>
      <c r="U2539">
        <v>19499.52</v>
      </c>
      <c r="W2539">
        <v>1.2</v>
      </c>
      <c r="X2539" t="s">
        <v>528</v>
      </c>
      <c r="Y2539" t="s">
        <v>127</v>
      </c>
      <c r="AA2539" t="s">
        <v>10974</v>
      </c>
      <c r="AB2539" t="s">
        <v>554</v>
      </c>
      <c r="AD2539" t="s">
        <v>11101</v>
      </c>
      <c r="AF2539" t="s">
        <v>11118</v>
      </c>
      <c r="AH2539" t="s">
        <v>10974</v>
      </c>
      <c r="AJ2539" t="s">
        <v>11130</v>
      </c>
      <c r="AK2539" t="s">
        <v>7225</v>
      </c>
      <c r="AM2539">
        <v>671.64</v>
      </c>
      <c r="AO2539">
        <v>77</v>
      </c>
      <c r="AQ2539" t="s">
        <v>11157</v>
      </c>
      <c r="AS2539" t="s">
        <v>11175</v>
      </c>
      <c r="AU2539">
        <v>48</v>
      </c>
      <c r="AW2539" t="s">
        <v>11187</v>
      </c>
      <c r="BA2539" t="s">
        <v>11222</v>
      </c>
      <c r="BD2539" t="s">
        <v>11667</v>
      </c>
      <c r="BF2539" t="s">
        <v>14364</v>
      </c>
      <c r="BJ2539" t="s">
        <v>15615</v>
      </c>
      <c r="BM2539" t="s">
        <v>15651</v>
      </c>
    </row>
    <row r="2540" spans="1:65">
      <c r="A2540" s="1">
        <f>HYPERLINK("https://lsnyc.legalserver.org/matter/dynamic-profile/view/1861579","18-1861579")</f>
        <v>0</v>
      </c>
      <c r="B2540" t="s">
        <v>160</v>
      </c>
      <c r="C2540" t="s">
        <v>245</v>
      </c>
      <c r="D2540" t="s">
        <v>718</v>
      </c>
      <c r="F2540" t="s">
        <v>1090</v>
      </c>
      <c r="G2540" t="s">
        <v>3408</v>
      </c>
      <c r="H2540" t="s">
        <v>4771</v>
      </c>
      <c r="I2540" t="s">
        <v>6485</v>
      </c>
      <c r="J2540" t="s">
        <v>7169</v>
      </c>
      <c r="K2540">
        <v>10040</v>
      </c>
      <c r="N2540" t="s">
        <v>7237</v>
      </c>
      <c r="O2540" t="s">
        <v>8880</v>
      </c>
      <c r="P2540">
        <v>2</v>
      </c>
      <c r="Q2540">
        <v>0</v>
      </c>
      <c r="R2540">
        <v>74.51000000000001</v>
      </c>
      <c r="S2540" t="s">
        <v>10267</v>
      </c>
      <c r="U2540">
        <v>12264</v>
      </c>
      <c r="W2540">
        <v>2.6</v>
      </c>
      <c r="X2540" t="s">
        <v>287</v>
      </c>
      <c r="Y2540" t="s">
        <v>127</v>
      </c>
      <c r="AA2540" t="s">
        <v>10974</v>
      </c>
      <c r="AB2540" t="s">
        <v>718</v>
      </c>
      <c r="AD2540" t="s">
        <v>11101</v>
      </c>
      <c r="AF2540" t="s">
        <v>11118</v>
      </c>
      <c r="AH2540" t="s">
        <v>10974</v>
      </c>
      <c r="AJ2540" t="s">
        <v>11130</v>
      </c>
      <c r="AK2540" t="s">
        <v>7225</v>
      </c>
      <c r="AM2540">
        <v>400</v>
      </c>
      <c r="AO2540">
        <v>49</v>
      </c>
      <c r="AQ2540" t="s">
        <v>11157</v>
      </c>
      <c r="AS2540" t="s">
        <v>11173</v>
      </c>
      <c r="AU2540">
        <v>43</v>
      </c>
      <c r="AW2540" t="s">
        <v>11189</v>
      </c>
      <c r="AZ2540" t="s">
        <v>11221</v>
      </c>
      <c r="BE2540" t="s">
        <v>13125</v>
      </c>
      <c r="BF2540" t="s">
        <v>14364</v>
      </c>
      <c r="BM2540" t="s">
        <v>15650</v>
      </c>
    </row>
    <row r="2541" spans="1:65">
      <c r="A2541" s="1">
        <f>HYPERLINK("https://lsnyc.legalserver.org/matter/dynamic-profile/view/1877190","18-1877190")</f>
        <v>0</v>
      </c>
      <c r="B2541" t="s">
        <v>160</v>
      </c>
      <c r="C2541" t="s">
        <v>245</v>
      </c>
      <c r="D2541" t="s">
        <v>864</v>
      </c>
      <c r="E2541" t="s">
        <v>262</v>
      </c>
      <c r="F2541" t="s">
        <v>1122</v>
      </c>
      <c r="G2541" t="s">
        <v>3314</v>
      </c>
      <c r="H2541" t="s">
        <v>4766</v>
      </c>
      <c r="I2541" t="s">
        <v>6598</v>
      </c>
      <c r="J2541" t="s">
        <v>7169</v>
      </c>
      <c r="K2541">
        <v>10033</v>
      </c>
      <c r="L2541" t="s">
        <v>7221</v>
      </c>
      <c r="N2541" t="s">
        <v>7237</v>
      </c>
      <c r="O2541" t="s">
        <v>8126</v>
      </c>
      <c r="P2541">
        <v>2</v>
      </c>
      <c r="Q2541">
        <v>1</v>
      </c>
      <c r="R2541">
        <v>70.56999999999999</v>
      </c>
      <c r="U2541">
        <v>14664</v>
      </c>
      <c r="W2541">
        <v>1.9</v>
      </c>
      <c r="X2541" t="s">
        <v>293</v>
      </c>
      <c r="Y2541" t="s">
        <v>127</v>
      </c>
      <c r="AA2541" t="s">
        <v>10974</v>
      </c>
      <c r="AB2541" t="s">
        <v>864</v>
      </c>
      <c r="AD2541" t="s">
        <v>11101</v>
      </c>
      <c r="AF2541" t="s">
        <v>11118</v>
      </c>
      <c r="AH2541" t="s">
        <v>10974</v>
      </c>
      <c r="AJ2541" t="s">
        <v>11130</v>
      </c>
      <c r="AK2541" t="s">
        <v>7225</v>
      </c>
      <c r="AM2541">
        <v>1300</v>
      </c>
      <c r="AO2541">
        <v>232</v>
      </c>
      <c r="AQ2541" t="s">
        <v>11157</v>
      </c>
      <c r="AS2541" t="s">
        <v>11173</v>
      </c>
      <c r="AU2541">
        <v>16</v>
      </c>
      <c r="AW2541" t="s">
        <v>11187</v>
      </c>
      <c r="BA2541" t="s">
        <v>11222</v>
      </c>
      <c r="BE2541" t="s">
        <v>13126</v>
      </c>
      <c r="BF2541" t="s">
        <v>14364</v>
      </c>
      <c r="BJ2541" t="s">
        <v>15615</v>
      </c>
      <c r="BM2541" t="s">
        <v>15651</v>
      </c>
    </row>
    <row r="2542" spans="1:65">
      <c r="A2542" s="1">
        <f>HYPERLINK("https://lsnyc.legalserver.org/matter/dynamic-profile/view/1873840","18-1873840")</f>
        <v>0</v>
      </c>
      <c r="B2542" t="s">
        <v>160</v>
      </c>
      <c r="C2542" t="s">
        <v>245</v>
      </c>
      <c r="D2542" t="s">
        <v>891</v>
      </c>
      <c r="E2542" t="s">
        <v>262</v>
      </c>
      <c r="F2542" t="s">
        <v>2161</v>
      </c>
      <c r="G2542" t="s">
        <v>2885</v>
      </c>
      <c r="H2542" t="s">
        <v>4766</v>
      </c>
      <c r="I2542" t="s">
        <v>6878</v>
      </c>
      <c r="J2542" t="s">
        <v>7169</v>
      </c>
      <c r="K2542">
        <v>10033</v>
      </c>
      <c r="L2542" t="s">
        <v>7221</v>
      </c>
      <c r="N2542" t="s">
        <v>7237</v>
      </c>
      <c r="O2542" t="s">
        <v>8881</v>
      </c>
      <c r="P2542">
        <v>2</v>
      </c>
      <c r="Q2542">
        <v>0</v>
      </c>
      <c r="R2542">
        <v>55.55</v>
      </c>
      <c r="U2542">
        <v>9144</v>
      </c>
      <c r="W2542">
        <v>1.2</v>
      </c>
      <c r="X2542" t="s">
        <v>293</v>
      </c>
      <c r="Y2542" t="s">
        <v>127</v>
      </c>
      <c r="AA2542" t="s">
        <v>10974</v>
      </c>
      <c r="AB2542" t="s">
        <v>891</v>
      </c>
      <c r="AD2542" t="s">
        <v>11101</v>
      </c>
      <c r="AF2542" t="s">
        <v>11118</v>
      </c>
      <c r="AH2542" t="s">
        <v>10974</v>
      </c>
      <c r="AJ2542" t="s">
        <v>11134</v>
      </c>
      <c r="AK2542" t="s">
        <v>7225</v>
      </c>
      <c r="AM2542">
        <v>1375.8</v>
      </c>
      <c r="AO2542">
        <v>232</v>
      </c>
      <c r="AQ2542" t="s">
        <v>11157</v>
      </c>
      <c r="AS2542" t="s">
        <v>11173</v>
      </c>
      <c r="AU2542">
        <v>10</v>
      </c>
      <c r="AW2542" t="s">
        <v>11189</v>
      </c>
      <c r="BA2542" t="s">
        <v>11222</v>
      </c>
      <c r="BE2542" t="s">
        <v>13127</v>
      </c>
      <c r="BF2542" t="s">
        <v>14364</v>
      </c>
      <c r="BJ2542" t="s">
        <v>15615</v>
      </c>
      <c r="BM2542" t="s">
        <v>15651</v>
      </c>
    </row>
    <row r="2543" spans="1:65">
      <c r="A2543" s="1">
        <f>HYPERLINK("https://lsnyc.legalserver.org/matter/dynamic-profile/view/1856852","18-1856852")</f>
        <v>0</v>
      </c>
      <c r="B2543" t="s">
        <v>160</v>
      </c>
      <c r="C2543" t="s">
        <v>245</v>
      </c>
      <c r="D2543" t="s">
        <v>383</v>
      </c>
      <c r="F2543" t="s">
        <v>2083</v>
      </c>
      <c r="G2543" t="s">
        <v>3970</v>
      </c>
      <c r="H2543" t="s">
        <v>4771</v>
      </c>
      <c r="I2543" t="s">
        <v>6405</v>
      </c>
      <c r="J2543" t="s">
        <v>7169</v>
      </c>
      <c r="K2543">
        <v>10040</v>
      </c>
      <c r="N2543" t="s">
        <v>7237</v>
      </c>
      <c r="O2543" t="s">
        <v>8882</v>
      </c>
      <c r="P2543">
        <v>1</v>
      </c>
      <c r="Q2543">
        <v>0</v>
      </c>
      <c r="R2543">
        <v>132.64</v>
      </c>
      <c r="S2543" t="s">
        <v>10267</v>
      </c>
      <c r="U2543">
        <v>15996</v>
      </c>
      <c r="W2543">
        <v>1.7</v>
      </c>
      <c r="X2543" t="s">
        <v>925</v>
      </c>
      <c r="Y2543" t="s">
        <v>127</v>
      </c>
      <c r="AA2543" t="s">
        <v>10974</v>
      </c>
      <c r="AB2543" t="s">
        <v>383</v>
      </c>
      <c r="AD2543" t="s">
        <v>11101</v>
      </c>
      <c r="AF2543" t="s">
        <v>11120</v>
      </c>
      <c r="AH2543" t="s">
        <v>10974</v>
      </c>
      <c r="AJ2543" t="s">
        <v>11129</v>
      </c>
      <c r="AK2543" t="s">
        <v>7225</v>
      </c>
      <c r="AM2543">
        <v>1165.99</v>
      </c>
      <c r="AO2543">
        <v>42</v>
      </c>
      <c r="AQ2543" t="s">
        <v>11157</v>
      </c>
      <c r="AS2543" t="s">
        <v>11173</v>
      </c>
      <c r="AU2543">
        <v>29</v>
      </c>
      <c r="AW2543" t="s">
        <v>11187</v>
      </c>
      <c r="AZ2543" t="s">
        <v>11221</v>
      </c>
      <c r="BE2543" t="s">
        <v>13128</v>
      </c>
      <c r="BF2543" t="s">
        <v>14364</v>
      </c>
      <c r="BM2543" t="s">
        <v>15650</v>
      </c>
    </row>
    <row r="2544" spans="1:65">
      <c r="A2544" s="1">
        <f>HYPERLINK("https://lsnyc.legalserver.org/matter/dynamic-profile/view/1902014","19-1902014")</f>
        <v>0</v>
      </c>
      <c r="B2544" t="s">
        <v>160</v>
      </c>
      <c r="C2544" t="s">
        <v>245</v>
      </c>
      <c r="D2544" t="s">
        <v>590</v>
      </c>
      <c r="F2544" t="s">
        <v>2162</v>
      </c>
      <c r="G2544" t="s">
        <v>2912</v>
      </c>
      <c r="H2544" t="s">
        <v>5633</v>
      </c>
      <c r="I2544" t="s">
        <v>6423</v>
      </c>
      <c r="J2544" t="s">
        <v>7169</v>
      </c>
      <c r="K2544">
        <v>10040</v>
      </c>
      <c r="N2544" t="s">
        <v>7237</v>
      </c>
      <c r="O2544" t="s">
        <v>8883</v>
      </c>
      <c r="P2544">
        <v>2</v>
      </c>
      <c r="Q2544">
        <v>1</v>
      </c>
      <c r="R2544">
        <v>185.28</v>
      </c>
      <c r="U2544">
        <v>39520</v>
      </c>
      <c r="W2544">
        <v>30.6</v>
      </c>
      <c r="X2544" t="s">
        <v>539</v>
      </c>
      <c r="Y2544" t="s">
        <v>127</v>
      </c>
      <c r="AA2544" t="s">
        <v>10974</v>
      </c>
      <c r="AB2544" t="s">
        <v>590</v>
      </c>
      <c r="AD2544" t="s">
        <v>11082</v>
      </c>
      <c r="AF2544" t="s">
        <v>10384</v>
      </c>
      <c r="AH2544" t="s">
        <v>10975</v>
      </c>
      <c r="AJ2544" t="s">
        <v>11130</v>
      </c>
      <c r="AK2544" t="s">
        <v>7225</v>
      </c>
      <c r="AM2544">
        <v>1164</v>
      </c>
      <c r="AO2544">
        <v>48</v>
      </c>
      <c r="AQ2544" t="s">
        <v>11157</v>
      </c>
      <c r="AS2544" t="s">
        <v>11180</v>
      </c>
      <c r="AU2544">
        <v>24</v>
      </c>
      <c r="AW2544" t="s">
        <v>11189</v>
      </c>
      <c r="BA2544" t="s">
        <v>11222</v>
      </c>
      <c r="BE2544" t="s">
        <v>13129</v>
      </c>
      <c r="BF2544" t="s">
        <v>14364</v>
      </c>
      <c r="BM2544" t="s">
        <v>15650</v>
      </c>
    </row>
    <row r="2545" spans="1:66">
      <c r="A2545" s="1">
        <f>HYPERLINK("https://lsnyc.legalserver.org/matter/dynamic-profile/view/1873795","18-1873795")</f>
        <v>0</v>
      </c>
      <c r="B2545" t="s">
        <v>160</v>
      </c>
      <c r="C2545" t="s">
        <v>245</v>
      </c>
      <c r="D2545" t="s">
        <v>891</v>
      </c>
      <c r="F2545" t="s">
        <v>2163</v>
      </c>
      <c r="G2545" t="s">
        <v>1762</v>
      </c>
      <c r="H2545" t="s">
        <v>4766</v>
      </c>
      <c r="I2545" t="s">
        <v>6879</v>
      </c>
      <c r="J2545" t="s">
        <v>7169</v>
      </c>
      <c r="K2545">
        <v>10033</v>
      </c>
      <c r="N2545" t="s">
        <v>7237</v>
      </c>
      <c r="O2545" t="s">
        <v>8884</v>
      </c>
      <c r="P2545">
        <v>3</v>
      </c>
      <c r="Q2545">
        <v>0</v>
      </c>
      <c r="R2545">
        <v>175.17</v>
      </c>
      <c r="U2545">
        <v>36400</v>
      </c>
      <c r="W2545">
        <v>1</v>
      </c>
      <c r="X2545" t="s">
        <v>659</v>
      </c>
      <c r="Y2545" t="s">
        <v>127</v>
      </c>
      <c r="AA2545" t="s">
        <v>10974</v>
      </c>
      <c r="AB2545" t="s">
        <v>891</v>
      </c>
      <c r="AD2545" t="s">
        <v>11101</v>
      </c>
      <c r="AF2545" t="s">
        <v>11120</v>
      </c>
      <c r="AH2545" t="s">
        <v>10974</v>
      </c>
      <c r="AJ2545" t="s">
        <v>11134</v>
      </c>
      <c r="AK2545" t="s">
        <v>7225</v>
      </c>
      <c r="AM2545">
        <v>1495</v>
      </c>
      <c r="AO2545">
        <v>232</v>
      </c>
      <c r="AQ2545" t="s">
        <v>11157</v>
      </c>
      <c r="AS2545" t="s">
        <v>11173</v>
      </c>
      <c r="AU2545">
        <v>15</v>
      </c>
      <c r="AW2545" t="s">
        <v>11189</v>
      </c>
      <c r="BA2545" t="s">
        <v>11222</v>
      </c>
      <c r="BE2545" t="s">
        <v>13130</v>
      </c>
      <c r="BF2545" t="s">
        <v>14364</v>
      </c>
      <c r="BM2545" t="s">
        <v>15650</v>
      </c>
    </row>
    <row r="2546" spans="1:66">
      <c r="A2546" s="1">
        <f>HYPERLINK("https://lsnyc.legalserver.org/matter/dynamic-profile/view/1844283","17-1844283")</f>
        <v>0</v>
      </c>
      <c r="B2546" t="s">
        <v>160</v>
      </c>
      <c r="C2546" t="s">
        <v>245</v>
      </c>
      <c r="D2546" t="s">
        <v>500</v>
      </c>
      <c r="F2546" t="s">
        <v>2047</v>
      </c>
      <c r="G2546" t="s">
        <v>3971</v>
      </c>
      <c r="H2546" t="s">
        <v>4771</v>
      </c>
      <c r="I2546" t="s">
        <v>6414</v>
      </c>
      <c r="J2546" t="s">
        <v>7169</v>
      </c>
      <c r="K2546">
        <v>10040</v>
      </c>
      <c r="N2546" t="s">
        <v>7237</v>
      </c>
      <c r="O2546" t="s">
        <v>8885</v>
      </c>
      <c r="P2546">
        <v>1</v>
      </c>
      <c r="Q2546">
        <v>0</v>
      </c>
      <c r="R2546">
        <v>81.79000000000001</v>
      </c>
      <c r="S2546" t="s">
        <v>10267</v>
      </c>
      <c r="U2546">
        <v>9864</v>
      </c>
      <c r="W2546">
        <v>13.9</v>
      </c>
      <c r="X2546" t="s">
        <v>943</v>
      </c>
      <c r="Y2546" t="s">
        <v>127</v>
      </c>
      <c r="AA2546" t="s">
        <v>10974</v>
      </c>
      <c r="AB2546" t="s">
        <v>500</v>
      </c>
      <c r="AD2546" t="s">
        <v>11101</v>
      </c>
      <c r="AF2546" t="s">
        <v>11120</v>
      </c>
      <c r="AH2546" t="s">
        <v>10974</v>
      </c>
      <c r="AJ2546" t="s">
        <v>11130</v>
      </c>
      <c r="AK2546" t="s">
        <v>7225</v>
      </c>
      <c r="AM2546">
        <v>715.12</v>
      </c>
      <c r="AO2546">
        <v>42</v>
      </c>
      <c r="AQ2546" t="s">
        <v>11157</v>
      </c>
      <c r="AS2546" t="s">
        <v>11174</v>
      </c>
      <c r="AU2546">
        <v>37</v>
      </c>
      <c r="AW2546" t="s">
        <v>11189</v>
      </c>
      <c r="AZ2546" t="s">
        <v>11221</v>
      </c>
      <c r="BE2546" t="s">
        <v>13131</v>
      </c>
      <c r="BF2546" t="s">
        <v>14364</v>
      </c>
      <c r="BM2546" t="s">
        <v>15650</v>
      </c>
    </row>
    <row r="2547" spans="1:66">
      <c r="A2547" s="1">
        <f>HYPERLINK("https://lsnyc.legalserver.org/matter/dynamic-profile/view/1839731","17-1839731")</f>
        <v>0</v>
      </c>
      <c r="B2547" t="s">
        <v>160</v>
      </c>
      <c r="C2547" t="s">
        <v>245</v>
      </c>
      <c r="D2547" t="s">
        <v>847</v>
      </c>
      <c r="F2547" t="s">
        <v>2047</v>
      </c>
      <c r="G2547" t="s">
        <v>3971</v>
      </c>
      <c r="H2547" t="s">
        <v>4771</v>
      </c>
      <c r="J2547" t="s">
        <v>7169</v>
      </c>
      <c r="K2547">
        <v>10040</v>
      </c>
      <c r="N2547" t="s">
        <v>7237</v>
      </c>
      <c r="O2547" t="s">
        <v>8885</v>
      </c>
      <c r="P2547">
        <v>1</v>
      </c>
      <c r="Q2547">
        <v>0</v>
      </c>
      <c r="R2547">
        <v>81.79000000000001</v>
      </c>
      <c r="U2547">
        <v>9864</v>
      </c>
      <c r="W2547">
        <v>5.45</v>
      </c>
      <c r="X2547" t="s">
        <v>287</v>
      </c>
      <c r="Y2547" t="s">
        <v>127</v>
      </c>
      <c r="AA2547" t="s">
        <v>10974</v>
      </c>
      <c r="AB2547" t="s">
        <v>10982</v>
      </c>
      <c r="AD2547" t="s">
        <v>11086</v>
      </c>
      <c r="AF2547" t="s">
        <v>11118</v>
      </c>
      <c r="AH2547" t="s">
        <v>10975</v>
      </c>
      <c r="AJ2547" t="s">
        <v>11139</v>
      </c>
      <c r="AK2547" t="s">
        <v>7225</v>
      </c>
      <c r="AM2547">
        <v>181</v>
      </c>
      <c r="AN2547" t="s">
        <v>11151</v>
      </c>
      <c r="AO2547" t="s">
        <v>11153</v>
      </c>
      <c r="AP2547" t="s">
        <v>11155</v>
      </c>
      <c r="AS2547" t="s">
        <v>11174</v>
      </c>
      <c r="AU2547">
        <v>37</v>
      </c>
      <c r="AW2547" t="s">
        <v>11189</v>
      </c>
      <c r="AZ2547" t="s">
        <v>11221</v>
      </c>
      <c r="BE2547" t="s">
        <v>13131</v>
      </c>
      <c r="BF2547" t="s">
        <v>14364</v>
      </c>
      <c r="BM2547" t="s">
        <v>15650</v>
      </c>
    </row>
    <row r="2548" spans="1:66">
      <c r="A2548" s="1">
        <f>HYPERLINK("https://lsnyc.legalserver.org/matter/dynamic-profile/view/1907582","19-1907582")</f>
        <v>0</v>
      </c>
      <c r="B2548" t="s">
        <v>160</v>
      </c>
      <c r="C2548" t="s">
        <v>245</v>
      </c>
      <c r="D2548" t="s">
        <v>377</v>
      </c>
      <c r="E2548" t="s">
        <v>638</v>
      </c>
      <c r="F2548" t="s">
        <v>1632</v>
      </c>
      <c r="G2548" t="s">
        <v>3972</v>
      </c>
      <c r="H2548" t="s">
        <v>4898</v>
      </c>
      <c r="I2548" t="s">
        <v>6573</v>
      </c>
      <c r="J2548" t="s">
        <v>7169</v>
      </c>
      <c r="K2548">
        <v>10034</v>
      </c>
      <c r="L2548" t="s">
        <v>7217</v>
      </c>
      <c r="N2548" t="s">
        <v>7237</v>
      </c>
      <c r="O2548" t="s">
        <v>8886</v>
      </c>
      <c r="P2548">
        <v>1</v>
      </c>
      <c r="Q2548">
        <v>0</v>
      </c>
      <c r="R2548">
        <v>98.95999999999999</v>
      </c>
      <c r="U2548">
        <v>12360</v>
      </c>
      <c r="W2548">
        <v>10.3</v>
      </c>
      <c r="X2548" t="s">
        <v>638</v>
      </c>
      <c r="Y2548" t="s">
        <v>127</v>
      </c>
      <c r="AA2548" t="s">
        <v>10974</v>
      </c>
      <c r="AB2548" t="s">
        <v>377</v>
      </c>
      <c r="AD2548" t="s">
        <v>11090</v>
      </c>
      <c r="AF2548" t="s">
        <v>11119</v>
      </c>
      <c r="AH2548" t="s">
        <v>10975</v>
      </c>
      <c r="AJ2548" t="s">
        <v>11139</v>
      </c>
      <c r="AK2548" t="s">
        <v>7225</v>
      </c>
      <c r="AM2548">
        <v>857.51</v>
      </c>
      <c r="AO2548">
        <v>22</v>
      </c>
      <c r="AQ2548" t="s">
        <v>11157</v>
      </c>
      <c r="AS2548" t="s">
        <v>11173</v>
      </c>
      <c r="AU2548">
        <v>41</v>
      </c>
      <c r="AW2548" t="s">
        <v>11189</v>
      </c>
      <c r="BA2548" t="s">
        <v>11222</v>
      </c>
      <c r="BE2548" t="s">
        <v>13132</v>
      </c>
      <c r="BF2548" t="s">
        <v>14364</v>
      </c>
      <c r="BM2548" t="s">
        <v>15651</v>
      </c>
    </row>
    <row r="2549" spans="1:66">
      <c r="A2549" s="1">
        <f>HYPERLINK("https://lsnyc.legalserver.org/matter/dynamic-profile/view/1908678","19-1908678")</f>
        <v>0</v>
      </c>
      <c r="B2549" t="s">
        <v>160</v>
      </c>
      <c r="C2549" t="s">
        <v>245</v>
      </c>
      <c r="D2549" t="s">
        <v>421</v>
      </c>
      <c r="E2549" t="s">
        <v>264</v>
      </c>
      <c r="F2549" t="s">
        <v>1880</v>
      </c>
      <c r="G2549" t="s">
        <v>3973</v>
      </c>
      <c r="H2549" t="s">
        <v>5634</v>
      </c>
      <c r="I2549" t="s">
        <v>6425</v>
      </c>
      <c r="J2549" t="s">
        <v>7169</v>
      </c>
      <c r="K2549">
        <v>10040</v>
      </c>
      <c r="L2549" t="s">
        <v>7218</v>
      </c>
      <c r="N2549" t="s">
        <v>7237</v>
      </c>
      <c r="O2549" t="s">
        <v>8887</v>
      </c>
      <c r="P2549">
        <v>1</v>
      </c>
      <c r="Q2549">
        <v>0</v>
      </c>
      <c r="R2549">
        <v>122.86</v>
      </c>
      <c r="U2549">
        <v>15345.6</v>
      </c>
      <c r="W2549">
        <v>13.3</v>
      </c>
      <c r="X2549" t="s">
        <v>305</v>
      </c>
      <c r="Y2549" t="s">
        <v>127</v>
      </c>
      <c r="AA2549" t="s">
        <v>10974</v>
      </c>
      <c r="AB2549" t="s">
        <v>421</v>
      </c>
      <c r="AD2549" t="s">
        <v>11083</v>
      </c>
      <c r="AF2549" t="s">
        <v>11118</v>
      </c>
      <c r="AH2549" t="s">
        <v>10975</v>
      </c>
      <c r="AJ2549" t="s">
        <v>11130</v>
      </c>
      <c r="AK2549" t="s">
        <v>7225</v>
      </c>
      <c r="AM2549">
        <v>294.4</v>
      </c>
      <c r="AO2549">
        <v>22</v>
      </c>
      <c r="AQ2549" t="s">
        <v>11157</v>
      </c>
      <c r="AS2549" t="s">
        <v>11104</v>
      </c>
      <c r="AU2549">
        <v>20</v>
      </c>
      <c r="AW2549" t="s">
        <v>11187</v>
      </c>
      <c r="BA2549" t="s">
        <v>11222</v>
      </c>
      <c r="BE2549" t="s">
        <v>13133</v>
      </c>
      <c r="BF2549" t="s">
        <v>14364</v>
      </c>
      <c r="BH2549" t="s">
        <v>15605</v>
      </c>
      <c r="BJ2549" t="s">
        <v>15615</v>
      </c>
      <c r="BL2549" t="s">
        <v>15648</v>
      </c>
      <c r="BM2549" t="s">
        <v>15651</v>
      </c>
    </row>
    <row r="2550" spans="1:66">
      <c r="A2550" s="1">
        <f>HYPERLINK("https://lsnyc.legalserver.org/matter/dynamic-profile/view/1915160","19-1915160")</f>
        <v>0</v>
      </c>
      <c r="B2550" t="s">
        <v>160</v>
      </c>
      <c r="C2550" t="s">
        <v>245</v>
      </c>
      <c r="D2550" t="s">
        <v>449</v>
      </c>
      <c r="F2550" t="s">
        <v>1090</v>
      </c>
      <c r="G2550" t="s">
        <v>3974</v>
      </c>
      <c r="H2550" t="s">
        <v>5635</v>
      </c>
      <c r="I2550" t="s">
        <v>6433</v>
      </c>
      <c r="J2550" t="s">
        <v>7169</v>
      </c>
      <c r="K2550">
        <v>10032</v>
      </c>
      <c r="N2550" t="s">
        <v>7237</v>
      </c>
      <c r="O2550" t="s">
        <v>8888</v>
      </c>
      <c r="P2550">
        <v>1</v>
      </c>
      <c r="Q2550">
        <v>0</v>
      </c>
      <c r="R2550">
        <v>88.06999999999999</v>
      </c>
      <c r="U2550">
        <v>11000</v>
      </c>
      <c r="W2550">
        <v>1.5</v>
      </c>
      <c r="X2550" t="s">
        <v>449</v>
      </c>
      <c r="Y2550" t="s">
        <v>127</v>
      </c>
      <c r="AA2550" t="s">
        <v>10974</v>
      </c>
      <c r="AB2550" t="s">
        <v>449</v>
      </c>
      <c r="AC2550" t="s">
        <v>11081</v>
      </c>
      <c r="AF2550" t="s">
        <v>11121</v>
      </c>
      <c r="AH2550" t="s">
        <v>10975</v>
      </c>
      <c r="AJ2550" t="s">
        <v>11130</v>
      </c>
      <c r="AK2550" t="s">
        <v>7225</v>
      </c>
      <c r="AM2550">
        <v>555</v>
      </c>
      <c r="AO2550">
        <v>22</v>
      </c>
      <c r="AQ2550" t="s">
        <v>11159</v>
      </c>
      <c r="AS2550" t="s">
        <v>11174</v>
      </c>
      <c r="AU2550">
        <v>33</v>
      </c>
      <c r="AW2550" t="s">
        <v>11189</v>
      </c>
      <c r="BA2550" t="s">
        <v>11222</v>
      </c>
      <c r="BD2550" t="s">
        <v>11667</v>
      </c>
      <c r="BF2550" t="s">
        <v>14364</v>
      </c>
      <c r="BM2550" t="s">
        <v>15650</v>
      </c>
    </row>
    <row r="2551" spans="1:66">
      <c r="A2551" s="1">
        <f>HYPERLINK("https://lsnyc.legalserver.org/matter/dynamic-profile/view/1881235","18-1881235")</f>
        <v>0</v>
      </c>
      <c r="B2551" t="s">
        <v>160</v>
      </c>
      <c r="C2551" t="s">
        <v>245</v>
      </c>
      <c r="D2551" t="s">
        <v>892</v>
      </c>
      <c r="F2551" t="s">
        <v>2164</v>
      </c>
      <c r="G2551" t="s">
        <v>3975</v>
      </c>
      <c r="H2551" t="s">
        <v>4771</v>
      </c>
      <c r="I2551" t="s">
        <v>6491</v>
      </c>
      <c r="J2551" t="s">
        <v>7169</v>
      </c>
      <c r="K2551">
        <v>10040</v>
      </c>
      <c r="N2551" t="s">
        <v>7237</v>
      </c>
      <c r="O2551" t="s">
        <v>8889</v>
      </c>
      <c r="P2551">
        <v>2</v>
      </c>
      <c r="Q2551">
        <v>0</v>
      </c>
      <c r="R2551">
        <v>166.46</v>
      </c>
      <c r="S2551" t="s">
        <v>10267</v>
      </c>
      <c r="T2551" t="s">
        <v>10278</v>
      </c>
      <c r="U2551">
        <v>27400</v>
      </c>
      <c r="W2551">
        <v>0.1</v>
      </c>
      <c r="X2551" t="s">
        <v>599</v>
      </c>
      <c r="Y2551" t="s">
        <v>127</v>
      </c>
      <c r="AA2551" t="s">
        <v>10974</v>
      </c>
      <c r="AB2551" t="s">
        <v>892</v>
      </c>
      <c r="AD2551" t="s">
        <v>11101</v>
      </c>
      <c r="AF2551" t="s">
        <v>11119</v>
      </c>
      <c r="AH2551" t="s">
        <v>10974</v>
      </c>
      <c r="AJ2551" t="s">
        <v>11130</v>
      </c>
      <c r="AK2551" t="s">
        <v>7225</v>
      </c>
      <c r="AM2551">
        <v>2000</v>
      </c>
      <c r="AO2551">
        <v>42</v>
      </c>
      <c r="AQ2551" t="s">
        <v>11157</v>
      </c>
      <c r="AS2551" t="s">
        <v>11173</v>
      </c>
      <c r="AU2551">
        <v>2</v>
      </c>
      <c r="AW2551" t="s">
        <v>11187</v>
      </c>
      <c r="AZ2551" t="s">
        <v>11221</v>
      </c>
      <c r="BE2551" t="s">
        <v>13134</v>
      </c>
      <c r="BF2551" t="s">
        <v>14364</v>
      </c>
      <c r="BM2551" t="s">
        <v>15650</v>
      </c>
    </row>
    <row r="2552" spans="1:66">
      <c r="A2552" s="1">
        <f>HYPERLINK("https://lsnyc.legalserver.org/matter/dynamic-profile/view/1873835","18-1873835")</f>
        <v>0</v>
      </c>
      <c r="B2552" t="s">
        <v>160</v>
      </c>
      <c r="C2552" t="s">
        <v>245</v>
      </c>
      <c r="D2552" t="s">
        <v>891</v>
      </c>
      <c r="E2552" t="s">
        <v>262</v>
      </c>
      <c r="F2552" t="s">
        <v>2165</v>
      </c>
      <c r="G2552" t="s">
        <v>2911</v>
      </c>
      <c r="H2552" t="s">
        <v>4766</v>
      </c>
      <c r="I2552" t="s">
        <v>6880</v>
      </c>
      <c r="J2552" t="s">
        <v>7169</v>
      </c>
      <c r="K2552">
        <v>10033</v>
      </c>
      <c r="L2552" t="s">
        <v>7221</v>
      </c>
      <c r="N2552" t="s">
        <v>7237</v>
      </c>
      <c r="O2552" t="s">
        <v>8890</v>
      </c>
      <c r="P2552">
        <v>1</v>
      </c>
      <c r="Q2552">
        <v>0</v>
      </c>
      <c r="R2552">
        <v>123.56</v>
      </c>
      <c r="U2552">
        <v>15000</v>
      </c>
      <c r="W2552">
        <v>0.4</v>
      </c>
      <c r="X2552" t="s">
        <v>293</v>
      </c>
      <c r="Y2552" t="s">
        <v>127</v>
      </c>
      <c r="AA2552" t="s">
        <v>10974</v>
      </c>
      <c r="AB2552" t="s">
        <v>891</v>
      </c>
      <c r="AD2552" t="s">
        <v>11101</v>
      </c>
      <c r="AF2552" t="s">
        <v>11118</v>
      </c>
      <c r="AH2552" t="s">
        <v>10974</v>
      </c>
      <c r="AJ2552" t="s">
        <v>11134</v>
      </c>
      <c r="AK2552" t="s">
        <v>7225</v>
      </c>
      <c r="AM2552">
        <v>1454.57</v>
      </c>
      <c r="AO2552">
        <v>232</v>
      </c>
      <c r="AQ2552" t="s">
        <v>11157</v>
      </c>
      <c r="AS2552" t="s">
        <v>11173</v>
      </c>
      <c r="AU2552">
        <v>10</v>
      </c>
      <c r="AW2552" t="s">
        <v>11189</v>
      </c>
      <c r="BA2552" t="s">
        <v>11222</v>
      </c>
      <c r="BE2552" t="s">
        <v>13135</v>
      </c>
      <c r="BF2552" t="s">
        <v>14364</v>
      </c>
      <c r="BJ2552" t="s">
        <v>15615</v>
      </c>
      <c r="BM2552" t="s">
        <v>15651</v>
      </c>
    </row>
    <row r="2553" spans="1:66">
      <c r="A2553" s="1">
        <f>HYPERLINK("https://lsnyc.legalserver.org/matter/dynamic-profile/view/1876735","18-1876735")</f>
        <v>0</v>
      </c>
      <c r="B2553" t="s">
        <v>160</v>
      </c>
      <c r="C2553" t="s">
        <v>245</v>
      </c>
      <c r="D2553" t="s">
        <v>656</v>
      </c>
      <c r="E2553" t="s">
        <v>262</v>
      </c>
      <c r="F2553" t="s">
        <v>1903</v>
      </c>
      <c r="G2553" t="s">
        <v>3042</v>
      </c>
      <c r="H2553" t="s">
        <v>4766</v>
      </c>
      <c r="I2553" t="s">
        <v>6703</v>
      </c>
      <c r="J2553" t="s">
        <v>7169</v>
      </c>
      <c r="K2553">
        <v>10033</v>
      </c>
      <c r="L2553" t="s">
        <v>7221</v>
      </c>
      <c r="N2553" t="s">
        <v>7237</v>
      </c>
      <c r="O2553" t="s">
        <v>8891</v>
      </c>
      <c r="P2553">
        <v>2</v>
      </c>
      <c r="Q2553">
        <v>3</v>
      </c>
      <c r="R2553">
        <v>0</v>
      </c>
      <c r="U2553">
        <v>0</v>
      </c>
      <c r="W2553">
        <v>0.9</v>
      </c>
      <c r="X2553" t="s">
        <v>293</v>
      </c>
      <c r="Y2553" t="s">
        <v>127</v>
      </c>
      <c r="AA2553" t="s">
        <v>10974</v>
      </c>
      <c r="AB2553" t="s">
        <v>656</v>
      </c>
      <c r="AD2553" t="s">
        <v>11101</v>
      </c>
      <c r="AF2553" t="s">
        <v>11118</v>
      </c>
      <c r="AH2553" t="s">
        <v>10974</v>
      </c>
      <c r="AJ2553" t="s">
        <v>11130</v>
      </c>
      <c r="AK2553" t="s">
        <v>7225</v>
      </c>
      <c r="AM2553">
        <v>1783.78</v>
      </c>
      <c r="AO2553">
        <v>232</v>
      </c>
      <c r="AQ2553" t="s">
        <v>11157</v>
      </c>
      <c r="AS2553" t="s">
        <v>11173</v>
      </c>
      <c r="AU2553">
        <v>6</v>
      </c>
      <c r="AW2553" t="s">
        <v>11189</v>
      </c>
      <c r="BA2553" t="s">
        <v>11222</v>
      </c>
      <c r="BE2553" t="s">
        <v>13136</v>
      </c>
      <c r="BF2553" t="s">
        <v>14364</v>
      </c>
      <c r="BJ2553" t="s">
        <v>15615</v>
      </c>
      <c r="BM2553" t="s">
        <v>15651</v>
      </c>
    </row>
    <row r="2554" spans="1:66">
      <c r="A2554" s="1">
        <f>HYPERLINK("https://lsnyc.legalserver.org/matter/dynamic-profile/view/1876936","18-1876936")</f>
        <v>0</v>
      </c>
      <c r="B2554" t="s">
        <v>160</v>
      </c>
      <c r="C2554" t="s">
        <v>245</v>
      </c>
      <c r="D2554" t="s">
        <v>658</v>
      </c>
      <c r="E2554" t="s">
        <v>262</v>
      </c>
      <c r="F2554" t="s">
        <v>2166</v>
      </c>
      <c r="G2554" t="s">
        <v>2911</v>
      </c>
      <c r="H2554" t="s">
        <v>5636</v>
      </c>
      <c r="I2554" t="s">
        <v>6881</v>
      </c>
      <c r="J2554" t="s">
        <v>7169</v>
      </c>
      <c r="K2554">
        <v>10033</v>
      </c>
      <c r="L2554" t="s">
        <v>7221</v>
      </c>
      <c r="N2554" t="s">
        <v>7237</v>
      </c>
      <c r="O2554" t="s">
        <v>8892</v>
      </c>
      <c r="P2554">
        <v>2</v>
      </c>
      <c r="Q2554">
        <v>0</v>
      </c>
      <c r="R2554">
        <v>90.40000000000001</v>
      </c>
      <c r="U2554">
        <v>14880</v>
      </c>
      <c r="W2554">
        <v>2.4</v>
      </c>
      <c r="X2554" t="s">
        <v>293</v>
      </c>
      <c r="Y2554" t="s">
        <v>127</v>
      </c>
      <c r="AA2554" t="s">
        <v>10974</v>
      </c>
      <c r="AB2554" t="s">
        <v>658</v>
      </c>
      <c r="AD2554" t="s">
        <v>11101</v>
      </c>
      <c r="AF2554" t="s">
        <v>11118</v>
      </c>
      <c r="AH2554" t="s">
        <v>10974</v>
      </c>
      <c r="AJ2554" t="s">
        <v>11134</v>
      </c>
      <c r="AK2554" t="s">
        <v>7225</v>
      </c>
      <c r="AM2554">
        <v>1026</v>
      </c>
      <c r="AO2554">
        <v>232</v>
      </c>
      <c r="AQ2554" t="s">
        <v>11157</v>
      </c>
      <c r="AS2554" t="s">
        <v>11175</v>
      </c>
      <c r="AU2554">
        <v>25</v>
      </c>
      <c r="AV2554" t="s">
        <v>11186</v>
      </c>
      <c r="BA2554" t="s">
        <v>11222</v>
      </c>
      <c r="BE2554" t="s">
        <v>13137</v>
      </c>
      <c r="BF2554" t="s">
        <v>14364</v>
      </c>
      <c r="BJ2554" t="s">
        <v>15615</v>
      </c>
      <c r="BM2554" t="s">
        <v>15651</v>
      </c>
    </row>
    <row r="2555" spans="1:66">
      <c r="A2555" s="1">
        <f>HYPERLINK("https://lsnyc.legalserver.org/matter/dynamic-profile/view/1876348","18-1876348")</f>
        <v>0</v>
      </c>
      <c r="B2555" t="s">
        <v>160</v>
      </c>
      <c r="C2555" t="s">
        <v>245</v>
      </c>
      <c r="D2555" t="s">
        <v>291</v>
      </c>
      <c r="E2555" t="s">
        <v>262</v>
      </c>
      <c r="F2555" t="s">
        <v>1370</v>
      </c>
      <c r="G2555" t="s">
        <v>2977</v>
      </c>
      <c r="H2555" t="s">
        <v>4766</v>
      </c>
      <c r="I2555" t="s">
        <v>6558</v>
      </c>
      <c r="J2555" t="s">
        <v>7169</v>
      </c>
      <c r="K2555">
        <v>10033</v>
      </c>
      <c r="L2555" t="s">
        <v>7221</v>
      </c>
      <c r="N2555" t="s">
        <v>7237</v>
      </c>
      <c r="O2555" t="s">
        <v>8893</v>
      </c>
      <c r="P2555">
        <v>2</v>
      </c>
      <c r="Q2555">
        <v>0</v>
      </c>
      <c r="R2555">
        <v>87.92</v>
      </c>
      <c r="U2555">
        <v>14472</v>
      </c>
      <c r="W2555">
        <v>1.6</v>
      </c>
      <c r="X2555" t="s">
        <v>293</v>
      </c>
      <c r="Y2555" t="s">
        <v>127</v>
      </c>
      <c r="AA2555" t="s">
        <v>10974</v>
      </c>
      <c r="AB2555" t="s">
        <v>291</v>
      </c>
      <c r="AD2555" t="s">
        <v>11101</v>
      </c>
      <c r="AF2555" t="s">
        <v>11118</v>
      </c>
      <c r="AH2555" t="s">
        <v>10974</v>
      </c>
      <c r="AJ2555" t="s">
        <v>11130</v>
      </c>
      <c r="AK2555" t="s">
        <v>7225</v>
      </c>
      <c r="AM2555">
        <v>1478.3</v>
      </c>
      <c r="AO2555">
        <v>232</v>
      </c>
      <c r="AQ2555" t="s">
        <v>11157</v>
      </c>
      <c r="AS2555" t="s">
        <v>11174</v>
      </c>
      <c r="AU2555">
        <v>19</v>
      </c>
      <c r="AW2555" t="s">
        <v>11187</v>
      </c>
      <c r="BA2555" t="s">
        <v>11222</v>
      </c>
      <c r="BE2555" t="s">
        <v>13138</v>
      </c>
      <c r="BF2555" t="s">
        <v>14364</v>
      </c>
      <c r="BJ2555" t="s">
        <v>15615</v>
      </c>
      <c r="BM2555" t="s">
        <v>15651</v>
      </c>
    </row>
    <row r="2556" spans="1:66">
      <c r="A2556" s="1">
        <f>HYPERLINK("https://lsnyc.legalserver.org/matter/dynamic-profile/view/1908673","19-1908673")</f>
        <v>0</v>
      </c>
      <c r="B2556" t="s">
        <v>160</v>
      </c>
      <c r="C2556" t="s">
        <v>245</v>
      </c>
      <c r="D2556" t="s">
        <v>421</v>
      </c>
      <c r="E2556" t="s">
        <v>264</v>
      </c>
      <c r="F2556" t="s">
        <v>2167</v>
      </c>
      <c r="G2556" t="s">
        <v>3091</v>
      </c>
      <c r="H2556" t="s">
        <v>5637</v>
      </c>
      <c r="I2556" t="s">
        <v>6732</v>
      </c>
      <c r="J2556" t="s">
        <v>7169</v>
      </c>
      <c r="K2556">
        <v>10040</v>
      </c>
      <c r="L2556" t="s">
        <v>7217</v>
      </c>
      <c r="N2556" t="s">
        <v>7237</v>
      </c>
      <c r="O2556" t="s">
        <v>8894</v>
      </c>
      <c r="P2556">
        <v>1</v>
      </c>
      <c r="Q2556">
        <v>0</v>
      </c>
      <c r="R2556">
        <v>70.62</v>
      </c>
      <c r="U2556">
        <v>8820</v>
      </c>
      <c r="W2556">
        <v>4.6</v>
      </c>
      <c r="X2556" t="s">
        <v>262</v>
      </c>
      <c r="Y2556" t="s">
        <v>127</v>
      </c>
      <c r="AA2556" t="s">
        <v>10974</v>
      </c>
      <c r="AB2556" t="s">
        <v>421</v>
      </c>
      <c r="AD2556" t="s">
        <v>11082</v>
      </c>
      <c r="AF2556" t="s">
        <v>10384</v>
      </c>
      <c r="AH2556" t="s">
        <v>10975</v>
      </c>
      <c r="AJ2556" t="s">
        <v>11130</v>
      </c>
      <c r="AK2556" t="s">
        <v>7225</v>
      </c>
      <c r="AM2556">
        <v>215</v>
      </c>
      <c r="AO2556">
        <v>37</v>
      </c>
      <c r="AQ2556" t="s">
        <v>11157</v>
      </c>
      <c r="AS2556" t="s">
        <v>11104</v>
      </c>
      <c r="AU2556">
        <v>5</v>
      </c>
      <c r="AW2556" t="s">
        <v>11189</v>
      </c>
      <c r="BA2556" t="s">
        <v>11222</v>
      </c>
      <c r="BE2556" t="s">
        <v>13139</v>
      </c>
      <c r="BF2556" t="s">
        <v>14364</v>
      </c>
      <c r="BM2556" t="s">
        <v>15651</v>
      </c>
      <c r="BN2556" t="s">
        <v>15652</v>
      </c>
    </row>
    <row r="2557" spans="1:66">
      <c r="A2557" s="1">
        <f>HYPERLINK("https://lsnyc.legalserver.org/matter/dynamic-profile/view/1864170","18-1864170")</f>
        <v>0</v>
      </c>
      <c r="B2557" t="s">
        <v>160</v>
      </c>
      <c r="C2557" t="s">
        <v>245</v>
      </c>
      <c r="D2557" t="s">
        <v>817</v>
      </c>
      <c r="E2557" t="s">
        <v>638</v>
      </c>
      <c r="F2557" t="s">
        <v>2026</v>
      </c>
      <c r="G2557" t="s">
        <v>3976</v>
      </c>
      <c r="H2557" t="s">
        <v>5600</v>
      </c>
      <c r="I2557" t="s">
        <v>6767</v>
      </c>
      <c r="J2557" t="s">
        <v>7169</v>
      </c>
      <c r="K2557">
        <v>10034</v>
      </c>
      <c r="L2557" t="s">
        <v>7217</v>
      </c>
      <c r="M2557" t="s">
        <v>7224</v>
      </c>
      <c r="N2557" t="s">
        <v>7237</v>
      </c>
      <c r="O2557" t="s">
        <v>8895</v>
      </c>
      <c r="P2557">
        <v>1</v>
      </c>
      <c r="Q2557">
        <v>0</v>
      </c>
      <c r="R2557">
        <v>288.3</v>
      </c>
      <c r="S2557" t="s">
        <v>10255</v>
      </c>
      <c r="U2557">
        <v>35000</v>
      </c>
      <c r="W2557">
        <v>12.95</v>
      </c>
      <c r="X2557" t="s">
        <v>638</v>
      </c>
      <c r="Y2557" t="s">
        <v>127</v>
      </c>
      <c r="AA2557" t="s">
        <v>10974</v>
      </c>
      <c r="AB2557" t="s">
        <v>817</v>
      </c>
      <c r="AD2557" t="s">
        <v>11101</v>
      </c>
      <c r="AF2557" t="s">
        <v>10384</v>
      </c>
      <c r="AH2557" t="s">
        <v>10975</v>
      </c>
      <c r="AJ2557" t="s">
        <v>11130</v>
      </c>
      <c r="AK2557" t="s">
        <v>7225</v>
      </c>
      <c r="AM2557">
        <v>960</v>
      </c>
      <c r="AO2557">
        <v>228</v>
      </c>
      <c r="AQ2557" t="s">
        <v>11157</v>
      </c>
      <c r="AS2557" t="s">
        <v>11173</v>
      </c>
      <c r="AU2557">
        <v>18</v>
      </c>
      <c r="AW2557" t="s">
        <v>11187</v>
      </c>
      <c r="BA2557" t="s">
        <v>11222</v>
      </c>
      <c r="BE2557" t="s">
        <v>13140</v>
      </c>
      <c r="BF2557" t="s">
        <v>14364</v>
      </c>
      <c r="BM2557" t="s">
        <v>15651</v>
      </c>
    </row>
    <row r="2558" spans="1:66">
      <c r="A2558" s="1">
        <f>HYPERLINK("https://lsnyc.legalserver.org/matter/dynamic-profile/view/1915158","19-1915158")</f>
        <v>0</v>
      </c>
      <c r="B2558" t="s">
        <v>160</v>
      </c>
      <c r="C2558" t="s">
        <v>245</v>
      </c>
      <c r="D2558" t="s">
        <v>449</v>
      </c>
      <c r="F2558" t="s">
        <v>2168</v>
      </c>
      <c r="G2558" t="s">
        <v>3521</v>
      </c>
      <c r="H2558" t="s">
        <v>5462</v>
      </c>
      <c r="I2558" t="s">
        <v>6417</v>
      </c>
      <c r="J2558" t="s">
        <v>7169</v>
      </c>
      <c r="K2558">
        <v>10034</v>
      </c>
      <c r="N2558" t="s">
        <v>7237</v>
      </c>
      <c r="O2558" t="s">
        <v>8896</v>
      </c>
      <c r="P2558">
        <v>1</v>
      </c>
      <c r="Q2558">
        <v>0</v>
      </c>
      <c r="R2558">
        <v>333.07</v>
      </c>
      <c r="U2558">
        <v>41600</v>
      </c>
      <c r="W2558">
        <v>2</v>
      </c>
      <c r="X2558" t="s">
        <v>548</v>
      </c>
      <c r="Y2558" t="s">
        <v>127</v>
      </c>
      <c r="AA2558" t="s">
        <v>10974</v>
      </c>
      <c r="AB2558" t="s">
        <v>449</v>
      </c>
      <c r="AD2558" t="s">
        <v>11090</v>
      </c>
      <c r="AF2558" t="s">
        <v>11121</v>
      </c>
      <c r="AH2558" t="s">
        <v>10975</v>
      </c>
      <c r="AJ2558" t="s">
        <v>11130</v>
      </c>
      <c r="AK2558" t="s">
        <v>7225</v>
      </c>
      <c r="AM2558">
        <v>1421</v>
      </c>
      <c r="AN2558" t="s">
        <v>11151</v>
      </c>
      <c r="AO2558" t="s">
        <v>11153</v>
      </c>
      <c r="AQ2558" t="s">
        <v>11157</v>
      </c>
      <c r="AS2558" t="s">
        <v>11173</v>
      </c>
      <c r="AU2558">
        <v>3</v>
      </c>
      <c r="AW2558" t="s">
        <v>11187</v>
      </c>
      <c r="BA2558" t="s">
        <v>11222</v>
      </c>
      <c r="BE2558" t="s">
        <v>13141</v>
      </c>
      <c r="BF2558" t="s">
        <v>14364</v>
      </c>
      <c r="BM2558" t="s">
        <v>15650</v>
      </c>
    </row>
    <row r="2559" spans="1:66">
      <c r="A2559" s="1">
        <f>HYPERLINK("https://lsnyc.legalserver.org/matter/dynamic-profile/view/1858227","18-1858227")</f>
        <v>0</v>
      </c>
      <c r="B2559" t="s">
        <v>160</v>
      </c>
      <c r="C2559" t="s">
        <v>245</v>
      </c>
      <c r="D2559" t="s">
        <v>723</v>
      </c>
      <c r="E2559" t="s">
        <v>264</v>
      </c>
      <c r="F2559" t="s">
        <v>1280</v>
      </c>
      <c r="G2559" t="s">
        <v>3139</v>
      </c>
      <c r="H2559" t="s">
        <v>5638</v>
      </c>
      <c r="J2559" t="s">
        <v>7169</v>
      </c>
      <c r="K2559">
        <v>10034</v>
      </c>
      <c r="L2559" t="s">
        <v>7217</v>
      </c>
      <c r="N2559" t="s">
        <v>7237</v>
      </c>
      <c r="O2559" t="s">
        <v>8897</v>
      </c>
      <c r="P2559">
        <v>1</v>
      </c>
      <c r="Q2559">
        <v>1</v>
      </c>
      <c r="R2559">
        <v>55.42</v>
      </c>
      <c r="U2559">
        <v>9000</v>
      </c>
      <c r="V2559" t="s">
        <v>10505</v>
      </c>
      <c r="W2559">
        <v>35.65</v>
      </c>
      <c r="X2559" t="s">
        <v>302</v>
      </c>
      <c r="Y2559" t="s">
        <v>127</v>
      </c>
      <c r="AA2559" t="s">
        <v>10974</v>
      </c>
      <c r="AB2559" t="s">
        <v>723</v>
      </c>
      <c r="AD2559" t="s">
        <v>11086</v>
      </c>
      <c r="AF2559" t="s">
        <v>11120</v>
      </c>
      <c r="AH2559" t="s">
        <v>10975</v>
      </c>
      <c r="AJ2559" t="s">
        <v>11130</v>
      </c>
      <c r="AK2559" t="s">
        <v>7225</v>
      </c>
      <c r="AM2559">
        <v>1589.22</v>
      </c>
      <c r="AO2559">
        <v>20</v>
      </c>
      <c r="AQ2559" t="s">
        <v>11157</v>
      </c>
      <c r="AS2559" t="s">
        <v>11174</v>
      </c>
      <c r="AU2559">
        <v>15</v>
      </c>
      <c r="AW2559" t="s">
        <v>11189</v>
      </c>
      <c r="AZ2559" t="s">
        <v>11221</v>
      </c>
      <c r="BD2559" t="s">
        <v>11667</v>
      </c>
      <c r="BF2559" t="s">
        <v>14364</v>
      </c>
      <c r="BM2559" t="s">
        <v>15651</v>
      </c>
    </row>
    <row r="2560" spans="1:66">
      <c r="A2560" s="1">
        <f>HYPERLINK("https://lsnyc.legalserver.org/matter/dynamic-profile/view/1867785","18-1867785")</f>
        <v>0</v>
      </c>
      <c r="B2560" t="s">
        <v>160</v>
      </c>
      <c r="C2560" t="s">
        <v>245</v>
      </c>
      <c r="D2560" t="s">
        <v>893</v>
      </c>
      <c r="F2560" t="s">
        <v>1251</v>
      </c>
      <c r="G2560" t="s">
        <v>3132</v>
      </c>
      <c r="H2560" t="s">
        <v>5639</v>
      </c>
      <c r="I2560" t="s">
        <v>6477</v>
      </c>
      <c r="J2560" t="s">
        <v>7169</v>
      </c>
      <c r="K2560">
        <v>10032</v>
      </c>
      <c r="N2560" t="s">
        <v>7237</v>
      </c>
      <c r="O2560" t="s">
        <v>8898</v>
      </c>
      <c r="P2560">
        <v>1</v>
      </c>
      <c r="Q2560">
        <v>0</v>
      </c>
      <c r="R2560">
        <v>593.08</v>
      </c>
      <c r="U2560">
        <v>72000</v>
      </c>
      <c r="W2560">
        <v>118.9</v>
      </c>
      <c r="X2560" t="s">
        <v>302</v>
      </c>
      <c r="Y2560" t="s">
        <v>127</v>
      </c>
      <c r="AA2560" t="s">
        <v>10974</v>
      </c>
      <c r="AB2560" t="s">
        <v>893</v>
      </c>
      <c r="AC2560" t="s">
        <v>11081</v>
      </c>
      <c r="AF2560" t="s">
        <v>11118</v>
      </c>
      <c r="AH2560" t="s">
        <v>10975</v>
      </c>
      <c r="AJ2560" t="s">
        <v>11130</v>
      </c>
      <c r="AK2560" t="s">
        <v>7225</v>
      </c>
      <c r="AM2560">
        <v>1465.22</v>
      </c>
      <c r="AN2560" t="s">
        <v>11151</v>
      </c>
      <c r="AO2560" t="s">
        <v>11153</v>
      </c>
      <c r="AQ2560" t="s">
        <v>11157</v>
      </c>
      <c r="AS2560" t="s">
        <v>11173</v>
      </c>
      <c r="AU2560">
        <v>24</v>
      </c>
      <c r="AW2560" t="s">
        <v>11189</v>
      </c>
      <c r="AZ2560" t="s">
        <v>11221</v>
      </c>
      <c r="BE2560" t="s">
        <v>13142</v>
      </c>
      <c r="BF2560" t="s">
        <v>14364</v>
      </c>
      <c r="BM2560" t="s">
        <v>15650</v>
      </c>
    </row>
    <row r="2561" spans="1:67">
      <c r="A2561" s="1">
        <f>HYPERLINK("https://lsnyc.legalserver.org/matter/dynamic-profile/view/1860590","18-1860590")</f>
        <v>0</v>
      </c>
      <c r="B2561" t="s">
        <v>160</v>
      </c>
      <c r="C2561" t="s">
        <v>245</v>
      </c>
      <c r="D2561" t="s">
        <v>717</v>
      </c>
      <c r="F2561" t="s">
        <v>1090</v>
      </c>
      <c r="G2561" t="s">
        <v>3977</v>
      </c>
      <c r="H2561" t="s">
        <v>4771</v>
      </c>
      <c r="I2561" t="s">
        <v>6437</v>
      </c>
      <c r="J2561" t="s">
        <v>7169</v>
      </c>
      <c r="K2561">
        <v>10040</v>
      </c>
      <c r="N2561" t="s">
        <v>7237</v>
      </c>
      <c r="O2561" t="s">
        <v>8899</v>
      </c>
      <c r="P2561">
        <v>2</v>
      </c>
      <c r="Q2561">
        <v>0</v>
      </c>
      <c r="R2561">
        <v>114.68</v>
      </c>
      <c r="U2561">
        <v>18876</v>
      </c>
      <c r="W2561">
        <v>9.9</v>
      </c>
      <c r="X2561" t="s">
        <v>305</v>
      </c>
      <c r="Y2561" t="s">
        <v>10863</v>
      </c>
      <c r="AA2561" t="s">
        <v>10974</v>
      </c>
      <c r="AB2561" t="s">
        <v>10984</v>
      </c>
      <c r="AD2561" t="s">
        <v>11086</v>
      </c>
      <c r="AF2561" t="s">
        <v>11119</v>
      </c>
      <c r="AH2561" t="s">
        <v>10975</v>
      </c>
      <c r="AJ2561" t="s">
        <v>11130</v>
      </c>
      <c r="AK2561" t="s">
        <v>7225</v>
      </c>
      <c r="AM2561">
        <v>862</v>
      </c>
      <c r="AO2561">
        <v>60</v>
      </c>
      <c r="AQ2561" t="s">
        <v>11157</v>
      </c>
      <c r="AS2561" t="s">
        <v>11174</v>
      </c>
      <c r="AU2561">
        <v>40</v>
      </c>
      <c r="AW2561" t="s">
        <v>11189</v>
      </c>
      <c r="BA2561" t="s">
        <v>11222</v>
      </c>
      <c r="BE2561" t="s">
        <v>13143</v>
      </c>
      <c r="BF2561" t="s">
        <v>14364</v>
      </c>
      <c r="BM2561" t="s">
        <v>15650</v>
      </c>
    </row>
    <row r="2562" spans="1:67">
      <c r="A2562" s="1">
        <f>HYPERLINK("https://lsnyc.legalserver.org/matter/dynamic-profile/view/1911355","19-1911355")</f>
        <v>0</v>
      </c>
      <c r="B2562" t="s">
        <v>160</v>
      </c>
      <c r="C2562" t="s">
        <v>245</v>
      </c>
      <c r="D2562" t="s">
        <v>601</v>
      </c>
      <c r="E2562" t="s">
        <v>638</v>
      </c>
      <c r="F2562" t="s">
        <v>1235</v>
      </c>
      <c r="G2562" t="s">
        <v>3024</v>
      </c>
      <c r="H2562" t="s">
        <v>4898</v>
      </c>
      <c r="I2562" t="s">
        <v>6468</v>
      </c>
      <c r="J2562" t="s">
        <v>7169</v>
      </c>
      <c r="K2562">
        <v>10034</v>
      </c>
      <c r="L2562" t="s">
        <v>7216</v>
      </c>
      <c r="N2562" t="s">
        <v>7237</v>
      </c>
      <c r="O2562" t="s">
        <v>7423</v>
      </c>
      <c r="P2562">
        <v>1</v>
      </c>
      <c r="Q2562">
        <v>0</v>
      </c>
      <c r="R2562">
        <v>119.23</v>
      </c>
      <c r="U2562">
        <v>14892</v>
      </c>
      <c r="W2562">
        <v>2.5</v>
      </c>
      <c r="X2562" t="s">
        <v>528</v>
      </c>
      <c r="Y2562" t="s">
        <v>127</v>
      </c>
      <c r="AA2562" t="s">
        <v>10974</v>
      </c>
      <c r="AB2562" t="s">
        <v>601</v>
      </c>
      <c r="AD2562" t="s">
        <v>11086</v>
      </c>
      <c r="AF2562" t="s">
        <v>11119</v>
      </c>
      <c r="AH2562" t="s">
        <v>10975</v>
      </c>
      <c r="AJ2562" t="s">
        <v>11130</v>
      </c>
      <c r="AK2562" t="s">
        <v>7225</v>
      </c>
      <c r="AL2562" t="s">
        <v>11150</v>
      </c>
      <c r="AM2562">
        <v>0</v>
      </c>
      <c r="AO2562">
        <v>22</v>
      </c>
      <c r="AQ2562" t="s">
        <v>11157</v>
      </c>
      <c r="AS2562" t="s">
        <v>11174</v>
      </c>
      <c r="AT2562" t="s">
        <v>11184</v>
      </c>
      <c r="AU2562">
        <v>0</v>
      </c>
      <c r="AW2562" t="s">
        <v>11189</v>
      </c>
      <c r="BA2562" t="s">
        <v>11222</v>
      </c>
      <c r="BE2562" t="s">
        <v>11817</v>
      </c>
      <c r="BF2562" t="s">
        <v>14364</v>
      </c>
      <c r="BM2562" t="s">
        <v>15651</v>
      </c>
    </row>
    <row r="2563" spans="1:67">
      <c r="A2563" s="1">
        <f>HYPERLINK("https://lsnyc.legalserver.org/matter/dynamic-profile/view/1881226","18-1881226")</f>
        <v>0</v>
      </c>
      <c r="B2563" t="s">
        <v>160</v>
      </c>
      <c r="C2563" t="s">
        <v>245</v>
      </c>
      <c r="D2563" t="s">
        <v>892</v>
      </c>
      <c r="F2563" t="s">
        <v>2169</v>
      </c>
      <c r="G2563" t="s">
        <v>2984</v>
      </c>
      <c r="H2563" t="s">
        <v>4771</v>
      </c>
      <c r="I2563" t="s">
        <v>6628</v>
      </c>
      <c r="J2563" t="s">
        <v>7169</v>
      </c>
      <c r="K2563">
        <v>10040</v>
      </c>
      <c r="N2563" t="s">
        <v>7237</v>
      </c>
      <c r="O2563" t="s">
        <v>8900</v>
      </c>
      <c r="P2563">
        <v>2</v>
      </c>
      <c r="Q2563">
        <v>0</v>
      </c>
      <c r="R2563">
        <v>164.03</v>
      </c>
      <c r="S2563" t="s">
        <v>10267</v>
      </c>
      <c r="T2563" t="s">
        <v>10278</v>
      </c>
      <c r="U2563">
        <v>27000</v>
      </c>
      <c r="W2563">
        <v>0.1</v>
      </c>
      <c r="X2563" t="s">
        <v>264</v>
      </c>
      <c r="Y2563" t="s">
        <v>127</v>
      </c>
      <c r="AA2563" t="s">
        <v>10974</v>
      </c>
      <c r="AB2563" t="s">
        <v>892</v>
      </c>
      <c r="AD2563" t="s">
        <v>11101</v>
      </c>
      <c r="AF2563" t="s">
        <v>11118</v>
      </c>
      <c r="AH2563" t="s">
        <v>10974</v>
      </c>
      <c r="AJ2563" t="s">
        <v>11130</v>
      </c>
      <c r="AK2563" t="s">
        <v>7225</v>
      </c>
      <c r="AM2563">
        <v>1000</v>
      </c>
      <c r="AO2563">
        <v>42</v>
      </c>
      <c r="AQ2563" t="s">
        <v>11157</v>
      </c>
      <c r="AS2563" t="s">
        <v>11173</v>
      </c>
      <c r="AU2563">
        <v>1</v>
      </c>
      <c r="AW2563" t="s">
        <v>11187</v>
      </c>
      <c r="BA2563" t="s">
        <v>11222</v>
      </c>
      <c r="BD2563" t="s">
        <v>11667</v>
      </c>
      <c r="BF2563" t="s">
        <v>14364</v>
      </c>
      <c r="BM2563" t="s">
        <v>15650</v>
      </c>
    </row>
    <row r="2564" spans="1:67">
      <c r="A2564" s="1">
        <f>HYPERLINK("https://lsnyc.legalserver.org/matter/dynamic-profile/view/1909410","19-1909410")</f>
        <v>0</v>
      </c>
      <c r="B2564" t="s">
        <v>160</v>
      </c>
      <c r="C2564" t="s">
        <v>245</v>
      </c>
      <c r="D2564" t="s">
        <v>270</v>
      </c>
      <c r="F2564" t="s">
        <v>2170</v>
      </c>
      <c r="G2564" t="s">
        <v>2902</v>
      </c>
      <c r="H2564" t="s">
        <v>5632</v>
      </c>
      <c r="I2564" t="s">
        <v>6507</v>
      </c>
      <c r="J2564" t="s">
        <v>7169</v>
      </c>
      <c r="K2564">
        <v>10040</v>
      </c>
      <c r="N2564" t="s">
        <v>7237</v>
      </c>
      <c r="O2564" t="s">
        <v>8901</v>
      </c>
      <c r="P2564">
        <v>2</v>
      </c>
      <c r="Q2564">
        <v>2</v>
      </c>
      <c r="R2564">
        <v>69.90000000000001</v>
      </c>
      <c r="U2564">
        <v>18000</v>
      </c>
      <c r="W2564">
        <v>0.1</v>
      </c>
      <c r="X2564" t="s">
        <v>434</v>
      </c>
      <c r="Y2564" t="s">
        <v>127</v>
      </c>
      <c r="AA2564" t="s">
        <v>10974</v>
      </c>
      <c r="AB2564" t="s">
        <v>270</v>
      </c>
      <c r="AD2564" t="s">
        <v>11101</v>
      </c>
      <c r="AF2564" t="s">
        <v>11118</v>
      </c>
      <c r="AH2564" t="s">
        <v>10974</v>
      </c>
      <c r="AJ2564" t="s">
        <v>11130</v>
      </c>
      <c r="AK2564" t="s">
        <v>7225</v>
      </c>
      <c r="AM2564">
        <v>1860.63</v>
      </c>
      <c r="AO2564">
        <v>77</v>
      </c>
      <c r="AQ2564" t="s">
        <v>11157</v>
      </c>
      <c r="AS2564" t="s">
        <v>11173</v>
      </c>
      <c r="AU2564">
        <v>4</v>
      </c>
      <c r="AW2564" t="s">
        <v>11189</v>
      </c>
      <c r="BA2564" t="s">
        <v>11222</v>
      </c>
      <c r="BE2564" t="s">
        <v>13144</v>
      </c>
      <c r="BF2564" t="s">
        <v>14364</v>
      </c>
      <c r="BM2564" t="s">
        <v>15650</v>
      </c>
    </row>
    <row r="2565" spans="1:67">
      <c r="A2565" s="1">
        <f>HYPERLINK("https://lsnyc.legalserver.org/matter/dynamic-profile/view/1876234","18-1876234")</f>
        <v>0</v>
      </c>
      <c r="B2565" t="s">
        <v>160</v>
      </c>
      <c r="C2565" t="s">
        <v>245</v>
      </c>
      <c r="D2565" t="s">
        <v>845</v>
      </c>
      <c r="E2565" t="s">
        <v>262</v>
      </c>
      <c r="F2565" t="s">
        <v>2171</v>
      </c>
      <c r="G2565" t="s">
        <v>3047</v>
      </c>
      <c r="H2565" t="s">
        <v>4766</v>
      </c>
      <c r="I2565" t="s">
        <v>6448</v>
      </c>
      <c r="J2565" t="s">
        <v>7169</v>
      </c>
      <c r="K2565">
        <v>10033</v>
      </c>
      <c r="L2565" t="s">
        <v>7221</v>
      </c>
      <c r="N2565" t="s">
        <v>7237</v>
      </c>
      <c r="O2565" t="s">
        <v>8902</v>
      </c>
      <c r="P2565">
        <v>1</v>
      </c>
      <c r="Q2565">
        <v>0</v>
      </c>
      <c r="R2565">
        <v>146.59</v>
      </c>
      <c r="U2565">
        <v>17796</v>
      </c>
      <c r="W2565">
        <v>1.9</v>
      </c>
      <c r="X2565" t="s">
        <v>293</v>
      </c>
      <c r="Y2565" t="s">
        <v>127</v>
      </c>
      <c r="AA2565" t="s">
        <v>10974</v>
      </c>
      <c r="AB2565" t="s">
        <v>845</v>
      </c>
      <c r="AD2565" t="s">
        <v>11101</v>
      </c>
      <c r="AF2565" t="s">
        <v>11118</v>
      </c>
      <c r="AH2565" t="s">
        <v>10974</v>
      </c>
      <c r="AJ2565" t="s">
        <v>11130</v>
      </c>
      <c r="AK2565" t="s">
        <v>7225</v>
      </c>
      <c r="AM2565">
        <v>1295.41</v>
      </c>
      <c r="AO2565">
        <v>232</v>
      </c>
      <c r="AQ2565" t="s">
        <v>11157</v>
      </c>
      <c r="AS2565" t="s">
        <v>11175</v>
      </c>
      <c r="AU2565">
        <v>50</v>
      </c>
      <c r="AW2565" t="s">
        <v>11187</v>
      </c>
      <c r="BA2565" t="s">
        <v>11222</v>
      </c>
      <c r="BE2565" t="s">
        <v>13145</v>
      </c>
      <c r="BF2565" t="s">
        <v>14364</v>
      </c>
      <c r="BJ2565" t="s">
        <v>15615</v>
      </c>
      <c r="BM2565" t="s">
        <v>15651</v>
      </c>
    </row>
    <row r="2566" spans="1:67">
      <c r="A2566" s="1">
        <f>HYPERLINK("https://lsnyc.legalserver.org/matter/dynamic-profile/view/1876334","18-1876334")</f>
        <v>0</v>
      </c>
      <c r="B2566" t="s">
        <v>160</v>
      </c>
      <c r="C2566" t="s">
        <v>245</v>
      </c>
      <c r="D2566" t="s">
        <v>291</v>
      </c>
      <c r="E2566" t="s">
        <v>262</v>
      </c>
      <c r="F2566" t="s">
        <v>2073</v>
      </c>
      <c r="G2566" t="s">
        <v>3366</v>
      </c>
      <c r="H2566" t="s">
        <v>4766</v>
      </c>
      <c r="I2566" t="s">
        <v>6720</v>
      </c>
      <c r="J2566" t="s">
        <v>7169</v>
      </c>
      <c r="K2566">
        <v>10033</v>
      </c>
      <c r="L2566" t="s">
        <v>7221</v>
      </c>
      <c r="N2566" t="s">
        <v>7237</v>
      </c>
      <c r="O2566" t="s">
        <v>8903</v>
      </c>
      <c r="P2566">
        <v>1</v>
      </c>
      <c r="Q2566">
        <v>0</v>
      </c>
      <c r="R2566">
        <v>107.25</v>
      </c>
      <c r="U2566">
        <v>13020</v>
      </c>
      <c r="W2566">
        <v>1.4</v>
      </c>
      <c r="X2566" t="s">
        <v>293</v>
      </c>
      <c r="Y2566" t="s">
        <v>127</v>
      </c>
      <c r="AA2566" t="s">
        <v>10974</v>
      </c>
      <c r="AB2566" t="s">
        <v>291</v>
      </c>
      <c r="AD2566" t="s">
        <v>11101</v>
      </c>
      <c r="AF2566" t="s">
        <v>11118</v>
      </c>
      <c r="AH2566" t="s">
        <v>10974</v>
      </c>
      <c r="AJ2566" t="s">
        <v>11130</v>
      </c>
      <c r="AK2566" t="s">
        <v>7225</v>
      </c>
      <c r="AM2566">
        <v>1145.5</v>
      </c>
      <c r="AO2566">
        <v>232</v>
      </c>
      <c r="AQ2566" t="s">
        <v>11157</v>
      </c>
      <c r="AS2566" t="s">
        <v>11104</v>
      </c>
      <c r="AU2566">
        <v>50</v>
      </c>
      <c r="AW2566" t="s">
        <v>11187</v>
      </c>
      <c r="BA2566" t="s">
        <v>11222</v>
      </c>
      <c r="BE2566" t="s">
        <v>13146</v>
      </c>
      <c r="BF2566" t="s">
        <v>14364</v>
      </c>
      <c r="BJ2566" t="s">
        <v>15615</v>
      </c>
      <c r="BM2566" t="s">
        <v>15651</v>
      </c>
    </row>
    <row r="2567" spans="1:67">
      <c r="A2567" s="1">
        <f>HYPERLINK("https://lsnyc.legalserver.org/matter/dynamic-profile/view/1911358","19-1911358")</f>
        <v>0</v>
      </c>
      <c r="B2567" t="s">
        <v>160</v>
      </c>
      <c r="C2567" t="s">
        <v>245</v>
      </c>
      <c r="D2567" t="s">
        <v>601</v>
      </c>
      <c r="E2567" t="s">
        <v>436</v>
      </c>
      <c r="F2567" t="s">
        <v>2172</v>
      </c>
      <c r="G2567" t="s">
        <v>3978</v>
      </c>
      <c r="H2567" t="s">
        <v>5640</v>
      </c>
      <c r="I2567" t="s">
        <v>6628</v>
      </c>
      <c r="J2567" t="s">
        <v>7169</v>
      </c>
      <c r="K2567">
        <v>10040</v>
      </c>
      <c r="L2567" t="s">
        <v>7216</v>
      </c>
      <c r="N2567" t="s">
        <v>7237</v>
      </c>
      <c r="O2567" t="s">
        <v>8904</v>
      </c>
      <c r="P2567">
        <v>1</v>
      </c>
      <c r="Q2567">
        <v>0</v>
      </c>
      <c r="R2567">
        <v>74.08</v>
      </c>
      <c r="U2567">
        <v>9252</v>
      </c>
      <c r="W2567">
        <v>2.8</v>
      </c>
      <c r="X2567" t="s">
        <v>436</v>
      </c>
      <c r="Y2567" t="s">
        <v>127</v>
      </c>
      <c r="AA2567" t="s">
        <v>10974</v>
      </c>
      <c r="AB2567" t="s">
        <v>601</v>
      </c>
      <c r="AD2567" t="s">
        <v>11086</v>
      </c>
      <c r="AF2567" t="s">
        <v>11119</v>
      </c>
      <c r="AH2567" t="s">
        <v>10975</v>
      </c>
      <c r="AJ2567" t="s">
        <v>11130</v>
      </c>
      <c r="AK2567" t="s">
        <v>7225</v>
      </c>
      <c r="AM2567">
        <v>703</v>
      </c>
      <c r="AO2567">
        <v>49</v>
      </c>
      <c r="AQ2567" t="s">
        <v>11157</v>
      </c>
      <c r="AS2567" t="s">
        <v>11175</v>
      </c>
      <c r="AU2567">
        <v>22</v>
      </c>
      <c r="AW2567" t="s">
        <v>11189</v>
      </c>
      <c r="BA2567" t="s">
        <v>11222</v>
      </c>
      <c r="BE2567" t="s">
        <v>13147</v>
      </c>
      <c r="BF2567" t="s">
        <v>14364</v>
      </c>
      <c r="BM2567" t="s">
        <v>15651</v>
      </c>
      <c r="BN2567" t="s">
        <v>15652</v>
      </c>
      <c r="BO2567" t="s">
        <v>15685</v>
      </c>
    </row>
    <row r="2568" spans="1:67">
      <c r="A2568" s="1">
        <f>HYPERLINK("https://lsnyc.legalserver.org/matter/dynamic-profile/view/1873845","18-1873845")</f>
        <v>0</v>
      </c>
      <c r="B2568" t="s">
        <v>160</v>
      </c>
      <c r="C2568" t="s">
        <v>245</v>
      </c>
      <c r="D2568" t="s">
        <v>891</v>
      </c>
      <c r="E2568" t="s">
        <v>262</v>
      </c>
      <c r="F2568" t="s">
        <v>1414</v>
      </c>
      <c r="G2568" t="s">
        <v>2962</v>
      </c>
      <c r="H2568" t="s">
        <v>4766</v>
      </c>
      <c r="I2568" t="s">
        <v>6497</v>
      </c>
      <c r="J2568" t="s">
        <v>7169</v>
      </c>
      <c r="K2568">
        <v>10033</v>
      </c>
      <c r="L2568" t="s">
        <v>7221</v>
      </c>
      <c r="N2568" t="s">
        <v>7237</v>
      </c>
      <c r="O2568" t="s">
        <v>8905</v>
      </c>
      <c r="P2568">
        <v>2</v>
      </c>
      <c r="Q2568">
        <v>0</v>
      </c>
      <c r="R2568">
        <v>112.73</v>
      </c>
      <c r="U2568">
        <v>18556</v>
      </c>
      <c r="W2568">
        <v>1.5</v>
      </c>
      <c r="X2568" t="s">
        <v>293</v>
      </c>
      <c r="Y2568" t="s">
        <v>127</v>
      </c>
      <c r="AA2568" t="s">
        <v>10974</v>
      </c>
      <c r="AB2568" t="s">
        <v>891</v>
      </c>
      <c r="AD2568" t="s">
        <v>11101</v>
      </c>
      <c r="AF2568" t="s">
        <v>11118</v>
      </c>
      <c r="AH2568" t="s">
        <v>10974</v>
      </c>
      <c r="AJ2568" t="s">
        <v>11134</v>
      </c>
      <c r="AK2568" t="s">
        <v>7225</v>
      </c>
      <c r="AM2568">
        <v>1096.72</v>
      </c>
      <c r="AO2568">
        <v>232</v>
      </c>
      <c r="AQ2568" t="s">
        <v>11157</v>
      </c>
      <c r="AS2568" t="s">
        <v>11173</v>
      </c>
      <c r="AU2568">
        <v>27</v>
      </c>
      <c r="AW2568" t="s">
        <v>11189</v>
      </c>
      <c r="BA2568" t="s">
        <v>11222</v>
      </c>
      <c r="BE2568" t="s">
        <v>13148</v>
      </c>
      <c r="BF2568" t="s">
        <v>14364</v>
      </c>
      <c r="BJ2568" t="s">
        <v>15615</v>
      </c>
      <c r="BM2568" t="s">
        <v>15651</v>
      </c>
    </row>
    <row r="2569" spans="1:67">
      <c r="A2569" s="1">
        <f>HYPERLINK("https://lsnyc.legalserver.org/matter/dynamic-profile/view/1865480","18-1865480")</f>
        <v>0</v>
      </c>
      <c r="B2569" t="s">
        <v>160</v>
      </c>
      <c r="C2569" t="s">
        <v>245</v>
      </c>
      <c r="D2569" t="s">
        <v>679</v>
      </c>
      <c r="E2569" t="s">
        <v>528</v>
      </c>
      <c r="F2569" t="s">
        <v>1526</v>
      </c>
      <c r="G2569" t="s">
        <v>3047</v>
      </c>
      <c r="H2569" t="s">
        <v>5506</v>
      </c>
      <c r="I2569">
        <v>15</v>
      </c>
      <c r="J2569" t="s">
        <v>7169</v>
      </c>
      <c r="K2569">
        <v>10034</v>
      </c>
      <c r="L2569" t="s">
        <v>7219</v>
      </c>
      <c r="N2569" t="s">
        <v>7237</v>
      </c>
      <c r="O2569" t="s">
        <v>8906</v>
      </c>
      <c r="P2569">
        <v>2</v>
      </c>
      <c r="Q2569">
        <v>2</v>
      </c>
      <c r="R2569">
        <v>248.61</v>
      </c>
      <c r="S2569" t="s">
        <v>10255</v>
      </c>
      <c r="U2569">
        <v>62400</v>
      </c>
      <c r="W2569">
        <v>262.15</v>
      </c>
      <c r="X2569" t="s">
        <v>528</v>
      </c>
      <c r="Y2569" t="s">
        <v>127</v>
      </c>
      <c r="AA2569" t="s">
        <v>10974</v>
      </c>
      <c r="AB2569" t="s">
        <v>679</v>
      </c>
      <c r="AD2569" t="s">
        <v>11082</v>
      </c>
      <c r="AF2569" t="s">
        <v>11118</v>
      </c>
      <c r="AH2569" t="s">
        <v>10975</v>
      </c>
      <c r="AJ2569" t="s">
        <v>11130</v>
      </c>
      <c r="AK2569" t="s">
        <v>7225</v>
      </c>
      <c r="AM2569">
        <v>1570</v>
      </c>
      <c r="AO2569">
        <v>22</v>
      </c>
      <c r="AQ2569" t="s">
        <v>11157</v>
      </c>
      <c r="AS2569" t="s">
        <v>11173</v>
      </c>
      <c r="AU2569">
        <v>3</v>
      </c>
      <c r="AW2569" t="s">
        <v>11187</v>
      </c>
      <c r="BA2569" t="s">
        <v>11222</v>
      </c>
      <c r="BE2569" t="s">
        <v>13149</v>
      </c>
      <c r="BG2569" t="s">
        <v>15016</v>
      </c>
      <c r="BH2569" t="s">
        <v>15605</v>
      </c>
      <c r="BJ2569" t="s">
        <v>15615</v>
      </c>
      <c r="BL2569" t="s">
        <v>15648</v>
      </c>
      <c r="BM2569" t="s">
        <v>15651</v>
      </c>
    </row>
    <row r="2570" spans="1:67">
      <c r="A2570" s="1">
        <f>HYPERLINK("https://lsnyc.legalserver.org/matter/dynamic-profile/view/1876326","18-1876326")</f>
        <v>0</v>
      </c>
      <c r="B2570" t="s">
        <v>160</v>
      </c>
      <c r="C2570" t="s">
        <v>245</v>
      </c>
      <c r="D2570" t="s">
        <v>291</v>
      </c>
      <c r="E2570" t="s">
        <v>262</v>
      </c>
      <c r="F2570" t="s">
        <v>1986</v>
      </c>
      <c r="G2570" t="s">
        <v>3979</v>
      </c>
      <c r="H2570" t="s">
        <v>4766</v>
      </c>
      <c r="I2570" t="s">
        <v>6882</v>
      </c>
      <c r="J2570" t="s">
        <v>7169</v>
      </c>
      <c r="K2570">
        <v>10033</v>
      </c>
      <c r="L2570" t="s">
        <v>7221</v>
      </c>
      <c r="N2570" t="s">
        <v>7237</v>
      </c>
      <c r="O2570" t="s">
        <v>8907</v>
      </c>
      <c r="P2570">
        <v>1</v>
      </c>
      <c r="Q2570">
        <v>0</v>
      </c>
      <c r="R2570">
        <v>397.5</v>
      </c>
      <c r="U2570">
        <v>48257</v>
      </c>
      <c r="W2570">
        <v>10.3</v>
      </c>
      <c r="X2570" t="s">
        <v>293</v>
      </c>
      <c r="Y2570" t="s">
        <v>127</v>
      </c>
      <c r="AA2570" t="s">
        <v>10974</v>
      </c>
      <c r="AB2570" t="s">
        <v>291</v>
      </c>
      <c r="AD2570" t="s">
        <v>11101</v>
      </c>
      <c r="AF2570" t="s">
        <v>11118</v>
      </c>
      <c r="AH2570" t="s">
        <v>10974</v>
      </c>
      <c r="AJ2570" t="s">
        <v>11130</v>
      </c>
      <c r="AK2570" t="s">
        <v>7225</v>
      </c>
      <c r="AM2570">
        <v>1546.93</v>
      </c>
      <c r="AO2570">
        <v>232</v>
      </c>
      <c r="AQ2570" t="s">
        <v>11157</v>
      </c>
      <c r="AS2570" t="s">
        <v>11173</v>
      </c>
      <c r="AU2570">
        <v>14</v>
      </c>
      <c r="AW2570" t="s">
        <v>11187</v>
      </c>
      <c r="BA2570" t="s">
        <v>11222</v>
      </c>
      <c r="BE2570" t="s">
        <v>13150</v>
      </c>
      <c r="BF2570" t="s">
        <v>14364</v>
      </c>
      <c r="BJ2570" t="s">
        <v>15615</v>
      </c>
      <c r="BM2570" t="s">
        <v>15651</v>
      </c>
    </row>
    <row r="2571" spans="1:67">
      <c r="A2571" s="1">
        <f>HYPERLINK("https://lsnyc.legalserver.org/matter/dynamic-profile/view/1837782","17-1837782")</f>
        <v>0</v>
      </c>
      <c r="B2571" t="s">
        <v>160</v>
      </c>
      <c r="C2571" t="s">
        <v>245</v>
      </c>
      <c r="D2571" t="s">
        <v>894</v>
      </c>
      <c r="F2571" t="s">
        <v>1493</v>
      </c>
      <c r="G2571" t="s">
        <v>3980</v>
      </c>
      <c r="H2571" t="s">
        <v>5641</v>
      </c>
      <c r="I2571" t="s">
        <v>6422</v>
      </c>
      <c r="J2571" t="s">
        <v>7169</v>
      </c>
      <c r="K2571">
        <v>10034</v>
      </c>
      <c r="N2571" t="s">
        <v>7237</v>
      </c>
      <c r="O2571" t="s">
        <v>8908</v>
      </c>
      <c r="P2571">
        <v>1</v>
      </c>
      <c r="Q2571">
        <v>1</v>
      </c>
      <c r="R2571">
        <v>258.62</v>
      </c>
      <c r="U2571">
        <v>42000</v>
      </c>
      <c r="W2571">
        <v>97.75</v>
      </c>
      <c r="X2571" t="s">
        <v>297</v>
      </c>
      <c r="Y2571" t="s">
        <v>145</v>
      </c>
      <c r="Z2571" t="s">
        <v>10973</v>
      </c>
      <c r="AA2571" t="s">
        <v>10975</v>
      </c>
      <c r="AB2571" t="s">
        <v>894</v>
      </c>
      <c r="AD2571" t="s">
        <v>11086</v>
      </c>
      <c r="AF2571" t="s">
        <v>11120</v>
      </c>
      <c r="AH2571" t="s">
        <v>10975</v>
      </c>
      <c r="AJ2571" t="s">
        <v>11129</v>
      </c>
      <c r="AK2571" t="s">
        <v>7225</v>
      </c>
      <c r="AM2571">
        <v>1073</v>
      </c>
      <c r="AO2571">
        <v>27</v>
      </c>
      <c r="AQ2571" t="s">
        <v>11159</v>
      </c>
      <c r="AS2571" t="s">
        <v>11173</v>
      </c>
      <c r="AU2571">
        <v>6</v>
      </c>
      <c r="AW2571" t="s">
        <v>11187</v>
      </c>
      <c r="AZ2571" t="s">
        <v>11221</v>
      </c>
      <c r="BE2571" t="s">
        <v>13151</v>
      </c>
      <c r="BF2571" t="s">
        <v>14364</v>
      </c>
      <c r="BM2571" t="s">
        <v>15650</v>
      </c>
    </row>
    <row r="2572" spans="1:67">
      <c r="A2572" s="1">
        <f>HYPERLINK("https://lsnyc.legalserver.org/matter/dynamic-profile/view/1864489","18-1864489")</f>
        <v>0</v>
      </c>
      <c r="B2572" t="s">
        <v>160</v>
      </c>
      <c r="C2572" t="s">
        <v>245</v>
      </c>
      <c r="D2572" t="s">
        <v>823</v>
      </c>
      <c r="F2572" t="s">
        <v>2173</v>
      </c>
      <c r="G2572" t="s">
        <v>3059</v>
      </c>
      <c r="H2572" t="s">
        <v>4922</v>
      </c>
      <c r="I2572" t="s">
        <v>6405</v>
      </c>
      <c r="J2572" t="s">
        <v>7169</v>
      </c>
      <c r="K2572">
        <v>10040</v>
      </c>
      <c r="N2572" t="s">
        <v>7237</v>
      </c>
      <c r="O2572" t="s">
        <v>8909</v>
      </c>
      <c r="P2572">
        <v>3</v>
      </c>
      <c r="Q2572">
        <v>1</v>
      </c>
      <c r="R2572">
        <v>188.37</v>
      </c>
      <c r="S2572" t="s">
        <v>10266</v>
      </c>
      <c r="U2572">
        <v>47280</v>
      </c>
      <c r="W2572">
        <v>167.65</v>
      </c>
      <c r="X2572" t="s">
        <v>669</v>
      </c>
      <c r="Y2572" t="s">
        <v>127</v>
      </c>
      <c r="AA2572" t="s">
        <v>10974</v>
      </c>
      <c r="AB2572" t="s">
        <v>823</v>
      </c>
      <c r="AD2572" t="s">
        <v>11083</v>
      </c>
      <c r="AF2572" t="s">
        <v>11118</v>
      </c>
      <c r="AH2572" t="s">
        <v>10975</v>
      </c>
      <c r="AJ2572" t="s">
        <v>11130</v>
      </c>
      <c r="AK2572" t="s">
        <v>7225</v>
      </c>
      <c r="AM2572">
        <v>765.78</v>
      </c>
      <c r="AO2572">
        <v>41</v>
      </c>
      <c r="AQ2572" t="s">
        <v>11157</v>
      </c>
      <c r="AS2572" t="s">
        <v>11173</v>
      </c>
      <c r="AU2572">
        <v>35</v>
      </c>
      <c r="AW2572" t="s">
        <v>11189</v>
      </c>
      <c r="AZ2572" t="s">
        <v>11221</v>
      </c>
      <c r="BB2572" t="s">
        <v>11224</v>
      </c>
      <c r="BC2572" t="s">
        <v>11437</v>
      </c>
      <c r="BE2572" t="s">
        <v>13152</v>
      </c>
      <c r="BF2572" t="s">
        <v>14364</v>
      </c>
      <c r="BM2572" t="s">
        <v>15650</v>
      </c>
    </row>
    <row r="2573" spans="1:67">
      <c r="A2573" s="1">
        <f>HYPERLINK("https://lsnyc.legalserver.org/matter/dynamic-profile/view/1914899","19-1914899")</f>
        <v>0</v>
      </c>
      <c r="B2573" t="s">
        <v>160</v>
      </c>
      <c r="C2573" t="s">
        <v>245</v>
      </c>
      <c r="D2573" t="s">
        <v>262</v>
      </c>
      <c r="F2573" t="s">
        <v>2174</v>
      </c>
      <c r="G2573" t="s">
        <v>2888</v>
      </c>
      <c r="H2573" t="s">
        <v>5642</v>
      </c>
      <c r="I2573" t="s">
        <v>6866</v>
      </c>
      <c r="J2573" t="s">
        <v>7169</v>
      </c>
      <c r="K2573">
        <v>10033</v>
      </c>
      <c r="N2573" t="s">
        <v>7237</v>
      </c>
      <c r="O2573" t="s">
        <v>8910</v>
      </c>
      <c r="P2573">
        <v>1</v>
      </c>
      <c r="Q2573">
        <v>0</v>
      </c>
      <c r="R2573">
        <v>168.13</v>
      </c>
      <c r="U2573">
        <v>21000</v>
      </c>
      <c r="W2573">
        <v>4.8</v>
      </c>
      <c r="X2573" t="s">
        <v>264</v>
      </c>
      <c r="Y2573" t="s">
        <v>127</v>
      </c>
      <c r="AA2573" t="s">
        <v>10974</v>
      </c>
      <c r="AB2573" t="s">
        <v>262</v>
      </c>
      <c r="AD2573" t="s">
        <v>11101</v>
      </c>
      <c r="AF2573" t="s">
        <v>11118</v>
      </c>
      <c r="AH2573" t="s">
        <v>10975</v>
      </c>
      <c r="AJ2573" t="s">
        <v>11129</v>
      </c>
      <c r="AK2573" t="s">
        <v>7225</v>
      </c>
      <c r="AM2573">
        <v>1200</v>
      </c>
      <c r="AO2573">
        <v>60</v>
      </c>
      <c r="AQ2573" t="s">
        <v>11157</v>
      </c>
      <c r="AS2573" t="s">
        <v>11173</v>
      </c>
      <c r="AU2573">
        <v>4</v>
      </c>
      <c r="AW2573" t="s">
        <v>11187</v>
      </c>
      <c r="BA2573" t="s">
        <v>11222</v>
      </c>
      <c r="BE2573" t="s">
        <v>13153</v>
      </c>
      <c r="BF2573" t="s">
        <v>14364</v>
      </c>
      <c r="BM2573" t="s">
        <v>15650</v>
      </c>
    </row>
    <row r="2574" spans="1:67">
      <c r="A2574" s="1">
        <f>HYPERLINK("https://lsnyc.legalserver.org/matter/dynamic-profile/view/1876353","18-1876353")</f>
        <v>0</v>
      </c>
      <c r="B2574" t="s">
        <v>160</v>
      </c>
      <c r="C2574" t="s">
        <v>245</v>
      </c>
      <c r="D2574" t="s">
        <v>291</v>
      </c>
      <c r="E2574" t="s">
        <v>262</v>
      </c>
      <c r="F2574" t="s">
        <v>2175</v>
      </c>
      <c r="G2574" t="s">
        <v>3981</v>
      </c>
      <c r="H2574" t="s">
        <v>4766</v>
      </c>
      <c r="I2574" t="s">
        <v>6727</v>
      </c>
      <c r="J2574" t="s">
        <v>7169</v>
      </c>
      <c r="K2574">
        <v>10033</v>
      </c>
      <c r="L2574" t="s">
        <v>7221</v>
      </c>
      <c r="N2574" t="s">
        <v>7237</v>
      </c>
      <c r="O2574" t="s">
        <v>8911</v>
      </c>
      <c r="P2574">
        <v>2</v>
      </c>
      <c r="Q2574">
        <v>0</v>
      </c>
      <c r="R2574">
        <v>243.01</v>
      </c>
      <c r="U2574">
        <v>40000</v>
      </c>
      <c r="W2574">
        <v>1.3</v>
      </c>
      <c r="X2574" t="s">
        <v>293</v>
      </c>
      <c r="Y2574" t="s">
        <v>127</v>
      </c>
      <c r="AA2574" t="s">
        <v>10974</v>
      </c>
      <c r="AB2574" t="s">
        <v>291</v>
      </c>
      <c r="AD2574" t="s">
        <v>11101</v>
      </c>
      <c r="AF2574" t="s">
        <v>11118</v>
      </c>
      <c r="AH2574" t="s">
        <v>10974</v>
      </c>
      <c r="AJ2574" t="s">
        <v>11130</v>
      </c>
      <c r="AK2574" t="s">
        <v>7225</v>
      </c>
      <c r="AM2574">
        <v>1540</v>
      </c>
      <c r="AO2574">
        <v>232</v>
      </c>
      <c r="AQ2574" t="s">
        <v>11157</v>
      </c>
      <c r="AS2574" t="s">
        <v>11173</v>
      </c>
      <c r="AU2574">
        <v>41</v>
      </c>
      <c r="AW2574" t="s">
        <v>11187</v>
      </c>
      <c r="BA2574" t="s">
        <v>11222</v>
      </c>
      <c r="BE2574" t="s">
        <v>13154</v>
      </c>
      <c r="BF2574" t="s">
        <v>14364</v>
      </c>
      <c r="BJ2574" t="s">
        <v>15615</v>
      </c>
      <c r="BM2574" t="s">
        <v>15651</v>
      </c>
    </row>
    <row r="2575" spans="1:67">
      <c r="A2575" s="1">
        <f>HYPERLINK("https://lsnyc.legalserver.org/matter/dynamic-profile/view/1856862","18-1856862")</f>
        <v>0</v>
      </c>
      <c r="B2575" t="s">
        <v>160</v>
      </c>
      <c r="C2575" t="s">
        <v>245</v>
      </c>
      <c r="D2575" t="s">
        <v>383</v>
      </c>
      <c r="F2575" t="s">
        <v>1101</v>
      </c>
      <c r="G2575" t="s">
        <v>2893</v>
      </c>
      <c r="H2575" t="s">
        <v>4771</v>
      </c>
      <c r="I2575" t="s">
        <v>6408</v>
      </c>
      <c r="J2575" t="s">
        <v>7169</v>
      </c>
      <c r="K2575">
        <v>10040</v>
      </c>
      <c r="N2575" t="s">
        <v>7237</v>
      </c>
      <c r="O2575" t="s">
        <v>7270</v>
      </c>
      <c r="P2575">
        <v>1</v>
      </c>
      <c r="Q2575">
        <v>0</v>
      </c>
      <c r="R2575">
        <v>102.79</v>
      </c>
      <c r="S2575" t="s">
        <v>10267</v>
      </c>
      <c r="U2575">
        <v>12396</v>
      </c>
      <c r="W2575">
        <v>29.15</v>
      </c>
      <c r="X2575" t="s">
        <v>336</v>
      </c>
      <c r="Y2575" t="s">
        <v>127</v>
      </c>
      <c r="AA2575" t="s">
        <v>10974</v>
      </c>
      <c r="AB2575" t="s">
        <v>383</v>
      </c>
      <c r="AD2575" t="s">
        <v>11101</v>
      </c>
      <c r="AF2575" t="s">
        <v>11118</v>
      </c>
      <c r="AH2575" t="s">
        <v>10975</v>
      </c>
      <c r="AJ2575" t="s">
        <v>11129</v>
      </c>
      <c r="AK2575" t="s">
        <v>7225</v>
      </c>
      <c r="AM2575">
        <v>843.6</v>
      </c>
      <c r="AO2575">
        <v>42</v>
      </c>
      <c r="AQ2575" t="s">
        <v>11157</v>
      </c>
      <c r="AS2575" t="s">
        <v>11175</v>
      </c>
      <c r="AU2575">
        <v>23</v>
      </c>
      <c r="AW2575" t="s">
        <v>11189</v>
      </c>
      <c r="BA2575" t="s">
        <v>11222</v>
      </c>
      <c r="BE2575" t="s">
        <v>11685</v>
      </c>
      <c r="BF2575" t="s">
        <v>14364</v>
      </c>
      <c r="BM2575" t="s">
        <v>15650</v>
      </c>
    </row>
    <row r="2576" spans="1:67">
      <c r="A2576" s="1">
        <f>HYPERLINK("https://lsnyc.legalserver.org/matter/dynamic-profile/view/1843444","17-1843444")</f>
        <v>0</v>
      </c>
      <c r="B2576" t="s">
        <v>160</v>
      </c>
      <c r="C2576" t="s">
        <v>245</v>
      </c>
      <c r="D2576" t="s">
        <v>411</v>
      </c>
      <c r="F2576" t="s">
        <v>2176</v>
      </c>
      <c r="G2576" t="s">
        <v>3786</v>
      </c>
      <c r="H2576" t="s">
        <v>4771</v>
      </c>
      <c r="I2576" t="s">
        <v>6425</v>
      </c>
      <c r="J2576" t="s">
        <v>7169</v>
      </c>
      <c r="K2576">
        <v>10040</v>
      </c>
      <c r="N2576" t="s">
        <v>7237</v>
      </c>
      <c r="O2576" t="s">
        <v>8912</v>
      </c>
      <c r="P2576">
        <v>1</v>
      </c>
      <c r="Q2576">
        <v>0</v>
      </c>
      <c r="R2576">
        <v>65.67</v>
      </c>
      <c r="S2576" t="s">
        <v>10267</v>
      </c>
      <c r="U2576">
        <v>7920</v>
      </c>
      <c r="W2576">
        <v>0.2</v>
      </c>
      <c r="X2576" t="s">
        <v>287</v>
      </c>
      <c r="Y2576" t="s">
        <v>127</v>
      </c>
      <c r="AA2576" t="s">
        <v>10974</v>
      </c>
      <c r="AB2576" t="s">
        <v>10982</v>
      </c>
      <c r="AD2576" t="s">
        <v>11101</v>
      </c>
      <c r="AF2576" t="s">
        <v>11118</v>
      </c>
      <c r="AH2576" t="s">
        <v>10974</v>
      </c>
      <c r="AJ2576" t="s">
        <v>11130</v>
      </c>
      <c r="AK2576" t="s">
        <v>7225</v>
      </c>
      <c r="AM2576">
        <v>800</v>
      </c>
      <c r="AO2576">
        <v>42</v>
      </c>
      <c r="AQ2576" t="s">
        <v>11157</v>
      </c>
      <c r="AS2576" t="s">
        <v>11174</v>
      </c>
      <c r="AU2576">
        <v>40</v>
      </c>
      <c r="AW2576" t="s">
        <v>11189</v>
      </c>
      <c r="AZ2576" t="s">
        <v>11221</v>
      </c>
      <c r="BE2576" t="s">
        <v>13155</v>
      </c>
      <c r="BF2576" t="s">
        <v>14364</v>
      </c>
      <c r="BM2576" t="s">
        <v>15650</v>
      </c>
    </row>
    <row r="2577" spans="1:67">
      <c r="A2577" s="1">
        <f>HYPERLINK("https://lsnyc.legalserver.org/matter/dynamic-profile/view/1873798","18-1873798")</f>
        <v>0</v>
      </c>
      <c r="B2577" t="s">
        <v>160</v>
      </c>
      <c r="C2577" t="s">
        <v>245</v>
      </c>
      <c r="D2577" t="s">
        <v>891</v>
      </c>
      <c r="E2577" t="s">
        <v>262</v>
      </c>
      <c r="F2577" t="s">
        <v>1459</v>
      </c>
      <c r="G2577" t="s">
        <v>3017</v>
      </c>
      <c r="H2577" t="s">
        <v>4766</v>
      </c>
      <c r="I2577" t="s">
        <v>6883</v>
      </c>
      <c r="J2577" t="s">
        <v>7169</v>
      </c>
      <c r="K2577">
        <v>10033</v>
      </c>
      <c r="L2577" t="s">
        <v>7221</v>
      </c>
      <c r="N2577" t="s">
        <v>7237</v>
      </c>
      <c r="O2577" t="s">
        <v>8913</v>
      </c>
      <c r="P2577">
        <v>1</v>
      </c>
      <c r="Q2577">
        <v>0</v>
      </c>
      <c r="R2577">
        <v>85.67</v>
      </c>
      <c r="U2577">
        <v>10400</v>
      </c>
      <c r="W2577">
        <v>1</v>
      </c>
      <c r="X2577" t="s">
        <v>293</v>
      </c>
      <c r="Y2577" t="s">
        <v>127</v>
      </c>
      <c r="AA2577" t="s">
        <v>10974</v>
      </c>
      <c r="AB2577" t="s">
        <v>891</v>
      </c>
      <c r="AD2577" t="s">
        <v>11101</v>
      </c>
      <c r="AF2577" t="s">
        <v>11118</v>
      </c>
      <c r="AH2577" t="s">
        <v>10974</v>
      </c>
      <c r="AJ2577" t="s">
        <v>11134</v>
      </c>
      <c r="AK2577" t="s">
        <v>7225</v>
      </c>
      <c r="AM2577">
        <v>1180</v>
      </c>
      <c r="AO2577">
        <v>232</v>
      </c>
      <c r="AQ2577" t="s">
        <v>11157</v>
      </c>
      <c r="AS2577" t="s">
        <v>11174</v>
      </c>
      <c r="AU2577">
        <v>21</v>
      </c>
      <c r="AW2577" t="s">
        <v>11189</v>
      </c>
      <c r="BA2577" t="s">
        <v>11222</v>
      </c>
      <c r="BE2577" t="s">
        <v>13156</v>
      </c>
      <c r="BF2577" t="s">
        <v>14364</v>
      </c>
      <c r="BJ2577" t="s">
        <v>15615</v>
      </c>
      <c r="BM2577" t="s">
        <v>15651</v>
      </c>
    </row>
    <row r="2578" spans="1:67">
      <c r="A2578" s="1">
        <f>HYPERLINK("https://lsnyc.legalserver.org/matter/dynamic-profile/view/1911389","19-1911389")</f>
        <v>0</v>
      </c>
      <c r="B2578" t="s">
        <v>160</v>
      </c>
      <c r="C2578" t="s">
        <v>245</v>
      </c>
      <c r="D2578" t="s">
        <v>601</v>
      </c>
      <c r="F2578" t="s">
        <v>2144</v>
      </c>
      <c r="G2578" t="s">
        <v>3982</v>
      </c>
      <c r="H2578" t="s">
        <v>5632</v>
      </c>
      <c r="I2578" t="s">
        <v>6425</v>
      </c>
      <c r="J2578" t="s">
        <v>7169</v>
      </c>
      <c r="K2578">
        <v>10040</v>
      </c>
      <c r="N2578" t="s">
        <v>7237</v>
      </c>
      <c r="O2578" t="s">
        <v>7499</v>
      </c>
      <c r="P2578">
        <v>2</v>
      </c>
      <c r="Q2578">
        <v>0</v>
      </c>
      <c r="R2578">
        <v>405.61</v>
      </c>
      <c r="U2578">
        <v>68588</v>
      </c>
      <c r="W2578">
        <v>0.1</v>
      </c>
      <c r="X2578" t="s">
        <v>599</v>
      </c>
      <c r="Y2578" t="s">
        <v>127</v>
      </c>
      <c r="AA2578" t="s">
        <v>10974</v>
      </c>
      <c r="AB2578" t="s">
        <v>601</v>
      </c>
      <c r="AD2578" t="s">
        <v>11101</v>
      </c>
      <c r="AF2578" t="s">
        <v>11118</v>
      </c>
      <c r="AH2578" t="s">
        <v>10974</v>
      </c>
      <c r="AJ2578" t="s">
        <v>11130</v>
      </c>
      <c r="AK2578" t="s">
        <v>7225</v>
      </c>
      <c r="AM2578">
        <v>1477.84</v>
      </c>
      <c r="AO2578">
        <v>77</v>
      </c>
      <c r="AQ2578" t="s">
        <v>11157</v>
      </c>
      <c r="AS2578" t="s">
        <v>11173</v>
      </c>
      <c r="AU2578">
        <v>4</v>
      </c>
      <c r="AW2578" t="s">
        <v>11187</v>
      </c>
      <c r="BA2578" t="s">
        <v>11222</v>
      </c>
      <c r="BD2578" t="s">
        <v>11667</v>
      </c>
      <c r="BF2578" t="s">
        <v>14364</v>
      </c>
      <c r="BM2578" t="s">
        <v>15650</v>
      </c>
    </row>
    <row r="2579" spans="1:67">
      <c r="A2579" s="1">
        <f>HYPERLINK("https://lsnyc.legalserver.org/matter/dynamic-profile/view/1870358","18-1870358")</f>
        <v>0</v>
      </c>
      <c r="B2579" t="s">
        <v>160</v>
      </c>
      <c r="C2579" t="s">
        <v>245</v>
      </c>
      <c r="D2579" t="s">
        <v>895</v>
      </c>
      <c r="F2579" t="s">
        <v>1624</v>
      </c>
      <c r="G2579" t="s">
        <v>3983</v>
      </c>
      <c r="H2579" t="s">
        <v>5485</v>
      </c>
      <c r="I2579" t="s">
        <v>6437</v>
      </c>
      <c r="J2579" t="s">
        <v>7169</v>
      </c>
      <c r="K2579">
        <v>10034</v>
      </c>
      <c r="N2579" t="s">
        <v>7237</v>
      </c>
      <c r="O2579" t="s">
        <v>8914</v>
      </c>
      <c r="P2579">
        <v>1</v>
      </c>
      <c r="Q2579">
        <v>0</v>
      </c>
      <c r="R2579">
        <v>59.31</v>
      </c>
      <c r="U2579">
        <v>7200</v>
      </c>
      <c r="W2579">
        <v>189.05</v>
      </c>
      <c r="X2579" t="s">
        <v>638</v>
      </c>
      <c r="Y2579" t="s">
        <v>127</v>
      </c>
      <c r="AA2579" t="s">
        <v>10974</v>
      </c>
      <c r="AB2579" t="s">
        <v>953</v>
      </c>
      <c r="AD2579" t="s">
        <v>11082</v>
      </c>
      <c r="AF2579" t="s">
        <v>11118</v>
      </c>
      <c r="AH2579" t="s">
        <v>10975</v>
      </c>
      <c r="AJ2579" t="s">
        <v>11130</v>
      </c>
      <c r="AK2579" t="s">
        <v>7225</v>
      </c>
      <c r="AM2579">
        <v>252</v>
      </c>
      <c r="AN2579" t="s">
        <v>11151</v>
      </c>
      <c r="AO2579" t="s">
        <v>11153</v>
      </c>
      <c r="AQ2579" t="s">
        <v>11157</v>
      </c>
      <c r="AS2579" t="s">
        <v>11173</v>
      </c>
      <c r="AU2579">
        <v>16</v>
      </c>
      <c r="AW2579" t="s">
        <v>11187</v>
      </c>
      <c r="AZ2579" t="s">
        <v>11221</v>
      </c>
      <c r="BE2579" t="s">
        <v>13157</v>
      </c>
      <c r="BF2579" t="s">
        <v>14364</v>
      </c>
      <c r="BM2579" t="s">
        <v>15650</v>
      </c>
    </row>
    <row r="2580" spans="1:67">
      <c r="A2580" s="1">
        <f>HYPERLINK("https://lsnyc.legalserver.org/matter/dynamic-profile/view/1911238","19-1911238")</f>
        <v>0</v>
      </c>
      <c r="B2580" t="s">
        <v>160</v>
      </c>
      <c r="C2580" t="s">
        <v>245</v>
      </c>
      <c r="D2580" t="s">
        <v>671</v>
      </c>
      <c r="E2580" t="s">
        <v>293</v>
      </c>
      <c r="F2580" t="s">
        <v>2177</v>
      </c>
      <c r="G2580" t="s">
        <v>3006</v>
      </c>
      <c r="H2580" t="s">
        <v>5599</v>
      </c>
      <c r="I2580" t="s">
        <v>6412</v>
      </c>
      <c r="J2580" t="s">
        <v>7169</v>
      </c>
      <c r="K2580">
        <v>10034</v>
      </c>
      <c r="L2580" t="s">
        <v>7216</v>
      </c>
      <c r="N2580" t="s">
        <v>7237</v>
      </c>
      <c r="O2580" t="s">
        <v>8915</v>
      </c>
      <c r="P2580">
        <v>2</v>
      </c>
      <c r="Q2580">
        <v>1</v>
      </c>
      <c r="R2580">
        <v>132.6</v>
      </c>
      <c r="U2580">
        <v>28284</v>
      </c>
      <c r="W2580">
        <v>1.9</v>
      </c>
      <c r="X2580" t="s">
        <v>293</v>
      </c>
      <c r="Y2580" t="s">
        <v>127</v>
      </c>
      <c r="AA2580" t="s">
        <v>10974</v>
      </c>
      <c r="AB2580" t="s">
        <v>671</v>
      </c>
      <c r="AD2580" t="s">
        <v>11090</v>
      </c>
      <c r="AF2580" t="s">
        <v>11119</v>
      </c>
      <c r="AH2580" t="s">
        <v>10975</v>
      </c>
      <c r="AJ2580" t="s">
        <v>11129</v>
      </c>
      <c r="AK2580" t="s">
        <v>7225</v>
      </c>
      <c r="AM2580">
        <v>1162.16</v>
      </c>
      <c r="AO2580">
        <v>121</v>
      </c>
      <c r="AQ2580" t="s">
        <v>11157</v>
      </c>
      <c r="AS2580" t="s">
        <v>11176</v>
      </c>
      <c r="AU2580">
        <v>12</v>
      </c>
      <c r="AW2580" t="s">
        <v>11187</v>
      </c>
      <c r="BA2580" t="s">
        <v>11222</v>
      </c>
      <c r="BE2580" t="s">
        <v>13158</v>
      </c>
      <c r="BF2580" t="s">
        <v>14364</v>
      </c>
      <c r="BM2580" t="s">
        <v>15651</v>
      </c>
    </row>
    <row r="2581" spans="1:67">
      <c r="A2581" s="1">
        <f>HYPERLINK("https://lsnyc.legalserver.org/matter/dynamic-profile/view/1873585","18-1873585")</f>
        <v>0</v>
      </c>
      <c r="B2581" t="s">
        <v>160</v>
      </c>
      <c r="C2581" t="s">
        <v>245</v>
      </c>
      <c r="D2581" t="s">
        <v>802</v>
      </c>
      <c r="E2581" t="s">
        <v>262</v>
      </c>
      <c r="F2581" t="s">
        <v>2019</v>
      </c>
      <c r="G2581" t="s">
        <v>3784</v>
      </c>
      <c r="H2581" t="s">
        <v>4766</v>
      </c>
      <c r="I2581" t="s">
        <v>6884</v>
      </c>
      <c r="J2581" t="s">
        <v>7169</v>
      </c>
      <c r="K2581">
        <v>10033</v>
      </c>
      <c r="L2581" t="s">
        <v>7221</v>
      </c>
      <c r="N2581" t="s">
        <v>7237</v>
      </c>
      <c r="O2581" t="s">
        <v>8772</v>
      </c>
      <c r="P2581">
        <v>1</v>
      </c>
      <c r="Q2581">
        <v>1</v>
      </c>
      <c r="R2581">
        <v>260.47</v>
      </c>
      <c r="U2581">
        <v>42873</v>
      </c>
      <c r="W2581">
        <v>1.2</v>
      </c>
      <c r="X2581" t="s">
        <v>293</v>
      </c>
      <c r="Y2581" t="s">
        <v>127</v>
      </c>
      <c r="AA2581" t="s">
        <v>10974</v>
      </c>
      <c r="AB2581" t="s">
        <v>802</v>
      </c>
      <c r="AD2581" t="s">
        <v>11101</v>
      </c>
      <c r="AF2581" t="s">
        <v>11118</v>
      </c>
      <c r="AH2581" t="s">
        <v>10974</v>
      </c>
      <c r="AJ2581" t="s">
        <v>11134</v>
      </c>
      <c r="AK2581" t="s">
        <v>7225</v>
      </c>
      <c r="AM2581">
        <v>1429.45</v>
      </c>
      <c r="AO2581">
        <v>232</v>
      </c>
      <c r="AQ2581" t="s">
        <v>11157</v>
      </c>
      <c r="AS2581" t="s">
        <v>11174</v>
      </c>
      <c r="AU2581">
        <v>24</v>
      </c>
      <c r="AW2581" t="s">
        <v>11189</v>
      </c>
      <c r="BA2581" t="s">
        <v>11222</v>
      </c>
      <c r="BE2581" t="s">
        <v>13159</v>
      </c>
      <c r="BF2581" t="s">
        <v>14364</v>
      </c>
      <c r="BJ2581" t="s">
        <v>15615</v>
      </c>
      <c r="BM2581" t="s">
        <v>15651</v>
      </c>
    </row>
    <row r="2582" spans="1:67">
      <c r="A2582" s="1">
        <f>HYPERLINK("https://lsnyc.legalserver.org/matter/dynamic-profile/view/1856855","18-1856855")</f>
        <v>0</v>
      </c>
      <c r="B2582" t="s">
        <v>160</v>
      </c>
      <c r="C2582" t="s">
        <v>245</v>
      </c>
      <c r="D2582" t="s">
        <v>383</v>
      </c>
      <c r="F2582" t="s">
        <v>2178</v>
      </c>
      <c r="G2582" t="s">
        <v>3984</v>
      </c>
      <c r="H2582" t="s">
        <v>4771</v>
      </c>
      <c r="I2582" t="s">
        <v>6499</v>
      </c>
      <c r="J2582" t="s">
        <v>7169</v>
      </c>
      <c r="K2582">
        <v>10040</v>
      </c>
      <c r="N2582" t="s">
        <v>7237</v>
      </c>
      <c r="O2582" t="s">
        <v>8916</v>
      </c>
      <c r="P2582">
        <v>1</v>
      </c>
      <c r="Q2582">
        <v>1</v>
      </c>
      <c r="R2582">
        <v>97.65000000000001</v>
      </c>
      <c r="S2582" t="s">
        <v>10267</v>
      </c>
      <c r="U2582">
        <v>15858</v>
      </c>
      <c r="W2582">
        <v>51</v>
      </c>
      <c r="X2582" t="s">
        <v>669</v>
      </c>
      <c r="Y2582" t="s">
        <v>127</v>
      </c>
      <c r="AA2582" t="s">
        <v>10974</v>
      </c>
      <c r="AB2582" t="s">
        <v>383</v>
      </c>
      <c r="AD2582" t="s">
        <v>11101</v>
      </c>
      <c r="AF2582" t="s">
        <v>11120</v>
      </c>
      <c r="AH2582" t="s">
        <v>10974</v>
      </c>
      <c r="AJ2582" t="s">
        <v>11129</v>
      </c>
      <c r="AK2582" t="s">
        <v>7225</v>
      </c>
      <c r="AM2582">
        <v>1094.37</v>
      </c>
      <c r="AO2582">
        <v>42</v>
      </c>
      <c r="AQ2582" t="s">
        <v>11157</v>
      </c>
      <c r="AS2582" t="s">
        <v>11173</v>
      </c>
      <c r="AU2582">
        <v>16</v>
      </c>
      <c r="AW2582" t="s">
        <v>11189</v>
      </c>
      <c r="AZ2582" t="s">
        <v>11221</v>
      </c>
      <c r="BE2582" t="s">
        <v>13160</v>
      </c>
      <c r="BF2582" t="s">
        <v>14364</v>
      </c>
      <c r="BM2582" t="s">
        <v>15650</v>
      </c>
    </row>
    <row r="2583" spans="1:67">
      <c r="A2583" s="1">
        <f>HYPERLINK("https://lsnyc.legalserver.org/matter/dynamic-profile/view/1881231","18-1881231")</f>
        <v>0</v>
      </c>
      <c r="B2583" t="s">
        <v>160</v>
      </c>
      <c r="C2583" t="s">
        <v>245</v>
      </c>
      <c r="D2583" t="s">
        <v>892</v>
      </c>
      <c r="F2583" t="s">
        <v>1455</v>
      </c>
      <c r="G2583" t="s">
        <v>3203</v>
      </c>
      <c r="H2583" t="s">
        <v>4771</v>
      </c>
      <c r="I2583" t="s">
        <v>6495</v>
      </c>
      <c r="J2583" t="s">
        <v>7169</v>
      </c>
      <c r="K2583">
        <v>10040</v>
      </c>
      <c r="N2583" t="s">
        <v>7237</v>
      </c>
      <c r="O2583" t="s">
        <v>8917</v>
      </c>
      <c r="P2583">
        <v>2</v>
      </c>
      <c r="Q2583">
        <v>2</v>
      </c>
      <c r="R2583">
        <v>358.57</v>
      </c>
      <c r="S2583" t="s">
        <v>10267</v>
      </c>
      <c r="T2583" t="s">
        <v>10278</v>
      </c>
      <c r="U2583">
        <v>90000</v>
      </c>
      <c r="W2583">
        <v>1.9</v>
      </c>
      <c r="X2583" t="s">
        <v>272</v>
      </c>
      <c r="Y2583" t="s">
        <v>127</v>
      </c>
      <c r="AA2583" t="s">
        <v>10974</v>
      </c>
      <c r="AB2583" t="s">
        <v>892</v>
      </c>
      <c r="AD2583" t="s">
        <v>11100</v>
      </c>
      <c r="AF2583" t="s">
        <v>11120</v>
      </c>
      <c r="AH2583" t="s">
        <v>10974</v>
      </c>
      <c r="AJ2583" t="s">
        <v>11130</v>
      </c>
      <c r="AK2583" t="s">
        <v>7225</v>
      </c>
      <c r="AM2583">
        <v>1650</v>
      </c>
      <c r="AO2583">
        <v>42</v>
      </c>
      <c r="AQ2583" t="s">
        <v>11157</v>
      </c>
      <c r="AS2583" t="s">
        <v>11173</v>
      </c>
      <c r="AU2583">
        <v>9</v>
      </c>
      <c r="AW2583" t="s">
        <v>11189</v>
      </c>
      <c r="BA2583" t="s">
        <v>11222</v>
      </c>
      <c r="BE2583" t="s">
        <v>13161</v>
      </c>
      <c r="BF2583" t="s">
        <v>14364</v>
      </c>
      <c r="BM2583" t="s">
        <v>15650</v>
      </c>
    </row>
    <row r="2584" spans="1:67">
      <c r="A2584" s="1">
        <f>HYPERLINK("https://lsnyc.legalserver.org/matter/dynamic-profile/view/1912969","19-1912969")</f>
        <v>0</v>
      </c>
      <c r="B2584" t="s">
        <v>160</v>
      </c>
      <c r="C2584" t="s">
        <v>245</v>
      </c>
      <c r="D2584" t="s">
        <v>305</v>
      </c>
      <c r="F2584" t="s">
        <v>1101</v>
      </c>
      <c r="G2584" t="s">
        <v>2885</v>
      </c>
      <c r="H2584" t="s">
        <v>5643</v>
      </c>
      <c r="I2584" t="s">
        <v>6421</v>
      </c>
      <c r="J2584" t="s">
        <v>7169</v>
      </c>
      <c r="K2584">
        <v>10032</v>
      </c>
      <c r="N2584" t="s">
        <v>7237</v>
      </c>
      <c r="O2584" t="s">
        <v>8918</v>
      </c>
      <c r="P2584">
        <v>2</v>
      </c>
      <c r="Q2584">
        <v>4</v>
      </c>
      <c r="R2584">
        <v>75.17</v>
      </c>
      <c r="U2584">
        <v>26000</v>
      </c>
      <c r="W2584">
        <v>7.2</v>
      </c>
      <c r="X2584" t="s">
        <v>614</v>
      </c>
      <c r="Y2584" t="s">
        <v>127</v>
      </c>
      <c r="AA2584" t="s">
        <v>10974</v>
      </c>
      <c r="AB2584" t="s">
        <v>305</v>
      </c>
      <c r="AC2584" t="s">
        <v>11081</v>
      </c>
      <c r="AF2584" t="s">
        <v>11121</v>
      </c>
      <c r="AH2584" t="s">
        <v>10975</v>
      </c>
      <c r="AJ2584" t="s">
        <v>11134</v>
      </c>
      <c r="AK2584" t="s">
        <v>7225</v>
      </c>
      <c r="AM2584">
        <v>2400</v>
      </c>
      <c r="AN2584" t="s">
        <v>11151</v>
      </c>
      <c r="AO2584" t="s">
        <v>11153</v>
      </c>
      <c r="AQ2584" t="s">
        <v>11157</v>
      </c>
      <c r="AS2584" t="s">
        <v>11173</v>
      </c>
      <c r="AU2584">
        <v>9</v>
      </c>
      <c r="AW2584" t="s">
        <v>11189</v>
      </c>
      <c r="BA2584" t="s">
        <v>11222</v>
      </c>
      <c r="BD2584" t="s">
        <v>11667</v>
      </c>
      <c r="BF2584" t="s">
        <v>14364</v>
      </c>
      <c r="BM2584" t="s">
        <v>15650</v>
      </c>
    </row>
    <row r="2585" spans="1:67">
      <c r="A2585" s="1">
        <f>HYPERLINK("https://lsnyc.legalserver.org/matter/dynamic-profile/view/1874697","18-1874697")</f>
        <v>0</v>
      </c>
      <c r="B2585" t="s">
        <v>160</v>
      </c>
      <c r="C2585" t="s">
        <v>245</v>
      </c>
      <c r="D2585" t="s">
        <v>402</v>
      </c>
      <c r="E2585" t="s">
        <v>262</v>
      </c>
      <c r="F2585" t="s">
        <v>1280</v>
      </c>
      <c r="G2585" t="s">
        <v>2902</v>
      </c>
      <c r="H2585" t="s">
        <v>4766</v>
      </c>
      <c r="I2585" t="s">
        <v>6414</v>
      </c>
      <c r="J2585" t="s">
        <v>7169</v>
      </c>
      <c r="K2585">
        <v>10033</v>
      </c>
      <c r="L2585" t="s">
        <v>7221</v>
      </c>
      <c r="N2585" t="s">
        <v>7237</v>
      </c>
      <c r="O2585" t="s">
        <v>8919</v>
      </c>
      <c r="P2585">
        <v>1</v>
      </c>
      <c r="Q2585">
        <v>0</v>
      </c>
      <c r="R2585">
        <v>118.62</v>
      </c>
      <c r="U2585">
        <v>14400</v>
      </c>
      <c r="W2585">
        <v>3.4</v>
      </c>
      <c r="X2585" t="s">
        <v>293</v>
      </c>
      <c r="Y2585" t="s">
        <v>127</v>
      </c>
      <c r="AA2585" t="s">
        <v>10974</v>
      </c>
      <c r="AB2585" t="s">
        <v>402</v>
      </c>
      <c r="AD2585" t="s">
        <v>11101</v>
      </c>
      <c r="AF2585" t="s">
        <v>11118</v>
      </c>
      <c r="AH2585" t="s">
        <v>10974</v>
      </c>
      <c r="AJ2585" t="s">
        <v>11134</v>
      </c>
      <c r="AK2585" t="s">
        <v>7225</v>
      </c>
      <c r="AM2585">
        <v>1198.63</v>
      </c>
      <c r="AO2585">
        <v>232</v>
      </c>
      <c r="AQ2585" t="s">
        <v>11157</v>
      </c>
      <c r="AS2585" t="s">
        <v>11175</v>
      </c>
      <c r="AU2585">
        <v>38</v>
      </c>
      <c r="AW2585" t="s">
        <v>11189</v>
      </c>
      <c r="BA2585" t="s">
        <v>11222</v>
      </c>
      <c r="BE2585" t="s">
        <v>13162</v>
      </c>
      <c r="BF2585" t="s">
        <v>14364</v>
      </c>
      <c r="BJ2585" t="s">
        <v>15615</v>
      </c>
      <c r="BM2585" t="s">
        <v>15651</v>
      </c>
    </row>
    <row r="2586" spans="1:67">
      <c r="A2586" s="1">
        <f>HYPERLINK("https://lsnyc.legalserver.org/matter/dynamic-profile/view/1902565","19-1902565")</f>
        <v>0</v>
      </c>
      <c r="B2586" t="s">
        <v>160</v>
      </c>
      <c r="C2586" t="s">
        <v>245</v>
      </c>
      <c r="D2586" t="s">
        <v>896</v>
      </c>
      <c r="E2586" t="s">
        <v>264</v>
      </c>
      <c r="F2586" t="s">
        <v>2179</v>
      </c>
      <c r="G2586" t="s">
        <v>3784</v>
      </c>
      <c r="H2586" t="s">
        <v>5644</v>
      </c>
      <c r="I2586" t="s">
        <v>6421</v>
      </c>
      <c r="J2586" t="s">
        <v>7169</v>
      </c>
      <c r="K2586">
        <v>10034</v>
      </c>
      <c r="L2586" t="s">
        <v>7216</v>
      </c>
      <c r="N2586" t="s">
        <v>7237</v>
      </c>
      <c r="O2586" t="s">
        <v>8920</v>
      </c>
      <c r="P2586">
        <v>2</v>
      </c>
      <c r="Q2586">
        <v>0</v>
      </c>
      <c r="R2586">
        <v>106.45</v>
      </c>
      <c r="U2586">
        <v>18000</v>
      </c>
      <c r="W2586">
        <v>2</v>
      </c>
      <c r="X2586" t="s">
        <v>627</v>
      </c>
      <c r="Y2586" t="s">
        <v>10882</v>
      </c>
      <c r="AA2586" t="s">
        <v>10974</v>
      </c>
      <c r="AB2586" t="s">
        <v>627</v>
      </c>
      <c r="AD2586" t="s">
        <v>11086</v>
      </c>
      <c r="AF2586" t="s">
        <v>11119</v>
      </c>
      <c r="AH2586" t="s">
        <v>10975</v>
      </c>
      <c r="AJ2586" t="s">
        <v>11130</v>
      </c>
      <c r="AK2586" t="s">
        <v>7225</v>
      </c>
      <c r="AM2586">
        <v>1061</v>
      </c>
      <c r="AO2586">
        <v>30</v>
      </c>
      <c r="AQ2586" t="s">
        <v>11164</v>
      </c>
      <c r="AS2586" t="s">
        <v>11173</v>
      </c>
      <c r="AU2586">
        <v>4</v>
      </c>
      <c r="AW2586" t="s">
        <v>11189</v>
      </c>
      <c r="BA2586" t="s">
        <v>11222</v>
      </c>
      <c r="BE2586" t="s">
        <v>13163</v>
      </c>
      <c r="BF2586" t="s">
        <v>14364</v>
      </c>
      <c r="BM2586" t="s">
        <v>15651</v>
      </c>
      <c r="BN2586" t="s">
        <v>15652</v>
      </c>
    </row>
    <row r="2587" spans="1:67">
      <c r="A2587" s="1">
        <f>HYPERLINK("https://lsnyc.legalserver.org/matter/dynamic-profile/view/1872357","18-1872357")</f>
        <v>0</v>
      </c>
      <c r="B2587" t="s">
        <v>160</v>
      </c>
      <c r="C2587" t="s">
        <v>245</v>
      </c>
      <c r="D2587" t="s">
        <v>773</v>
      </c>
      <c r="E2587" t="s">
        <v>528</v>
      </c>
      <c r="F2587" t="s">
        <v>2180</v>
      </c>
      <c r="G2587" t="s">
        <v>3985</v>
      </c>
      <c r="H2587" t="s">
        <v>5645</v>
      </c>
      <c r="I2587" t="s">
        <v>6423</v>
      </c>
      <c r="J2587" t="s">
        <v>7169</v>
      </c>
      <c r="K2587">
        <v>10032</v>
      </c>
      <c r="L2587" t="s">
        <v>7219</v>
      </c>
      <c r="N2587" t="s">
        <v>7237</v>
      </c>
      <c r="O2587" t="s">
        <v>8921</v>
      </c>
      <c r="P2587">
        <v>3</v>
      </c>
      <c r="Q2587">
        <v>0</v>
      </c>
      <c r="R2587">
        <v>192.49</v>
      </c>
      <c r="U2587">
        <v>40000</v>
      </c>
      <c r="W2587">
        <v>66.09999999999999</v>
      </c>
      <c r="X2587" t="s">
        <v>528</v>
      </c>
      <c r="Y2587" t="s">
        <v>127</v>
      </c>
      <c r="AA2587" t="s">
        <v>10974</v>
      </c>
      <c r="AB2587" t="s">
        <v>773</v>
      </c>
      <c r="AD2587" t="s">
        <v>11101</v>
      </c>
      <c r="AF2587" t="s">
        <v>11118</v>
      </c>
      <c r="AH2587" t="s">
        <v>10975</v>
      </c>
      <c r="AJ2587" t="s">
        <v>11130</v>
      </c>
      <c r="AK2587" t="s">
        <v>7225</v>
      </c>
      <c r="AM2587">
        <v>1282.58</v>
      </c>
      <c r="AO2587">
        <v>49</v>
      </c>
      <c r="AQ2587" t="s">
        <v>11157</v>
      </c>
      <c r="AS2587" t="s">
        <v>11173</v>
      </c>
      <c r="AU2587">
        <v>24</v>
      </c>
      <c r="AW2587" t="s">
        <v>11189</v>
      </c>
      <c r="BA2587" t="s">
        <v>11222</v>
      </c>
      <c r="BC2587" t="s">
        <v>11438</v>
      </c>
      <c r="BE2587" t="s">
        <v>13164</v>
      </c>
      <c r="BF2587" t="s">
        <v>14364</v>
      </c>
      <c r="BG2587" t="s">
        <v>15017</v>
      </c>
      <c r="BJ2587" t="s">
        <v>15615</v>
      </c>
      <c r="BM2587" t="s">
        <v>15651</v>
      </c>
    </row>
    <row r="2588" spans="1:67">
      <c r="A2588" s="1">
        <f>HYPERLINK("https://lsnyc.legalserver.org/matter/dynamic-profile/view/1874199","18-1874199")</f>
        <v>0</v>
      </c>
      <c r="B2588" t="s">
        <v>160</v>
      </c>
      <c r="C2588" t="s">
        <v>245</v>
      </c>
      <c r="D2588" t="s">
        <v>897</v>
      </c>
      <c r="E2588" t="s">
        <v>262</v>
      </c>
      <c r="F2588" t="s">
        <v>1726</v>
      </c>
      <c r="G2588" t="s">
        <v>1556</v>
      </c>
      <c r="H2588" t="s">
        <v>4766</v>
      </c>
      <c r="I2588" t="s">
        <v>6885</v>
      </c>
      <c r="J2588" t="s">
        <v>7169</v>
      </c>
      <c r="K2588">
        <v>10033</v>
      </c>
      <c r="L2588" t="s">
        <v>7221</v>
      </c>
      <c r="N2588" t="s">
        <v>7237</v>
      </c>
      <c r="O2588" t="s">
        <v>8922</v>
      </c>
      <c r="P2588">
        <v>1</v>
      </c>
      <c r="Q2588">
        <v>0</v>
      </c>
      <c r="R2588">
        <v>535.42</v>
      </c>
      <c r="U2588">
        <v>65000</v>
      </c>
      <c r="W2588">
        <v>0.7</v>
      </c>
      <c r="X2588" t="s">
        <v>293</v>
      </c>
      <c r="Y2588" t="s">
        <v>127</v>
      </c>
      <c r="AA2588" t="s">
        <v>10974</v>
      </c>
      <c r="AB2588" t="s">
        <v>897</v>
      </c>
      <c r="AD2588" t="s">
        <v>11101</v>
      </c>
      <c r="AF2588" t="s">
        <v>11118</v>
      </c>
      <c r="AH2588" t="s">
        <v>10974</v>
      </c>
      <c r="AJ2588" t="s">
        <v>11134</v>
      </c>
      <c r="AK2588" t="s">
        <v>7225</v>
      </c>
      <c r="AM2588">
        <v>2595</v>
      </c>
      <c r="AO2588">
        <v>232</v>
      </c>
      <c r="AQ2588" t="s">
        <v>11157</v>
      </c>
      <c r="AS2588" t="s">
        <v>11173</v>
      </c>
      <c r="AU2588">
        <v>1</v>
      </c>
      <c r="AW2588" t="s">
        <v>11187</v>
      </c>
      <c r="BA2588" t="s">
        <v>11222</v>
      </c>
      <c r="BE2588" t="s">
        <v>13165</v>
      </c>
      <c r="BF2588" t="s">
        <v>14364</v>
      </c>
      <c r="BJ2588" t="s">
        <v>15615</v>
      </c>
      <c r="BM2588" t="s">
        <v>15651</v>
      </c>
    </row>
    <row r="2589" spans="1:67">
      <c r="A2589" s="1">
        <f>HYPERLINK("https://lsnyc.legalserver.org/matter/dynamic-profile/view/1914180","19-1914180")</f>
        <v>0</v>
      </c>
      <c r="B2589" t="s">
        <v>160</v>
      </c>
      <c r="C2589" t="s">
        <v>245</v>
      </c>
      <c r="D2589" t="s">
        <v>301</v>
      </c>
      <c r="F2589" t="s">
        <v>2174</v>
      </c>
      <c r="G2589" t="s">
        <v>2888</v>
      </c>
      <c r="H2589" t="s">
        <v>5642</v>
      </c>
      <c r="I2589" t="s">
        <v>6866</v>
      </c>
      <c r="J2589" t="s">
        <v>7169</v>
      </c>
      <c r="K2589">
        <v>10033</v>
      </c>
      <c r="N2589" t="s">
        <v>7237</v>
      </c>
      <c r="O2589" t="s">
        <v>8910</v>
      </c>
      <c r="P2589">
        <v>1</v>
      </c>
      <c r="Q2589">
        <v>0</v>
      </c>
      <c r="R2589">
        <v>168.13</v>
      </c>
      <c r="U2589">
        <v>21000</v>
      </c>
      <c r="W2589">
        <v>4.95</v>
      </c>
      <c r="X2589" t="s">
        <v>528</v>
      </c>
      <c r="Y2589" t="s">
        <v>127</v>
      </c>
      <c r="AA2589" t="s">
        <v>10974</v>
      </c>
      <c r="AB2589" t="s">
        <v>301</v>
      </c>
      <c r="AD2589" t="s">
        <v>11082</v>
      </c>
      <c r="AF2589" t="s">
        <v>11118</v>
      </c>
      <c r="AH2589" t="s">
        <v>10975</v>
      </c>
      <c r="AJ2589" t="s">
        <v>11130</v>
      </c>
      <c r="AK2589" t="s">
        <v>7225</v>
      </c>
      <c r="AM2589">
        <v>1200</v>
      </c>
      <c r="AO2589">
        <v>60</v>
      </c>
      <c r="AQ2589" t="s">
        <v>11157</v>
      </c>
      <c r="AS2589" t="s">
        <v>11173</v>
      </c>
      <c r="AU2589">
        <v>4</v>
      </c>
      <c r="AW2589" t="s">
        <v>11187</v>
      </c>
      <c r="BA2589" t="s">
        <v>11222</v>
      </c>
      <c r="BE2589" t="s">
        <v>13153</v>
      </c>
      <c r="BF2589" t="s">
        <v>14364</v>
      </c>
      <c r="BM2589" t="s">
        <v>15650</v>
      </c>
    </row>
    <row r="2590" spans="1:67">
      <c r="A2590" s="1">
        <f>HYPERLINK("https://lsnyc.legalserver.org/matter/dynamic-profile/view/1909838","19-1909838")</f>
        <v>0</v>
      </c>
      <c r="B2590" t="s">
        <v>160</v>
      </c>
      <c r="C2590" t="s">
        <v>245</v>
      </c>
      <c r="D2590" t="s">
        <v>627</v>
      </c>
      <c r="F2590" t="s">
        <v>1155</v>
      </c>
      <c r="G2590" t="s">
        <v>3986</v>
      </c>
      <c r="H2590" t="s">
        <v>5646</v>
      </c>
      <c r="J2590" t="s">
        <v>7169</v>
      </c>
      <c r="K2590">
        <v>10034</v>
      </c>
      <c r="M2590" t="s">
        <v>7232</v>
      </c>
      <c r="N2590" t="s">
        <v>7237</v>
      </c>
      <c r="O2590" t="s">
        <v>8923</v>
      </c>
      <c r="P2590">
        <v>1</v>
      </c>
      <c r="Q2590">
        <v>0</v>
      </c>
      <c r="R2590">
        <v>84.64</v>
      </c>
      <c r="U2590">
        <v>10572</v>
      </c>
      <c r="W2590">
        <v>36.95</v>
      </c>
      <c r="X2590" t="s">
        <v>528</v>
      </c>
      <c r="Y2590" t="s">
        <v>127</v>
      </c>
      <c r="AA2590" t="s">
        <v>10974</v>
      </c>
      <c r="AB2590" t="s">
        <v>627</v>
      </c>
      <c r="AC2590" t="s">
        <v>11081</v>
      </c>
      <c r="AF2590" t="s">
        <v>11122</v>
      </c>
      <c r="AH2590" t="s">
        <v>10975</v>
      </c>
      <c r="AJ2590" t="s">
        <v>11132</v>
      </c>
      <c r="AK2590" t="s">
        <v>7225</v>
      </c>
      <c r="AM2590">
        <v>1700</v>
      </c>
      <c r="AO2590">
        <v>24</v>
      </c>
      <c r="AQ2590" t="s">
        <v>11157</v>
      </c>
      <c r="AS2590" t="s">
        <v>11177</v>
      </c>
      <c r="AU2590">
        <v>1</v>
      </c>
      <c r="AW2590" t="s">
        <v>11187</v>
      </c>
      <c r="BA2590" t="s">
        <v>11222</v>
      </c>
      <c r="BE2590" t="s">
        <v>13166</v>
      </c>
      <c r="BF2590" t="s">
        <v>14364</v>
      </c>
      <c r="BM2590" t="s">
        <v>15650</v>
      </c>
    </row>
    <row r="2591" spans="1:67">
      <c r="A2591" s="1">
        <f>HYPERLINK("https://lsnyc.legalserver.org/matter/dynamic-profile/view/1915118","19-1915118")</f>
        <v>0</v>
      </c>
      <c r="B2591" t="s">
        <v>160</v>
      </c>
      <c r="C2591" t="s">
        <v>245</v>
      </c>
      <c r="D2591" t="s">
        <v>449</v>
      </c>
      <c r="E2591" t="s">
        <v>436</v>
      </c>
      <c r="F2591" t="s">
        <v>1293</v>
      </c>
      <c r="G2591" t="s">
        <v>3987</v>
      </c>
      <c r="H2591" t="s">
        <v>5647</v>
      </c>
      <c r="I2591" t="s">
        <v>6440</v>
      </c>
      <c r="J2591" t="s">
        <v>7169</v>
      </c>
      <c r="K2591">
        <v>10032</v>
      </c>
      <c r="L2591" t="s">
        <v>7216</v>
      </c>
      <c r="N2591" t="s">
        <v>7237</v>
      </c>
      <c r="O2591" t="s">
        <v>8924</v>
      </c>
      <c r="P2591">
        <v>1</v>
      </c>
      <c r="Q2591">
        <v>0</v>
      </c>
      <c r="R2591">
        <v>333.07</v>
      </c>
      <c r="U2591">
        <v>41600</v>
      </c>
      <c r="W2591">
        <v>1.5</v>
      </c>
      <c r="X2591" t="s">
        <v>449</v>
      </c>
      <c r="Y2591" t="s">
        <v>127</v>
      </c>
      <c r="AA2591" t="s">
        <v>10974</v>
      </c>
      <c r="AB2591" t="s">
        <v>449</v>
      </c>
      <c r="AD2591" t="s">
        <v>11086</v>
      </c>
      <c r="AF2591" t="s">
        <v>11119</v>
      </c>
      <c r="AH2591" t="s">
        <v>10975</v>
      </c>
      <c r="AJ2591" t="s">
        <v>11130</v>
      </c>
      <c r="AK2591" t="s">
        <v>7225</v>
      </c>
      <c r="AM2591">
        <v>2091.32</v>
      </c>
      <c r="AO2591">
        <v>37</v>
      </c>
      <c r="AQ2591" t="s">
        <v>11157</v>
      </c>
      <c r="AS2591" t="s">
        <v>11173</v>
      </c>
      <c r="AU2591">
        <v>9</v>
      </c>
      <c r="AW2591" t="s">
        <v>11187</v>
      </c>
      <c r="BA2591" t="s">
        <v>11222</v>
      </c>
      <c r="BE2591" t="s">
        <v>13167</v>
      </c>
      <c r="BF2591" t="s">
        <v>14364</v>
      </c>
      <c r="BM2591" t="s">
        <v>15651</v>
      </c>
      <c r="BN2591" t="s">
        <v>15652</v>
      </c>
      <c r="BO2591" t="s">
        <v>15685</v>
      </c>
    </row>
    <row r="2592" spans="1:67">
      <c r="A2592" s="1">
        <f>HYPERLINK("https://lsnyc.legalserver.org/matter/dynamic-profile/view/1846641","17-1846641")</f>
        <v>0</v>
      </c>
      <c r="B2592" t="s">
        <v>160</v>
      </c>
      <c r="C2592" t="s">
        <v>245</v>
      </c>
      <c r="D2592" t="s">
        <v>898</v>
      </c>
      <c r="F2592" t="s">
        <v>1093</v>
      </c>
      <c r="G2592" t="s">
        <v>2877</v>
      </c>
      <c r="H2592" t="s">
        <v>4771</v>
      </c>
      <c r="I2592" t="s">
        <v>6403</v>
      </c>
      <c r="J2592" t="s">
        <v>7169</v>
      </c>
      <c r="K2592">
        <v>10040</v>
      </c>
      <c r="N2592" t="s">
        <v>7237</v>
      </c>
      <c r="O2592" t="s">
        <v>8925</v>
      </c>
      <c r="P2592">
        <v>1</v>
      </c>
      <c r="Q2592">
        <v>0</v>
      </c>
      <c r="R2592">
        <v>118.57</v>
      </c>
      <c r="S2592" t="s">
        <v>10267</v>
      </c>
      <c r="U2592">
        <v>14300</v>
      </c>
      <c r="W2592">
        <v>3.3</v>
      </c>
      <c r="X2592" t="s">
        <v>634</v>
      </c>
      <c r="Y2592" t="s">
        <v>127</v>
      </c>
      <c r="AA2592" t="s">
        <v>10974</v>
      </c>
      <c r="AB2592" t="s">
        <v>898</v>
      </c>
      <c r="AD2592" t="s">
        <v>11101</v>
      </c>
      <c r="AF2592" t="s">
        <v>11118</v>
      </c>
      <c r="AH2592" t="s">
        <v>10975</v>
      </c>
      <c r="AJ2592" t="s">
        <v>11130</v>
      </c>
      <c r="AK2592" t="s">
        <v>7225</v>
      </c>
      <c r="AM2592">
        <v>1447</v>
      </c>
      <c r="AO2592">
        <v>42</v>
      </c>
      <c r="AQ2592" t="s">
        <v>11157</v>
      </c>
      <c r="AS2592" t="s">
        <v>11174</v>
      </c>
      <c r="AU2592">
        <v>24</v>
      </c>
      <c r="AW2592" t="s">
        <v>11189</v>
      </c>
      <c r="AZ2592" t="s">
        <v>11221</v>
      </c>
      <c r="BE2592" t="s">
        <v>13168</v>
      </c>
      <c r="BF2592" t="s">
        <v>14364</v>
      </c>
      <c r="BM2592" t="s">
        <v>15650</v>
      </c>
    </row>
    <row r="2593" spans="1:65">
      <c r="A2593" s="1">
        <f>HYPERLINK("https://lsnyc.legalserver.org/matter/dynamic-profile/view/1873837","18-1873837")</f>
        <v>0</v>
      </c>
      <c r="B2593" t="s">
        <v>160</v>
      </c>
      <c r="C2593" t="s">
        <v>245</v>
      </c>
      <c r="D2593" t="s">
        <v>891</v>
      </c>
      <c r="E2593" t="s">
        <v>262</v>
      </c>
      <c r="F2593" t="s">
        <v>2181</v>
      </c>
      <c r="G2593" t="s">
        <v>3032</v>
      </c>
      <c r="H2593" t="s">
        <v>4766</v>
      </c>
      <c r="I2593" t="s">
        <v>6886</v>
      </c>
      <c r="J2593" t="s">
        <v>7169</v>
      </c>
      <c r="K2593">
        <v>10033</v>
      </c>
      <c r="L2593" t="s">
        <v>7221</v>
      </c>
      <c r="N2593" t="s">
        <v>7237</v>
      </c>
      <c r="O2593" t="s">
        <v>8926</v>
      </c>
      <c r="P2593">
        <v>3</v>
      </c>
      <c r="Q2593">
        <v>0</v>
      </c>
      <c r="R2593">
        <v>241.1</v>
      </c>
      <c r="U2593">
        <v>50100</v>
      </c>
      <c r="W2593">
        <v>41.9</v>
      </c>
      <c r="X2593" t="s">
        <v>293</v>
      </c>
      <c r="Y2593" t="s">
        <v>127</v>
      </c>
      <c r="AA2593" t="s">
        <v>10974</v>
      </c>
      <c r="AB2593" t="s">
        <v>891</v>
      </c>
      <c r="AD2593" t="s">
        <v>11101</v>
      </c>
      <c r="AF2593" t="s">
        <v>11118</v>
      </c>
      <c r="AH2593" t="s">
        <v>10974</v>
      </c>
      <c r="AJ2593" t="s">
        <v>11134</v>
      </c>
      <c r="AK2593" t="s">
        <v>7225</v>
      </c>
      <c r="AM2593">
        <v>1431.7</v>
      </c>
      <c r="AO2593">
        <v>232</v>
      </c>
      <c r="AQ2593" t="s">
        <v>11157</v>
      </c>
      <c r="AS2593" t="s">
        <v>11173</v>
      </c>
      <c r="AU2593">
        <v>24</v>
      </c>
      <c r="AW2593" t="s">
        <v>11187</v>
      </c>
      <c r="BA2593" t="s">
        <v>11222</v>
      </c>
      <c r="BE2593" t="s">
        <v>13169</v>
      </c>
      <c r="BF2593" t="s">
        <v>14364</v>
      </c>
      <c r="BJ2593" t="s">
        <v>15615</v>
      </c>
      <c r="BM2593" t="s">
        <v>15651</v>
      </c>
    </row>
    <row r="2594" spans="1:65">
      <c r="A2594" s="1">
        <f>HYPERLINK("https://lsnyc.legalserver.org/matter/dynamic-profile/view/1873802","18-1873802")</f>
        <v>0</v>
      </c>
      <c r="B2594" t="s">
        <v>160</v>
      </c>
      <c r="C2594" t="s">
        <v>245</v>
      </c>
      <c r="D2594" t="s">
        <v>891</v>
      </c>
      <c r="E2594" t="s">
        <v>262</v>
      </c>
      <c r="F2594" t="s">
        <v>2182</v>
      </c>
      <c r="G2594" t="s">
        <v>3988</v>
      </c>
      <c r="H2594" t="s">
        <v>4766</v>
      </c>
      <c r="I2594" t="s">
        <v>6887</v>
      </c>
      <c r="J2594" t="s">
        <v>7169</v>
      </c>
      <c r="K2594">
        <v>10033</v>
      </c>
      <c r="L2594" t="s">
        <v>7221</v>
      </c>
      <c r="N2594" t="s">
        <v>7237</v>
      </c>
      <c r="O2594" t="s">
        <v>8927</v>
      </c>
      <c r="P2594">
        <v>3</v>
      </c>
      <c r="Q2594">
        <v>2</v>
      </c>
      <c r="R2594">
        <v>47.59</v>
      </c>
      <c r="U2594">
        <v>14000</v>
      </c>
      <c r="W2594">
        <v>0.2</v>
      </c>
      <c r="X2594" t="s">
        <v>293</v>
      </c>
      <c r="Y2594" t="s">
        <v>127</v>
      </c>
      <c r="AA2594" t="s">
        <v>10974</v>
      </c>
      <c r="AB2594" t="s">
        <v>891</v>
      </c>
      <c r="AD2594" t="s">
        <v>11101</v>
      </c>
      <c r="AF2594" t="s">
        <v>11118</v>
      </c>
      <c r="AH2594" t="s">
        <v>10974</v>
      </c>
      <c r="AJ2594" t="s">
        <v>11134</v>
      </c>
      <c r="AK2594" t="s">
        <v>7225</v>
      </c>
      <c r="AL2594" t="s">
        <v>11150</v>
      </c>
      <c r="AM2594">
        <v>0</v>
      </c>
      <c r="AO2594">
        <v>232</v>
      </c>
      <c r="AQ2594" t="s">
        <v>11157</v>
      </c>
      <c r="AS2594" t="s">
        <v>11173</v>
      </c>
      <c r="AU2594">
        <v>15</v>
      </c>
      <c r="AW2594" t="s">
        <v>11189</v>
      </c>
      <c r="AZ2594" t="s">
        <v>11221</v>
      </c>
      <c r="BD2594" t="s">
        <v>11667</v>
      </c>
      <c r="BF2594" t="s">
        <v>14364</v>
      </c>
      <c r="BJ2594" t="s">
        <v>15615</v>
      </c>
      <c r="BM2594" t="s">
        <v>15651</v>
      </c>
    </row>
    <row r="2595" spans="1:65">
      <c r="A2595" s="1">
        <f>HYPERLINK("https://lsnyc.legalserver.org/matter/dynamic-profile/view/1853494","17-1853494")</f>
        <v>0</v>
      </c>
      <c r="B2595" t="s">
        <v>160</v>
      </c>
      <c r="C2595" t="s">
        <v>245</v>
      </c>
      <c r="D2595" t="s">
        <v>734</v>
      </c>
      <c r="F2595" t="s">
        <v>1177</v>
      </c>
      <c r="G2595" t="s">
        <v>3989</v>
      </c>
      <c r="H2595" t="s">
        <v>5648</v>
      </c>
      <c r="I2595">
        <v>21</v>
      </c>
      <c r="J2595" t="s">
        <v>7169</v>
      </c>
      <c r="K2595">
        <v>10034</v>
      </c>
      <c r="N2595" t="s">
        <v>7237</v>
      </c>
      <c r="O2595" t="s">
        <v>8928</v>
      </c>
      <c r="P2595">
        <v>3</v>
      </c>
      <c r="Q2595">
        <v>0</v>
      </c>
      <c r="R2595">
        <v>73.45999999999999</v>
      </c>
      <c r="U2595">
        <v>15000</v>
      </c>
      <c r="V2595" t="s">
        <v>10506</v>
      </c>
      <c r="W2595">
        <v>210.95</v>
      </c>
      <c r="X2595" t="s">
        <v>548</v>
      </c>
      <c r="Y2595" t="s">
        <v>127</v>
      </c>
      <c r="AA2595" t="s">
        <v>10974</v>
      </c>
      <c r="AB2595" t="s">
        <v>734</v>
      </c>
      <c r="AD2595" t="s">
        <v>11083</v>
      </c>
      <c r="AF2595" t="s">
        <v>11118</v>
      </c>
      <c r="AH2595" t="s">
        <v>10975</v>
      </c>
      <c r="AJ2595" t="s">
        <v>11130</v>
      </c>
      <c r="AK2595" t="s">
        <v>7225</v>
      </c>
      <c r="AM2595">
        <v>940</v>
      </c>
      <c r="AO2595">
        <v>25</v>
      </c>
      <c r="AQ2595" t="s">
        <v>11157</v>
      </c>
      <c r="AS2595" t="s">
        <v>11173</v>
      </c>
      <c r="AU2595">
        <v>45</v>
      </c>
      <c r="AW2595" t="s">
        <v>11187</v>
      </c>
      <c r="AZ2595" t="s">
        <v>11221</v>
      </c>
      <c r="BD2595" t="s">
        <v>11667</v>
      </c>
      <c r="BG2595" t="s">
        <v>15018</v>
      </c>
      <c r="BM2595" t="s">
        <v>15650</v>
      </c>
    </row>
    <row r="2596" spans="1:65">
      <c r="A2596" s="1">
        <f>HYPERLINK("https://lsnyc.legalserver.org/matter/dynamic-profile/view/1866560","18-1866560")</f>
        <v>0</v>
      </c>
      <c r="B2596" t="s">
        <v>160</v>
      </c>
      <c r="C2596" t="s">
        <v>245</v>
      </c>
      <c r="D2596" t="s">
        <v>757</v>
      </c>
      <c r="F2596" t="s">
        <v>1549</v>
      </c>
      <c r="G2596" t="s">
        <v>3794</v>
      </c>
      <c r="H2596" t="s">
        <v>5471</v>
      </c>
      <c r="I2596" t="s">
        <v>6412</v>
      </c>
      <c r="J2596" t="s">
        <v>7169</v>
      </c>
      <c r="K2596">
        <v>10034</v>
      </c>
      <c r="N2596" t="s">
        <v>7237</v>
      </c>
      <c r="O2596" t="s">
        <v>8571</v>
      </c>
      <c r="P2596">
        <v>1</v>
      </c>
      <c r="Q2596">
        <v>1</v>
      </c>
      <c r="R2596">
        <v>126.37</v>
      </c>
      <c r="U2596">
        <v>20800</v>
      </c>
      <c r="W2596">
        <v>345.9</v>
      </c>
      <c r="X2596" t="s">
        <v>497</v>
      </c>
      <c r="Y2596" t="s">
        <v>127</v>
      </c>
      <c r="AA2596" t="s">
        <v>10974</v>
      </c>
      <c r="AB2596" t="s">
        <v>757</v>
      </c>
      <c r="AD2596" t="s">
        <v>11083</v>
      </c>
      <c r="AF2596" t="s">
        <v>11118</v>
      </c>
      <c r="AH2596" t="s">
        <v>10975</v>
      </c>
      <c r="AJ2596" t="s">
        <v>11129</v>
      </c>
      <c r="AK2596" t="s">
        <v>7225</v>
      </c>
      <c r="AM2596">
        <v>855.5599999999999</v>
      </c>
      <c r="AO2596">
        <v>31</v>
      </c>
      <c r="AQ2596" t="s">
        <v>11157</v>
      </c>
      <c r="AS2596" t="s">
        <v>11173</v>
      </c>
      <c r="AU2596">
        <v>32</v>
      </c>
      <c r="AW2596" t="s">
        <v>11187</v>
      </c>
      <c r="AZ2596" t="s">
        <v>11221</v>
      </c>
      <c r="BE2596" t="s">
        <v>12845</v>
      </c>
      <c r="BF2596" t="s">
        <v>14364</v>
      </c>
      <c r="BM2596" t="s">
        <v>15650</v>
      </c>
    </row>
    <row r="2597" spans="1:65">
      <c r="A2597" s="1">
        <f>HYPERLINK("https://lsnyc.legalserver.org/matter/dynamic-profile/view/1880701","18-1880701")</f>
        <v>0</v>
      </c>
      <c r="B2597" t="s">
        <v>161</v>
      </c>
      <c r="C2597" t="s">
        <v>248</v>
      </c>
      <c r="D2597" t="s">
        <v>323</v>
      </c>
      <c r="F2597" t="s">
        <v>1858</v>
      </c>
      <c r="G2597" t="s">
        <v>3990</v>
      </c>
      <c r="H2597" t="s">
        <v>5649</v>
      </c>
      <c r="I2597" t="s">
        <v>6493</v>
      </c>
      <c r="J2597" t="s">
        <v>7174</v>
      </c>
      <c r="K2597">
        <v>11221</v>
      </c>
      <c r="N2597" t="s">
        <v>7237</v>
      </c>
      <c r="O2597" t="s">
        <v>7930</v>
      </c>
      <c r="P2597">
        <v>1</v>
      </c>
      <c r="Q2597">
        <v>0</v>
      </c>
      <c r="R2597">
        <v>57.66</v>
      </c>
      <c r="U2597">
        <v>7000</v>
      </c>
      <c r="W2597">
        <v>12.95</v>
      </c>
      <c r="X2597" t="s">
        <v>785</v>
      </c>
      <c r="Y2597" t="s">
        <v>10913</v>
      </c>
      <c r="AA2597" t="s">
        <v>10974</v>
      </c>
      <c r="AB2597" t="s">
        <v>323</v>
      </c>
      <c r="AD2597" t="s">
        <v>11101</v>
      </c>
      <c r="AF2597" t="s">
        <v>11118</v>
      </c>
      <c r="AG2597" t="s">
        <v>11124</v>
      </c>
      <c r="AI2597" t="s">
        <v>11126</v>
      </c>
      <c r="AK2597" t="s">
        <v>7225</v>
      </c>
      <c r="AM2597">
        <v>640</v>
      </c>
      <c r="AO2597">
        <v>7</v>
      </c>
      <c r="AP2597" t="s">
        <v>11155</v>
      </c>
      <c r="AS2597" t="s">
        <v>11173</v>
      </c>
      <c r="AU2597">
        <v>18</v>
      </c>
      <c r="AW2597" t="s">
        <v>11187</v>
      </c>
      <c r="AZ2597" t="s">
        <v>11221</v>
      </c>
      <c r="BD2597" t="s">
        <v>11667</v>
      </c>
      <c r="BG2597" t="s">
        <v>15019</v>
      </c>
      <c r="BM2597" t="s">
        <v>15650</v>
      </c>
    </row>
    <row r="2598" spans="1:65">
      <c r="A2598" s="1">
        <f>HYPERLINK("https://lsnyc.legalserver.org/matter/dynamic-profile/view/1880686","18-1880686")</f>
        <v>0</v>
      </c>
      <c r="B2598" t="s">
        <v>161</v>
      </c>
      <c r="C2598" t="s">
        <v>248</v>
      </c>
      <c r="D2598" t="s">
        <v>323</v>
      </c>
      <c r="F2598" t="s">
        <v>1473</v>
      </c>
      <c r="G2598" t="s">
        <v>1187</v>
      </c>
      <c r="H2598" t="s">
        <v>5649</v>
      </c>
      <c r="I2598" t="s">
        <v>6464</v>
      </c>
      <c r="J2598" t="s">
        <v>7174</v>
      </c>
      <c r="K2598">
        <v>11221</v>
      </c>
      <c r="N2598" t="s">
        <v>7237</v>
      </c>
      <c r="O2598" t="s">
        <v>8929</v>
      </c>
      <c r="P2598">
        <v>1</v>
      </c>
      <c r="Q2598">
        <v>0</v>
      </c>
      <c r="R2598">
        <v>197.03</v>
      </c>
      <c r="U2598">
        <v>23920</v>
      </c>
      <c r="W2598">
        <v>0.3</v>
      </c>
      <c r="X2598" t="s">
        <v>583</v>
      </c>
      <c r="Y2598" t="s">
        <v>10913</v>
      </c>
      <c r="AA2598" t="s">
        <v>10974</v>
      </c>
      <c r="AB2598" t="s">
        <v>547</v>
      </c>
      <c r="AD2598" t="s">
        <v>11101</v>
      </c>
      <c r="AF2598" t="s">
        <v>11118</v>
      </c>
      <c r="AG2598" t="s">
        <v>11124</v>
      </c>
      <c r="AJ2598" t="s">
        <v>11129</v>
      </c>
      <c r="AK2598" t="s">
        <v>7225</v>
      </c>
      <c r="AM2598">
        <v>130</v>
      </c>
      <c r="AO2598">
        <v>7</v>
      </c>
      <c r="AP2598" t="s">
        <v>11155</v>
      </c>
      <c r="AR2598" t="s">
        <v>11172</v>
      </c>
      <c r="AU2598">
        <v>31</v>
      </c>
      <c r="AW2598" t="s">
        <v>11187</v>
      </c>
      <c r="BA2598" t="s">
        <v>11222</v>
      </c>
      <c r="BE2598" t="s">
        <v>13170</v>
      </c>
      <c r="BG2598" t="s">
        <v>15019</v>
      </c>
      <c r="BM2598" t="s">
        <v>15650</v>
      </c>
    </row>
    <row r="2599" spans="1:65">
      <c r="A2599" s="1">
        <f>HYPERLINK("https://lsnyc.legalserver.org/matter/dynamic-profile/view/1880673","18-1880673")</f>
        <v>0</v>
      </c>
      <c r="B2599" t="s">
        <v>161</v>
      </c>
      <c r="C2599" t="s">
        <v>248</v>
      </c>
      <c r="D2599" t="s">
        <v>323</v>
      </c>
      <c r="F2599" t="s">
        <v>2170</v>
      </c>
      <c r="G2599" t="s">
        <v>3991</v>
      </c>
      <c r="H2599" t="s">
        <v>5649</v>
      </c>
      <c r="I2599" t="s">
        <v>6888</v>
      </c>
      <c r="J2599" t="s">
        <v>7174</v>
      </c>
      <c r="K2599">
        <v>11221</v>
      </c>
      <c r="N2599" t="s">
        <v>7237</v>
      </c>
      <c r="O2599" t="s">
        <v>8930</v>
      </c>
      <c r="P2599">
        <v>1</v>
      </c>
      <c r="Q2599">
        <v>1</v>
      </c>
      <c r="R2599">
        <v>0</v>
      </c>
      <c r="U2599">
        <v>0</v>
      </c>
      <c r="W2599">
        <v>26.2</v>
      </c>
      <c r="X2599" t="s">
        <v>550</v>
      </c>
      <c r="Y2599" t="s">
        <v>10913</v>
      </c>
      <c r="AA2599" t="s">
        <v>10974</v>
      </c>
      <c r="AB2599" t="s">
        <v>323</v>
      </c>
      <c r="AD2599" t="s">
        <v>11101</v>
      </c>
      <c r="AF2599" t="s">
        <v>11118</v>
      </c>
      <c r="AH2599" t="s">
        <v>10974</v>
      </c>
      <c r="AJ2599" t="s">
        <v>11129</v>
      </c>
      <c r="AK2599" t="s">
        <v>7225</v>
      </c>
      <c r="AL2599" t="s">
        <v>11150</v>
      </c>
      <c r="AM2599">
        <v>0</v>
      </c>
      <c r="AO2599">
        <v>7</v>
      </c>
      <c r="AP2599" t="s">
        <v>11155</v>
      </c>
      <c r="AR2599" t="s">
        <v>11172</v>
      </c>
      <c r="AU2599">
        <v>13</v>
      </c>
      <c r="AW2599" t="s">
        <v>11187</v>
      </c>
      <c r="AZ2599" t="s">
        <v>11221</v>
      </c>
      <c r="BE2599" t="s">
        <v>13171</v>
      </c>
      <c r="BG2599" t="s">
        <v>15019</v>
      </c>
      <c r="BM2599" t="s">
        <v>15650</v>
      </c>
    </row>
    <row r="2600" spans="1:65">
      <c r="A2600" s="1">
        <f>HYPERLINK("https://lsnyc.legalserver.org/matter/dynamic-profile/view/1880693","18-1880693")</f>
        <v>0</v>
      </c>
      <c r="B2600" t="s">
        <v>161</v>
      </c>
      <c r="C2600" t="s">
        <v>248</v>
      </c>
      <c r="D2600" t="s">
        <v>323</v>
      </c>
      <c r="F2600" t="s">
        <v>2183</v>
      </c>
      <c r="G2600" t="s">
        <v>3386</v>
      </c>
      <c r="H2600" t="s">
        <v>5649</v>
      </c>
      <c r="I2600">
        <v>1</v>
      </c>
      <c r="J2600" t="s">
        <v>7174</v>
      </c>
      <c r="K2600">
        <v>11221</v>
      </c>
      <c r="N2600" t="s">
        <v>7237</v>
      </c>
      <c r="O2600" t="s">
        <v>8931</v>
      </c>
      <c r="P2600">
        <v>1</v>
      </c>
      <c r="Q2600">
        <v>0</v>
      </c>
      <c r="R2600">
        <v>181.22</v>
      </c>
      <c r="U2600">
        <v>22000</v>
      </c>
      <c r="W2600">
        <v>43.2</v>
      </c>
      <c r="X2600" t="s">
        <v>604</v>
      </c>
      <c r="Y2600" t="s">
        <v>10913</v>
      </c>
      <c r="AA2600" t="s">
        <v>10974</v>
      </c>
      <c r="AB2600" t="s">
        <v>323</v>
      </c>
      <c r="AD2600" t="s">
        <v>11101</v>
      </c>
      <c r="AF2600" t="s">
        <v>11118</v>
      </c>
      <c r="AG2600" t="s">
        <v>11124</v>
      </c>
      <c r="AJ2600" t="s">
        <v>11129</v>
      </c>
      <c r="AK2600" t="s">
        <v>7225</v>
      </c>
      <c r="AM2600">
        <v>1000</v>
      </c>
      <c r="AO2600">
        <v>7</v>
      </c>
      <c r="AP2600" t="s">
        <v>11155</v>
      </c>
      <c r="AS2600" t="s">
        <v>11173</v>
      </c>
      <c r="AU2600">
        <v>1</v>
      </c>
      <c r="AW2600" t="s">
        <v>11187</v>
      </c>
      <c r="AZ2600" t="s">
        <v>11221</v>
      </c>
      <c r="BE2600" t="s">
        <v>13172</v>
      </c>
      <c r="BG2600" t="s">
        <v>15019</v>
      </c>
      <c r="BM2600" t="s">
        <v>15650</v>
      </c>
    </row>
    <row r="2601" spans="1:65">
      <c r="A2601" s="1">
        <f>HYPERLINK("https://lsnyc.legalserver.org/matter/dynamic-profile/view/1880682","18-1880682")</f>
        <v>0</v>
      </c>
      <c r="B2601" t="s">
        <v>161</v>
      </c>
      <c r="C2601" t="s">
        <v>248</v>
      </c>
      <c r="D2601" t="s">
        <v>323</v>
      </c>
      <c r="F2601" t="s">
        <v>1704</v>
      </c>
      <c r="G2601" t="s">
        <v>3992</v>
      </c>
      <c r="H2601" t="s">
        <v>5649</v>
      </c>
      <c r="I2601" t="s">
        <v>6464</v>
      </c>
      <c r="J2601" t="s">
        <v>7174</v>
      </c>
      <c r="K2601">
        <v>11221</v>
      </c>
      <c r="N2601" t="s">
        <v>7237</v>
      </c>
      <c r="O2601" t="s">
        <v>8932</v>
      </c>
      <c r="P2601">
        <v>1</v>
      </c>
      <c r="Q2601">
        <v>0</v>
      </c>
      <c r="R2601">
        <v>164.05</v>
      </c>
      <c r="U2601">
        <v>19916</v>
      </c>
      <c r="W2601">
        <v>0</v>
      </c>
      <c r="Y2601" t="s">
        <v>10913</v>
      </c>
      <c r="AA2601" t="s">
        <v>10974</v>
      </c>
      <c r="AB2601" t="s">
        <v>323</v>
      </c>
      <c r="AD2601" t="s">
        <v>11101</v>
      </c>
      <c r="AF2601" t="s">
        <v>11118</v>
      </c>
      <c r="AG2601" t="s">
        <v>11124</v>
      </c>
      <c r="AJ2601" t="s">
        <v>11129</v>
      </c>
      <c r="AK2601" t="s">
        <v>7225</v>
      </c>
      <c r="AM2601">
        <v>750</v>
      </c>
      <c r="AO2601">
        <v>7</v>
      </c>
      <c r="AP2601" t="s">
        <v>11155</v>
      </c>
      <c r="AS2601" t="s">
        <v>11173</v>
      </c>
      <c r="AU2601">
        <v>23</v>
      </c>
      <c r="AW2601" t="s">
        <v>11187</v>
      </c>
      <c r="AZ2601" t="s">
        <v>11221</v>
      </c>
      <c r="BE2601" t="s">
        <v>13173</v>
      </c>
      <c r="BG2601" t="s">
        <v>15019</v>
      </c>
      <c r="BM2601" t="s">
        <v>15650</v>
      </c>
    </row>
    <row r="2602" spans="1:65">
      <c r="A2602" s="1">
        <f>HYPERLINK("https://lsnyc.legalserver.org/matter/dynamic-profile/view/0797954","16-0797954")</f>
        <v>0</v>
      </c>
      <c r="B2602" t="s">
        <v>161</v>
      </c>
      <c r="C2602" t="s">
        <v>248</v>
      </c>
      <c r="D2602" t="s">
        <v>899</v>
      </c>
      <c r="F2602" t="s">
        <v>1388</v>
      </c>
      <c r="G2602" t="s">
        <v>3993</v>
      </c>
      <c r="H2602" t="s">
        <v>5650</v>
      </c>
      <c r="I2602">
        <v>6</v>
      </c>
      <c r="J2602" t="s">
        <v>7174</v>
      </c>
      <c r="K2602">
        <v>11203</v>
      </c>
      <c r="M2602" t="s">
        <v>7226</v>
      </c>
      <c r="N2602" t="s">
        <v>7237</v>
      </c>
      <c r="O2602" t="s">
        <v>8933</v>
      </c>
      <c r="P2602">
        <v>4</v>
      </c>
      <c r="Q2602">
        <v>3</v>
      </c>
      <c r="R2602">
        <v>81.7</v>
      </c>
      <c r="U2602">
        <v>30000</v>
      </c>
      <c r="W2602">
        <v>105.8</v>
      </c>
      <c r="X2602" t="s">
        <v>583</v>
      </c>
      <c r="Y2602" t="s">
        <v>10909</v>
      </c>
      <c r="AA2602" t="s">
        <v>10974</v>
      </c>
      <c r="AB2602" t="s">
        <v>10982</v>
      </c>
      <c r="AD2602" t="s">
        <v>11083</v>
      </c>
      <c r="AF2602" t="s">
        <v>11118</v>
      </c>
      <c r="AG2602" t="s">
        <v>11124</v>
      </c>
      <c r="AJ2602" t="s">
        <v>11129</v>
      </c>
      <c r="AK2602" t="s">
        <v>7225</v>
      </c>
      <c r="AM2602">
        <v>639.4</v>
      </c>
      <c r="AO2602">
        <v>6</v>
      </c>
      <c r="AQ2602" t="s">
        <v>11157</v>
      </c>
      <c r="AS2602" t="s">
        <v>11173</v>
      </c>
      <c r="AU2602">
        <v>42</v>
      </c>
      <c r="AW2602" t="s">
        <v>11187</v>
      </c>
      <c r="AZ2602" t="s">
        <v>11221</v>
      </c>
      <c r="BE2602" t="s">
        <v>13174</v>
      </c>
      <c r="BG2602" t="s">
        <v>15020</v>
      </c>
      <c r="BM2602" t="s">
        <v>15650</v>
      </c>
    </row>
    <row r="2603" spans="1:65">
      <c r="A2603" s="1">
        <f>HYPERLINK("https://lsnyc.legalserver.org/matter/dynamic-profile/view/1879107","18-1879107")</f>
        <v>0</v>
      </c>
      <c r="B2603" t="s">
        <v>162</v>
      </c>
      <c r="C2603" t="s">
        <v>248</v>
      </c>
      <c r="D2603" t="s">
        <v>900</v>
      </c>
      <c r="F2603" t="s">
        <v>2184</v>
      </c>
      <c r="G2603" t="s">
        <v>3994</v>
      </c>
      <c r="H2603" t="s">
        <v>5036</v>
      </c>
      <c r="I2603" t="s">
        <v>6585</v>
      </c>
      <c r="J2603" t="s">
        <v>7174</v>
      </c>
      <c r="K2603">
        <v>11230</v>
      </c>
      <c r="M2603" t="s">
        <v>7227</v>
      </c>
      <c r="N2603" t="s">
        <v>7237</v>
      </c>
      <c r="O2603" t="s">
        <v>8934</v>
      </c>
      <c r="P2603">
        <v>2</v>
      </c>
      <c r="Q2603">
        <v>0</v>
      </c>
      <c r="R2603">
        <v>32.59</v>
      </c>
      <c r="U2603">
        <v>5364</v>
      </c>
      <c r="W2603">
        <v>0.9</v>
      </c>
      <c r="X2603" t="s">
        <v>552</v>
      </c>
      <c r="Y2603" t="s">
        <v>162</v>
      </c>
      <c r="AA2603" t="s">
        <v>10974</v>
      </c>
      <c r="AB2603" t="s">
        <v>473</v>
      </c>
      <c r="AD2603" t="s">
        <v>11086</v>
      </c>
      <c r="AF2603" t="s">
        <v>11120</v>
      </c>
      <c r="AH2603" t="s">
        <v>10974</v>
      </c>
      <c r="AI2603" t="s">
        <v>11126</v>
      </c>
      <c r="AK2603" t="s">
        <v>7225</v>
      </c>
      <c r="AL2603" t="s">
        <v>11150</v>
      </c>
      <c r="AM2603">
        <v>0</v>
      </c>
      <c r="AN2603" t="s">
        <v>11151</v>
      </c>
      <c r="AO2603" t="s">
        <v>11153</v>
      </c>
      <c r="AP2603" t="s">
        <v>11155</v>
      </c>
      <c r="AR2603" t="s">
        <v>11172</v>
      </c>
      <c r="AT2603" t="s">
        <v>11184</v>
      </c>
      <c r="AU2603">
        <v>0</v>
      </c>
      <c r="AW2603" t="s">
        <v>11187</v>
      </c>
      <c r="AZ2603" t="s">
        <v>11221</v>
      </c>
      <c r="BD2603" t="s">
        <v>11667</v>
      </c>
      <c r="BF2603" t="s">
        <v>14364</v>
      </c>
      <c r="BM2603" t="s">
        <v>15650</v>
      </c>
    </row>
    <row r="2604" spans="1:65">
      <c r="A2604" s="1">
        <f>HYPERLINK("https://lsnyc.legalserver.org/matter/dynamic-profile/view/0806801","16-0806801")</f>
        <v>0</v>
      </c>
      <c r="B2604" t="s">
        <v>162</v>
      </c>
      <c r="C2604" t="s">
        <v>248</v>
      </c>
      <c r="D2604" t="s">
        <v>901</v>
      </c>
      <c r="F2604" t="s">
        <v>2185</v>
      </c>
      <c r="G2604" t="s">
        <v>2146</v>
      </c>
      <c r="H2604" t="s">
        <v>5651</v>
      </c>
      <c r="I2604" t="s">
        <v>6700</v>
      </c>
      <c r="J2604" t="s">
        <v>7174</v>
      </c>
      <c r="K2604">
        <v>11208</v>
      </c>
      <c r="N2604" t="s">
        <v>7238</v>
      </c>
      <c r="O2604" t="s">
        <v>8935</v>
      </c>
      <c r="P2604">
        <v>3</v>
      </c>
      <c r="Q2604">
        <v>1</v>
      </c>
      <c r="R2604">
        <v>138.27</v>
      </c>
      <c r="U2604">
        <v>33600</v>
      </c>
      <c r="W2604">
        <v>177.32</v>
      </c>
      <c r="X2604" t="s">
        <v>677</v>
      </c>
      <c r="Y2604" t="s">
        <v>10944</v>
      </c>
      <c r="AA2604" t="s">
        <v>10974</v>
      </c>
      <c r="AB2604" t="s">
        <v>901</v>
      </c>
      <c r="AD2604" t="s">
        <v>11083</v>
      </c>
      <c r="AF2604" t="s">
        <v>11118</v>
      </c>
      <c r="AG2604" t="s">
        <v>11124</v>
      </c>
      <c r="AJ2604" t="s">
        <v>11134</v>
      </c>
      <c r="AK2604" t="s">
        <v>7225</v>
      </c>
      <c r="AM2604">
        <v>878</v>
      </c>
      <c r="AO2604">
        <v>176</v>
      </c>
      <c r="AP2604" t="s">
        <v>11155</v>
      </c>
      <c r="AS2604" t="s">
        <v>11173</v>
      </c>
      <c r="AU2604">
        <v>5</v>
      </c>
      <c r="AW2604" t="s">
        <v>11187</v>
      </c>
      <c r="AZ2604" t="s">
        <v>11221</v>
      </c>
      <c r="BE2604" t="s">
        <v>13175</v>
      </c>
      <c r="BG2604" t="s">
        <v>15021</v>
      </c>
      <c r="BM2604" t="s">
        <v>15650</v>
      </c>
    </row>
    <row r="2605" spans="1:65">
      <c r="A2605" s="1">
        <f>HYPERLINK("https://lsnyc.legalserver.org/matter/dynamic-profile/view/1854384","17-1854384")</f>
        <v>0</v>
      </c>
      <c r="B2605" t="s">
        <v>163</v>
      </c>
      <c r="C2605" t="s">
        <v>245</v>
      </c>
      <c r="D2605" t="s">
        <v>902</v>
      </c>
      <c r="F2605" t="s">
        <v>1844</v>
      </c>
      <c r="G2605" t="s">
        <v>3995</v>
      </c>
      <c r="H2605" t="s">
        <v>5652</v>
      </c>
      <c r="I2605">
        <v>2501</v>
      </c>
      <c r="J2605" t="s">
        <v>7169</v>
      </c>
      <c r="K2605">
        <v>10035</v>
      </c>
      <c r="N2605" t="s">
        <v>7237</v>
      </c>
      <c r="O2605" t="s">
        <v>8936</v>
      </c>
      <c r="P2605">
        <v>3</v>
      </c>
      <c r="Q2605">
        <v>0</v>
      </c>
      <c r="R2605">
        <v>167.4</v>
      </c>
      <c r="U2605">
        <v>34184</v>
      </c>
      <c r="W2605">
        <v>140.4</v>
      </c>
      <c r="X2605" t="s">
        <v>297</v>
      </c>
      <c r="Y2605" t="s">
        <v>10860</v>
      </c>
      <c r="AA2605" t="s">
        <v>10974</v>
      </c>
      <c r="AB2605" t="s">
        <v>386</v>
      </c>
      <c r="AD2605" t="s">
        <v>11082</v>
      </c>
      <c r="AF2605" t="s">
        <v>11118</v>
      </c>
      <c r="AH2605" t="s">
        <v>10975</v>
      </c>
      <c r="AJ2605" t="s">
        <v>11130</v>
      </c>
      <c r="AK2605" t="s">
        <v>7225</v>
      </c>
      <c r="AM2605">
        <v>2942.3</v>
      </c>
      <c r="AO2605">
        <v>148</v>
      </c>
      <c r="AQ2605" t="s">
        <v>11159</v>
      </c>
      <c r="AS2605" t="s">
        <v>11174</v>
      </c>
      <c r="AU2605">
        <v>38</v>
      </c>
      <c r="AW2605" t="s">
        <v>11187</v>
      </c>
      <c r="AZ2605" t="s">
        <v>11221</v>
      </c>
      <c r="BE2605" t="s">
        <v>13176</v>
      </c>
      <c r="BG2605" t="s">
        <v>15022</v>
      </c>
      <c r="BM2605" t="s">
        <v>15650</v>
      </c>
    </row>
    <row r="2606" spans="1:65">
      <c r="A2606" s="1">
        <f>HYPERLINK("https://lsnyc.legalserver.org/matter/dynamic-profile/view/1867624","18-1867624")</f>
        <v>0</v>
      </c>
      <c r="B2606" t="s">
        <v>163</v>
      </c>
      <c r="C2606" t="s">
        <v>245</v>
      </c>
      <c r="D2606" t="s">
        <v>676</v>
      </c>
      <c r="F2606" t="s">
        <v>2138</v>
      </c>
      <c r="G2606" t="s">
        <v>3485</v>
      </c>
      <c r="H2606" t="s">
        <v>5653</v>
      </c>
      <c r="I2606">
        <v>18</v>
      </c>
      <c r="J2606" t="s">
        <v>7169</v>
      </c>
      <c r="K2606">
        <v>10035</v>
      </c>
      <c r="N2606" t="s">
        <v>7237</v>
      </c>
      <c r="O2606" t="s">
        <v>8937</v>
      </c>
      <c r="P2606">
        <v>1</v>
      </c>
      <c r="Q2606">
        <v>0</v>
      </c>
      <c r="R2606">
        <v>81.65000000000001</v>
      </c>
      <c r="U2606">
        <v>9912</v>
      </c>
      <c r="W2606">
        <v>73</v>
      </c>
      <c r="X2606" t="s">
        <v>614</v>
      </c>
      <c r="Y2606" t="s">
        <v>10859</v>
      </c>
      <c r="AA2606" t="s">
        <v>10974</v>
      </c>
      <c r="AB2606" t="s">
        <v>676</v>
      </c>
      <c r="AD2606" t="s">
        <v>11082</v>
      </c>
      <c r="AF2606" t="s">
        <v>11118</v>
      </c>
      <c r="AH2606" t="s">
        <v>10975</v>
      </c>
      <c r="AJ2606" t="s">
        <v>11130</v>
      </c>
      <c r="AK2606" t="s">
        <v>7225</v>
      </c>
      <c r="AM2606">
        <v>1687.14</v>
      </c>
      <c r="AO2606">
        <v>35</v>
      </c>
      <c r="AQ2606" t="s">
        <v>11161</v>
      </c>
      <c r="AS2606" t="s">
        <v>11174</v>
      </c>
      <c r="AU2606">
        <v>18</v>
      </c>
      <c r="AW2606" t="s">
        <v>11189</v>
      </c>
      <c r="AZ2606" t="s">
        <v>11221</v>
      </c>
      <c r="BE2606" t="s">
        <v>13177</v>
      </c>
      <c r="BG2606" t="s">
        <v>15023</v>
      </c>
      <c r="BM2606" t="s">
        <v>15650</v>
      </c>
    </row>
    <row r="2607" spans="1:65">
      <c r="A2607" s="1">
        <f>HYPERLINK("https://lsnyc.legalserver.org/matter/dynamic-profile/view/0795225","15-0795225")</f>
        <v>0</v>
      </c>
      <c r="B2607" t="s">
        <v>164</v>
      </c>
      <c r="C2607" t="s">
        <v>247</v>
      </c>
      <c r="D2607" t="s">
        <v>903</v>
      </c>
      <c r="F2607" t="s">
        <v>2186</v>
      </c>
      <c r="G2607" t="s">
        <v>3996</v>
      </c>
      <c r="H2607" t="s">
        <v>4820</v>
      </c>
      <c r="I2607" t="s">
        <v>6438</v>
      </c>
      <c r="J2607" t="s">
        <v>7173</v>
      </c>
      <c r="K2607">
        <v>11354</v>
      </c>
      <c r="N2607" t="s">
        <v>7237</v>
      </c>
      <c r="O2607" t="s">
        <v>8938</v>
      </c>
      <c r="P2607">
        <v>3</v>
      </c>
      <c r="Q2607">
        <v>0</v>
      </c>
      <c r="R2607">
        <v>164.26</v>
      </c>
      <c r="U2607">
        <v>33000</v>
      </c>
      <c r="W2607">
        <v>0.35</v>
      </c>
      <c r="X2607" t="s">
        <v>566</v>
      </c>
      <c r="Y2607" t="s">
        <v>10926</v>
      </c>
      <c r="AA2607" t="s">
        <v>10974</v>
      </c>
      <c r="AB2607" t="s">
        <v>689</v>
      </c>
      <c r="AD2607" t="s">
        <v>11096</v>
      </c>
      <c r="AF2607" t="s">
        <v>11122</v>
      </c>
      <c r="AG2607" t="s">
        <v>11124</v>
      </c>
      <c r="AJ2607" t="s">
        <v>11140</v>
      </c>
      <c r="AK2607" t="s">
        <v>7225</v>
      </c>
      <c r="AM2607">
        <v>1926</v>
      </c>
      <c r="AO2607">
        <v>175</v>
      </c>
      <c r="AQ2607" t="s">
        <v>11157</v>
      </c>
      <c r="AS2607" t="s">
        <v>11173</v>
      </c>
      <c r="AU2607">
        <v>3</v>
      </c>
      <c r="AW2607" t="s">
        <v>11189</v>
      </c>
      <c r="AZ2607" t="s">
        <v>11221</v>
      </c>
      <c r="BE2607" t="s">
        <v>13178</v>
      </c>
      <c r="BG2607" t="s">
        <v>15024</v>
      </c>
      <c r="BM2607" t="s">
        <v>15650</v>
      </c>
    </row>
    <row r="2608" spans="1:65">
      <c r="A2608" s="1">
        <f>HYPERLINK("https://lsnyc.legalserver.org/matter/dynamic-profile/view/0792808","15-0792808")</f>
        <v>0</v>
      </c>
      <c r="B2608" t="s">
        <v>164</v>
      </c>
      <c r="C2608" t="s">
        <v>247</v>
      </c>
      <c r="D2608" t="s">
        <v>904</v>
      </c>
      <c r="F2608" t="s">
        <v>2187</v>
      </c>
      <c r="G2608" t="s">
        <v>3997</v>
      </c>
      <c r="H2608" t="s">
        <v>5654</v>
      </c>
      <c r="I2608" t="s">
        <v>6889</v>
      </c>
      <c r="J2608" t="s">
        <v>7173</v>
      </c>
      <c r="K2608">
        <v>11354</v>
      </c>
      <c r="N2608" t="s">
        <v>7237</v>
      </c>
      <c r="O2608" t="s">
        <v>8939</v>
      </c>
      <c r="P2608">
        <v>2</v>
      </c>
      <c r="Q2608">
        <v>2</v>
      </c>
      <c r="R2608">
        <v>90.72</v>
      </c>
      <c r="U2608">
        <v>22000</v>
      </c>
      <c r="W2608">
        <v>0.65</v>
      </c>
      <c r="X2608" t="s">
        <v>566</v>
      </c>
      <c r="Y2608" t="s">
        <v>10928</v>
      </c>
      <c r="AA2608" t="s">
        <v>10974</v>
      </c>
      <c r="AB2608" t="s">
        <v>11051</v>
      </c>
      <c r="AD2608" t="s">
        <v>11096</v>
      </c>
      <c r="AF2608" t="s">
        <v>11122</v>
      </c>
      <c r="AG2608" t="s">
        <v>11124</v>
      </c>
      <c r="AJ2608" t="s">
        <v>11140</v>
      </c>
      <c r="AK2608" t="s">
        <v>7225</v>
      </c>
      <c r="AM2608">
        <v>1500</v>
      </c>
      <c r="AO2608">
        <v>175</v>
      </c>
      <c r="AQ2608" t="s">
        <v>11157</v>
      </c>
      <c r="AS2608" t="s">
        <v>11173</v>
      </c>
      <c r="AU2608">
        <v>5</v>
      </c>
      <c r="AW2608" t="s">
        <v>11202</v>
      </c>
      <c r="AZ2608" t="s">
        <v>11221</v>
      </c>
      <c r="BE2608" t="s">
        <v>13179</v>
      </c>
      <c r="BG2608" t="s">
        <v>15024</v>
      </c>
      <c r="BM2608" t="s">
        <v>15650</v>
      </c>
    </row>
    <row r="2609" spans="1:67">
      <c r="A2609" s="1">
        <f>HYPERLINK("https://lsnyc.legalserver.org/matter/dynamic-profile/view/0795243","15-0795243")</f>
        <v>0</v>
      </c>
      <c r="B2609" t="s">
        <v>164</v>
      </c>
      <c r="C2609" t="s">
        <v>247</v>
      </c>
      <c r="D2609" t="s">
        <v>903</v>
      </c>
      <c r="F2609" t="s">
        <v>2188</v>
      </c>
      <c r="G2609" t="s">
        <v>3998</v>
      </c>
      <c r="H2609" t="s">
        <v>4820</v>
      </c>
      <c r="I2609" t="s">
        <v>6890</v>
      </c>
      <c r="J2609" t="s">
        <v>7173</v>
      </c>
      <c r="K2609">
        <v>11354</v>
      </c>
      <c r="N2609" t="s">
        <v>7237</v>
      </c>
      <c r="O2609" t="s">
        <v>8940</v>
      </c>
      <c r="P2609">
        <v>3</v>
      </c>
      <c r="Q2609">
        <v>0</v>
      </c>
      <c r="R2609">
        <v>179.19</v>
      </c>
      <c r="U2609">
        <v>36000</v>
      </c>
      <c r="W2609">
        <v>0.35</v>
      </c>
      <c r="X2609" t="s">
        <v>566</v>
      </c>
      <c r="Y2609" t="s">
        <v>10926</v>
      </c>
      <c r="AA2609" t="s">
        <v>10974</v>
      </c>
      <c r="AB2609" t="s">
        <v>11051</v>
      </c>
      <c r="AD2609" t="s">
        <v>11096</v>
      </c>
      <c r="AF2609" t="s">
        <v>11122</v>
      </c>
      <c r="AG2609" t="s">
        <v>11124</v>
      </c>
      <c r="AJ2609" t="s">
        <v>11140</v>
      </c>
      <c r="AK2609" t="s">
        <v>7225</v>
      </c>
      <c r="AM2609">
        <v>1500</v>
      </c>
      <c r="AO2609">
        <v>175</v>
      </c>
      <c r="AQ2609" t="s">
        <v>11157</v>
      </c>
      <c r="AS2609" t="s">
        <v>11173</v>
      </c>
      <c r="AU2609">
        <v>3</v>
      </c>
      <c r="AW2609" t="s">
        <v>11190</v>
      </c>
      <c r="AZ2609" t="s">
        <v>11221</v>
      </c>
      <c r="BE2609" t="s">
        <v>13180</v>
      </c>
      <c r="BG2609" t="s">
        <v>15024</v>
      </c>
      <c r="BM2609" t="s">
        <v>15650</v>
      </c>
    </row>
    <row r="2610" spans="1:67">
      <c r="A2610" s="1">
        <f>HYPERLINK("https://lsnyc.legalserver.org/matter/dynamic-profile/view/1912568","19-1912568")</f>
        <v>0</v>
      </c>
      <c r="B2610" t="s">
        <v>164</v>
      </c>
      <c r="C2610" t="s">
        <v>247</v>
      </c>
      <c r="D2610" t="s">
        <v>599</v>
      </c>
      <c r="F2610" t="s">
        <v>2189</v>
      </c>
      <c r="G2610" t="s">
        <v>3999</v>
      </c>
      <c r="H2610" t="s">
        <v>5655</v>
      </c>
      <c r="I2610" t="s">
        <v>6654</v>
      </c>
      <c r="J2610" t="s">
        <v>7173</v>
      </c>
      <c r="K2610">
        <v>11354</v>
      </c>
      <c r="N2610" t="s">
        <v>7237</v>
      </c>
      <c r="O2610" t="s">
        <v>8941</v>
      </c>
      <c r="P2610">
        <v>2</v>
      </c>
      <c r="Q2610">
        <v>3</v>
      </c>
      <c r="R2610">
        <v>89.48999999999999</v>
      </c>
      <c r="U2610">
        <v>27000</v>
      </c>
      <c r="W2610">
        <v>2</v>
      </c>
      <c r="X2610" t="s">
        <v>264</v>
      </c>
      <c r="Y2610" t="s">
        <v>10875</v>
      </c>
      <c r="AA2610" t="s">
        <v>10974</v>
      </c>
      <c r="AD2610" t="s">
        <v>11083</v>
      </c>
      <c r="AF2610" t="s">
        <v>11119</v>
      </c>
      <c r="AH2610" t="s">
        <v>10975</v>
      </c>
      <c r="AJ2610" t="s">
        <v>11138</v>
      </c>
      <c r="AK2610" t="s">
        <v>7225</v>
      </c>
      <c r="AM2610">
        <v>1600</v>
      </c>
      <c r="AO2610">
        <v>2</v>
      </c>
      <c r="AQ2610" t="s">
        <v>11156</v>
      </c>
      <c r="AS2610" t="s">
        <v>11173</v>
      </c>
      <c r="AU2610">
        <v>4</v>
      </c>
      <c r="AW2610" t="s">
        <v>11188</v>
      </c>
      <c r="AX2610" t="s">
        <v>11212</v>
      </c>
      <c r="BA2610" t="s">
        <v>11222</v>
      </c>
      <c r="BE2610" t="s">
        <v>13181</v>
      </c>
      <c r="BG2610" t="s">
        <v>15025</v>
      </c>
      <c r="BM2610" t="s">
        <v>15650</v>
      </c>
    </row>
    <row r="2611" spans="1:67">
      <c r="A2611" s="1">
        <f>HYPERLINK("https://lsnyc.legalserver.org/matter/dynamic-profile/view/1901212","19-1901212")</f>
        <v>0</v>
      </c>
      <c r="B2611" t="s">
        <v>164</v>
      </c>
      <c r="C2611" t="s">
        <v>247</v>
      </c>
      <c r="D2611" t="s">
        <v>287</v>
      </c>
      <c r="F2611" t="s">
        <v>2190</v>
      </c>
      <c r="G2611" t="s">
        <v>4000</v>
      </c>
      <c r="H2611" t="s">
        <v>5656</v>
      </c>
      <c r="I2611" t="s">
        <v>6464</v>
      </c>
      <c r="J2611" t="s">
        <v>7194</v>
      </c>
      <c r="K2611">
        <v>11692</v>
      </c>
      <c r="N2611" t="s">
        <v>7237</v>
      </c>
      <c r="O2611" t="s">
        <v>8942</v>
      </c>
      <c r="P2611">
        <v>2</v>
      </c>
      <c r="Q2611">
        <v>7</v>
      </c>
      <c r="R2611">
        <v>19.06</v>
      </c>
      <c r="U2611">
        <v>9120</v>
      </c>
      <c r="W2611">
        <v>52.1</v>
      </c>
      <c r="X2611" t="s">
        <v>305</v>
      </c>
      <c r="Y2611" t="s">
        <v>10871</v>
      </c>
      <c r="AA2611" t="s">
        <v>10974</v>
      </c>
      <c r="AB2611" t="s">
        <v>430</v>
      </c>
      <c r="AD2611" t="s">
        <v>11083</v>
      </c>
      <c r="AF2611" t="s">
        <v>11118</v>
      </c>
      <c r="AH2611" t="s">
        <v>10975</v>
      </c>
      <c r="AJ2611" t="s">
        <v>11147</v>
      </c>
      <c r="AK2611" t="s">
        <v>7225</v>
      </c>
      <c r="AM2611">
        <v>2197</v>
      </c>
      <c r="AO2611">
        <v>2</v>
      </c>
      <c r="AQ2611" t="s">
        <v>11156</v>
      </c>
      <c r="AS2611" t="s">
        <v>11176</v>
      </c>
      <c r="AU2611">
        <v>3</v>
      </c>
      <c r="AW2611" t="s">
        <v>11187</v>
      </c>
      <c r="AY2611" t="s">
        <v>11216</v>
      </c>
      <c r="BA2611" t="s">
        <v>11222</v>
      </c>
      <c r="BB2611" t="s">
        <v>11224</v>
      </c>
      <c r="BC2611">
        <v>30838634</v>
      </c>
      <c r="BE2611" t="s">
        <v>13182</v>
      </c>
      <c r="BG2611" t="s">
        <v>15026</v>
      </c>
      <c r="BI2611" t="s">
        <v>15606</v>
      </c>
      <c r="BK2611" t="s">
        <v>11104</v>
      </c>
      <c r="BM2611" t="s">
        <v>15650</v>
      </c>
      <c r="BN2611" t="s">
        <v>15653</v>
      </c>
      <c r="BO2611" t="s">
        <v>15711</v>
      </c>
    </row>
    <row r="2612" spans="1:67">
      <c r="A2612" s="1">
        <f>HYPERLINK("https://lsnyc.legalserver.org/matter/dynamic-profile/view/0792787","15-0792787")</f>
        <v>0</v>
      </c>
      <c r="B2612" t="s">
        <v>164</v>
      </c>
      <c r="C2612" t="s">
        <v>247</v>
      </c>
      <c r="D2612" t="s">
        <v>904</v>
      </c>
      <c r="F2612" t="s">
        <v>2191</v>
      </c>
      <c r="G2612" t="s">
        <v>3062</v>
      </c>
      <c r="H2612" t="s">
        <v>5654</v>
      </c>
      <c r="I2612" t="s">
        <v>6891</v>
      </c>
      <c r="J2612" t="s">
        <v>7173</v>
      </c>
      <c r="K2612">
        <v>11354</v>
      </c>
      <c r="N2612" t="s">
        <v>7237</v>
      </c>
      <c r="O2612" t="s">
        <v>8943</v>
      </c>
      <c r="P2612">
        <v>3</v>
      </c>
      <c r="Q2612">
        <v>1</v>
      </c>
      <c r="R2612">
        <v>123.71</v>
      </c>
      <c r="U2612">
        <v>30000</v>
      </c>
      <c r="W2612">
        <v>3.05</v>
      </c>
      <c r="X2612" t="s">
        <v>681</v>
      </c>
      <c r="Y2612" t="s">
        <v>10928</v>
      </c>
      <c r="AA2612" t="s">
        <v>10974</v>
      </c>
      <c r="AB2612" t="s">
        <v>689</v>
      </c>
      <c r="AD2612" t="s">
        <v>11096</v>
      </c>
      <c r="AF2612" t="s">
        <v>11122</v>
      </c>
      <c r="AG2612" t="s">
        <v>11124</v>
      </c>
      <c r="AJ2612" t="s">
        <v>11140</v>
      </c>
      <c r="AK2612" t="s">
        <v>7225</v>
      </c>
      <c r="AM2612">
        <v>1136</v>
      </c>
      <c r="AO2612">
        <v>175</v>
      </c>
      <c r="AQ2612" t="s">
        <v>11157</v>
      </c>
      <c r="AS2612" t="s">
        <v>11173</v>
      </c>
      <c r="AU2612">
        <v>25</v>
      </c>
      <c r="AW2612" t="s">
        <v>11189</v>
      </c>
      <c r="AZ2612" t="s">
        <v>11221</v>
      </c>
      <c r="BE2612" t="s">
        <v>13183</v>
      </c>
      <c r="BG2612" t="s">
        <v>15024</v>
      </c>
      <c r="BM2612" t="s">
        <v>15650</v>
      </c>
    </row>
    <row r="2613" spans="1:67">
      <c r="A2613" s="1">
        <f>HYPERLINK("https://lsnyc.legalserver.org/matter/dynamic-profile/view/0781883","15-0781883")</f>
        <v>0</v>
      </c>
      <c r="B2613" t="s">
        <v>164</v>
      </c>
      <c r="C2613" t="s">
        <v>247</v>
      </c>
      <c r="D2613" t="s">
        <v>905</v>
      </c>
      <c r="F2613" t="s">
        <v>2192</v>
      </c>
      <c r="G2613" t="s">
        <v>3583</v>
      </c>
      <c r="H2613" t="s">
        <v>5657</v>
      </c>
      <c r="I2613" t="s">
        <v>6499</v>
      </c>
      <c r="J2613" t="s">
        <v>7173</v>
      </c>
      <c r="K2613">
        <v>11354</v>
      </c>
      <c r="N2613" t="s">
        <v>7237</v>
      </c>
      <c r="O2613" t="s">
        <v>8944</v>
      </c>
      <c r="P2613">
        <v>3</v>
      </c>
      <c r="Q2613">
        <v>2</v>
      </c>
      <c r="R2613">
        <v>80.25</v>
      </c>
      <c r="U2613">
        <v>22800</v>
      </c>
      <c r="W2613">
        <v>3.8</v>
      </c>
      <c r="X2613" t="s">
        <v>566</v>
      </c>
      <c r="Y2613" t="s">
        <v>202</v>
      </c>
      <c r="AA2613" t="s">
        <v>10974</v>
      </c>
      <c r="AB2613" t="s">
        <v>689</v>
      </c>
      <c r="AD2613" t="s">
        <v>11096</v>
      </c>
      <c r="AF2613" t="s">
        <v>11122</v>
      </c>
      <c r="AH2613" t="s">
        <v>10974</v>
      </c>
      <c r="AJ2613" t="s">
        <v>11140</v>
      </c>
      <c r="AK2613" t="s">
        <v>7225</v>
      </c>
      <c r="AM2613">
        <v>1600</v>
      </c>
      <c r="AO2613">
        <v>175</v>
      </c>
      <c r="AQ2613" t="s">
        <v>11157</v>
      </c>
      <c r="AS2613" t="s">
        <v>11173</v>
      </c>
      <c r="AU2613">
        <v>10</v>
      </c>
      <c r="AW2613" t="s">
        <v>11203</v>
      </c>
      <c r="AZ2613" t="s">
        <v>11221</v>
      </c>
      <c r="BE2613" t="s">
        <v>13184</v>
      </c>
      <c r="BG2613" t="s">
        <v>15024</v>
      </c>
      <c r="BM2613" t="s">
        <v>15650</v>
      </c>
    </row>
    <row r="2614" spans="1:67">
      <c r="A2614" s="1">
        <f>HYPERLINK("https://lsnyc.legalserver.org/matter/dynamic-profile/view/0795237","15-0795237")</f>
        <v>0</v>
      </c>
      <c r="B2614" t="s">
        <v>164</v>
      </c>
      <c r="C2614" t="s">
        <v>247</v>
      </c>
      <c r="D2614" t="s">
        <v>903</v>
      </c>
      <c r="F2614" t="s">
        <v>2193</v>
      </c>
      <c r="G2614" t="s">
        <v>4001</v>
      </c>
      <c r="H2614" t="s">
        <v>4820</v>
      </c>
      <c r="I2614" t="s">
        <v>6892</v>
      </c>
      <c r="J2614" t="s">
        <v>7173</v>
      </c>
      <c r="K2614">
        <v>11354</v>
      </c>
      <c r="N2614" t="s">
        <v>7237</v>
      </c>
      <c r="O2614" t="s">
        <v>8945</v>
      </c>
      <c r="P2614">
        <v>1</v>
      </c>
      <c r="Q2614">
        <v>0</v>
      </c>
      <c r="R2614">
        <v>132.54</v>
      </c>
      <c r="U2614">
        <v>15600</v>
      </c>
      <c r="W2614">
        <v>0.35</v>
      </c>
      <c r="X2614" t="s">
        <v>566</v>
      </c>
      <c r="Y2614" t="s">
        <v>10926</v>
      </c>
      <c r="AA2614" t="s">
        <v>10974</v>
      </c>
      <c r="AB2614" t="s">
        <v>11051</v>
      </c>
      <c r="AD2614" t="s">
        <v>11096</v>
      </c>
      <c r="AF2614" t="s">
        <v>11122</v>
      </c>
      <c r="AG2614" t="s">
        <v>11124</v>
      </c>
      <c r="AJ2614" t="s">
        <v>11140</v>
      </c>
      <c r="AK2614" t="s">
        <v>7225</v>
      </c>
      <c r="AM2614">
        <v>790</v>
      </c>
      <c r="AO2614">
        <v>175</v>
      </c>
      <c r="AQ2614" t="s">
        <v>11157</v>
      </c>
      <c r="AS2614" t="s">
        <v>11173</v>
      </c>
      <c r="AU2614">
        <v>30</v>
      </c>
      <c r="AW2614" t="s">
        <v>11189</v>
      </c>
      <c r="AZ2614" t="s">
        <v>11221</v>
      </c>
      <c r="BE2614" t="s">
        <v>13185</v>
      </c>
      <c r="BG2614" t="s">
        <v>15024</v>
      </c>
      <c r="BM2614" t="s">
        <v>15650</v>
      </c>
    </row>
    <row r="2615" spans="1:67">
      <c r="A2615" s="1">
        <f>HYPERLINK("https://lsnyc.legalserver.org/matter/dynamic-profile/view/0781305","15-0781305")</f>
        <v>0</v>
      </c>
      <c r="B2615" t="s">
        <v>164</v>
      </c>
      <c r="C2615" t="s">
        <v>247</v>
      </c>
      <c r="D2615" t="s">
        <v>689</v>
      </c>
      <c r="F2615" t="s">
        <v>1844</v>
      </c>
      <c r="G2615" t="s">
        <v>4002</v>
      </c>
      <c r="H2615" t="s">
        <v>4820</v>
      </c>
      <c r="I2615" t="s">
        <v>6667</v>
      </c>
      <c r="J2615" t="s">
        <v>7173</v>
      </c>
      <c r="K2615">
        <v>11354</v>
      </c>
      <c r="N2615" t="s">
        <v>7237</v>
      </c>
      <c r="O2615" t="s">
        <v>8946</v>
      </c>
      <c r="P2615">
        <v>1</v>
      </c>
      <c r="Q2615">
        <v>0</v>
      </c>
      <c r="R2615">
        <v>0</v>
      </c>
      <c r="U2615">
        <v>0</v>
      </c>
      <c r="W2615">
        <v>118.95</v>
      </c>
      <c r="X2615" t="s">
        <v>266</v>
      </c>
      <c r="Y2615" t="s">
        <v>10926</v>
      </c>
      <c r="AA2615" t="s">
        <v>10974</v>
      </c>
      <c r="AB2615" t="s">
        <v>11051</v>
      </c>
      <c r="AD2615" t="s">
        <v>11096</v>
      </c>
      <c r="AF2615" t="s">
        <v>11122</v>
      </c>
      <c r="AH2615" t="s">
        <v>10974</v>
      </c>
      <c r="AJ2615" t="s">
        <v>11140</v>
      </c>
      <c r="AK2615" t="s">
        <v>7225</v>
      </c>
      <c r="AM2615">
        <v>850.03</v>
      </c>
      <c r="AO2615">
        <v>175</v>
      </c>
      <c r="AQ2615" t="s">
        <v>11157</v>
      </c>
      <c r="AS2615" t="s">
        <v>11173</v>
      </c>
      <c r="AU2615">
        <v>28</v>
      </c>
      <c r="AW2615" t="s">
        <v>11187</v>
      </c>
      <c r="AZ2615" t="s">
        <v>11221</v>
      </c>
      <c r="BE2615" t="s">
        <v>13186</v>
      </c>
      <c r="BF2615" t="s">
        <v>14364</v>
      </c>
      <c r="BG2615" t="s">
        <v>15027</v>
      </c>
      <c r="BM2615" t="s">
        <v>15650</v>
      </c>
    </row>
    <row r="2616" spans="1:67">
      <c r="A2616" s="1">
        <f>HYPERLINK("https://lsnyc.legalserver.org/matter/dynamic-profile/view/0795235","15-0795235")</f>
        <v>0</v>
      </c>
      <c r="B2616" t="s">
        <v>164</v>
      </c>
      <c r="C2616" t="s">
        <v>247</v>
      </c>
      <c r="D2616" t="s">
        <v>903</v>
      </c>
      <c r="F2616" t="s">
        <v>1090</v>
      </c>
      <c r="G2616" t="s">
        <v>4003</v>
      </c>
      <c r="H2616" t="s">
        <v>4820</v>
      </c>
      <c r="I2616" t="s">
        <v>6893</v>
      </c>
      <c r="J2616" t="s">
        <v>7173</v>
      </c>
      <c r="K2616">
        <v>11354</v>
      </c>
      <c r="N2616" t="s">
        <v>7237</v>
      </c>
      <c r="O2616" t="s">
        <v>8947</v>
      </c>
      <c r="P2616">
        <v>1</v>
      </c>
      <c r="Q2616">
        <v>0</v>
      </c>
      <c r="R2616">
        <v>76.47</v>
      </c>
      <c r="U2616">
        <v>9000</v>
      </c>
      <c r="W2616">
        <v>0.35</v>
      </c>
      <c r="X2616" t="s">
        <v>566</v>
      </c>
      <c r="Y2616" t="s">
        <v>10926</v>
      </c>
      <c r="AA2616" t="s">
        <v>10974</v>
      </c>
      <c r="AB2616" t="s">
        <v>11051</v>
      </c>
      <c r="AD2616" t="s">
        <v>11096</v>
      </c>
      <c r="AF2616" t="s">
        <v>11122</v>
      </c>
      <c r="AG2616" t="s">
        <v>11124</v>
      </c>
      <c r="AJ2616" t="s">
        <v>11140</v>
      </c>
      <c r="AK2616" t="s">
        <v>7225</v>
      </c>
      <c r="AM2616">
        <v>1079</v>
      </c>
      <c r="AO2616">
        <v>175</v>
      </c>
      <c r="AQ2616" t="s">
        <v>11157</v>
      </c>
      <c r="AS2616" t="s">
        <v>11173</v>
      </c>
      <c r="AU2616">
        <v>19</v>
      </c>
      <c r="AW2616" t="s">
        <v>11189</v>
      </c>
      <c r="AZ2616" t="s">
        <v>11221</v>
      </c>
      <c r="BE2616" t="s">
        <v>13187</v>
      </c>
      <c r="BG2616" t="s">
        <v>15024</v>
      </c>
      <c r="BM2616" t="s">
        <v>15650</v>
      </c>
    </row>
    <row r="2617" spans="1:67">
      <c r="A2617" s="1">
        <f>HYPERLINK("https://lsnyc.legalserver.org/matter/dynamic-profile/view/0793224","15-0793224")</f>
        <v>0</v>
      </c>
      <c r="B2617" t="s">
        <v>164</v>
      </c>
      <c r="C2617" t="s">
        <v>247</v>
      </c>
      <c r="D2617" t="s">
        <v>906</v>
      </c>
      <c r="F2617" t="s">
        <v>1575</v>
      </c>
      <c r="G2617" t="s">
        <v>4004</v>
      </c>
      <c r="H2617" t="s">
        <v>4820</v>
      </c>
      <c r="I2617" t="s">
        <v>6894</v>
      </c>
      <c r="J2617" t="s">
        <v>7173</v>
      </c>
      <c r="K2617">
        <v>11354</v>
      </c>
      <c r="N2617" t="s">
        <v>7237</v>
      </c>
      <c r="O2617" t="s">
        <v>8948</v>
      </c>
      <c r="P2617">
        <v>5</v>
      </c>
      <c r="Q2617">
        <v>0</v>
      </c>
      <c r="R2617">
        <v>175.99</v>
      </c>
      <c r="U2617">
        <v>50000</v>
      </c>
      <c r="W2617">
        <v>0.65</v>
      </c>
      <c r="X2617" t="s">
        <v>566</v>
      </c>
      <c r="Y2617" t="s">
        <v>10926</v>
      </c>
      <c r="AA2617" t="s">
        <v>10974</v>
      </c>
      <c r="AB2617" t="s">
        <v>689</v>
      </c>
      <c r="AD2617" t="s">
        <v>11096</v>
      </c>
      <c r="AF2617" t="s">
        <v>11122</v>
      </c>
      <c r="AG2617" t="s">
        <v>11124</v>
      </c>
      <c r="AJ2617" t="s">
        <v>11140</v>
      </c>
      <c r="AK2617" t="s">
        <v>7225</v>
      </c>
      <c r="AM2617">
        <v>2089</v>
      </c>
      <c r="AO2617">
        <v>175</v>
      </c>
      <c r="AQ2617" t="s">
        <v>11157</v>
      </c>
      <c r="AS2617" t="s">
        <v>11173</v>
      </c>
      <c r="AU2617">
        <v>6</v>
      </c>
      <c r="AW2617" t="s">
        <v>11189</v>
      </c>
      <c r="AZ2617" t="s">
        <v>11221</v>
      </c>
      <c r="BE2617" t="s">
        <v>13188</v>
      </c>
      <c r="BG2617" t="s">
        <v>15024</v>
      </c>
      <c r="BM2617" t="s">
        <v>15650</v>
      </c>
    </row>
    <row r="2618" spans="1:67">
      <c r="A2618" s="1">
        <f>HYPERLINK("https://lsnyc.legalserver.org/matter/dynamic-profile/view/0795218","15-0795218")</f>
        <v>0</v>
      </c>
      <c r="B2618" t="s">
        <v>164</v>
      </c>
      <c r="C2618" t="s">
        <v>247</v>
      </c>
      <c r="D2618" t="s">
        <v>903</v>
      </c>
      <c r="F2618" t="s">
        <v>2194</v>
      </c>
      <c r="G2618" t="s">
        <v>4005</v>
      </c>
      <c r="H2618" t="s">
        <v>4820</v>
      </c>
      <c r="I2618" t="s">
        <v>6477</v>
      </c>
      <c r="J2618" t="s">
        <v>7173</v>
      </c>
      <c r="K2618">
        <v>11354</v>
      </c>
      <c r="N2618" t="s">
        <v>7237</v>
      </c>
      <c r="O2618" t="s">
        <v>8949</v>
      </c>
      <c r="P2618">
        <v>3</v>
      </c>
      <c r="Q2618">
        <v>2</v>
      </c>
      <c r="R2618">
        <v>168.95</v>
      </c>
      <c r="U2618">
        <v>48000</v>
      </c>
      <c r="W2618">
        <v>0.35</v>
      </c>
      <c r="X2618" t="s">
        <v>566</v>
      </c>
      <c r="Y2618" t="s">
        <v>10926</v>
      </c>
      <c r="AA2618" t="s">
        <v>10974</v>
      </c>
      <c r="AB2618" t="s">
        <v>689</v>
      </c>
      <c r="AD2618" t="s">
        <v>11096</v>
      </c>
      <c r="AF2618" t="s">
        <v>11122</v>
      </c>
      <c r="AG2618" t="s">
        <v>11124</v>
      </c>
      <c r="AJ2618" t="s">
        <v>11140</v>
      </c>
      <c r="AK2618" t="s">
        <v>7225</v>
      </c>
      <c r="AM2618">
        <v>1400</v>
      </c>
      <c r="AO2618">
        <v>175</v>
      </c>
      <c r="AQ2618" t="s">
        <v>11157</v>
      </c>
      <c r="AS2618" t="s">
        <v>11173</v>
      </c>
      <c r="AU2618">
        <v>24</v>
      </c>
      <c r="AW2618" t="s">
        <v>11189</v>
      </c>
      <c r="AZ2618" t="s">
        <v>11221</v>
      </c>
      <c r="BE2618" t="s">
        <v>13189</v>
      </c>
      <c r="BG2618" t="s">
        <v>15024</v>
      </c>
      <c r="BM2618" t="s">
        <v>15650</v>
      </c>
    </row>
    <row r="2619" spans="1:67">
      <c r="A2619" s="1">
        <f>HYPERLINK("https://lsnyc.legalserver.org/matter/dynamic-profile/view/0793724","15-0793724")</f>
        <v>0</v>
      </c>
      <c r="B2619" t="s">
        <v>164</v>
      </c>
      <c r="C2619" t="s">
        <v>247</v>
      </c>
      <c r="D2619" t="s">
        <v>907</v>
      </c>
      <c r="F2619" t="s">
        <v>2195</v>
      </c>
      <c r="G2619" t="s">
        <v>4006</v>
      </c>
      <c r="H2619" t="s">
        <v>4820</v>
      </c>
      <c r="I2619" t="s">
        <v>6895</v>
      </c>
      <c r="J2619" t="s">
        <v>7173</v>
      </c>
      <c r="K2619">
        <v>11354</v>
      </c>
      <c r="N2619" t="s">
        <v>7237</v>
      </c>
      <c r="O2619" t="s">
        <v>8387</v>
      </c>
      <c r="P2619">
        <v>2</v>
      </c>
      <c r="Q2619">
        <v>2</v>
      </c>
      <c r="R2619">
        <v>128.66</v>
      </c>
      <c r="U2619">
        <v>31200</v>
      </c>
      <c r="W2619">
        <v>1.2</v>
      </c>
      <c r="X2619" t="s">
        <v>566</v>
      </c>
      <c r="Y2619" t="s">
        <v>10926</v>
      </c>
      <c r="AA2619" t="s">
        <v>10974</v>
      </c>
      <c r="AB2619" t="s">
        <v>689</v>
      </c>
      <c r="AD2619" t="s">
        <v>11096</v>
      </c>
      <c r="AF2619" t="s">
        <v>11122</v>
      </c>
      <c r="AG2619" t="s">
        <v>11124</v>
      </c>
      <c r="AJ2619" t="s">
        <v>11131</v>
      </c>
      <c r="AK2619" t="s">
        <v>7225</v>
      </c>
      <c r="AM2619">
        <v>1000</v>
      </c>
      <c r="AO2619">
        <v>175</v>
      </c>
      <c r="AQ2619" t="s">
        <v>11157</v>
      </c>
      <c r="AS2619" t="s">
        <v>11173</v>
      </c>
      <c r="AU2619">
        <v>11</v>
      </c>
      <c r="AW2619" t="s">
        <v>11203</v>
      </c>
      <c r="AZ2619" t="s">
        <v>11221</v>
      </c>
      <c r="BE2619" t="s">
        <v>13190</v>
      </c>
      <c r="BG2619" t="s">
        <v>15024</v>
      </c>
      <c r="BM2619" t="s">
        <v>15650</v>
      </c>
    </row>
    <row r="2620" spans="1:67">
      <c r="A2620" s="1">
        <f>HYPERLINK("https://lsnyc.legalserver.org/matter/dynamic-profile/view/0795231","15-0795231")</f>
        <v>0</v>
      </c>
      <c r="B2620" t="s">
        <v>164</v>
      </c>
      <c r="C2620" t="s">
        <v>247</v>
      </c>
      <c r="D2620" t="s">
        <v>903</v>
      </c>
      <c r="F2620" t="s">
        <v>2196</v>
      </c>
      <c r="G2620" t="s">
        <v>4007</v>
      </c>
      <c r="H2620" t="s">
        <v>5654</v>
      </c>
      <c r="I2620" t="s">
        <v>6479</v>
      </c>
      <c r="J2620" t="s">
        <v>7173</v>
      </c>
      <c r="K2620">
        <v>11354</v>
      </c>
      <c r="N2620" t="s">
        <v>7237</v>
      </c>
      <c r="O2620" t="s">
        <v>8950</v>
      </c>
      <c r="P2620">
        <v>4</v>
      </c>
      <c r="Q2620">
        <v>0</v>
      </c>
      <c r="R2620">
        <v>148.45</v>
      </c>
      <c r="U2620">
        <v>36000</v>
      </c>
      <c r="W2620">
        <v>0.35</v>
      </c>
      <c r="X2620" t="s">
        <v>566</v>
      </c>
      <c r="Y2620" t="s">
        <v>10926</v>
      </c>
      <c r="AA2620" t="s">
        <v>10974</v>
      </c>
      <c r="AB2620" t="s">
        <v>11051</v>
      </c>
      <c r="AD2620" t="s">
        <v>11096</v>
      </c>
      <c r="AF2620" t="s">
        <v>11122</v>
      </c>
      <c r="AG2620" t="s">
        <v>11124</v>
      </c>
      <c r="AJ2620" t="s">
        <v>11140</v>
      </c>
      <c r="AK2620" t="s">
        <v>7225</v>
      </c>
      <c r="AM2620">
        <v>1550</v>
      </c>
      <c r="AO2620">
        <v>175</v>
      </c>
      <c r="AQ2620" t="s">
        <v>11157</v>
      </c>
      <c r="AS2620" t="s">
        <v>11173</v>
      </c>
      <c r="AU2620">
        <v>20</v>
      </c>
      <c r="AW2620" t="s">
        <v>11189</v>
      </c>
      <c r="AZ2620" t="s">
        <v>11221</v>
      </c>
      <c r="BE2620" t="s">
        <v>13191</v>
      </c>
      <c r="BG2620" t="s">
        <v>15024</v>
      </c>
      <c r="BM2620" t="s">
        <v>15650</v>
      </c>
    </row>
    <row r="2621" spans="1:67">
      <c r="A2621" s="1">
        <f>HYPERLINK("https://lsnyc.legalserver.org/matter/dynamic-profile/view/0792807","15-0792807")</f>
        <v>0</v>
      </c>
      <c r="B2621" t="s">
        <v>164</v>
      </c>
      <c r="C2621" t="s">
        <v>247</v>
      </c>
      <c r="D2621" t="s">
        <v>904</v>
      </c>
      <c r="F2621" t="s">
        <v>1125</v>
      </c>
      <c r="G2621" t="s">
        <v>4008</v>
      </c>
      <c r="H2621" t="s">
        <v>5654</v>
      </c>
      <c r="I2621" t="s">
        <v>6896</v>
      </c>
      <c r="J2621" t="s">
        <v>7173</v>
      </c>
      <c r="K2621">
        <v>11354</v>
      </c>
      <c r="N2621" t="s">
        <v>7237</v>
      </c>
      <c r="O2621" t="s">
        <v>8246</v>
      </c>
      <c r="P2621">
        <v>2</v>
      </c>
      <c r="Q2621">
        <v>0</v>
      </c>
      <c r="R2621">
        <v>138.1</v>
      </c>
      <c r="U2621">
        <v>22000</v>
      </c>
      <c r="W2621">
        <v>0.65</v>
      </c>
      <c r="X2621" t="s">
        <v>566</v>
      </c>
      <c r="Y2621" t="s">
        <v>10928</v>
      </c>
      <c r="AA2621" t="s">
        <v>10974</v>
      </c>
      <c r="AB2621" t="s">
        <v>689</v>
      </c>
      <c r="AD2621" t="s">
        <v>11096</v>
      </c>
      <c r="AF2621" t="s">
        <v>11122</v>
      </c>
      <c r="AG2621" t="s">
        <v>11124</v>
      </c>
      <c r="AJ2621" t="s">
        <v>11140</v>
      </c>
      <c r="AK2621" t="s">
        <v>7225</v>
      </c>
      <c r="AL2621" t="s">
        <v>11150</v>
      </c>
      <c r="AM2621">
        <v>0</v>
      </c>
      <c r="AO2621">
        <v>175</v>
      </c>
      <c r="AQ2621" t="s">
        <v>11157</v>
      </c>
      <c r="AS2621" t="s">
        <v>11173</v>
      </c>
      <c r="AT2621" t="s">
        <v>11184</v>
      </c>
      <c r="AU2621">
        <v>0</v>
      </c>
      <c r="AW2621" t="s">
        <v>11189</v>
      </c>
      <c r="AZ2621" t="s">
        <v>11221</v>
      </c>
      <c r="BE2621" t="s">
        <v>11236</v>
      </c>
      <c r="BG2621" t="s">
        <v>15024</v>
      </c>
      <c r="BM2621" t="s">
        <v>15650</v>
      </c>
    </row>
    <row r="2622" spans="1:67">
      <c r="A2622" s="1">
        <f>HYPERLINK("https://lsnyc.legalserver.org/matter/dynamic-profile/view/1915183","19-1915183")</f>
        <v>0</v>
      </c>
      <c r="B2622" t="s">
        <v>164</v>
      </c>
      <c r="C2622" t="s">
        <v>247</v>
      </c>
      <c r="D2622" t="s">
        <v>449</v>
      </c>
      <c r="F2622" t="s">
        <v>2197</v>
      </c>
      <c r="G2622" t="s">
        <v>3680</v>
      </c>
      <c r="H2622" t="s">
        <v>5658</v>
      </c>
      <c r="I2622" t="s">
        <v>6464</v>
      </c>
      <c r="J2622" t="s">
        <v>7189</v>
      </c>
      <c r="K2622">
        <v>11356</v>
      </c>
      <c r="N2622" t="s">
        <v>7237</v>
      </c>
      <c r="O2622" t="s">
        <v>8951</v>
      </c>
      <c r="P2622">
        <v>2</v>
      </c>
      <c r="Q2622">
        <v>0</v>
      </c>
      <c r="R2622">
        <v>0</v>
      </c>
      <c r="U2622">
        <v>0</v>
      </c>
      <c r="W2622">
        <v>1.5</v>
      </c>
      <c r="X2622" t="s">
        <v>638</v>
      </c>
      <c r="Y2622" t="s">
        <v>202</v>
      </c>
      <c r="AA2622" t="s">
        <v>10974</v>
      </c>
      <c r="AB2622" t="s">
        <v>436</v>
      </c>
      <c r="AD2622" t="s">
        <v>11082</v>
      </c>
      <c r="AE2622" t="s">
        <v>11117</v>
      </c>
      <c r="AH2622" t="s">
        <v>10975</v>
      </c>
      <c r="AJ2622" t="s">
        <v>11138</v>
      </c>
      <c r="AK2622" t="s">
        <v>7225</v>
      </c>
      <c r="AM2622">
        <v>1500</v>
      </c>
      <c r="AO2622">
        <v>2</v>
      </c>
      <c r="AQ2622" t="s">
        <v>11156</v>
      </c>
      <c r="AS2622" t="s">
        <v>11173</v>
      </c>
      <c r="AU2622">
        <v>6</v>
      </c>
      <c r="AW2622" t="s">
        <v>11187</v>
      </c>
      <c r="AY2622" t="s">
        <v>11213</v>
      </c>
      <c r="BA2622" t="s">
        <v>11222</v>
      </c>
      <c r="BE2622" t="s">
        <v>13192</v>
      </c>
      <c r="BG2622" t="s">
        <v>15028</v>
      </c>
      <c r="BM2622" t="s">
        <v>15650</v>
      </c>
    </row>
    <row r="2623" spans="1:67">
      <c r="A2623" s="1">
        <f>HYPERLINK("https://lsnyc.legalserver.org/matter/dynamic-profile/view/0795241","15-0795241")</f>
        <v>0</v>
      </c>
      <c r="B2623" t="s">
        <v>164</v>
      </c>
      <c r="C2623" t="s">
        <v>247</v>
      </c>
      <c r="D2623" t="s">
        <v>903</v>
      </c>
      <c r="F2623" t="s">
        <v>2198</v>
      </c>
      <c r="G2623" t="s">
        <v>4009</v>
      </c>
      <c r="H2623" t="s">
        <v>4820</v>
      </c>
      <c r="I2623" t="s">
        <v>6897</v>
      </c>
      <c r="J2623" t="s">
        <v>7173</v>
      </c>
      <c r="K2623">
        <v>11354</v>
      </c>
      <c r="N2623" t="s">
        <v>7238</v>
      </c>
      <c r="O2623" t="s">
        <v>8952</v>
      </c>
      <c r="P2623">
        <v>3</v>
      </c>
      <c r="Q2623">
        <v>1</v>
      </c>
      <c r="R2623">
        <v>148.45</v>
      </c>
      <c r="U2623">
        <v>36000</v>
      </c>
      <c r="W2623">
        <v>0.45</v>
      </c>
      <c r="X2623" t="s">
        <v>566</v>
      </c>
      <c r="Y2623" t="s">
        <v>10926</v>
      </c>
      <c r="AA2623" t="s">
        <v>10974</v>
      </c>
      <c r="AB2623" t="s">
        <v>689</v>
      </c>
      <c r="AD2623" t="s">
        <v>11096</v>
      </c>
      <c r="AF2623" t="s">
        <v>11122</v>
      </c>
      <c r="AG2623" t="s">
        <v>11124</v>
      </c>
      <c r="AJ2623" t="s">
        <v>11134</v>
      </c>
      <c r="AK2623" t="s">
        <v>7225</v>
      </c>
      <c r="AM2623">
        <v>1900</v>
      </c>
      <c r="AO2623">
        <v>175</v>
      </c>
      <c r="AQ2623" t="s">
        <v>11157</v>
      </c>
      <c r="AS2623" t="s">
        <v>11173</v>
      </c>
      <c r="AU2623">
        <v>2</v>
      </c>
      <c r="AW2623" t="s">
        <v>11190</v>
      </c>
      <c r="AZ2623" t="s">
        <v>11221</v>
      </c>
      <c r="BE2623" t="s">
        <v>13193</v>
      </c>
      <c r="BG2623" t="s">
        <v>15024</v>
      </c>
      <c r="BM2623" t="s">
        <v>15650</v>
      </c>
    </row>
    <row r="2624" spans="1:67">
      <c r="A2624" s="1">
        <f>HYPERLINK("https://lsnyc.legalserver.org/matter/dynamic-profile/view/1907572","19-1907572")</f>
        <v>0</v>
      </c>
      <c r="B2624" t="s">
        <v>164</v>
      </c>
      <c r="C2624" t="s">
        <v>247</v>
      </c>
      <c r="D2624" t="s">
        <v>377</v>
      </c>
      <c r="F2624" t="s">
        <v>2199</v>
      </c>
      <c r="G2624" t="s">
        <v>1303</v>
      </c>
      <c r="H2624" t="s">
        <v>5659</v>
      </c>
      <c r="J2624" t="s">
        <v>7202</v>
      </c>
      <c r="K2624">
        <v>11104</v>
      </c>
      <c r="N2624" t="s">
        <v>7237</v>
      </c>
      <c r="P2624">
        <v>1</v>
      </c>
      <c r="Q2624">
        <v>0</v>
      </c>
      <c r="R2624">
        <v>0</v>
      </c>
      <c r="U2624">
        <v>0</v>
      </c>
      <c r="W2624">
        <v>0.2</v>
      </c>
      <c r="X2624" t="s">
        <v>377</v>
      </c>
      <c r="Y2624" t="s">
        <v>164</v>
      </c>
      <c r="Z2624" t="s">
        <v>10972</v>
      </c>
      <c r="AA2624" t="s">
        <v>10976</v>
      </c>
      <c r="AC2624" t="s">
        <v>11081</v>
      </c>
      <c r="AF2624" t="s">
        <v>11119</v>
      </c>
      <c r="AH2624" t="s">
        <v>10975</v>
      </c>
      <c r="AJ2624" t="s">
        <v>11141</v>
      </c>
      <c r="AK2624" t="s">
        <v>7225</v>
      </c>
      <c r="AM2624">
        <v>513.9299999999999</v>
      </c>
      <c r="AO2624">
        <v>8</v>
      </c>
      <c r="AP2624" t="s">
        <v>11155</v>
      </c>
      <c r="AS2624" t="s">
        <v>11175</v>
      </c>
      <c r="AT2624" t="s">
        <v>11184</v>
      </c>
      <c r="AU2624">
        <v>0</v>
      </c>
      <c r="AW2624" t="s">
        <v>11203</v>
      </c>
      <c r="AY2624" t="s">
        <v>11213</v>
      </c>
      <c r="AZ2624" t="s">
        <v>11221</v>
      </c>
      <c r="BD2624" t="s">
        <v>11667</v>
      </c>
      <c r="BF2624" t="s">
        <v>14364</v>
      </c>
      <c r="BM2624" t="s">
        <v>15650</v>
      </c>
    </row>
    <row r="2625" spans="1:67">
      <c r="A2625" s="1">
        <f>HYPERLINK("https://lsnyc.legalserver.org/matter/dynamic-profile/view/0793216","15-0793216")</f>
        <v>0</v>
      </c>
      <c r="B2625" t="s">
        <v>164</v>
      </c>
      <c r="C2625" t="s">
        <v>247</v>
      </c>
      <c r="D2625" t="s">
        <v>906</v>
      </c>
      <c r="F2625" t="s">
        <v>2200</v>
      </c>
      <c r="G2625" t="s">
        <v>4010</v>
      </c>
      <c r="H2625" t="s">
        <v>4820</v>
      </c>
      <c r="I2625" t="s">
        <v>6426</v>
      </c>
      <c r="J2625" t="s">
        <v>7173</v>
      </c>
      <c r="K2625">
        <v>11354</v>
      </c>
      <c r="N2625" t="s">
        <v>7237</v>
      </c>
      <c r="O2625" t="s">
        <v>8953</v>
      </c>
      <c r="P2625">
        <v>3</v>
      </c>
      <c r="Q2625">
        <v>0</v>
      </c>
      <c r="R2625">
        <v>77.45</v>
      </c>
      <c r="U2625">
        <v>15560</v>
      </c>
      <c r="W2625">
        <v>0.65</v>
      </c>
      <c r="X2625" t="s">
        <v>566</v>
      </c>
      <c r="Y2625" t="s">
        <v>10926</v>
      </c>
      <c r="AA2625" t="s">
        <v>10974</v>
      </c>
      <c r="AB2625" t="s">
        <v>689</v>
      </c>
      <c r="AD2625" t="s">
        <v>11096</v>
      </c>
      <c r="AF2625" t="s">
        <v>11122</v>
      </c>
      <c r="AG2625" t="s">
        <v>11124</v>
      </c>
      <c r="AJ2625" t="s">
        <v>11131</v>
      </c>
      <c r="AK2625" t="s">
        <v>7225</v>
      </c>
      <c r="AM2625">
        <v>1780</v>
      </c>
      <c r="AO2625">
        <v>175</v>
      </c>
      <c r="AQ2625" t="s">
        <v>11157</v>
      </c>
      <c r="AS2625" t="s">
        <v>11173</v>
      </c>
      <c r="AU2625">
        <v>9</v>
      </c>
      <c r="AW2625" t="s">
        <v>11203</v>
      </c>
      <c r="AZ2625" t="s">
        <v>11221</v>
      </c>
      <c r="BE2625" t="s">
        <v>13194</v>
      </c>
      <c r="BG2625" t="s">
        <v>15024</v>
      </c>
      <c r="BM2625" t="s">
        <v>15650</v>
      </c>
    </row>
    <row r="2626" spans="1:67">
      <c r="A2626" s="1">
        <f>HYPERLINK("https://lsnyc.legalserver.org/matter/dynamic-profile/view/0795212","15-0795212")</f>
        <v>0</v>
      </c>
      <c r="B2626" t="s">
        <v>164</v>
      </c>
      <c r="C2626" t="s">
        <v>247</v>
      </c>
      <c r="D2626" t="s">
        <v>908</v>
      </c>
      <c r="F2626" t="s">
        <v>1149</v>
      </c>
      <c r="G2626" t="s">
        <v>4011</v>
      </c>
      <c r="H2626" t="s">
        <v>4820</v>
      </c>
      <c r="I2626" t="s">
        <v>6898</v>
      </c>
      <c r="J2626" t="s">
        <v>7173</v>
      </c>
      <c r="K2626">
        <v>11354</v>
      </c>
      <c r="N2626" t="s">
        <v>7237</v>
      </c>
      <c r="O2626" t="s">
        <v>8954</v>
      </c>
      <c r="P2626">
        <v>2</v>
      </c>
      <c r="Q2626">
        <v>1</v>
      </c>
      <c r="R2626">
        <v>149.33</v>
      </c>
      <c r="U2626">
        <v>30000</v>
      </c>
      <c r="W2626">
        <v>0.45</v>
      </c>
      <c r="X2626" t="s">
        <v>566</v>
      </c>
      <c r="Y2626" t="s">
        <v>10926</v>
      </c>
      <c r="AA2626" t="s">
        <v>10974</v>
      </c>
      <c r="AB2626" t="s">
        <v>689</v>
      </c>
      <c r="AD2626" t="s">
        <v>11096</v>
      </c>
      <c r="AF2626" t="s">
        <v>11122</v>
      </c>
      <c r="AG2626" t="s">
        <v>11124</v>
      </c>
      <c r="AJ2626" t="s">
        <v>11140</v>
      </c>
      <c r="AK2626" t="s">
        <v>7225</v>
      </c>
      <c r="AM2626">
        <v>1426.25</v>
      </c>
      <c r="AO2626">
        <v>175</v>
      </c>
      <c r="AQ2626" t="s">
        <v>11157</v>
      </c>
      <c r="AS2626" t="s">
        <v>11173</v>
      </c>
      <c r="AU2626">
        <v>12</v>
      </c>
      <c r="AW2626" t="s">
        <v>11189</v>
      </c>
      <c r="AZ2626" t="s">
        <v>11221</v>
      </c>
      <c r="BE2626" t="s">
        <v>13195</v>
      </c>
      <c r="BG2626" t="s">
        <v>15024</v>
      </c>
      <c r="BM2626" t="s">
        <v>15650</v>
      </c>
    </row>
    <row r="2627" spans="1:67">
      <c r="A2627" s="1">
        <f>HYPERLINK("https://lsnyc.legalserver.org/matter/dynamic-profile/view/1901325","19-1901325")</f>
        <v>0</v>
      </c>
      <c r="B2627" t="s">
        <v>164</v>
      </c>
      <c r="C2627" t="s">
        <v>247</v>
      </c>
      <c r="D2627" t="s">
        <v>589</v>
      </c>
      <c r="E2627" t="s">
        <v>297</v>
      </c>
      <c r="F2627" t="s">
        <v>2201</v>
      </c>
      <c r="G2627" t="s">
        <v>3527</v>
      </c>
      <c r="H2627" t="s">
        <v>5660</v>
      </c>
      <c r="I2627" t="s">
        <v>6899</v>
      </c>
      <c r="J2627" t="s">
        <v>7173</v>
      </c>
      <c r="K2627">
        <v>11354</v>
      </c>
      <c r="L2627" t="s">
        <v>7216</v>
      </c>
      <c r="N2627" t="s">
        <v>7237</v>
      </c>
      <c r="O2627" t="s">
        <v>7393</v>
      </c>
      <c r="P2627">
        <v>2</v>
      </c>
      <c r="Q2627">
        <v>0</v>
      </c>
      <c r="R2627">
        <v>159.67</v>
      </c>
      <c r="U2627">
        <v>27000</v>
      </c>
      <c r="W2627">
        <v>3.7</v>
      </c>
      <c r="X2627" t="s">
        <v>497</v>
      </c>
      <c r="Y2627" t="s">
        <v>10872</v>
      </c>
      <c r="Z2627" t="s">
        <v>10972</v>
      </c>
      <c r="AA2627" t="s">
        <v>10976</v>
      </c>
      <c r="AD2627" t="s">
        <v>11086</v>
      </c>
      <c r="AF2627" t="s">
        <v>11119</v>
      </c>
      <c r="AH2627" t="s">
        <v>10975</v>
      </c>
      <c r="AJ2627" t="s">
        <v>11135</v>
      </c>
      <c r="AK2627" t="s">
        <v>7225</v>
      </c>
      <c r="AM2627">
        <v>1700</v>
      </c>
      <c r="AO2627">
        <v>104</v>
      </c>
      <c r="AQ2627" t="s">
        <v>11168</v>
      </c>
      <c r="AS2627" t="s">
        <v>11173</v>
      </c>
      <c r="AU2627">
        <v>3</v>
      </c>
      <c r="AW2627" t="s">
        <v>11203</v>
      </c>
      <c r="AY2627" t="s">
        <v>11213</v>
      </c>
      <c r="AZ2627" t="s">
        <v>11221</v>
      </c>
      <c r="BC2627" t="s">
        <v>11173</v>
      </c>
      <c r="BE2627" t="s">
        <v>13196</v>
      </c>
      <c r="BF2627" t="s">
        <v>14364</v>
      </c>
      <c r="BG2627" t="s">
        <v>14411</v>
      </c>
      <c r="BM2627" t="s">
        <v>15651</v>
      </c>
    </row>
    <row r="2628" spans="1:67">
      <c r="A2628" s="1">
        <f>HYPERLINK("https://lsnyc.legalserver.org/matter/dynamic-profile/view/0793236","15-0793236")</f>
        <v>0</v>
      </c>
      <c r="B2628" t="s">
        <v>164</v>
      </c>
      <c r="C2628" t="s">
        <v>247</v>
      </c>
      <c r="D2628" t="s">
        <v>906</v>
      </c>
      <c r="F2628" t="s">
        <v>2202</v>
      </c>
      <c r="G2628" t="s">
        <v>4012</v>
      </c>
      <c r="H2628" t="s">
        <v>4820</v>
      </c>
      <c r="I2628" t="s">
        <v>6520</v>
      </c>
      <c r="J2628" t="s">
        <v>7173</v>
      </c>
      <c r="K2628">
        <v>11354</v>
      </c>
      <c r="N2628" t="s">
        <v>7237</v>
      </c>
      <c r="O2628" t="s">
        <v>8955</v>
      </c>
      <c r="P2628">
        <v>3</v>
      </c>
      <c r="Q2628">
        <v>0</v>
      </c>
      <c r="R2628">
        <v>77.65000000000001</v>
      </c>
      <c r="U2628">
        <v>15600</v>
      </c>
      <c r="W2628">
        <v>2.25</v>
      </c>
      <c r="X2628" t="s">
        <v>566</v>
      </c>
      <c r="Y2628" t="s">
        <v>10926</v>
      </c>
      <c r="AA2628" t="s">
        <v>10974</v>
      </c>
      <c r="AB2628" t="s">
        <v>689</v>
      </c>
      <c r="AD2628" t="s">
        <v>11096</v>
      </c>
      <c r="AF2628" t="s">
        <v>11122</v>
      </c>
      <c r="AG2628" t="s">
        <v>11124</v>
      </c>
      <c r="AJ2628" t="s">
        <v>11140</v>
      </c>
      <c r="AK2628" t="s">
        <v>7225</v>
      </c>
      <c r="AM2628">
        <v>1900</v>
      </c>
      <c r="AO2628">
        <v>175</v>
      </c>
      <c r="AQ2628" t="s">
        <v>11157</v>
      </c>
      <c r="AS2628" t="s">
        <v>11173</v>
      </c>
      <c r="AU2628">
        <v>2</v>
      </c>
      <c r="AW2628" t="s">
        <v>11202</v>
      </c>
      <c r="AZ2628" t="s">
        <v>11221</v>
      </c>
      <c r="BE2628" t="s">
        <v>13197</v>
      </c>
      <c r="BG2628" t="s">
        <v>15024</v>
      </c>
      <c r="BM2628" t="s">
        <v>15650</v>
      </c>
    </row>
    <row r="2629" spans="1:67">
      <c r="A2629" s="1">
        <f>HYPERLINK("https://lsnyc.legalserver.org/matter/dynamic-profile/view/0794965","15-0794965")</f>
        <v>0</v>
      </c>
      <c r="B2629" t="s">
        <v>164</v>
      </c>
      <c r="C2629" t="s">
        <v>247</v>
      </c>
      <c r="D2629" t="s">
        <v>909</v>
      </c>
      <c r="F2629" t="s">
        <v>2203</v>
      </c>
      <c r="G2629" t="s">
        <v>4013</v>
      </c>
      <c r="H2629" t="s">
        <v>4820</v>
      </c>
      <c r="I2629" t="s">
        <v>6679</v>
      </c>
      <c r="J2629" t="s">
        <v>7173</v>
      </c>
      <c r="K2629">
        <v>11354</v>
      </c>
      <c r="N2629" t="s">
        <v>7237</v>
      </c>
      <c r="O2629" t="s">
        <v>8956</v>
      </c>
      <c r="P2629">
        <v>2</v>
      </c>
      <c r="Q2629">
        <v>0</v>
      </c>
      <c r="R2629">
        <v>84.14</v>
      </c>
      <c r="U2629">
        <v>13404</v>
      </c>
      <c r="W2629">
        <v>0.5</v>
      </c>
      <c r="X2629" t="s">
        <v>566</v>
      </c>
      <c r="Y2629" t="s">
        <v>10926</v>
      </c>
      <c r="Z2629" t="s">
        <v>10973</v>
      </c>
      <c r="AA2629" t="s">
        <v>10975</v>
      </c>
      <c r="AB2629" t="s">
        <v>689</v>
      </c>
      <c r="AD2629" t="s">
        <v>11096</v>
      </c>
      <c r="AF2629" t="s">
        <v>11122</v>
      </c>
      <c r="AG2629" t="s">
        <v>11124</v>
      </c>
      <c r="AJ2629" t="s">
        <v>11140</v>
      </c>
      <c r="AK2629" t="s">
        <v>7225</v>
      </c>
      <c r="AM2629">
        <v>880</v>
      </c>
      <c r="AO2629">
        <v>175</v>
      </c>
      <c r="AQ2629" t="s">
        <v>11157</v>
      </c>
      <c r="AS2629" t="s">
        <v>11175</v>
      </c>
      <c r="AU2629">
        <v>47</v>
      </c>
      <c r="AW2629" t="s">
        <v>11187</v>
      </c>
      <c r="AZ2629" t="s">
        <v>11221</v>
      </c>
      <c r="BE2629" t="s">
        <v>13198</v>
      </c>
      <c r="BG2629" t="s">
        <v>15024</v>
      </c>
      <c r="BM2629" t="s">
        <v>15650</v>
      </c>
    </row>
    <row r="2630" spans="1:67">
      <c r="A2630" s="1">
        <f>HYPERLINK("https://lsnyc.legalserver.org/matter/dynamic-profile/view/1900499","19-1900499")</f>
        <v>0</v>
      </c>
      <c r="B2630" t="s">
        <v>164</v>
      </c>
      <c r="C2630" t="s">
        <v>247</v>
      </c>
      <c r="D2630" t="s">
        <v>275</v>
      </c>
      <c r="F2630" t="s">
        <v>1428</v>
      </c>
      <c r="G2630" t="s">
        <v>1643</v>
      </c>
      <c r="H2630" t="s">
        <v>5661</v>
      </c>
      <c r="I2630" t="s">
        <v>6900</v>
      </c>
      <c r="J2630" t="s">
        <v>7181</v>
      </c>
      <c r="K2630">
        <v>11101</v>
      </c>
      <c r="N2630" t="s">
        <v>7237</v>
      </c>
      <c r="O2630" t="s">
        <v>7686</v>
      </c>
      <c r="P2630">
        <v>2</v>
      </c>
      <c r="Q2630">
        <v>0</v>
      </c>
      <c r="R2630">
        <v>0</v>
      </c>
      <c r="U2630">
        <v>0</v>
      </c>
      <c r="W2630">
        <v>33.25</v>
      </c>
      <c r="X2630" t="s">
        <v>554</v>
      </c>
      <c r="Y2630" t="s">
        <v>218</v>
      </c>
      <c r="AA2630" t="s">
        <v>10974</v>
      </c>
      <c r="AB2630" t="s">
        <v>275</v>
      </c>
      <c r="AD2630" t="s">
        <v>11082</v>
      </c>
      <c r="AF2630" t="s">
        <v>11118</v>
      </c>
      <c r="AH2630" t="s">
        <v>10975</v>
      </c>
      <c r="AJ2630" t="s">
        <v>11138</v>
      </c>
      <c r="AK2630" t="s">
        <v>7225</v>
      </c>
      <c r="AM2630">
        <v>1193.64</v>
      </c>
      <c r="AO2630">
        <v>140</v>
      </c>
      <c r="AQ2630" t="s">
        <v>11157</v>
      </c>
      <c r="AS2630" t="s">
        <v>11178</v>
      </c>
      <c r="AU2630">
        <v>1</v>
      </c>
      <c r="AW2630" t="s">
        <v>11187</v>
      </c>
      <c r="AY2630" t="s">
        <v>11216</v>
      </c>
      <c r="BA2630" t="s">
        <v>11222</v>
      </c>
      <c r="BC2630" t="s">
        <v>11439</v>
      </c>
      <c r="BE2630" t="s">
        <v>13199</v>
      </c>
      <c r="BF2630" t="s">
        <v>14364</v>
      </c>
      <c r="BG2630" t="s">
        <v>15029</v>
      </c>
      <c r="BI2630" t="s">
        <v>15608</v>
      </c>
      <c r="BK2630" t="s">
        <v>15618</v>
      </c>
      <c r="BM2630" t="s">
        <v>15650</v>
      </c>
      <c r="BN2630" t="s">
        <v>15652</v>
      </c>
      <c r="BO2630" t="s">
        <v>15712</v>
      </c>
    </row>
    <row r="2631" spans="1:67">
      <c r="A2631" s="1">
        <f>HYPERLINK("https://lsnyc.legalserver.org/matter/dynamic-profile/view/1896815","19-1896815")</f>
        <v>0</v>
      </c>
      <c r="B2631" t="s">
        <v>164</v>
      </c>
      <c r="C2631" t="s">
        <v>247</v>
      </c>
      <c r="D2631" t="s">
        <v>776</v>
      </c>
      <c r="F2631" t="s">
        <v>1090</v>
      </c>
      <c r="G2631" t="s">
        <v>4014</v>
      </c>
      <c r="H2631" t="s">
        <v>5662</v>
      </c>
      <c r="I2631" t="s">
        <v>6807</v>
      </c>
      <c r="J2631" t="s">
        <v>7199</v>
      </c>
      <c r="K2631">
        <v>11421</v>
      </c>
      <c r="N2631" t="s">
        <v>7237</v>
      </c>
      <c r="O2631" t="s">
        <v>8957</v>
      </c>
      <c r="P2631">
        <v>2</v>
      </c>
      <c r="Q2631">
        <v>2</v>
      </c>
      <c r="R2631">
        <v>58.87</v>
      </c>
      <c r="U2631">
        <v>15160</v>
      </c>
      <c r="W2631">
        <v>38.1</v>
      </c>
      <c r="X2631" t="s">
        <v>301</v>
      </c>
      <c r="Y2631" t="s">
        <v>10870</v>
      </c>
      <c r="AA2631" t="s">
        <v>10974</v>
      </c>
      <c r="AB2631" t="s">
        <v>776</v>
      </c>
      <c r="AD2631" t="s">
        <v>11083</v>
      </c>
      <c r="AF2631" t="s">
        <v>11118</v>
      </c>
      <c r="AH2631" t="s">
        <v>10975</v>
      </c>
      <c r="AJ2631" t="s">
        <v>11132</v>
      </c>
      <c r="AK2631" t="s">
        <v>7225</v>
      </c>
      <c r="AM2631">
        <v>2000</v>
      </c>
      <c r="AO2631">
        <v>3</v>
      </c>
      <c r="AQ2631" t="s">
        <v>11156</v>
      </c>
      <c r="AS2631" t="s">
        <v>11173</v>
      </c>
      <c r="AU2631">
        <v>1</v>
      </c>
      <c r="AW2631" t="s">
        <v>11189</v>
      </c>
      <c r="AY2631" t="s">
        <v>11213</v>
      </c>
      <c r="BA2631" t="s">
        <v>11222</v>
      </c>
      <c r="BB2631" t="s">
        <v>11224</v>
      </c>
      <c r="BC2631" t="s">
        <v>11440</v>
      </c>
      <c r="BE2631" t="s">
        <v>13200</v>
      </c>
      <c r="BG2631" t="s">
        <v>15030</v>
      </c>
      <c r="BI2631" t="s">
        <v>15612</v>
      </c>
      <c r="BK2631" t="s">
        <v>11104</v>
      </c>
      <c r="BM2631" t="s">
        <v>15650</v>
      </c>
      <c r="BN2631" t="s">
        <v>15653</v>
      </c>
      <c r="BO2631" t="s">
        <v>15713</v>
      </c>
    </row>
    <row r="2632" spans="1:67">
      <c r="A2632" s="1">
        <f>HYPERLINK("https://lsnyc.legalserver.org/matter/dynamic-profile/view/0792795","15-0792795")</f>
        <v>0</v>
      </c>
      <c r="B2632" t="s">
        <v>164</v>
      </c>
      <c r="C2632" t="s">
        <v>247</v>
      </c>
      <c r="D2632" t="s">
        <v>904</v>
      </c>
      <c r="F2632" t="s">
        <v>2204</v>
      </c>
      <c r="G2632" t="s">
        <v>4015</v>
      </c>
      <c r="H2632" t="s">
        <v>4820</v>
      </c>
      <c r="I2632" t="s">
        <v>6901</v>
      </c>
      <c r="J2632" t="s">
        <v>7173</v>
      </c>
      <c r="K2632">
        <v>11354</v>
      </c>
      <c r="N2632" t="s">
        <v>7237</v>
      </c>
      <c r="O2632" t="s">
        <v>8958</v>
      </c>
      <c r="P2632">
        <v>2</v>
      </c>
      <c r="Q2632">
        <v>0</v>
      </c>
      <c r="R2632">
        <v>72.98999999999999</v>
      </c>
      <c r="U2632">
        <v>11628</v>
      </c>
      <c r="W2632">
        <v>1.15</v>
      </c>
      <c r="X2632" t="s">
        <v>566</v>
      </c>
      <c r="Y2632" t="s">
        <v>10928</v>
      </c>
      <c r="AA2632" t="s">
        <v>10974</v>
      </c>
      <c r="AB2632" t="s">
        <v>11051</v>
      </c>
      <c r="AD2632" t="s">
        <v>11096</v>
      </c>
      <c r="AF2632" t="s">
        <v>11122</v>
      </c>
      <c r="AG2632" t="s">
        <v>11124</v>
      </c>
      <c r="AJ2632" t="s">
        <v>11140</v>
      </c>
      <c r="AK2632" t="s">
        <v>7225</v>
      </c>
      <c r="AM2632">
        <v>1115.39</v>
      </c>
      <c r="AO2632">
        <v>175</v>
      </c>
      <c r="AQ2632" t="s">
        <v>11157</v>
      </c>
      <c r="AS2632" t="s">
        <v>11173</v>
      </c>
      <c r="AU2632">
        <v>12</v>
      </c>
      <c r="AW2632" t="s">
        <v>11203</v>
      </c>
      <c r="AZ2632" t="s">
        <v>11221</v>
      </c>
      <c r="BE2632" t="s">
        <v>13178</v>
      </c>
      <c r="BG2632" t="s">
        <v>15024</v>
      </c>
      <c r="BM2632" t="s">
        <v>15650</v>
      </c>
    </row>
    <row r="2633" spans="1:67">
      <c r="A2633" s="1">
        <f>HYPERLINK("https://lsnyc.legalserver.org/matter/dynamic-profile/view/1899763","19-1899763")</f>
        <v>0</v>
      </c>
      <c r="B2633" t="s">
        <v>164</v>
      </c>
      <c r="C2633" t="s">
        <v>247</v>
      </c>
      <c r="D2633" t="s">
        <v>584</v>
      </c>
      <c r="F2633" t="s">
        <v>1111</v>
      </c>
      <c r="G2633" t="s">
        <v>3586</v>
      </c>
      <c r="H2633" t="s">
        <v>5663</v>
      </c>
      <c r="I2633" t="s">
        <v>6441</v>
      </c>
      <c r="J2633" t="s">
        <v>7194</v>
      </c>
      <c r="K2633">
        <v>11692</v>
      </c>
      <c r="N2633" t="s">
        <v>7237</v>
      </c>
      <c r="O2633" t="s">
        <v>8959</v>
      </c>
      <c r="P2633">
        <v>1</v>
      </c>
      <c r="Q2633">
        <v>4</v>
      </c>
      <c r="R2633">
        <v>0</v>
      </c>
      <c r="S2633" t="s">
        <v>10254</v>
      </c>
      <c r="T2633" t="s">
        <v>10275</v>
      </c>
      <c r="U2633">
        <v>0</v>
      </c>
      <c r="W2633">
        <v>22</v>
      </c>
      <c r="X2633" t="s">
        <v>737</v>
      </c>
      <c r="Y2633" t="s">
        <v>164</v>
      </c>
      <c r="AA2633" t="s">
        <v>10974</v>
      </c>
      <c r="AB2633" t="s">
        <v>343</v>
      </c>
      <c r="AD2633" t="s">
        <v>11082</v>
      </c>
      <c r="AF2633" t="s">
        <v>11118</v>
      </c>
      <c r="AH2633" t="s">
        <v>10975</v>
      </c>
      <c r="AJ2633" t="s">
        <v>11133</v>
      </c>
      <c r="AK2633" t="s">
        <v>11149</v>
      </c>
      <c r="AM2633">
        <v>2200</v>
      </c>
      <c r="AO2633">
        <v>2</v>
      </c>
      <c r="AQ2633" t="s">
        <v>11156</v>
      </c>
      <c r="AS2633" t="s">
        <v>11174</v>
      </c>
      <c r="AU2633">
        <v>-1</v>
      </c>
      <c r="AW2633" t="s">
        <v>11187</v>
      </c>
      <c r="AY2633" t="s">
        <v>11213</v>
      </c>
      <c r="BA2633" t="s">
        <v>11222</v>
      </c>
      <c r="BC2633" t="s">
        <v>11441</v>
      </c>
      <c r="BE2633" t="s">
        <v>13201</v>
      </c>
      <c r="BF2633" t="s">
        <v>14364</v>
      </c>
      <c r="BG2633" t="s">
        <v>15031</v>
      </c>
      <c r="BI2633" t="s">
        <v>15609</v>
      </c>
      <c r="BK2633" t="s">
        <v>15638</v>
      </c>
      <c r="BM2633" t="s">
        <v>15650</v>
      </c>
      <c r="BN2633" t="s">
        <v>15653</v>
      </c>
      <c r="BO2633" t="s">
        <v>15714</v>
      </c>
    </row>
    <row r="2634" spans="1:67">
      <c r="A2634" s="1">
        <f>HYPERLINK("https://lsnyc.legalserver.org/matter/dynamic-profile/view/0792461","15-0792461")</f>
        <v>0</v>
      </c>
      <c r="B2634" t="s">
        <v>164</v>
      </c>
      <c r="C2634" t="s">
        <v>247</v>
      </c>
      <c r="D2634" t="s">
        <v>910</v>
      </c>
      <c r="F2634" t="s">
        <v>2205</v>
      </c>
      <c r="G2634" t="s">
        <v>4010</v>
      </c>
      <c r="H2634" t="s">
        <v>5654</v>
      </c>
      <c r="I2634" t="s">
        <v>6624</v>
      </c>
      <c r="J2634" t="s">
        <v>7173</v>
      </c>
      <c r="K2634">
        <v>11354</v>
      </c>
      <c r="N2634" t="s">
        <v>7237</v>
      </c>
      <c r="O2634" t="s">
        <v>8960</v>
      </c>
      <c r="P2634">
        <v>2</v>
      </c>
      <c r="Q2634">
        <v>0</v>
      </c>
      <c r="R2634">
        <v>56.95</v>
      </c>
      <c r="U2634">
        <v>9072</v>
      </c>
      <c r="W2634">
        <v>0.95</v>
      </c>
      <c r="X2634" t="s">
        <v>566</v>
      </c>
      <c r="Y2634" t="s">
        <v>10928</v>
      </c>
      <c r="AA2634" t="s">
        <v>10974</v>
      </c>
      <c r="AB2634" t="s">
        <v>689</v>
      </c>
      <c r="AD2634" t="s">
        <v>11096</v>
      </c>
      <c r="AF2634" t="s">
        <v>11122</v>
      </c>
      <c r="AG2634" t="s">
        <v>11124</v>
      </c>
      <c r="AJ2634" t="s">
        <v>11140</v>
      </c>
      <c r="AK2634" t="s">
        <v>7225</v>
      </c>
      <c r="AM2634">
        <v>1287</v>
      </c>
      <c r="AO2634">
        <v>175</v>
      </c>
      <c r="AQ2634" t="s">
        <v>11157</v>
      </c>
      <c r="AS2634" t="s">
        <v>11173</v>
      </c>
      <c r="AU2634">
        <v>10</v>
      </c>
      <c r="AW2634" t="s">
        <v>11203</v>
      </c>
      <c r="AZ2634" t="s">
        <v>11221</v>
      </c>
      <c r="BE2634" t="s">
        <v>13202</v>
      </c>
      <c r="BG2634" t="s">
        <v>15024</v>
      </c>
      <c r="BM2634" t="s">
        <v>15650</v>
      </c>
    </row>
    <row r="2635" spans="1:67">
      <c r="A2635" s="1">
        <f>HYPERLINK("https://lsnyc.legalserver.org/matter/dynamic-profile/view/0792803","15-0792803")</f>
        <v>0</v>
      </c>
      <c r="B2635" t="s">
        <v>164</v>
      </c>
      <c r="C2635" t="s">
        <v>247</v>
      </c>
      <c r="D2635" t="s">
        <v>904</v>
      </c>
      <c r="F2635" t="s">
        <v>2206</v>
      </c>
      <c r="G2635" t="s">
        <v>2911</v>
      </c>
      <c r="H2635" t="s">
        <v>5654</v>
      </c>
      <c r="I2635" t="s">
        <v>6902</v>
      </c>
      <c r="J2635" t="s">
        <v>7173</v>
      </c>
      <c r="K2635">
        <v>11354</v>
      </c>
      <c r="N2635" t="s">
        <v>7237</v>
      </c>
      <c r="O2635" t="s">
        <v>8961</v>
      </c>
      <c r="P2635">
        <v>4</v>
      </c>
      <c r="Q2635">
        <v>1</v>
      </c>
      <c r="R2635">
        <v>91.52</v>
      </c>
      <c r="U2635">
        <v>26000</v>
      </c>
      <c r="W2635">
        <v>0.95</v>
      </c>
      <c r="X2635" t="s">
        <v>566</v>
      </c>
      <c r="Y2635" t="s">
        <v>10928</v>
      </c>
      <c r="AA2635" t="s">
        <v>10974</v>
      </c>
      <c r="AB2635" t="s">
        <v>689</v>
      </c>
      <c r="AD2635" t="s">
        <v>11096</v>
      </c>
      <c r="AF2635" t="s">
        <v>11122</v>
      </c>
      <c r="AG2635" t="s">
        <v>11124</v>
      </c>
      <c r="AJ2635" t="s">
        <v>11140</v>
      </c>
      <c r="AK2635" t="s">
        <v>7225</v>
      </c>
      <c r="AM2635">
        <v>1650</v>
      </c>
      <c r="AO2635">
        <v>175</v>
      </c>
      <c r="AQ2635" t="s">
        <v>11157</v>
      </c>
      <c r="AS2635" t="s">
        <v>11173</v>
      </c>
      <c r="AU2635">
        <v>11</v>
      </c>
      <c r="AW2635" t="s">
        <v>11189</v>
      </c>
      <c r="AZ2635" t="s">
        <v>11221</v>
      </c>
      <c r="BE2635" t="s">
        <v>13203</v>
      </c>
      <c r="BG2635" t="s">
        <v>15024</v>
      </c>
      <c r="BM2635" t="s">
        <v>15650</v>
      </c>
    </row>
    <row r="2636" spans="1:67">
      <c r="A2636" s="1">
        <f>HYPERLINK("https://lsnyc.legalserver.org/matter/dynamic-profile/view/1883248","18-1883248")</f>
        <v>0</v>
      </c>
      <c r="B2636" t="s">
        <v>164</v>
      </c>
      <c r="C2636" t="s">
        <v>247</v>
      </c>
      <c r="D2636" t="s">
        <v>606</v>
      </c>
      <c r="F2636" t="s">
        <v>2207</v>
      </c>
      <c r="G2636" t="s">
        <v>4016</v>
      </c>
      <c r="H2636" t="s">
        <v>5664</v>
      </c>
      <c r="I2636" t="s">
        <v>6422</v>
      </c>
      <c r="J2636" t="s">
        <v>7173</v>
      </c>
      <c r="K2636">
        <v>11355</v>
      </c>
      <c r="N2636" t="s">
        <v>7237</v>
      </c>
      <c r="O2636" t="s">
        <v>8962</v>
      </c>
      <c r="P2636">
        <v>1</v>
      </c>
      <c r="Q2636">
        <v>0</v>
      </c>
      <c r="R2636">
        <v>98.84999999999999</v>
      </c>
      <c r="U2636">
        <v>12000</v>
      </c>
      <c r="W2636">
        <v>58.2</v>
      </c>
      <c r="X2636" t="s">
        <v>497</v>
      </c>
      <c r="Y2636" t="s">
        <v>10940</v>
      </c>
      <c r="AA2636" t="s">
        <v>10974</v>
      </c>
      <c r="AB2636" t="s">
        <v>606</v>
      </c>
      <c r="AD2636" t="s">
        <v>11083</v>
      </c>
      <c r="AF2636" t="s">
        <v>11118</v>
      </c>
      <c r="AH2636" t="s">
        <v>10975</v>
      </c>
      <c r="AJ2636" t="s">
        <v>11138</v>
      </c>
      <c r="AK2636" t="s">
        <v>7225</v>
      </c>
      <c r="AM2636">
        <v>1227.86</v>
      </c>
      <c r="AO2636">
        <v>86</v>
      </c>
      <c r="AQ2636" t="s">
        <v>11157</v>
      </c>
      <c r="AS2636" t="s">
        <v>11173</v>
      </c>
      <c r="AU2636">
        <v>21</v>
      </c>
      <c r="AW2636" t="s">
        <v>11189</v>
      </c>
      <c r="AY2636" t="s">
        <v>11213</v>
      </c>
      <c r="BA2636" t="s">
        <v>11222</v>
      </c>
      <c r="BB2636" t="s">
        <v>11224</v>
      </c>
      <c r="BC2636" t="s">
        <v>11442</v>
      </c>
      <c r="BE2636" t="s">
        <v>13204</v>
      </c>
      <c r="BG2636" t="s">
        <v>15032</v>
      </c>
      <c r="BI2636" t="s">
        <v>15613</v>
      </c>
      <c r="BK2636" t="s">
        <v>15626</v>
      </c>
      <c r="BM2636" t="s">
        <v>15650</v>
      </c>
      <c r="BN2636" t="s">
        <v>15653</v>
      </c>
      <c r="BO2636" t="s">
        <v>15715</v>
      </c>
    </row>
    <row r="2637" spans="1:67">
      <c r="A2637" s="1">
        <f>HYPERLINK("https://lsnyc.legalserver.org/matter/dynamic-profile/view/0792810","15-0792810")</f>
        <v>0</v>
      </c>
      <c r="B2637" t="s">
        <v>164</v>
      </c>
      <c r="C2637" t="s">
        <v>247</v>
      </c>
      <c r="D2637" t="s">
        <v>904</v>
      </c>
      <c r="F2637" t="s">
        <v>2208</v>
      </c>
      <c r="G2637" t="s">
        <v>4017</v>
      </c>
      <c r="H2637" t="s">
        <v>5654</v>
      </c>
      <c r="I2637" t="s">
        <v>6564</v>
      </c>
      <c r="J2637" t="s">
        <v>7173</v>
      </c>
      <c r="K2637">
        <v>11354</v>
      </c>
      <c r="N2637" t="s">
        <v>7237</v>
      </c>
      <c r="O2637" t="s">
        <v>8963</v>
      </c>
      <c r="P2637">
        <v>1</v>
      </c>
      <c r="Q2637">
        <v>0</v>
      </c>
      <c r="R2637">
        <v>91.76000000000001</v>
      </c>
      <c r="U2637">
        <v>10800</v>
      </c>
      <c r="W2637">
        <v>0.65</v>
      </c>
      <c r="X2637" t="s">
        <v>566</v>
      </c>
      <c r="Y2637" t="s">
        <v>10928</v>
      </c>
      <c r="AA2637" t="s">
        <v>10974</v>
      </c>
      <c r="AB2637" t="s">
        <v>689</v>
      </c>
      <c r="AD2637" t="s">
        <v>11096</v>
      </c>
      <c r="AF2637" t="s">
        <v>11122</v>
      </c>
      <c r="AG2637" t="s">
        <v>11124</v>
      </c>
      <c r="AJ2637" t="s">
        <v>11140</v>
      </c>
      <c r="AK2637" t="s">
        <v>7225</v>
      </c>
      <c r="AM2637">
        <v>912</v>
      </c>
      <c r="AO2637">
        <v>175</v>
      </c>
      <c r="AQ2637" t="s">
        <v>11157</v>
      </c>
      <c r="AS2637" t="s">
        <v>11175</v>
      </c>
      <c r="AU2637">
        <v>35</v>
      </c>
      <c r="AW2637" t="s">
        <v>11187</v>
      </c>
      <c r="AZ2637" t="s">
        <v>11221</v>
      </c>
      <c r="BE2637" t="s">
        <v>13205</v>
      </c>
      <c r="BG2637" t="s">
        <v>15024</v>
      </c>
      <c r="BM2637" t="s">
        <v>15650</v>
      </c>
    </row>
    <row r="2638" spans="1:67">
      <c r="A2638" s="1">
        <f>HYPERLINK("https://lsnyc.legalserver.org/matter/dynamic-profile/view/0795221","15-0795221")</f>
        <v>0</v>
      </c>
      <c r="B2638" t="s">
        <v>164</v>
      </c>
      <c r="C2638" t="s">
        <v>247</v>
      </c>
      <c r="D2638" t="s">
        <v>903</v>
      </c>
      <c r="F2638" t="s">
        <v>1323</v>
      </c>
      <c r="G2638" t="s">
        <v>2221</v>
      </c>
      <c r="H2638" t="s">
        <v>4820</v>
      </c>
      <c r="I2638" t="s">
        <v>6423</v>
      </c>
      <c r="J2638" t="s">
        <v>7173</v>
      </c>
      <c r="K2638">
        <v>11354</v>
      </c>
      <c r="N2638" t="s">
        <v>7237</v>
      </c>
      <c r="O2638" t="s">
        <v>8964</v>
      </c>
      <c r="P2638">
        <v>3</v>
      </c>
      <c r="Q2638">
        <v>0</v>
      </c>
      <c r="R2638">
        <v>179.19</v>
      </c>
      <c r="U2638">
        <v>36000</v>
      </c>
      <c r="W2638">
        <v>0.55</v>
      </c>
      <c r="X2638" t="s">
        <v>566</v>
      </c>
      <c r="Y2638" t="s">
        <v>10926</v>
      </c>
      <c r="AA2638" t="s">
        <v>10974</v>
      </c>
      <c r="AB2638" t="s">
        <v>689</v>
      </c>
      <c r="AD2638" t="s">
        <v>11096</v>
      </c>
      <c r="AF2638" t="s">
        <v>11122</v>
      </c>
      <c r="AG2638" t="s">
        <v>11124</v>
      </c>
      <c r="AJ2638" t="s">
        <v>11140</v>
      </c>
      <c r="AK2638" t="s">
        <v>7225</v>
      </c>
      <c r="AM2638">
        <v>1009</v>
      </c>
      <c r="AO2638">
        <v>175</v>
      </c>
      <c r="AQ2638" t="s">
        <v>11157</v>
      </c>
      <c r="AS2638" t="s">
        <v>11173</v>
      </c>
      <c r="AU2638">
        <v>3</v>
      </c>
      <c r="AW2638" t="s">
        <v>11203</v>
      </c>
      <c r="AZ2638" t="s">
        <v>11221</v>
      </c>
      <c r="BE2638" t="s">
        <v>13206</v>
      </c>
      <c r="BG2638" t="s">
        <v>15024</v>
      </c>
      <c r="BM2638" t="s">
        <v>15650</v>
      </c>
    </row>
    <row r="2639" spans="1:67">
      <c r="A2639" s="1">
        <f>HYPERLINK("https://lsnyc.legalserver.org/matter/dynamic-profile/view/0789844","15-0789844")</f>
        <v>0</v>
      </c>
      <c r="B2639" t="s">
        <v>164</v>
      </c>
      <c r="C2639" t="s">
        <v>247</v>
      </c>
      <c r="D2639" t="s">
        <v>911</v>
      </c>
      <c r="F2639" t="s">
        <v>2209</v>
      </c>
      <c r="G2639" t="s">
        <v>3770</v>
      </c>
      <c r="H2639" t="s">
        <v>4820</v>
      </c>
      <c r="I2639" t="s">
        <v>6437</v>
      </c>
      <c r="J2639" t="s">
        <v>7173</v>
      </c>
      <c r="K2639">
        <v>11354</v>
      </c>
      <c r="N2639" t="s">
        <v>7237</v>
      </c>
      <c r="O2639" t="s">
        <v>8965</v>
      </c>
      <c r="P2639">
        <v>1</v>
      </c>
      <c r="Q2639">
        <v>2</v>
      </c>
      <c r="R2639">
        <v>119.46</v>
      </c>
      <c r="U2639">
        <v>24000</v>
      </c>
      <c r="W2639">
        <v>0.5</v>
      </c>
      <c r="X2639" t="s">
        <v>566</v>
      </c>
      <c r="Y2639" t="s">
        <v>10926</v>
      </c>
      <c r="AA2639" t="s">
        <v>10974</v>
      </c>
      <c r="AB2639" t="s">
        <v>689</v>
      </c>
      <c r="AD2639" t="s">
        <v>11096</v>
      </c>
      <c r="AF2639" t="s">
        <v>11122</v>
      </c>
      <c r="AG2639" t="s">
        <v>11124</v>
      </c>
      <c r="AJ2639" t="s">
        <v>11140</v>
      </c>
      <c r="AK2639" t="s">
        <v>7225</v>
      </c>
      <c r="AM2639">
        <v>1442</v>
      </c>
      <c r="AO2639">
        <v>175</v>
      </c>
      <c r="AQ2639" t="s">
        <v>11157</v>
      </c>
      <c r="AS2639" t="s">
        <v>11173</v>
      </c>
      <c r="AU2639">
        <v>15</v>
      </c>
      <c r="AW2639" t="s">
        <v>11187</v>
      </c>
      <c r="AZ2639" t="s">
        <v>11221</v>
      </c>
      <c r="BE2639" t="s">
        <v>13207</v>
      </c>
      <c r="BG2639" t="s">
        <v>15024</v>
      </c>
      <c r="BM2639" t="s">
        <v>15650</v>
      </c>
    </row>
    <row r="2640" spans="1:67">
      <c r="A2640" s="1">
        <f>HYPERLINK("https://lsnyc.legalserver.org/matter/dynamic-profile/view/0795228","15-0795228")</f>
        <v>0</v>
      </c>
      <c r="B2640" t="s">
        <v>164</v>
      </c>
      <c r="C2640" t="s">
        <v>247</v>
      </c>
      <c r="D2640" t="s">
        <v>903</v>
      </c>
      <c r="F2640" t="s">
        <v>1122</v>
      </c>
      <c r="G2640" t="s">
        <v>3152</v>
      </c>
      <c r="H2640" t="s">
        <v>4820</v>
      </c>
      <c r="I2640" t="s">
        <v>6413</v>
      </c>
      <c r="J2640" t="s">
        <v>7173</v>
      </c>
      <c r="K2640">
        <v>11354</v>
      </c>
      <c r="N2640" t="s">
        <v>7237</v>
      </c>
      <c r="O2640" t="s">
        <v>8966</v>
      </c>
      <c r="P2640">
        <v>1</v>
      </c>
      <c r="Q2640">
        <v>0</v>
      </c>
      <c r="R2640">
        <v>152.93</v>
      </c>
      <c r="U2640">
        <v>18000</v>
      </c>
      <c r="W2640">
        <v>12.55</v>
      </c>
      <c r="X2640" t="s">
        <v>566</v>
      </c>
      <c r="Y2640" t="s">
        <v>10926</v>
      </c>
      <c r="AA2640" t="s">
        <v>10974</v>
      </c>
      <c r="AB2640" t="s">
        <v>11051</v>
      </c>
      <c r="AD2640" t="s">
        <v>11096</v>
      </c>
      <c r="AF2640" t="s">
        <v>11122</v>
      </c>
      <c r="AG2640" t="s">
        <v>11124</v>
      </c>
      <c r="AJ2640" t="s">
        <v>11140</v>
      </c>
      <c r="AK2640" t="s">
        <v>7225</v>
      </c>
      <c r="AM2640">
        <v>1408</v>
      </c>
      <c r="AO2640">
        <v>175</v>
      </c>
      <c r="AQ2640" t="s">
        <v>11157</v>
      </c>
      <c r="AS2640" t="s">
        <v>11173</v>
      </c>
      <c r="AU2640">
        <v>16</v>
      </c>
      <c r="AW2640" t="s">
        <v>11189</v>
      </c>
      <c r="AZ2640" t="s">
        <v>11221</v>
      </c>
      <c r="BE2640" t="s">
        <v>13208</v>
      </c>
      <c r="BG2640" t="s">
        <v>15024</v>
      </c>
      <c r="BM2640" t="s">
        <v>15650</v>
      </c>
    </row>
    <row r="2641" spans="1:65">
      <c r="A2641" s="1">
        <f>HYPERLINK("https://lsnyc.legalserver.org/matter/dynamic-profile/view/0826157","17-0826157")</f>
        <v>0</v>
      </c>
      <c r="B2641" t="s">
        <v>165</v>
      </c>
      <c r="C2641" t="s">
        <v>248</v>
      </c>
      <c r="D2641" t="s">
        <v>623</v>
      </c>
      <c r="E2641" t="s">
        <v>1081</v>
      </c>
      <c r="F2641" t="s">
        <v>2210</v>
      </c>
      <c r="G2641" t="s">
        <v>4018</v>
      </c>
      <c r="H2641" t="s">
        <v>5665</v>
      </c>
      <c r="I2641" t="s">
        <v>6661</v>
      </c>
      <c r="J2641" t="s">
        <v>7174</v>
      </c>
      <c r="K2641">
        <v>11212</v>
      </c>
      <c r="L2641" t="s">
        <v>7219</v>
      </c>
      <c r="N2641" t="s">
        <v>7237</v>
      </c>
      <c r="O2641" t="s">
        <v>8967</v>
      </c>
      <c r="P2641">
        <v>2</v>
      </c>
      <c r="Q2641">
        <v>0</v>
      </c>
      <c r="R2641">
        <v>2.81</v>
      </c>
      <c r="U2641">
        <v>450</v>
      </c>
      <c r="W2641">
        <v>71.95</v>
      </c>
      <c r="X2641" t="s">
        <v>1081</v>
      </c>
      <c r="Y2641" t="s">
        <v>225</v>
      </c>
      <c r="AA2641" t="s">
        <v>10974</v>
      </c>
      <c r="AB2641" t="s">
        <v>11052</v>
      </c>
      <c r="AD2641" t="s">
        <v>11083</v>
      </c>
      <c r="AF2641" t="s">
        <v>11118</v>
      </c>
      <c r="AH2641" t="s">
        <v>10975</v>
      </c>
      <c r="AI2641" t="s">
        <v>11126</v>
      </c>
      <c r="AK2641" t="s">
        <v>7225</v>
      </c>
      <c r="AM2641">
        <v>1350</v>
      </c>
      <c r="AO2641">
        <v>8</v>
      </c>
      <c r="AQ2641" t="s">
        <v>11156</v>
      </c>
      <c r="AS2641" t="s">
        <v>11178</v>
      </c>
      <c r="AU2641">
        <v>1</v>
      </c>
      <c r="AW2641" t="s">
        <v>11187</v>
      </c>
      <c r="AZ2641" t="s">
        <v>11221</v>
      </c>
      <c r="BE2641" t="s">
        <v>13209</v>
      </c>
      <c r="BF2641" t="s">
        <v>14364</v>
      </c>
      <c r="BH2641" t="s">
        <v>15605</v>
      </c>
      <c r="BJ2641" t="s">
        <v>15615</v>
      </c>
      <c r="BL2641" t="s">
        <v>15648</v>
      </c>
      <c r="BM2641" t="s">
        <v>15651</v>
      </c>
    </row>
    <row r="2642" spans="1:65">
      <c r="A2642" s="1">
        <f>HYPERLINK("https://lsnyc.legalserver.org/matter/dynamic-profile/view/1854856","17-1854856")</f>
        <v>0</v>
      </c>
      <c r="B2642" t="s">
        <v>165</v>
      </c>
      <c r="C2642" t="s">
        <v>248</v>
      </c>
      <c r="D2642" t="s">
        <v>912</v>
      </c>
      <c r="E2642" t="s">
        <v>1081</v>
      </c>
      <c r="F2642" t="s">
        <v>1195</v>
      </c>
      <c r="G2642" t="s">
        <v>2902</v>
      </c>
      <c r="H2642" t="s">
        <v>5666</v>
      </c>
      <c r="I2642" t="s">
        <v>6903</v>
      </c>
      <c r="J2642" t="s">
        <v>7174</v>
      </c>
      <c r="K2642">
        <v>11208</v>
      </c>
      <c r="L2642" t="s">
        <v>7219</v>
      </c>
      <c r="N2642" t="s">
        <v>7237</v>
      </c>
      <c r="O2642" t="s">
        <v>8968</v>
      </c>
      <c r="P2642">
        <v>1</v>
      </c>
      <c r="Q2642">
        <v>0</v>
      </c>
      <c r="R2642">
        <v>182.42</v>
      </c>
      <c r="U2642">
        <v>22000</v>
      </c>
      <c r="W2642">
        <v>3</v>
      </c>
      <c r="X2642" t="s">
        <v>1081</v>
      </c>
      <c r="Y2642" t="s">
        <v>165</v>
      </c>
      <c r="AA2642" t="s">
        <v>10974</v>
      </c>
      <c r="AB2642" t="s">
        <v>939</v>
      </c>
      <c r="AD2642" t="s">
        <v>11101</v>
      </c>
      <c r="AF2642" t="s">
        <v>11118</v>
      </c>
      <c r="AG2642" t="s">
        <v>11124</v>
      </c>
      <c r="AJ2642" t="s">
        <v>11129</v>
      </c>
      <c r="AK2642" t="s">
        <v>7225</v>
      </c>
      <c r="AM2642">
        <v>525</v>
      </c>
      <c r="AO2642">
        <v>6</v>
      </c>
      <c r="AQ2642" t="s">
        <v>11157</v>
      </c>
      <c r="AR2642" t="s">
        <v>11172</v>
      </c>
      <c r="AU2642">
        <v>35</v>
      </c>
      <c r="AW2642" t="s">
        <v>11189</v>
      </c>
      <c r="AZ2642" t="s">
        <v>11221</v>
      </c>
      <c r="BE2642" t="s">
        <v>13210</v>
      </c>
      <c r="BF2642" t="s">
        <v>14364</v>
      </c>
      <c r="BG2642" t="s">
        <v>15033</v>
      </c>
      <c r="BJ2642" t="s">
        <v>15615</v>
      </c>
      <c r="BM2642" t="s">
        <v>15651</v>
      </c>
    </row>
    <row r="2643" spans="1:65">
      <c r="A2643" s="1">
        <f>HYPERLINK("https://lsnyc.legalserver.org/matter/dynamic-profile/view/1855163","18-1855163")</f>
        <v>0</v>
      </c>
      <c r="B2643" t="s">
        <v>165</v>
      </c>
      <c r="C2643" t="s">
        <v>248</v>
      </c>
      <c r="D2643" t="s">
        <v>413</v>
      </c>
      <c r="E2643" t="s">
        <v>293</v>
      </c>
      <c r="F2643" t="s">
        <v>1867</v>
      </c>
      <c r="G2643" t="s">
        <v>1187</v>
      </c>
      <c r="H2643" t="s">
        <v>5370</v>
      </c>
      <c r="I2643" t="s">
        <v>6405</v>
      </c>
      <c r="J2643" t="s">
        <v>7174</v>
      </c>
      <c r="K2643">
        <v>11206</v>
      </c>
      <c r="L2643" t="s">
        <v>7219</v>
      </c>
      <c r="N2643" t="s">
        <v>7237</v>
      </c>
      <c r="O2643" t="s">
        <v>8355</v>
      </c>
      <c r="P2643">
        <v>1</v>
      </c>
      <c r="Q2643">
        <v>6</v>
      </c>
      <c r="R2643">
        <v>90.47</v>
      </c>
      <c r="U2643">
        <v>69600</v>
      </c>
      <c r="V2643" t="s">
        <v>10507</v>
      </c>
      <c r="W2643">
        <v>0.45</v>
      </c>
      <c r="X2643" t="s">
        <v>293</v>
      </c>
      <c r="Y2643" t="s">
        <v>10945</v>
      </c>
      <c r="AA2643" t="s">
        <v>10974</v>
      </c>
      <c r="AB2643" t="s">
        <v>723</v>
      </c>
      <c r="AD2643" t="s">
        <v>11082</v>
      </c>
      <c r="AF2643" t="s">
        <v>11118</v>
      </c>
      <c r="AH2643" t="s">
        <v>10974</v>
      </c>
      <c r="AI2643" t="s">
        <v>11126</v>
      </c>
      <c r="AK2643" t="s">
        <v>7225</v>
      </c>
      <c r="AM2643">
        <v>1155.44</v>
      </c>
      <c r="AO2643">
        <v>25</v>
      </c>
      <c r="AQ2643" t="s">
        <v>11157</v>
      </c>
      <c r="AR2643" t="s">
        <v>11172</v>
      </c>
      <c r="AT2643" t="s">
        <v>11184</v>
      </c>
      <c r="AU2643">
        <v>0</v>
      </c>
      <c r="AW2643" t="s">
        <v>11187</v>
      </c>
      <c r="BA2643" t="s">
        <v>11222</v>
      </c>
      <c r="BE2643" t="s">
        <v>12643</v>
      </c>
      <c r="BG2643" t="s">
        <v>15034</v>
      </c>
      <c r="BH2643" t="s">
        <v>15605</v>
      </c>
      <c r="BJ2643" t="s">
        <v>15615</v>
      </c>
      <c r="BL2643" t="s">
        <v>15648</v>
      </c>
      <c r="BM2643" t="s">
        <v>15651</v>
      </c>
    </row>
    <row r="2644" spans="1:65">
      <c r="A2644" s="1">
        <f>HYPERLINK("https://lsnyc.legalserver.org/matter/dynamic-profile/view/1894949","19-1894949")</f>
        <v>0</v>
      </c>
      <c r="B2644" t="s">
        <v>165</v>
      </c>
      <c r="C2644" t="s">
        <v>248</v>
      </c>
      <c r="D2644" t="s">
        <v>521</v>
      </c>
      <c r="E2644" t="s">
        <v>309</v>
      </c>
      <c r="F2644" t="s">
        <v>2211</v>
      </c>
      <c r="G2644" t="s">
        <v>3714</v>
      </c>
      <c r="H2644" t="s">
        <v>5451</v>
      </c>
      <c r="I2644" t="s">
        <v>6904</v>
      </c>
      <c r="J2644" t="s">
        <v>7174</v>
      </c>
      <c r="K2644">
        <v>11207</v>
      </c>
      <c r="L2644" t="s">
        <v>7219</v>
      </c>
      <c r="N2644" t="s">
        <v>7237</v>
      </c>
      <c r="O2644" t="s">
        <v>8969</v>
      </c>
      <c r="P2644">
        <v>2</v>
      </c>
      <c r="Q2644">
        <v>0</v>
      </c>
      <c r="R2644">
        <v>236.55</v>
      </c>
      <c r="U2644">
        <v>40000</v>
      </c>
      <c r="V2644" t="s">
        <v>10508</v>
      </c>
      <c r="W2644">
        <v>0.5</v>
      </c>
      <c r="X2644" t="s">
        <v>309</v>
      </c>
      <c r="Y2644" t="s">
        <v>225</v>
      </c>
      <c r="AA2644" t="s">
        <v>10974</v>
      </c>
      <c r="AB2644" t="s">
        <v>311</v>
      </c>
      <c r="AD2644" t="s">
        <v>11083</v>
      </c>
      <c r="AF2644" t="s">
        <v>11118</v>
      </c>
      <c r="AH2644" t="s">
        <v>10974</v>
      </c>
      <c r="AI2644" t="s">
        <v>11126</v>
      </c>
      <c r="AK2644" t="s">
        <v>7225</v>
      </c>
      <c r="AL2644" t="s">
        <v>11150</v>
      </c>
      <c r="AM2644">
        <v>0</v>
      </c>
      <c r="AO2644">
        <v>2</v>
      </c>
      <c r="AP2644" t="s">
        <v>11155</v>
      </c>
      <c r="AS2644" t="s">
        <v>11104</v>
      </c>
      <c r="AU2644">
        <v>1</v>
      </c>
      <c r="AV2644" t="s">
        <v>11186</v>
      </c>
      <c r="AY2644" t="s">
        <v>11213</v>
      </c>
      <c r="BA2644" t="s">
        <v>11222</v>
      </c>
      <c r="BD2644" t="s">
        <v>11667</v>
      </c>
      <c r="BG2644" t="s">
        <v>14861</v>
      </c>
      <c r="BH2644" t="s">
        <v>15605</v>
      </c>
      <c r="BJ2644" t="s">
        <v>15615</v>
      </c>
      <c r="BL2644" t="s">
        <v>15648</v>
      </c>
      <c r="BM2644" t="s">
        <v>15651</v>
      </c>
    </row>
    <row r="2645" spans="1:65">
      <c r="A2645" s="1">
        <f>HYPERLINK("https://lsnyc.legalserver.org/matter/dynamic-profile/view/0799941","16-0799941")</f>
        <v>0</v>
      </c>
      <c r="B2645" t="s">
        <v>165</v>
      </c>
      <c r="C2645" t="s">
        <v>248</v>
      </c>
      <c r="D2645" t="s">
        <v>913</v>
      </c>
      <c r="E2645" t="s">
        <v>548</v>
      </c>
      <c r="F2645" t="s">
        <v>1302</v>
      </c>
      <c r="G2645" t="s">
        <v>3231</v>
      </c>
      <c r="H2645" t="s">
        <v>5667</v>
      </c>
      <c r="I2645" t="s">
        <v>6420</v>
      </c>
      <c r="J2645" t="s">
        <v>7174</v>
      </c>
      <c r="K2645">
        <v>11215</v>
      </c>
      <c r="L2645" t="s">
        <v>7219</v>
      </c>
      <c r="M2645" t="s">
        <v>7226</v>
      </c>
      <c r="N2645" t="s">
        <v>7237</v>
      </c>
      <c r="O2645" t="s">
        <v>8970</v>
      </c>
      <c r="P2645">
        <v>1</v>
      </c>
      <c r="Q2645">
        <v>0</v>
      </c>
      <c r="R2645">
        <v>82.83</v>
      </c>
      <c r="U2645">
        <v>9840</v>
      </c>
      <c r="W2645">
        <v>20.25</v>
      </c>
      <c r="X2645" t="s">
        <v>725</v>
      </c>
      <c r="Y2645" t="s">
        <v>165</v>
      </c>
      <c r="AA2645" t="s">
        <v>10974</v>
      </c>
      <c r="AB2645" t="s">
        <v>10990</v>
      </c>
      <c r="AD2645" t="s">
        <v>11082</v>
      </c>
      <c r="AF2645" t="s">
        <v>11118</v>
      </c>
      <c r="AG2645" t="s">
        <v>11124</v>
      </c>
      <c r="AI2645" t="s">
        <v>11126</v>
      </c>
      <c r="AK2645" t="s">
        <v>7225</v>
      </c>
      <c r="AL2645" t="s">
        <v>11150</v>
      </c>
      <c r="AM2645">
        <v>0</v>
      </c>
      <c r="AO2645">
        <v>8</v>
      </c>
      <c r="AQ2645" t="s">
        <v>11157</v>
      </c>
      <c r="AR2645" t="s">
        <v>11172</v>
      </c>
      <c r="AU2645">
        <v>16</v>
      </c>
      <c r="AW2645" t="s">
        <v>11189</v>
      </c>
      <c r="AZ2645" t="s">
        <v>11221</v>
      </c>
      <c r="BE2645" t="s">
        <v>13211</v>
      </c>
      <c r="BF2645" t="s">
        <v>14364</v>
      </c>
      <c r="BG2645" t="s">
        <v>15035</v>
      </c>
      <c r="BH2645" t="s">
        <v>15605</v>
      </c>
      <c r="BJ2645" t="s">
        <v>15615</v>
      </c>
      <c r="BL2645" t="s">
        <v>15648</v>
      </c>
      <c r="BM2645" t="s">
        <v>15651</v>
      </c>
    </row>
    <row r="2646" spans="1:65">
      <c r="A2646" s="1">
        <f>HYPERLINK("https://lsnyc.legalserver.org/matter/dynamic-profile/view/0830913","17-0830913")</f>
        <v>0</v>
      </c>
      <c r="B2646" t="s">
        <v>165</v>
      </c>
      <c r="C2646" t="s">
        <v>248</v>
      </c>
      <c r="D2646" t="s">
        <v>914</v>
      </c>
      <c r="E2646" t="s">
        <v>309</v>
      </c>
      <c r="F2646" t="s">
        <v>1579</v>
      </c>
      <c r="G2646" t="s">
        <v>4019</v>
      </c>
      <c r="H2646" t="s">
        <v>5668</v>
      </c>
      <c r="I2646" t="s">
        <v>6438</v>
      </c>
      <c r="J2646" t="s">
        <v>7174</v>
      </c>
      <c r="K2646">
        <v>11233</v>
      </c>
      <c r="L2646" t="s">
        <v>7219</v>
      </c>
      <c r="N2646" t="s">
        <v>7237</v>
      </c>
      <c r="O2646" t="s">
        <v>8971</v>
      </c>
      <c r="P2646">
        <v>2</v>
      </c>
      <c r="Q2646">
        <v>1</v>
      </c>
      <c r="R2646">
        <v>128.58</v>
      </c>
      <c r="U2646">
        <v>26256</v>
      </c>
      <c r="W2646">
        <v>51.5</v>
      </c>
      <c r="X2646" t="s">
        <v>309</v>
      </c>
      <c r="Y2646" t="s">
        <v>10946</v>
      </c>
      <c r="AA2646" t="s">
        <v>10974</v>
      </c>
      <c r="AB2646" t="s">
        <v>875</v>
      </c>
      <c r="AD2646" t="s">
        <v>11086</v>
      </c>
      <c r="AF2646" t="s">
        <v>11118</v>
      </c>
      <c r="AH2646" t="s">
        <v>10974</v>
      </c>
      <c r="AJ2646" t="s">
        <v>11143</v>
      </c>
      <c r="AK2646" t="s">
        <v>7225</v>
      </c>
      <c r="AM2646">
        <v>1125</v>
      </c>
      <c r="AO2646">
        <v>6</v>
      </c>
      <c r="AQ2646" t="s">
        <v>11160</v>
      </c>
      <c r="AS2646" t="s">
        <v>11173</v>
      </c>
      <c r="AU2646">
        <v>10</v>
      </c>
      <c r="AW2646" t="s">
        <v>11187</v>
      </c>
      <c r="BA2646" t="s">
        <v>11222</v>
      </c>
      <c r="BE2646" t="s">
        <v>13212</v>
      </c>
      <c r="BF2646" t="s">
        <v>14364</v>
      </c>
      <c r="BJ2646" t="s">
        <v>15615</v>
      </c>
      <c r="BM2646" t="s">
        <v>15651</v>
      </c>
    </row>
    <row r="2647" spans="1:65">
      <c r="A2647" s="1">
        <f>HYPERLINK("https://lsnyc.legalserver.org/matter/dynamic-profile/view/0733605","13-0733605")</f>
        <v>0</v>
      </c>
      <c r="B2647" t="s">
        <v>165</v>
      </c>
      <c r="C2647" t="s">
        <v>248</v>
      </c>
      <c r="D2647" t="s">
        <v>915</v>
      </c>
      <c r="F2647" t="s">
        <v>2212</v>
      </c>
      <c r="G2647" t="s">
        <v>2536</v>
      </c>
      <c r="H2647" t="s">
        <v>5669</v>
      </c>
      <c r="I2647">
        <v>15</v>
      </c>
      <c r="J2647" t="s">
        <v>7207</v>
      </c>
      <c r="K2647">
        <v>11208</v>
      </c>
      <c r="M2647" t="s">
        <v>7233</v>
      </c>
      <c r="N2647" t="s">
        <v>7237</v>
      </c>
      <c r="O2647" t="s">
        <v>8972</v>
      </c>
      <c r="P2647">
        <v>1</v>
      </c>
      <c r="Q2647">
        <v>0</v>
      </c>
      <c r="R2647">
        <v>83.97</v>
      </c>
      <c r="U2647">
        <v>9648</v>
      </c>
      <c r="W2647">
        <v>38.05</v>
      </c>
      <c r="X2647" t="s">
        <v>998</v>
      </c>
      <c r="Y2647" t="s">
        <v>10947</v>
      </c>
      <c r="Z2647" t="s">
        <v>10972</v>
      </c>
      <c r="AA2647" t="s">
        <v>10976</v>
      </c>
      <c r="AB2647" t="s">
        <v>11053</v>
      </c>
      <c r="AD2647" t="s">
        <v>11096</v>
      </c>
      <c r="AF2647" t="s">
        <v>11120</v>
      </c>
      <c r="AG2647" t="s">
        <v>11124</v>
      </c>
      <c r="AJ2647" t="s">
        <v>11136</v>
      </c>
      <c r="AK2647" t="s">
        <v>7225</v>
      </c>
      <c r="AM2647">
        <v>500</v>
      </c>
      <c r="AN2647" t="s">
        <v>11151</v>
      </c>
      <c r="AO2647" t="s">
        <v>11153</v>
      </c>
      <c r="AP2647" t="s">
        <v>11155</v>
      </c>
      <c r="AR2647" t="s">
        <v>11172</v>
      </c>
      <c r="AU2647">
        <v>42</v>
      </c>
      <c r="AW2647" t="s">
        <v>11187</v>
      </c>
      <c r="AZ2647" t="s">
        <v>11221</v>
      </c>
      <c r="BC2647" t="s">
        <v>11443</v>
      </c>
      <c r="BE2647" t="s">
        <v>13213</v>
      </c>
      <c r="BF2647" t="s">
        <v>14364</v>
      </c>
      <c r="BG2647" t="s">
        <v>15036</v>
      </c>
      <c r="BM2647" t="s">
        <v>15650</v>
      </c>
    </row>
    <row r="2648" spans="1:65">
      <c r="A2648" s="1">
        <f>HYPERLINK("https://lsnyc.legalserver.org/matter/dynamic-profile/view/1847733","17-1847733")</f>
        <v>0</v>
      </c>
      <c r="B2648" t="s">
        <v>165</v>
      </c>
      <c r="C2648" t="s">
        <v>248</v>
      </c>
      <c r="D2648" t="s">
        <v>912</v>
      </c>
      <c r="E2648" t="s">
        <v>1081</v>
      </c>
      <c r="F2648" t="s">
        <v>1195</v>
      </c>
      <c r="G2648" t="s">
        <v>2902</v>
      </c>
      <c r="H2648" t="s">
        <v>5666</v>
      </c>
      <c r="I2648" t="s">
        <v>6903</v>
      </c>
      <c r="J2648" t="s">
        <v>7174</v>
      </c>
      <c r="K2648">
        <v>11208</v>
      </c>
      <c r="L2648" t="s">
        <v>7219</v>
      </c>
      <c r="N2648" t="s">
        <v>7237</v>
      </c>
      <c r="O2648" t="s">
        <v>8968</v>
      </c>
      <c r="P2648">
        <v>1</v>
      </c>
      <c r="Q2648">
        <v>0</v>
      </c>
      <c r="R2648">
        <v>119.4</v>
      </c>
      <c r="U2648">
        <v>14400</v>
      </c>
      <c r="W2648">
        <v>3</v>
      </c>
      <c r="X2648" t="s">
        <v>1081</v>
      </c>
      <c r="Y2648" t="s">
        <v>165</v>
      </c>
      <c r="AA2648" t="s">
        <v>10974</v>
      </c>
      <c r="AB2648" t="s">
        <v>939</v>
      </c>
      <c r="AD2648" t="s">
        <v>11082</v>
      </c>
      <c r="AF2648" t="s">
        <v>11118</v>
      </c>
      <c r="AH2648" t="s">
        <v>10975</v>
      </c>
      <c r="AJ2648" t="s">
        <v>11129</v>
      </c>
      <c r="AK2648" t="s">
        <v>7225</v>
      </c>
      <c r="AM2648">
        <v>525</v>
      </c>
      <c r="AO2648">
        <v>6</v>
      </c>
      <c r="AQ2648" t="s">
        <v>11157</v>
      </c>
      <c r="AR2648" t="s">
        <v>11172</v>
      </c>
      <c r="AU2648">
        <v>35</v>
      </c>
      <c r="AW2648" t="s">
        <v>11189</v>
      </c>
      <c r="BA2648" t="s">
        <v>11222</v>
      </c>
      <c r="BE2648" t="s">
        <v>13210</v>
      </c>
      <c r="BF2648" t="s">
        <v>14364</v>
      </c>
      <c r="BG2648" t="s">
        <v>15037</v>
      </c>
      <c r="BH2648" t="s">
        <v>15605</v>
      </c>
      <c r="BJ2648" t="s">
        <v>15615</v>
      </c>
      <c r="BL2648" t="s">
        <v>15648</v>
      </c>
      <c r="BM2648" t="s">
        <v>15651</v>
      </c>
    </row>
    <row r="2649" spans="1:65">
      <c r="A2649" s="1">
        <f>HYPERLINK("https://lsnyc.legalserver.org/matter/dynamic-profile/view/0779699","15-0779699")</f>
        <v>0</v>
      </c>
      <c r="B2649" t="s">
        <v>165</v>
      </c>
      <c r="C2649" t="s">
        <v>248</v>
      </c>
      <c r="D2649" t="s">
        <v>916</v>
      </c>
      <c r="E2649" t="s">
        <v>309</v>
      </c>
      <c r="F2649" t="s">
        <v>1155</v>
      </c>
      <c r="G2649" t="s">
        <v>2943</v>
      </c>
      <c r="H2649" t="s">
        <v>4813</v>
      </c>
      <c r="I2649">
        <v>23</v>
      </c>
      <c r="J2649" t="s">
        <v>7174</v>
      </c>
      <c r="K2649">
        <v>11225</v>
      </c>
      <c r="L2649" t="s">
        <v>7219</v>
      </c>
      <c r="M2649" t="s">
        <v>7226</v>
      </c>
      <c r="N2649" t="s">
        <v>7237</v>
      </c>
      <c r="O2649" t="s">
        <v>7323</v>
      </c>
      <c r="P2649">
        <v>1</v>
      </c>
      <c r="Q2649">
        <v>0</v>
      </c>
      <c r="R2649">
        <v>88.36</v>
      </c>
      <c r="U2649">
        <v>10400</v>
      </c>
      <c r="V2649" t="s">
        <v>10509</v>
      </c>
      <c r="W2649">
        <v>47.15</v>
      </c>
      <c r="X2649" t="s">
        <v>309</v>
      </c>
      <c r="Y2649" t="s">
        <v>10948</v>
      </c>
      <c r="AA2649" t="s">
        <v>10974</v>
      </c>
      <c r="AB2649" t="s">
        <v>916</v>
      </c>
      <c r="AD2649" t="s">
        <v>11083</v>
      </c>
      <c r="AF2649" t="s">
        <v>11122</v>
      </c>
      <c r="AG2649" t="s">
        <v>11124</v>
      </c>
      <c r="AI2649" t="s">
        <v>11126</v>
      </c>
      <c r="AK2649" t="s">
        <v>7225</v>
      </c>
      <c r="AM2649">
        <v>683.22</v>
      </c>
      <c r="AN2649" t="s">
        <v>11151</v>
      </c>
      <c r="AO2649" t="s">
        <v>11153</v>
      </c>
      <c r="AQ2649" t="s">
        <v>11160</v>
      </c>
      <c r="AR2649" t="s">
        <v>11172</v>
      </c>
      <c r="AU2649">
        <v>38</v>
      </c>
      <c r="AW2649" t="s">
        <v>11189</v>
      </c>
      <c r="BA2649" t="s">
        <v>11223</v>
      </c>
      <c r="BE2649" t="s">
        <v>11736</v>
      </c>
      <c r="BG2649" t="s">
        <v>15038</v>
      </c>
      <c r="BJ2649" t="s">
        <v>15615</v>
      </c>
      <c r="BM2649" t="s">
        <v>15651</v>
      </c>
    </row>
    <row r="2650" spans="1:65">
      <c r="A2650" s="1">
        <f>HYPERLINK("https://lsnyc.legalserver.org/matter/dynamic-profile/view/1841631","17-1841631")</f>
        <v>0</v>
      </c>
      <c r="B2650" t="s">
        <v>165</v>
      </c>
      <c r="C2650" t="s">
        <v>248</v>
      </c>
      <c r="D2650" t="s">
        <v>831</v>
      </c>
      <c r="E2650" t="s">
        <v>528</v>
      </c>
      <c r="F2650" t="s">
        <v>1302</v>
      </c>
      <c r="G2650" t="s">
        <v>3231</v>
      </c>
      <c r="H2650" t="s">
        <v>5667</v>
      </c>
      <c r="I2650" t="s">
        <v>6420</v>
      </c>
      <c r="J2650" t="s">
        <v>7174</v>
      </c>
      <c r="K2650">
        <v>11215</v>
      </c>
      <c r="L2650" t="s">
        <v>7221</v>
      </c>
      <c r="N2650" t="s">
        <v>7237</v>
      </c>
      <c r="O2650" t="s">
        <v>8970</v>
      </c>
      <c r="P2650">
        <v>1</v>
      </c>
      <c r="Q2650">
        <v>0</v>
      </c>
      <c r="R2650">
        <v>80.2</v>
      </c>
      <c r="T2650" t="s">
        <v>10277</v>
      </c>
      <c r="U2650">
        <v>9672</v>
      </c>
      <c r="W2650">
        <v>70.5</v>
      </c>
      <c r="X2650" t="s">
        <v>528</v>
      </c>
      <c r="Y2650" t="s">
        <v>165</v>
      </c>
      <c r="AA2650" t="s">
        <v>10974</v>
      </c>
      <c r="AB2650" t="s">
        <v>348</v>
      </c>
      <c r="AD2650" t="s">
        <v>11104</v>
      </c>
      <c r="AF2650" t="s">
        <v>11122</v>
      </c>
      <c r="AH2650" t="s">
        <v>10975</v>
      </c>
      <c r="AJ2650" t="s">
        <v>11141</v>
      </c>
      <c r="AK2650" t="s">
        <v>7225</v>
      </c>
      <c r="AM2650">
        <v>500</v>
      </c>
      <c r="AO2650">
        <v>8</v>
      </c>
      <c r="AQ2650" t="s">
        <v>11157</v>
      </c>
      <c r="AR2650" t="s">
        <v>11172</v>
      </c>
      <c r="AU2650">
        <v>10</v>
      </c>
      <c r="AW2650" t="s">
        <v>11187</v>
      </c>
      <c r="BA2650" t="s">
        <v>11222</v>
      </c>
      <c r="BE2650" t="s">
        <v>13211</v>
      </c>
      <c r="BF2650" t="s">
        <v>14364</v>
      </c>
      <c r="BJ2650" t="s">
        <v>15615</v>
      </c>
      <c r="BM2650" t="s">
        <v>15651</v>
      </c>
    </row>
    <row r="2651" spans="1:65">
      <c r="A2651" s="1">
        <f>HYPERLINK("https://lsnyc.legalserver.org/matter/dynamic-profile/view/0779614","15-0779614")</f>
        <v>0</v>
      </c>
      <c r="B2651" t="s">
        <v>165</v>
      </c>
      <c r="C2651" t="s">
        <v>248</v>
      </c>
      <c r="D2651" t="s">
        <v>917</v>
      </c>
      <c r="E2651" t="s">
        <v>1081</v>
      </c>
      <c r="F2651" t="s">
        <v>1993</v>
      </c>
      <c r="G2651" t="s">
        <v>4020</v>
      </c>
      <c r="H2651" t="s">
        <v>5670</v>
      </c>
      <c r="J2651" t="s">
        <v>7174</v>
      </c>
      <c r="K2651">
        <v>11216</v>
      </c>
      <c r="L2651" t="s">
        <v>7219</v>
      </c>
      <c r="M2651" t="s">
        <v>7226</v>
      </c>
      <c r="N2651" t="s">
        <v>7237</v>
      </c>
      <c r="O2651" t="s">
        <v>8973</v>
      </c>
      <c r="P2651">
        <v>1</v>
      </c>
      <c r="Q2651">
        <v>0</v>
      </c>
      <c r="R2651">
        <v>0</v>
      </c>
      <c r="U2651">
        <v>0</v>
      </c>
      <c r="V2651" t="s">
        <v>10510</v>
      </c>
      <c r="W2651">
        <v>28.5</v>
      </c>
      <c r="X2651" t="s">
        <v>1081</v>
      </c>
      <c r="Y2651" t="s">
        <v>165</v>
      </c>
      <c r="Z2651" t="s">
        <v>10972</v>
      </c>
      <c r="AA2651" t="s">
        <v>10975</v>
      </c>
      <c r="AD2651" t="s">
        <v>11083</v>
      </c>
      <c r="AF2651" t="s">
        <v>11118</v>
      </c>
      <c r="AG2651" t="s">
        <v>11124</v>
      </c>
      <c r="AI2651" t="s">
        <v>11126</v>
      </c>
      <c r="AK2651" t="s">
        <v>7225</v>
      </c>
      <c r="AL2651" t="s">
        <v>11150</v>
      </c>
      <c r="AM2651">
        <v>0</v>
      </c>
      <c r="AN2651" t="s">
        <v>11151</v>
      </c>
      <c r="AO2651" t="s">
        <v>11153</v>
      </c>
      <c r="AQ2651" t="s">
        <v>11156</v>
      </c>
      <c r="AR2651" t="s">
        <v>11172</v>
      </c>
      <c r="AU2651">
        <v>8</v>
      </c>
      <c r="AW2651" t="s">
        <v>11187</v>
      </c>
      <c r="AX2651" t="s">
        <v>11212</v>
      </c>
      <c r="AZ2651" t="s">
        <v>11221</v>
      </c>
      <c r="BE2651" t="s">
        <v>13214</v>
      </c>
      <c r="BG2651" t="s">
        <v>15039</v>
      </c>
      <c r="BH2651" t="s">
        <v>15605</v>
      </c>
      <c r="BJ2651" t="s">
        <v>15615</v>
      </c>
      <c r="BL2651" t="s">
        <v>15648</v>
      </c>
      <c r="BM2651" t="s">
        <v>15651</v>
      </c>
    </row>
    <row r="2652" spans="1:65">
      <c r="A2652" s="1">
        <f>HYPERLINK("https://lsnyc.legalserver.org/matter/dynamic-profile/view/1849456","17-1849456")</f>
        <v>0</v>
      </c>
      <c r="B2652" t="s">
        <v>165</v>
      </c>
      <c r="C2652" t="s">
        <v>248</v>
      </c>
      <c r="D2652" t="s">
        <v>708</v>
      </c>
      <c r="F2652" t="s">
        <v>2213</v>
      </c>
      <c r="G2652" t="s">
        <v>2921</v>
      </c>
      <c r="H2652" t="s">
        <v>5671</v>
      </c>
      <c r="I2652" t="s">
        <v>6905</v>
      </c>
      <c r="J2652" t="s">
        <v>7174</v>
      </c>
      <c r="K2652">
        <v>11208</v>
      </c>
      <c r="N2652" t="s">
        <v>7237</v>
      </c>
      <c r="O2652" t="s">
        <v>8974</v>
      </c>
      <c r="P2652">
        <v>1</v>
      </c>
      <c r="Q2652">
        <v>0</v>
      </c>
      <c r="R2652">
        <v>75.22</v>
      </c>
      <c r="U2652">
        <v>9072</v>
      </c>
      <c r="W2652">
        <v>97.40000000000001</v>
      </c>
      <c r="X2652" t="s">
        <v>731</v>
      </c>
      <c r="Y2652" t="s">
        <v>10901</v>
      </c>
      <c r="AA2652" t="s">
        <v>10974</v>
      </c>
      <c r="AB2652" t="s">
        <v>708</v>
      </c>
      <c r="AD2652" t="s">
        <v>11082</v>
      </c>
      <c r="AF2652" t="s">
        <v>11118</v>
      </c>
      <c r="AH2652" t="s">
        <v>10975</v>
      </c>
      <c r="AI2652" t="s">
        <v>11126</v>
      </c>
      <c r="AK2652" t="s">
        <v>7225</v>
      </c>
      <c r="AM2652">
        <v>1241.32</v>
      </c>
      <c r="AO2652">
        <v>53</v>
      </c>
      <c r="AQ2652" t="s">
        <v>11157</v>
      </c>
      <c r="AS2652" t="s">
        <v>11177</v>
      </c>
      <c r="AU2652">
        <v>10</v>
      </c>
      <c r="AW2652" t="s">
        <v>11187</v>
      </c>
      <c r="AY2652" t="s">
        <v>11213</v>
      </c>
      <c r="AZ2652" t="s">
        <v>11221</v>
      </c>
      <c r="BB2652" t="s">
        <v>11224</v>
      </c>
      <c r="BC2652" t="s">
        <v>11444</v>
      </c>
      <c r="BE2652" t="s">
        <v>13215</v>
      </c>
      <c r="BG2652" t="s">
        <v>15040</v>
      </c>
      <c r="BM2652" t="s">
        <v>15650</v>
      </c>
    </row>
    <row r="2653" spans="1:65">
      <c r="A2653" s="1">
        <f>HYPERLINK("https://lsnyc.legalserver.org/matter/dynamic-profile/view/1905738","19-1905738")</f>
        <v>0</v>
      </c>
      <c r="B2653" t="s">
        <v>165</v>
      </c>
      <c r="C2653" t="s">
        <v>248</v>
      </c>
      <c r="D2653" t="s">
        <v>511</v>
      </c>
      <c r="E2653" t="s">
        <v>548</v>
      </c>
      <c r="F2653" t="s">
        <v>1212</v>
      </c>
      <c r="G2653" t="s">
        <v>2884</v>
      </c>
      <c r="H2653" t="s">
        <v>5672</v>
      </c>
      <c r="I2653" t="s">
        <v>6417</v>
      </c>
      <c r="J2653" t="s">
        <v>7174</v>
      </c>
      <c r="K2653">
        <v>11233</v>
      </c>
      <c r="L2653" t="s">
        <v>7216</v>
      </c>
      <c r="N2653" t="s">
        <v>7237</v>
      </c>
      <c r="O2653" t="s">
        <v>8975</v>
      </c>
      <c r="P2653">
        <v>1</v>
      </c>
      <c r="Q2653">
        <v>0</v>
      </c>
      <c r="R2653">
        <v>0</v>
      </c>
      <c r="U2653">
        <v>0</v>
      </c>
      <c r="V2653" t="s">
        <v>10511</v>
      </c>
      <c r="W2653">
        <v>0.5</v>
      </c>
      <c r="X2653" t="s">
        <v>548</v>
      </c>
      <c r="Y2653" t="s">
        <v>101</v>
      </c>
      <c r="AA2653" t="s">
        <v>10974</v>
      </c>
      <c r="AB2653" t="s">
        <v>511</v>
      </c>
      <c r="AD2653" t="s">
        <v>11086</v>
      </c>
      <c r="AF2653" t="s">
        <v>11119</v>
      </c>
      <c r="AH2653" t="s">
        <v>10975</v>
      </c>
      <c r="AJ2653" t="s">
        <v>11104</v>
      </c>
      <c r="AK2653" t="s">
        <v>7225</v>
      </c>
      <c r="AM2653">
        <v>215</v>
      </c>
      <c r="AO2653">
        <v>48</v>
      </c>
      <c r="AQ2653" t="s">
        <v>11159</v>
      </c>
      <c r="AS2653" t="s">
        <v>11104</v>
      </c>
      <c r="AU2653">
        <v>4</v>
      </c>
      <c r="AW2653" t="s">
        <v>11187</v>
      </c>
      <c r="BA2653" t="s">
        <v>11223</v>
      </c>
      <c r="BC2653" t="s">
        <v>11445</v>
      </c>
      <c r="BE2653" t="s">
        <v>13216</v>
      </c>
      <c r="BF2653" t="s">
        <v>14364</v>
      </c>
      <c r="BG2653" t="s">
        <v>14411</v>
      </c>
      <c r="BM2653" t="s">
        <v>15651</v>
      </c>
    </row>
    <row r="2654" spans="1:65">
      <c r="A2654" s="1">
        <f>HYPERLINK("https://lsnyc.legalserver.org/matter/dynamic-profile/view/0817648","16-0817648")</f>
        <v>0</v>
      </c>
      <c r="B2654" t="s">
        <v>165</v>
      </c>
      <c r="C2654" t="s">
        <v>248</v>
      </c>
      <c r="D2654" t="s">
        <v>918</v>
      </c>
      <c r="F2654" t="s">
        <v>2214</v>
      </c>
      <c r="G2654" t="s">
        <v>1624</v>
      </c>
      <c r="H2654" t="s">
        <v>5673</v>
      </c>
      <c r="I2654" t="s">
        <v>6637</v>
      </c>
      <c r="J2654" t="s">
        <v>7174</v>
      </c>
      <c r="K2654">
        <v>11213</v>
      </c>
      <c r="N2654" t="s">
        <v>7237</v>
      </c>
      <c r="O2654" t="s">
        <v>8976</v>
      </c>
      <c r="P2654">
        <v>2</v>
      </c>
      <c r="Q2654">
        <v>1</v>
      </c>
      <c r="R2654">
        <v>110.14</v>
      </c>
      <c r="S2654" t="s">
        <v>645</v>
      </c>
      <c r="U2654">
        <v>22204</v>
      </c>
      <c r="V2654" t="s">
        <v>10512</v>
      </c>
      <c r="W2654">
        <v>16.65</v>
      </c>
      <c r="X2654" t="s">
        <v>423</v>
      </c>
      <c r="Y2654" t="s">
        <v>10901</v>
      </c>
      <c r="AA2654" t="s">
        <v>10974</v>
      </c>
      <c r="AB2654" t="s">
        <v>918</v>
      </c>
      <c r="AD2654" t="s">
        <v>11101</v>
      </c>
      <c r="AF2654" t="s">
        <v>11118</v>
      </c>
      <c r="AH2654" t="s">
        <v>10974</v>
      </c>
      <c r="AJ2654" t="s">
        <v>11130</v>
      </c>
      <c r="AK2654" t="s">
        <v>7225</v>
      </c>
      <c r="AM2654">
        <v>1</v>
      </c>
      <c r="AO2654">
        <v>6</v>
      </c>
      <c r="AQ2654" t="s">
        <v>11157</v>
      </c>
      <c r="AR2654" t="s">
        <v>11172</v>
      </c>
      <c r="AT2654" t="s">
        <v>11184</v>
      </c>
      <c r="AU2654">
        <v>0</v>
      </c>
      <c r="AW2654" t="s">
        <v>11187</v>
      </c>
      <c r="BA2654" t="s">
        <v>11222</v>
      </c>
      <c r="BD2654" t="s">
        <v>11667</v>
      </c>
      <c r="BF2654" t="s">
        <v>14364</v>
      </c>
      <c r="BG2654" t="s">
        <v>15041</v>
      </c>
      <c r="BM2654" t="s">
        <v>15650</v>
      </c>
    </row>
    <row r="2655" spans="1:65">
      <c r="A2655" s="1">
        <f>HYPERLINK("https://lsnyc.legalserver.org/matter/dynamic-profile/view/1845254","17-1845254")</f>
        <v>0</v>
      </c>
      <c r="B2655" t="s">
        <v>165</v>
      </c>
      <c r="C2655" t="s">
        <v>248</v>
      </c>
      <c r="D2655" t="s">
        <v>661</v>
      </c>
      <c r="E2655" t="s">
        <v>1081</v>
      </c>
      <c r="F2655" t="s">
        <v>1493</v>
      </c>
      <c r="G2655" t="s">
        <v>3280</v>
      </c>
      <c r="H2655" t="s">
        <v>5050</v>
      </c>
      <c r="I2655" t="s">
        <v>6477</v>
      </c>
      <c r="J2655" t="s">
        <v>7174</v>
      </c>
      <c r="K2655">
        <v>11236</v>
      </c>
      <c r="L2655" t="s">
        <v>7219</v>
      </c>
      <c r="N2655" t="s">
        <v>7237</v>
      </c>
      <c r="O2655" t="s">
        <v>7784</v>
      </c>
      <c r="P2655">
        <v>1</v>
      </c>
      <c r="Q2655">
        <v>0</v>
      </c>
      <c r="R2655">
        <v>130.8</v>
      </c>
      <c r="S2655" t="s">
        <v>10269</v>
      </c>
      <c r="U2655">
        <v>15774</v>
      </c>
      <c r="W2655">
        <v>92.7</v>
      </c>
      <c r="X2655" t="s">
        <v>1081</v>
      </c>
      <c r="Y2655" t="s">
        <v>10901</v>
      </c>
      <c r="AA2655" t="s">
        <v>10974</v>
      </c>
      <c r="AB2655" t="s">
        <v>410</v>
      </c>
      <c r="AD2655" t="s">
        <v>11083</v>
      </c>
      <c r="AF2655" t="s">
        <v>11118</v>
      </c>
      <c r="AH2655" t="s">
        <v>10975</v>
      </c>
      <c r="AJ2655" t="s">
        <v>11138</v>
      </c>
      <c r="AK2655" t="s">
        <v>7225</v>
      </c>
      <c r="AM2655">
        <v>1289.69</v>
      </c>
      <c r="AO2655">
        <v>37</v>
      </c>
      <c r="AQ2655" t="s">
        <v>11157</v>
      </c>
      <c r="AS2655" t="s">
        <v>11174</v>
      </c>
      <c r="AU2655">
        <v>5</v>
      </c>
      <c r="AW2655" t="s">
        <v>11187</v>
      </c>
      <c r="BA2655" t="s">
        <v>11222</v>
      </c>
      <c r="BB2655" t="s">
        <v>11224</v>
      </c>
      <c r="BC2655" t="s">
        <v>11446</v>
      </c>
      <c r="BE2655" t="s">
        <v>12128</v>
      </c>
      <c r="BG2655" t="s">
        <v>15042</v>
      </c>
      <c r="BH2655" t="s">
        <v>15605</v>
      </c>
      <c r="BJ2655" t="s">
        <v>15615</v>
      </c>
      <c r="BL2655" t="s">
        <v>15648</v>
      </c>
      <c r="BM2655" t="s">
        <v>15651</v>
      </c>
    </row>
    <row r="2656" spans="1:65">
      <c r="A2656" s="1">
        <f>HYPERLINK("https://lsnyc.legalserver.org/matter/dynamic-profile/view/1914230","19-1914230")</f>
        <v>0</v>
      </c>
      <c r="B2656" t="s">
        <v>166</v>
      </c>
      <c r="C2656" t="s">
        <v>245</v>
      </c>
      <c r="D2656" t="s">
        <v>266</v>
      </c>
      <c r="F2656" t="s">
        <v>2215</v>
      </c>
      <c r="G2656" t="s">
        <v>4021</v>
      </c>
      <c r="H2656" t="s">
        <v>5674</v>
      </c>
      <c r="I2656" t="s">
        <v>6906</v>
      </c>
      <c r="J2656" t="s">
        <v>7169</v>
      </c>
      <c r="K2656">
        <v>10037</v>
      </c>
      <c r="N2656" t="s">
        <v>7237</v>
      </c>
      <c r="O2656" t="s">
        <v>8977</v>
      </c>
      <c r="P2656">
        <v>1</v>
      </c>
      <c r="Q2656">
        <v>0</v>
      </c>
      <c r="R2656">
        <v>153.72</v>
      </c>
      <c r="U2656">
        <v>19200</v>
      </c>
      <c r="W2656">
        <v>0.1</v>
      </c>
      <c r="X2656" t="s">
        <v>528</v>
      </c>
      <c r="Y2656" t="s">
        <v>10859</v>
      </c>
      <c r="AA2656" t="s">
        <v>10974</v>
      </c>
      <c r="AB2656" t="s">
        <v>735</v>
      </c>
      <c r="AD2656" t="s">
        <v>11101</v>
      </c>
      <c r="AF2656" t="s">
        <v>11121</v>
      </c>
      <c r="AH2656" t="s">
        <v>10974</v>
      </c>
      <c r="AJ2656" t="s">
        <v>11134</v>
      </c>
      <c r="AK2656" t="s">
        <v>7225</v>
      </c>
      <c r="AM2656">
        <v>849.86</v>
      </c>
      <c r="AO2656">
        <v>259</v>
      </c>
      <c r="AQ2656" t="s">
        <v>11157</v>
      </c>
      <c r="AS2656" t="s">
        <v>11175</v>
      </c>
      <c r="AU2656">
        <v>12</v>
      </c>
      <c r="AW2656" t="s">
        <v>11187</v>
      </c>
      <c r="AY2656" t="s">
        <v>11213</v>
      </c>
      <c r="BA2656" t="s">
        <v>11222</v>
      </c>
      <c r="BE2656" t="s">
        <v>13217</v>
      </c>
      <c r="BF2656" t="s">
        <v>14364</v>
      </c>
      <c r="BM2656" t="s">
        <v>15650</v>
      </c>
    </row>
    <row r="2657" spans="1:65">
      <c r="A2657" s="1">
        <f>HYPERLINK("https://lsnyc.legalserver.org/matter/dynamic-profile/view/1915356","19-1915356")</f>
        <v>0</v>
      </c>
      <c r="B2657" t="s">
        <v>166</v>
      </c>
      <c r="C2657" t="s">
        <v>245</v>
      </c>
      <c r="D2657" t="s">
        <v>436</v>
      </c>
      <c r="F2657" t="s">
        <v>1122</v>
      </c>
      <c r="G2657" t="s">
        <v>3562</v>
      </c>
      <c r="H2657" t="s">
        <v>5675</v>
      </c>
      <c r="I2657">
        <v>610</v>
      </c>
      <c r="J2657" t="s">
        <v>7169</v>
      </c>
      <c r="K2657">
        <v>10029</v>
      </c>
      <c r="N2657" t="s">
        <v>7237</v>
      </c>
      <c r="O2657" t="s">
        <v>8978</v>
      </c>
      <c r="P2657">
        <v>2</v>
      </c>
      <c r="Q2657">
        <v>2</v>
      </c>
      <c r="R2657">
        <v>143.07</v>
      </c>
      <c r="U2657">
        <v>36840</v>
      </c>
      <c r="W2657">
        <v>0.1</v>
      </c>
      <c r="X2657" t="s">
        <v>528</v>
      </c>
      <c r="Y2657" t="s">
        <v>10859</v>
      </c>
      <c r="AA2657" t="s">
        <v>10974</v>
      </c>
      <c r="AB2657" t="s">
        <v>436</v>
      </c>
      <c r="AD2657" t="s">
        <v>11101</v>
      </c>
      <c r="AF2657" t="s">
        <v>11118</v>
      </c>
      <c r="AH2657" t="s">
        <v>10974</v>
      </c>
      <c r="AJ2657" t="s">
        <v>11129</v>
      </c>
      <c r="AK2657" t="s">
        <v>7225</v>
      </c>
      <c r="AM2657">
        <v>713</v>
      </c>
      <c r="AO2657">
        <v>135</v>
      </c>
      <c r="AQ2657" t="s">
        <v>11160</v>
      </c>
      <c r="AS2657" t="s">
        <v>11173</v>
      </c>
      <c r="AU2657">
        <v>36</v>
      </c>
      <c r="AW2657" t="s">
        <v>11189</v>
      </c>
      <c r="AY2657" t="s">
        <v>11213</v>
      </c>
      <c r="BA2657" t="s">
        <v>11222</v>
      </c>
      <c r="BD2657" t="s">
        <v>11667</v>
      </c>
      <c r="BF2657" t="s">
        <v>14364</v>
      </c>
      <c r="BM2657" t="s">
        <v>15650</v>
      </c>
    </row>
    <row r="2658" spans="1:65">
      <c r="A2658" s="1">
        <f>HYPERLINK("https://lsnyc.legalserver.org/matter/dynamic-profile/view/0818505","16-0818505")</f>
        <v>0</v>
      </c>
      <c r="B2658" t="s">
        <v>166</v>
      </c>
      <c r="C2658" t="s">
        <v>245</v>
      </c>
      <c r="D2658" t="s">
        <v>919</v>
      </c>
      <c r="F2658" t="s">
        <v>1155</v>
      </c>
      <c r="G2658" t="s">
        <v>4022</v>
      </c>
      <c r="H2658" t="s">
        <v>5676</v>
      </c>
      <c r="I2658">
        <v>3005</v>
      </c>
      <c r="J2658" t="s">
        <v>7169</v>
      </c>
      <c r="K2658">
        <v>10035</v>
      </c>
      <c r="N2658" t="s">
        <v>7237</v>
      </c>
      <c r="O2658" t="s">
        <v>8979</v>
      </c>
      <c r="P2658">
        <v>1</v>
      </c>
      <c r="Q2658">
        <v>0</v>
      </c>
      <c r="R2658">
        <v>153.2</v>
      </c>
      <c r="U2658">
        <v>18200</v>
      </c>
      <c r="W2658">
        <v>120.55</v>
      </c>
      <c r="X2658" t="s">
        <v>735</v>
      </c>
      <c r="Y2658" t="s">
        <v>10858</v>
      </c>
      <c r="Z2658" t="s">
        <v>10972</v>
      </c>
      <c r="AA2658" t="s">
        <v>10976</v>
      </c>
      <c r="AB2658" t="s">
        <v>648</v>
      </c>
      <c r="AD2658" t="s">
        <v>11083</v>
      </c>
      <c r="AF2658" t="s">
        <v>11118</v>
      </c>
      <c r="AH2658" t="s">
        <v>10975</v>
      </c>
      <c r="AJ2658" t="s">
        <v>11142</v>
      </c>
      <c r="AK2658" t="s">
        <v>7225</v>
      </c>
      <c r="AM2658">
        <v>2057</v>
      </c>
      <c r="AO2658">
        <v>208</v>
      </c>
      <c r="AQ2658" t="s">
        <v>11161</v>
      </c>
      <c r="AS2658" t="s">
        <v>11174</v>
      </c>
      <c r="AU2658">
        <v>10</v>
      </c>
      <c r="AW2658" t="s">
        <v>11187</v>
      </c>
      <c r="AZ2658" t="s">
        <v>11221</v>
      </c>
      <c r="BE2658" t="s">
        <v>13218</v>
      </c>
      <c r="BG2658" t="s">
        <v>15043</v>
      </c>
      <c r="BM2658" t="s">
        <v>15650</v>
      </c>
    </row>
    <row r="2659" spans="1:65">
      <c r="A2659" s="1">
        <f>HYPERLINK("https://lsnyc.legalserver.org/matter/dynamic-profile/view/1911197","19-1911197")</f>
        <v>0</v>
      </c>
      <c r="B2659" t="s">
        <v>166</v>
      </c>
      <c r="C2659" t="s">
        <v>245</v>
      </c>
      <c r="D2659" t="s">
        <v>306</v>
      </c>
      <c r="E2659" t="s">
        <v>272</v>
      </c>
      <c r="F2659" t="s">
        <v>2216</v>
      </c>
      <c r="G2659" t="s">
        <v>2982</v>
      </c>
      <c r="H2659" t="s">
        <v>5652</v>
      </c>
      <c r="I2659">
        <v>2504</v>
      </c>
      <c r="J2659" t="s">
        <v>7169</v>
      </c>
      <c r="K2659">
        <v>10035</v>
      </c>
      <c r="L2659" t="s">
        <v>7216</v>
      </c>
      <c r="N2659" t="s">
        <v>7237</v>
      </c>
      <c r="O2659" t="s">
        <v>8980</v>
      </c>
      <c r="P2659">
        <v>2</v>
      </c>
      <c r="Q2659">
        <v>0</v>
      </c>
      <c r="R2659">
        <v>279.03</v>
      </c>
      <c r="U2659">
        <v>47184</v>
      </c>
      <c r="W2659">
        <v>2.75</v>
      </c>
      <c r="X2659" t="s">
        <v>265</v>
      </c>
      <c r="Y2659" t="s">
        <v>10884</v>
      </c>
      <c r="AA2659" t="s">
        <v>10974</v>
      </c>
      <c r="AB2659" t="s">
        <v>563</v>
      </c>
      <c r="AD2659" t="s">
        <v>11086</v>
      </c>
      <c r="AF2659" t="s">
        <v>11119</v>
      </c>
      <c r="AH2659" t="s">
        <v>10975</v>
      </c>
      <c r="AJ2659" t="s">
        <v>11129</v>
      </c>
      <c r="AK2659" t="s">
        <v>7225</v>
      </c>
      <c r="AM2659">
        <v>1389</v>
      </c>
      <c r="AO2659">
        <v>100</v>
      </c>
      <c r="AQ2659" t="s">
        <v>11164</v>
      </c>
      <c r="AS2659" t="s">
        <v>11174</v>
      </c>
      <c r="AU2659">
        <v>32</v>
      </c>
      <c r="AW2659" t="s">
        <v>11187</v>
      </c>
      <c r="AY2659" t="s">
        <v>11213</v>
      </c>
      <c r="BA2659" t="s">
        <v>11222</v>
      </c>
      <c r="BE2659" t="s">
        <v>13219</v>
      </c>
      <c r="BF2659" t="s">
        <v>14364</v>
      </c>
      <c r="BM2659" t="s">
        <v>15651</v>
      </c>
    </row>
    <row r="2660" spans="1:65">
      <c r="A2660" s="1">
        <f>HYPERLINK("https://lsnyc.legalserver.org/matter/dynamic-profile/view/1914246","19-1914246")</f>
        <v>0</v>
      </c>
      <c r="B2660" t="s">
        <v>166</v>
      </c>
      <c r="C2660" t="s">
        <v>245</v>
      </c>
      <c r="D2660" t="s">
        <v>266</v>
      </c>
      <c r="F2660" t="s">
        <v>2217</v>
      </c>
      <c r="G2660" t="s">
        <v>4023</v>
      </c>
      <c r="H2660" t="s">
        <v>5677</v>
      </c>
      <c r="I2660" t="s">
        <v>6772</v>
      </c>
      <c r="J2660" t="s">
        <v>7169</v>
      </c>
      <c r="K2660">
        <v>10037</v>
      </c>
      <c r="N2660" t="s">
        <v>7237</v>
      </c>
      <c r="O2660" t="s">
        <v>8981</v>
      </c>
      <c r="P2660">
        <v>2</v>
      </c>
      <c r="Q2660">
        <v>0</v>
      </c>
      <c r="R2660">
        <v>532.23</v>
      </c>
      <c r="U2660">
        <v>90000</v>
      </c>
      <c r="W2660">
        <v>0.1</v>
      </c>
      <c r="X2660" t="s">
        <v>528</v>
      </c>
      <c r="Y2660" t="s">
        <v>10859</v>
      </c>
      <c r="AA2660" t="s">
        <v>10974</v>
      </c>
      <c r="AB2660" t="s">
        <v>735</v>
      </c>
      <c r="AD2660" t="s">
        <v>11101</v>
      </c>
      <c r="AF2660" t="s">
        <v>11118</v>
      </c>
      <c r="AH2660" t="s">
        <v>10974</v>
      </c>
      <c r="AJ2660" t="s">
        <v>11134</v>
      </c>
      <c r="AK2660" t="s">
        <v>7225</v>
      </c>
      <c r="AM2660">
        <v>2850</v>
      </c>
      <c r="AO2660">
        <v>259</v>
      </c>
      <c r="AQ2660" t="s">
        <v>11157</v>
      </c>
      <c r="AS2660" t="s">
        <v>11173</v>
      </c>
      <c r="AU2660">
        <v>2</v>
      </c>
      <c r="AW2660" t="s">
        <v>11187</v>
      </c>
      <c r="AY2660" t="s">
        <v>11213</v>
      </c>
      <c r="BA2660" t="s">
        <v>11222</v>
      </c>
      <c r="BE2660" t="s">
        <v>13220</v>
      </c>
      <c r="BF2660" t="s">
        <v>14364</v>
      </c>
      <c r="BM2660" t="s">
        <v>15650</v>
      </c>
    </row>
    <row r="2661" spans="1:65">
      <c r="A2661" s="1">
        <f>HYPERLINK("https://lsnyc.legalserver.org/matter/dynamic-profile/view/1914137","19-1914137")</f>
        <v>0</v>
      </c>
      <c r="B2661" t="s">
        <v>166</v>
      </c>
      <c r="C2661" t="s">
        <v>245</v>
      </c>
      <c r="D2661" t="s">
        <v>301</v>
      </c>
      <c r="F2661" t="s">
        <v>2218</v>
      </c>
      <c r="G2661" t="s">
        <v>3066</v>
      </c>
      <c r="H2661" t="s">
        <v>5678</v>
      </c>
      <c r="I2661" t="s">
        <v>6415</v>
      </c>
      <c r="J2661" t="s">
        <v>7169</v>
      </c>
      <c r="K2661">
        <v>10035</v>
      </c>
      <c r="N2661" t="s">
        <v>7237</v>
      </c>
      <c r="O2661" t="s">
        <v>8982</v>
      </c>
      <c r="P2661">
        <v>2</v>
      </c>
      <c r="Q2661">
        <v>0</v>
      </c>
      <c r="R2661">
        <v>325.25</v>
      </c>
      <c r="U2661">
        <v>55000</v>
      </c>
      <c r="W2661">
        <v>2.25</v>
      </c>
      <c r="X2661" t="s">
        <v>333</v>
      </c>
      <c r="Y2661" t="s">
        <v>10859</v>
      </c>
      <c r="AA2661" t="s">
        <v>10974</v>
      </c>
      <c r="AB2661" t="s">
        <v>333</v>
      </c>
      <c r="AD2661" t="s">
        <v>11086</v>
      </c>
      <c r="AF2661" t="s">
        <v>11120</v>
      </c>
      <c r="AH2661" t="s">
        <v>10974</v>
      </c>
      <c r="AJ2661" t="s">
        <v>11134</v>
      </c>
      <c r="AK2661" t="s">
        <v>7225</v>
      </c>
      <c r="AM2661">
        <v>1625</v>
      </c>
      <c r="AO2661">
        <v>41</v>
      </c>
      <c r="AQ2661" t="s">
        <v>11157</v>
      </c>
      <c r="AS2661" t="s">
        <v>11173</v>
      </c>
      <c r="AU2661">
        <v>5</v>
      </c>
      <c r="AW2661" t="s">
        <v>11187</v>
      </c>
      <c r="AY2661" t="s">
        <v>11213</v>
      </c>
      <c r="BA2661" t="s">
        <v>11222</v>
      </c>
      <c r="BE2661" t="s">
        <v>13221</v>
      </c>
      <c r="BF2661" t="s">
        <v>14364</v>
      </c>
      <c r="BM2661" t="s">
        <v>15650</v>
      </c>
    </row>
    <row r="2662" spans="1:65">
      <c r="A2662" s="1">
        <f>HYPERLINK("https://lsnyc.legalserver.org/matter/dynamic-profile/view/1913787","19-1913787")</f>
        <v>0</v>
      </c>
      <c r="B2662" t="s">
        <v>166</v>
      </c>
      <c r="C2662" t="s">
        <v>245</v>
      </c>
      <c r="D2662" t="s">
        <v>735</v>
      </c>
      <c r="F2662" t="s">
        <v>1122</v>
      </c>
      <c r="G2662" t="s">
        <v>3562</v>
      </c>
      <c r="H2662" t="s">
        <v>5675</v>
      </c>
      <c r="I2662">
        <v>610</v>
      </c>
      <c r="J2662" t="s">
        <v>7169</v>
      </c>
      <c r="K2662">
        <v>10029</v>
      </c>
      <c r="N2662" t="s">
        <v>7237</v>
      </c>
      <c r="O2662" t="s">
        <v>8978</v>
      </c>
      <c r="P2662">
        <v>2</v>
      </c>
      <c r="Q2662">
        <v>2</v>
      </c>
      <c r="R2662">
        <v>143.07</v>
      </c>
      <c r="U2662">
        <v>36840</v>
      </c>
      <c r="W2662">
        <v>5</v>
      </c>
      <c r="X2662" t="s">
        <v>264</v>
      </c>
      <c r="Y2662" t="s">
        <v>10859</v>
      </c>
      <c r="AA2662" t="s">
        <v>10974</v>
      </c>
      <c r="AB2662" t="s">
        <v>272</v>
      </c>
      <c r="AD2662" t="s">
        <v>11086</v>
      </c>
      <c r="AF2662" t="s">
        <v>11118</v>
      </c>
      <c r="AH2662" t="s">
        <v>10974</v>
      </c>
      <c r="AJ2662" t="s">
        <v>11134</v>
      </c>
      <c r="AK2662" t="s">
        <v>7225</v>
      </c>
      <c r="AM2662">
        <v>713</v>
      </c>
      <c r="AO2662">
        <v>135</v>
      </c>
      <c r="AQ2662" t="s">
        <v>11160</v>
      </c>
      <c r="AS2662" t="s">
        <v>11173</v>
      </c>
      <c r="AU2662">
        <v>36</v>
      </c>
      <c r="AW2662" t="s">
        <v>11189</v>
      </c>
      <c r="AY2662" t="s">
        <v>11213</v>
      </c>
      <c r="BA2662" t="s">
        <v>11222</v>
      </c>
      <c r="BD2662" t="s">
        <v>11667</v>
      </c>
      <c r="BF2662" t="s">
        <v>14364</v>
      </c>
      <c r="BM2662" t="s">
        <v>15650</v>
      </c>
    </row>
    <row r="2663" spans="1:65">
      <c r="A2663" s="1">
        <f>HYPERLINK("https://lsnyc.legalserver.org/matter/dynamic-profile/view/1914604","19-1914604")</f>
        <v>0</v>
      </c>
      <c r="B2663" t="s">
        <v>166</v>
      </c>
      <c r="C2663" t="s">
        <v>245</v>
      </c>
      <c r="D2663" t="s">
        <v>297</v>
      </c>
      <c r="F2663" t="s">
        <v>1124</v>
      </c>
      <c r="G2663" t="s">
        <v>1412</v>
      </c>
      <c r="H2663" t="s">
        <v>5474</v>
      </c>
      <c r="I2663">
        <v>412</v>
      </c>
      <c r="J2663" t="s">
        <v>7169</v>
      </c>
      <c r="K2663">
        <v>10029</v>
      </c>
      <c r="N2663" t="s">
        <v>7237</v>
      </c>
      <c r="O2663" t="s">
        <v>8983</v>
      </c>
      <c r="P2663">
        <v>4</v>
      </c>
      <c r="Q2663">
        <v>0</v>
      </c>
      <c r="R2663">
        <v>151.46</v>
      </c>
      <c r="U2663">
        <v>39000</v>
      </c>
      <c r="W2663">
        <v>0.1</v>
      </c>
      <c r="X2663" t="s">
        <v>528</v>
      </c>
      <c r="Y2663" t="s">
        <v>10859</v>
      </c>
      <c r="AA2663" t="s">
        <v>10974</v>
      </c>
      <c r="AB2663" t="s">
        <v>266</v>
      </c>
      <c r="AD2663" t="s">
        <v>11101</v>
      </c>
      <c r="AF2663" t="s">
        <v>11121</v>
      </c>
      <c r="AH2663" t="s">
        <v>10974</v>
      </c>
      <c r="AJ2663" t="s">
        <v>11134</v>
      </c>
      <c r="AK2663" t="s">
        <v>7225</v>
      </c>
      <c r="AM2663">
        <v>463</v>
      </c>
      <c r="AO2663">
        <v>40</v>
      </c>
      <c r="AQ2663" t="s">
        <v>11157</v>
      </c>
      <c r="AS2663" t="s">
        <v>11173</v>
      </c>
      <c r="AU2663">
        <v>35</v>
      </c>
      <c r="AW2663" t="s">
        <v>11187</v>
      </c>
      <c r="AY2663" t="s">
        <v>11213</v>
      </c>
      <c r="BA2663" t="s">
        <v>11222</v>
      </c>
      <c r="BE2663" t="s">
        <v>13222</v>
      </c>
      <c r="BF2663" t="s">
        <v>14364</v>
      </c>
      <c r="BM2663" t="s">
        <v>15650</v>
      </c>
    </row>
    <row r="2664" spans="1:65">
      <c r="A2664" s="1">
        <f>HYPERLINK("https://lsnyc.legalserver.org/matter/dynamic-profile/view/1894203","19-1894203")</f>
        <v>0</v>
      </c>
      <c r="B2664" t="s">
        <v>166</v>
      </c>
      <c r="C2664" t="s">
        <v>245</v>
      </c>
      <c r="D2664" t="s">
        <v>920</v>
      </c>
      <c r="E2664" t="s">
        <v>638</v>
      </c>
      <c r="F2664" t="s">
        <v>2219</v>
      </c>
      <c r="G2664" t="s">
        <v>4024</v>
      </c>
      <c r="H2664" t="s">
        <v>5679</v>
      </c>
      <c r="I2664">
        <v>16</v>
      </c>
      <c r="J2664" t="s">
        <v>7169</v>
      </c>
      <c r="K2664">
        <v>10029</v>
      </c>
      <c r="L2664" t="s">
        <v>7217</v>
      </c>
      <c r="N2664" t="s">
        <v>7237</v>
      </c>
      <c r="O2664" t="s">
        <v>8984</v>
      </c>
      <c r="P2664">
        <v>1</v>
      </c>
      <c r="Q2664">
        <v>0</v>
      </c>
      <c r="R2664">
        <v>0</v>
      </c>
      <c r="U2664">
        <v>0</v>
      </c>
      <c r="W2664">
        <v>3.25</v>
      </c>
      <c r="X2664" t="s">
        <v>370</v>
      </c>
      <c r="Y2664" t="s">
        <v>166</v>
      </c>
      <c r="AA2664" t="s">
        <v>10974</v>
      </c>
      <c r="AB2664" t="s">
        <v>920</v>
      </c>
      <c r="AD2664" t="s">
        <v>11090</v>
      </c>
      <c r="AF2664" t="s">
        <v>10384</v>
      </c>
      <c r="AH2664" t="s">
        <v>10975</v>
      </c>
      <c r="AJ2664" t="s">
        <v>11139</v>
      </c>
      <c r="AK2664" t="s">
        <v>7225</v>
      </c>
      <c r="AM2664">
        <v>2100</v>
      </c>
      <c r="AO2664">
        <v>40</v>
      </c>
      <c r="AQ2664" t="s">
        <v>11157</v>
      </c>
      <c r="AS2664" t="s">
        <v>11173</v>
      </c>
      <c r="AU2664">
        <v>1</v>
      </c>
      <c r="AW2664" t="s">
        <v>11187</v>
      </c>
      <c r="AY2664" t="s">
        <v>11213</v>
      </c>
      <c r="AZ2664" t="s">
        <v>11221</v>
      </c>
      <c r="BE2664" t="s">
        <v>13223</v>
      </c>
      <c r="BF2664" t="s">
        <v>14364</v>
      </c>
      <c r="BM2664" t="s">
        <v>15651</v>
      </c>
    </row>
    <row r="2665" spans="1:65">
      <c r="A2665" s="1">
        <f>HYPERLINK("https://lsnyc.legalserver.org/matter/dynamic-profile/view/1914640","19-1914640")</f>
        <v>0</v>
      </c>
      <c r="B2665" t="s">
        <v>166</v>
      </c>
      <c r="C2665" t="s">
        <v>245</v>
      </c>
      <c r="D2665" t="s">
        <v>297</v>
      </c>
      <c r="F2665" t="s">
        <v>1270</v>
      </c>
      <c r="G2665" t="s">
        <v>4025</v>
      </c>
      <c r="H2665" t="s">
        <v>5474</v>
      </c>
      <c r="I2665">
        <v>407</v>
      </c>
      <c r="J2665" t="s">
        <v>7169</v>
      </c>
      <c r="K2665">
        <v>10029</v>
      </c>
      <c r="N2665" t="s">
        <v>7237</v>
      </c>
      <c r="O2665" t="s">
        <v>8985</v>
      </c>
      <c r="P2665">
        <v>1</v>
      </c>
      <c r="Q2665">
        <v>0</v>
      </c>
      <c r="R2665">
        <v>129.9</v>
      </c>
      <c r="U2665">
        <v>16224</v>
      </c>
      <c r="W2665">
        <v>0.1</v>
      </c>
      <c r="X2665" t="s">
        <v>528</v>
      </c>
      <c r="Y2665" t="s">
        <v>10859</v>
      </c>
      <c r="AA2665" t="s">
        <v>10974</v>
      </c>
      <c r="AB2665" t="s">
        <v>266</v>
      </c>
      <c r="AD2665" t="s">
        <v>11101</v>
      </c>
      <c r="AF2665" t="s">
        <v>11121</v>
      </c>
      <c r="AH2665" t="s">
        <v>10974</v>
      </c>
      <c r="AJ2665" t="s">
        <v>11134</v>
      </c>
      <c r="AK2665" t="s">
        <v>7225</v>
      </c>
      <c r="AM2665">
        <v>424</v>
      </c>
      <c r="AO2665">
        <v>40</v>
      </c>
      <c r="AQ2665" t="s">
        <v>11157</v>
      </c>
      <c r="AS2665" t="s">
        <v>11173</v>
      </c>
      <c r="AU2665">
        <v>36</v>
      </c>
      <c r="AW2665" t="s">
        <v>11187</v>
      </c>
      <c r="AY2665" t="s">
        <v>11213</v>
      </c>
      <c r="BA2665" t="s">
        <v>11222</v>
      </c>
      <c r="BD2665" t="s">
        <v>11667</v>
      </c>
      <c r="BF2665" t="s">
        <v>14364</v>
      </c>
      <c r="BM2665" t="s">
        <v>15650</v>
      </c>
    </row>
    <row r="2666" spans="1:65">
      <c r="A2666" s="1">
        <f>HYPERLINK("https://lsnyc.legalserver.org/matter/dynamic-profile/view/1911887","19-1911887")</f>
        <v>0</v>
      </c>
      <c r="B2666" t="s">
        <v>166</v>
      </c>
      <c r="C2666" t="s">
        <v>245</v>
      </c>
      <c r="D2666" t="s">
        <v>345</v>
      </c>
      <c r="F2666" t="s">
        <v>2220</v>
      </c>
      <c r="G2666" t="s">
        <v>3103</v>
      </c>
      <c r="H2666" t="s">
        <v>5183</v>
      </c>
      <c r="I2666" t="s">
        <v>6907</v>
      </c>
      <c r="J2666" t="s">
        <v>7169</v>
      </c>
      <c r="K2666">
        <v>10037</v>
      </c>
      <c r="N2666" t="s">
        <v>7237</v>
      </c>
      <c r="O2666" t="s">
        <v>8986</v>
      </c>
      <c r="P2666">
        <v>1</v>
      </c>
      <c r="Q2666">
        <v>0</v>
      </c>
      <c r="R2666">
        <v>0</v>
      </c>
      <c r="U2666">
        <v>0</v>
      </c>
      <c r="W2666">
        <v>3.5</v>
      </c>
      <c r="X2666" t="s">
        <v>305</v>
      </c>
      <c r="Y2666" t="s">
        <v>10914</v>
      </c>
      <c r="AA2666" t="s">
        <v>10974</v>
      </c>
      <c r="AB2666" t="s">
        <v>305</v>
      </c>
      <c r="AD2666" t="s">
        <v>11086</v>
      </c>
      <c r="AF2666" t="s">
        <v>11119</v>
      </c>
      <c r="AH2666" t="s">
        <v>10975</v>
      </c>
      <c r="AJ2666" t="s">
        <v>11141</v>
      </c>
      <c r="AK2666" t="s">
        <v>7225</v>
      </c>
      <c r="AM2666">
        <v>2052</v>
      </c>
      <c r="AO2666">
        <v>150</v>
      </c>
      <c r="AQ2666" t="s">
        <v>11157</v>
      </c>
      <c r="AS2666" t="s">
        <v>11173</v>
      </c>
      <c r="AU2666">
        <v>2</v>
      </c>
      <c r="AW2666" t="s">
        <v>11187</v>
      </c>
      <c r="AY2666" t="s">
        <v>11213</v>
      </c>
      <c r="BA2666" t="s">
        <v>11222</v>
      </c>
      <c r="BE2666" t="s">
        <v>13224</v>
      </c>
      <c r="BF2666" t="s">
        <v>14364</v>
      </c>
      <c r="BM2666" t="s">
        <v>15650</v>
      </c>
    </row>
    <row r="2667" spans="1:65">
      <c r="A2667" s="1">
        <f>HYPERLINK("https://lsnyc.legalserver.org/matter/dynamic-profile/view/1914338","19-1914338")</f>
        <v>0</v>
      </c>
      <c r="B2667" t="s">
        <v>166</v>
      </c>
      <c r="C2667" t="s">
        <v>245</v>
      </c>
      <c r="D2667" t="s">
        <v>497</v>
      </c>
      <c r="F2667" t="s">
        <v>2221</v>
      </c>
      <c r="G2667" t="s">
        <v>2192</v>
      </c>
      <c r="H2667" t="s">
        <v>5680</v>
      </c>
      <c r="I2667" t="s">
        <v>6426</v>
      </c>
      <c r="J2667" t="s">
        <v>7169</v>
      </c>
      <c r="K2667">
        <v>10035</v>
      </c>
      <c r="N2667" t="s">
        <v>7237</v>
      </c>
      <c r="O2667" t="s">
        <v>8987</v>
      </c>
      <c r="P2667">
        <v>1</v>
      </c>
      <c r="Q2667">
        <v>0</v>
      </c>
      <c r="R2667">
        <v>192.15</v>
      </c>
      <c r="U2667">
        <v>24000</v>
      </c>
      <c r="W2667">
        <v>0.95</v>
      </c>
      <c r="X2667" t="s">
        <v>297</v>
      </c>
      <c r="Y2667" t="s">
        <v>10949</v>
      </c>
      <c r="Z2667" t="s">
        <v>10972</v>
      </c>
      <c r="AA2667" t="s">
        <v>10976</v>
      </c>
      <c r="AD2667" t="s">
        <v>11086</v>
      </c>
      <c r="AF2667" t="s">
        <v>11121</v>
      </c>
      <c r="AH2667" t="s">
        <v>10975</v>
      </c>
      <c r="AJ2667" t="s">
        <v>11144</v>
      </c>
      <c r="AK2667" t="s">
        <v>7225</v>
      </c>
      <c r="AM2667">
        <v>947</v>
      </c>
      <c r="AO2667">
        <v>7</v>
      </c>
      <c r="AQ2667" t="s">
        <v>11160</v>
      </c>
      <c r="AR2667" t="s">
        <v>11172</v>
      </c>
      <c r="AU2667">
        <v>5</v>
      </c>
      <c r="AW2667" t="s">
        <v>11187</v>
      </c>
      <c r="AY2667" t="s">
        <v>11213</v>
      </c>
      <c r="AZ2667" t="s">
        <v>11221</v>
      </c>
      <c r="BE2667" t="s">
        <v>13225</v>
      </c>
      <c r="BF2667" t="s">
        <v>14364</v>
      </c>
      <c r="BM2667" t="s">
        <v>15650</v>
      </c>
    </row>
    <row r="2668" spans="1:65">
      <c r="A2668" s="1">
        <f>HYPERLINK("https://lsnyc.legalserver.org/matter/dynamic-profile/view/1914645","19-1914645")</f>
        <v>0</v>
      </c>
      <c r="B2668" t="s">
        <v>166</v>
      </c>
      <c r="C2668" t="s">
        <v>245</v>
      </c>
      <c r="D2668" t="s">
        <v>297</v>
      </c>
      <c r="F2668" t="s">
        <v>1525</v>
      </c>
      <c r="G2668" t="s">
        <v>4026</v>
      </c>
      <c r="H2668" t="s">
        <v>5681</v>
      </c>
      <c r="I2668" t="s">
        <v>6436</v>
      </c>
      <c r="J2668" t="s">
        <v>7169</v>
      </c>
      <c r="K2668">
        <v>10035</v>
      </c>
      <c r="N2668" t="s">
        <v>7237</v>
      </c>
      <c r="O2668" t="s">
        <v>8988</v>
      </c>
      <c r="P2668">
        <v>1</v>
      </c>
      <c r="Q2668">
        <v>0</v>
      </c>
      <c r="R2668">
        <v>920.74</v>
      </c>
      <c r="U2668">
        <v>115000</v>
      </c>
      <c r="W2668">
        <v>1.5</v>
      </c>
      <c r="X2668" t="s">
        <v>925</v>
      </c>
      <c r="Y2668" t="s">
        <v>10859</v>
      </c>
      <c r="AA2668" t="s">
        <v>10974</v>
      </c>
      <c r="AB2668" t="s">
        <v>272</v>
      </c>
      <c r="AD2668" t="s">
        <v>11101</v>
      </c>
      <c r="AF2668" t="s">
        <v>11121</v>
      </c>
      <c r="AH2668" t="s">
        <v>10974</v>
      </c>
      <c r="AJ2668" t="s">
        <v>11134</v>
      </c>
      <c r="AK2668" t="s">
        <v>7225</v>
      </c>
      <c r="AM2668">
        <v>2100</v>
      </c>
      <c r="AO2668">
        <v>33</v>
      </c>
      <c r="AQ2668" t="s">
        <v>11157</v>
      </c>
      <c r="AS2668" t="s">
        <v>11173</v>
      </c>
      <c r="AU2668">
        <v>2</v>
      </c>
      <c r="AW2668" t="s">
        <v>11187</v>
      </c>
      <c r="AY2668" t="s">
        <v>11213</v>
      </c>
      <c r="BA2668" t="s">
        <v>11222</v>
      </c>
      <c r="BD2668" t="s">
        <v>11667</v>
      </c>
      <c r="BF2668" t="s">
        <v>14364</v>
      </c>
      <c r="BM2668" t="s">
        <v>15650</v>
      </c>
    </row>
    <row r="2669" spans="1:65">
      <c r="A2669" s="1">
        <f>HYPERLINK("https://lsnyc.legalserver.org/matter/dynamic-profile/view/1914160","19-1914160")</f>
        <v>0</v>
      </c>
      <c r="B2669" t="s">
        <v>166</v>
      </c>
      <c r="C2669" t="s">
        <v>245</v>
      </c>
      <c r="D2669" t="s">
        <v>301</v>
      </c>
      <c r="F2669" t="s">
        <v>1519</v>
      </c>
      <c r="G2669" t="s">
        <v>4027</v>
      </c>
      <c r="H2669" t="s">
        <v>5183</v>
      </c>
      <c r="I2669" t="s">
        <v>6507</v>
      </c>
      <c r="J2669" t="s">
        <v>7169</v>
      </c>
      <c r="K2669">
        <v>10037</v>
      </c>
      <c r="N2669" t="s">
        <v>7237</v>
      </c>
      <c r="O2669" t="s">
        <v>8989</v>
      </c>
      <c r="P2669">
        <v>1</v>
      </c>
      <c r="Q2669">
        <v>0</v>
      </c>
      <c r="R2669">
        <v>608.49</v>
      </c>
      <c r="U2669">
        <v>76000</v>
      </c>
      <c r="W2669">
        <v>0.1</v>
      </c>
      <c r="X2669" t="s">
        <v>528</v>
      </c>
      <c r="Y2669" t="s">
        <v>10859</v>
      </c>
      <c r="AA2669" t="s">
        <v>10974</v>
      </c>
      <c r="AB2669" t="s">
        <v>735</v>
      </c>
      <c r="AD2669" t="s">
        <v>11101</v>
      </c>
      <c r="AF2669" t="s">
        <v>11121</v>
      </c>
      <c r="AH2669" t="s">
        <v>10974</v>
      </c>
      <c r="AJ2669" t="s">
        <v>11134</v>
      </c>
      <c r="AK2669" t="s">
        <v>7225</v>
      </c>
      <c r="AM2669">
        <v>1011.93</v>
      </c>
      <c r="AO2669">
        <v>259</v>
      </c>
      <c r="AQ2669" t="s">
        <v>11157</v>
      </c>
      <c r="AS2669" t="s">
        <v>11173</v>
      </c>
      <c r="AU2669">
        <v>12</v>
      </c>
      <c r="AW2669" t="s">
        <v>11187</v>
      </c>
      <c r="AY2669" t="s">
        <v>11213</v>
      </c>
      <c r="BA2669" t="s">
        <v>11222</v>
      </c>
      <c r="BE2669" t="s">
        <v>13226</v>
      </c>
      <c r="BF2669" t="s">
        <v>14364</v>
      </c>
      <c r="BM2669" t="s">
        <v>15650</v>
      </c>
    </row>
    <row r="2670" spans="1:65">
      <c r="A2670" s="1">
        <f>HYPERLINK("https://lsnyc.legalserver.org/matter/dynamic-profile/view/1915411","19-1915411")</f>
        <v>0</v>
      </c>
      <c r="B2670" t="s">
        <v>166</v>
      </c>
      <c r="C2670" t="s">
        <v>245</v>
      </c>
      <c r="D2670" t="s">
        <v>436</v>
      </c>
      <c r="E2670" t="s">
        <v>638</v>
      </c>
      <c r="F2670" t="s">
        <v>1174</v>
      </c>
      <c r="G2670" t="s">
        <v>2956</v>
      </c>
      <c r="H2670" t="s">
        <v>5682</v>
      </c>
      <c r="I2670" t="s">
        <v>6907</v>
      </c>
      <c r="J2670" t="s">
        <v>7169</v>
      </c>
      <c r="K2670">
        <v>10029</v>
      </c>
      <c r="L2670" t="s">
        <v>7219</v>
      </c>
      <c r="N2670" t="s">
        <v>7237</v>
      </c>
      <c r="O2670" t="s">
        <v>8990</v>
      </c>
      <c r="P2670">
        <v>4</v>
      </c>
      <c r="Q2670">
        <v>1</v>
      </c>
      <c r="R2670">
        <v>68.94</v>
      </c>
      <c r="U2670">
        <v>20800</v>
      </c>
      <c r="W2670">
        <v>0.1</v>
      </c>
      <c r="X2670" t="s">
        <v>528</v>
      </c>
      <c r="Y2670" t="s">
        <v>10859</v>
      </c>
      <c r="AA2670" t="s">
        <v>10974</v>
      </c>
      <c r="AB2670" t="s">
        <v>436</v>
      </c>
      <c r="AD2670" t="s">
        <v>11098</v>
      </c>
      <c r="AF2670" t="s">
        <v>11118</v>
      </c>
      <c r="AH2670" t="s">
        <v>10974</v>
      </c>
      <c r="AJ2670" t="s">
        <v>11129</v>
      </c>
      <c r="AK2670" t="s">
        <v>7225</v>
      </c>
      <c r="AM2670">
        <v>1085</v>
      </c>
      <c r="AO2670">
        <v>10</v>
      </c>
      <c r="AQ2670" t="s">
        <v>11157</v>
      </c>
      <c r="AS2670" t="s">
        <v>11173</v>
      </c>
      <c r="AU2670">
        <v>21</v>
      </c>
      <c r="AW2670" t="s">
        <v>11189</v>
      </c>
      <c r="AY2670" t="s">
        <v>11213</v>
      </c>
      <c r="BA2670" t="s">
        <v>11222</v>
      </c>
      <c r="BE2670" t="s">
        <v>11236</v>
      </c>
      <c r="BF2670" t="s">
        <v>14364</v>
      </c>
      <c r="BJ2670" t="s">
        <v>15615</v>
      </c>
      <c r="BM2670" t="s">
        <v>15651</v>
      </c>
    </row>
    <row r="2671" spans="1:65">
      <c r="A2671" s="1">
        <f>HYPERLINK("https://lsnyc.legalserver.org/matter/dynamic-profile/view/1914579","19-1914579")</f>
        <v>0</v>
      </c>
      <c r="B2671" t="s">
        <v>166</v>
      </c>
      <c r="C2671" t="s">
        <v>245</v>
      </c>
      <c r="D2671" t="s">
        <v>297</v>
      </c>
      <c r="F2671" t="s">
        <v>1838</v>
      </c>
      <c r="G2671" t="s">
        <v>4028</v>
      </c>
      <c r="H2671" t="s">
        <v>5681</v>
      </c>
      <c r="I2671" t="s">
        <v>6420</v>
      </c>
      <c r="J2671" t="s">
        <v>7169</v>
      </c>
      <c r="K2671">
        <v>10035</v>
      </c>
      <c r="N2671" t="s">
        <v>7237</v>
      </c>
      <c r="O2671" t="s">
        <v>8991</v>
      </c>
      <c r="P2671">
        <v>3</v>
      </c>
      <c r="Q2671">
        <v>0</v>
      </c>
      <c r="R2671">
        <v>97.52</v>
      </c>
      <c r="U2671">
        <v>20800</v>
      </c>
      <c r="W2671">
        <v>5.5</v>
      </c>
      <c r="X2671" t="s">
        <v>436</v>
      </c>
      <c r="Y2671" t="s">
        <v>10859</v>
      </c>
      <c r="AA2671" t="s">
        <v>10974</v>
      </c>
      <c r="AB2671" t="s">
        <v>312</v>
      </c>
      <c r="AD2671" t="s">
        <v>11086</v>
      </c>
      <c r="AF2671" t="s">
        <v>10384</v>
      </c>
      <c r="AH2671" t="s">
        <v>10974</v>
      </c>
      <c r="AJ2671" t="s">
        <v>11134</v>
      </c>
      <c r="AK2671" t="s">
        <v>7225</v>
      </c>
      <c r="AM2671">
        <v>2675</v>
      </c>
      <c r="AO2671">
        <v>33</v>
      </c>
      <c r="AQ2671" t="s">
        <v>11157</v>
      </c>
      <c r="AS2671" t="s">
        <v>11174</v>
      </c>
      <c r="AU2671">
        <v>2</v>
      </c>
      <c r="AW2671" t="s">
        <v>11187</v>
      </c>
      <c r="AY2671" t="s">
        <v>11213</v>
      </c>
      <c r="BA2671" t="s">
        <v>11222</v>
      </c>
      <c r="BE2671" t="s">
        <v>13227</v>
      </c>
      <c r="BF2671" t="s">
        <v>14364</v>
      </c>
      <c r="BM2671" t="s">
        <v>15650</v>
      </c>
    </row>
    <row r="2672" spans="1:65">
      <c r="A2672" s="1">
        <f>HYPERLINK("https://lsnyc.legalserver.org/matter/dynamic-profile/view/1914584","19-1914584")</f>
        <v>0</v>
      </c>
      <c r="B2672" t="s">
        <v>166</v>
      </c>
      <c r="C2672" t="s">
        <v>245</v>
      </c>
      <c r="D2672" t="s">
        <v>297</v>
      </c>
      <c r="F2672" t="s">
        <v>2222</v>
      </c>
      <c r="G2672" t="s">
        <v>4029</v>
      </c>
      <c r="H2672" t="s">
        <v>5474</v>
      </c>
      <c r="I2672">
        <v>602</v>
      </c>
      <c r="J2672" t="s">
        <v>7169</v>
      </c>
      <c r="K2672">
        <v>10029</v>
      </c>
      <c r="N2672" t="s">
        <v>7237</v>
      </c>
      <c r="O2672" t="s">
        <v>8992</v>
      </c>
      <c r="P2672">
        <v>1</v>
      </c>
      <c r="Q2672">
        <v>0</v>
      </c>
      <c r="R2672">
        <v>30.74</v>
      </c>
      <c r="U2672">
        <v>3840</v>
      </c>
      <c r="W2672">
        <v>0.1</v>
      </c>
      <c r="X2672" t="s">
        <v>528</v>
      </c>
      <c r="Y2672" t="s">
        <v>10859</v>
      </c>
      <c r="AA2672" t="s">
        <v>10974</v>
      </c>
      <c r="AB2672" t="s">
        <v>266</v>
      </c>
      <c r="AD2672" t="s">
        <v>11101</v>
      </c>
      <c r="AF2672" t="s">
        <v>11121</v>
      </c>
      <c r="AH2672" t="s">
        <v>10974</v>
      </c>
      <c r="AJ2672" t="s">
        <v>11134</v>
      </c>
      <c r="AK2672" t="s">
        <v>7225</v>
      </c>
      <c r="AM2672">
        <v>309</v>
      </c>
      <c r="AO2672">
        <v>40</v>
      </c>
      <c r="AQ2672" t="s">
        <v>11160</v>
      </c>
      <c r="AS2672" t="s">
        <v>11173</v>
      </c>
      <c r="AU2672">
        <v>7</v>
      </c>
      <c r="AW2672" t="s">
        <v>11189</v>
      </c>
      <c r="AY2672" t="s">
        <v>11213</v>
      </c>
      <c r="BA2672" t="s">
        <v>11222</v>
      </c>
      <c r="BE2672" t="s">
        <v>13228</v>
      </c>
      <c r="BF2672" t="s">
        <v>14364</v>
      </c>
      <c r="BM2672" t="s">
        <v>15650</v>
      </c>
    </row>
    <row r="2673" spans="1:65">
      <c r="A2673" s="1">
        <f>HYPERLINK("https://lsnyc.legalserver.org/matter/dynamic-profile/view/0803671","16-0803671")</f>
        <v>0</v>
      </c>
      <c r="B2673" t="s">
        <v>166</v>
      </c>
      <c r="C2673" t="s">
        <v>245</v>
      </c>
      <c r="D2673" t="s">
        <v>921</v>
      </c>
      <c r="E2673" t="s">
        <v>426</v>
      </c>
      <c r="F2673" t="s">
        <v>2089</v>
      </c>
      <c r="G2673" t="s">
        <v>3387</v>
      </c>
      <c r="H2673" t="s">
        <v>5683</v>
      </c>
      <c r="I2673" t="s">
        <v>6415</v>
      </c>
      <c r="J2673" t="s">
        <v>7169</v>
      </c>
      <c r="K2673">
        <v>10035</v>
      </c>
      <c r="L2673" t="s">
        <v>7219</v>
      </c>
      <c r="N2673" t="s">
        <v>7237</v>
      </c>
      <c r="O2673" t="s">
        <v>8993</v>
      </c>
      <c r="P2673">
        <v>2</v>
      </c>
      <c r="Q2673">
        <v>4</v>
      </c>
      <c r="R2673">
        <v>31.79</v>
      </c>
      <c r="U2673">
        <v>10356</v>
      </c>
      <c r="W2673">
        <v>1.75</v>
      </c>
      <c r="X2673" t="s">
        <v>311</v>
      </c>
      <c r="Y2673" t="s">
        <v>10859</v>
      </c>
      <c r="AA2673" t="s">
        <v>10974</v>
      </c>
      <c r="AB2673" t="s">
        <v>921</v>
      </c>
      <c r="AD2673" t="s">
        <v>11086</v>
      </c>
      <c r="AF2673" t="s">
        <v>11120</v>
      </c>
      <c r="AH2673" t="s">
        <v>10974</v>
      </c>
      <c r="AJ2673" t="s">
        <v>11145</v>
      </c>
      <c r="AK2673" t="s">
        <v>7225</v>
      </c>
      <c r="AM2673">
        <v>1789.68</v>
      </c>
      <c r="AO2673">
        <v>30</v>
      </c>
      <c r="AQ2673" t="s">
        <v>11157</v>
      </c>
      <c r="AS2673" t="s">
        <v>11173</v>
      </c>
      <c r="AU2673">
        <v>10</v>
      </c>
      <c r="AW2673" t="s">
        <v>11189</v>
      </c>
      <c r="AY2673" t="s">
        <v>11213</v>
      </c>
      <c r="BA2673" t="s">
        <v>11222</v>
      </c>
      <c r="BD2673" t="s">
        <v>11667</v>
      </c>
      <c r="BF2673" t="s">
        <v>14364</v>
      </c>
      <c r="BM2673" t="s">
        <v>15651</v>
      </c>
    </row>
    <row r="2674" spans="1:65">
      <c r="A2674" s="1">
        <f>HYPERLINK("https://lsnyc.legalserver.org/matter/dynamic-profile/view/1886680","18-1886680")</f>
        <v>0</v>
      </c>
      <c r="B2674" t="s">
        <v>166</v>
      </c>
      <c r="C2674" t="s">
        <v>245</v>
      </c>
      <c r="D2674" t="s">
        <v>922</v>
      </c>
      <c r="F2674" t="s">
        <v>1262</v>
      </c>
      <c r="G2674" t="s">
        <v>4030</v>
      </c>
      <c r="H2674" t="s">
        <v>5682</v>
      </c>
      <c r="I2674" t="s">
        <v>6554</v>
      </c>
      <c r="J2674" t="s">
        <v>7169</v>
      </c>
      <c r="K2674">
        <v>10029</v>
      </c>
      <c r="N2674" t="s">
        <v>7237</v>
      </c>
      <c r="O2674" t="s">
        <v>8994</v>
      </c>
      <c r="P2674">
        <v>5</v>
      </c>
      <c r="Q2674">
        <v>0</v>
      </c>
      <c r="R2674">
        <v>300.48</v>
      </c>
      <c r="U2674">
        <v>88400</v>
      </c>
      <c r="W2674">
        <v>5.5</v>
      </c>
      <c r="X2674" t="s">
        <v>449</v>
      </c>
      <c r="Y2674" t="s">
        <v>10859</v>
      </c>
      <c r="AA2674" t="s">
        <v>10974</v>
      </c>
      <c r="AB2674" t="s">
        <v>922</v>
      </c>
      <c r="AD2674" t="s">
        <v>11101</v>
      </c>
      <c r="AF2674" t="s">
        <v>11118</v>
      </c>
      <c r="AH2674" t="s">
        <v>10974</v>
      </c>
      <c r="AJ2674" t="s">
        <v>11134</v>
      </c>
      <c r="AK2674" t="s">
        <v>7225</v>
      </c>
      <c r="AM2674">
        <v>1160</v>
      </c>
      <c r="AO2674">
        <v>11</v>
      </c>
      <c r="AQ2674" t="s">
        <v>11157</v>
      </c>
      <c r="AS2674" t="s">
        <v>11173</v>
      </c>
      <c r="AU2674">
        <v>22</v>
      </c>
      <c r="AW2674" t="s">
        <v>11187</v>
      </c>
      <c r="AY2674" t="s">
        <v>11213</v>
      </c>
      <c r="BA2674" t="s">
        <v>11222</v>
      </c>
      <c r="BE2674" t="s">
        <v>13229</v>
      </c>
      <c r="BF2674" t="s">
        <v>14364</v>
      </c>
      <c r="BM2674" t="s">
        <v>15650</v>
      </c>
    </row>
    <row r="2675" spans="1:65">
      <c r="A2675" s="1">
        <f>HYPERLINK("https://lsnyc.legalserver.org/matter/dynamic-profile/view/1914738","19-1914738")</f>
        <v>0</v>
      </c>
      <c r="B2675" t="s">
        <v>166</v>
      </c>
      <c r="C2675" t="s">
        <v>245</v>
      </c>
      <c r="D2675" t="s">
        <v>614</v>
      </c>
      <c r="F2675" t="s">
        <v>1155</v>
      </c>
      <c r="G2675" t="s">
        <v>3782</v>
      </c>
      <c r="H2675" t="s">
        <v>5684</v>
      </c>
      <c r="I2675" t="s">
        <v>6423</v>
      </c>
      <c r="J2675" t="s">
        <v>7169</v>
      </c>
      <c r="K2675">
        <v>10029</v>
      </c>
      <c r="N2675" t="s">
        <v>7237</v>
      </c>
      <c r="O2675" t="s">
        <v>8995</v>
      </c>
      <c r="P2675">
        <v>1</v>
      </c>
      <c r="Q2675">
        <v>0</v>
      </c>
      <c r="R2675">
        <v>168.13</v>
      </c>
      <c r="U2675">
        <v>21000</v>
      </c>
      <c r="W2675">
        <v>10.5</v>
      </c>
      <c r="X2675" t="s">
        <v>449</v>
      </c>
      <c r="Y2675" t="s">
        <v>10859</v>
      </c>
      <c r="AA2675" t="s">
        <v>10974</v>
      </c>
      <c r="AB2675" t="s">
        <v>297</v>
      </c>
      <c r="AD2675" t="s">
        <v>11082</v>
      </c>
      <c r="AF2675" t="s">
        <v>11118</v>
      </c>
      <c r="AH2675" t="s">
        <v>10975</v>
      </c>
      <c r="AI2675" t="s">
        <v>11126</v>
      </c>
      <c r="AK2675" t="s">
        <v>7225</v>
      </c>
      <c r="AM2675">
        <v>2100</v>
      </c>
      <c r="AO2675">
        <v>10</v>
      </c>
      <c r="AQ2675" t="s">
        <v>11156</v>
      </c>
      <c r="AS2675" t="s">
        <v>11173</v>
      </c>
      <c r="AU2675">
        <v>14</v>
      </c>
      <c r="AW2675" t="s">
        <v>11187</v>
      </c>
      <c r="AY2675" t="s">
        <v>11213</v>
      </c>
      <c r="BA2675" t="s">
        <v>11222</v>
      </c>
      <c r="BE2675" t="s">
        <v>13230</v>
      </c>
      <c r="BF2675" t="s">
        <v>14364</v>
      </c>
      <c r="BG2675" t="s">
        <v>15044</v>
      </c>
      <c r="BM2675" t="s">
        <v>15650</v>
      </c>
    </row>
    <row r="2676" spans="1:65">
      <c r="A2676" s="1">
        <f>HYPERLINK("https://lsnyc.legalserver.org/matter/dynamic-profile/view/1887728","19-1887728")</f>
        <v>0</v>
      </c>
      <c r="B2676" t="s">
        <v>166</v>
      </c>
      <c r="C2676" t="s">
        <v>245</v>
      </c>
      <c r="D2676" t="s">
        <v>596</v>
      </c>
      <c r="F2676" t="s">
        <v>1751</v>
      </c>
      <c r="G2676" t="s">
        <v>3226</v>
      </c>
      <c r="H2676" t="s">
        <v>5685</v>
      </c>
      <c r="I2676" t="s">
        <v>6433</v>
      </c>
      <c r="J2676" t="s">
        <v>7169</v>
      </c>
      <c r="K2676">
        <v>10029</v>
      </c>
      <c r="N2676" t="s">
        <v>7237</v>
      </c>
      <c r="O2676" t="s">
        <v>8996</v>
      </c>
      <c r="P2676">
        <v>1</v>
      </c>
      <c r="Q2676">
        <v>4</v>
      </c>
      <c r="R2676">
        <v>27.66</v>
      </c>
      <c r="U2676">
        <v>8138</v>
      </c>
      <c r="W2676">
        <v>134.9</v>
      </c>
      <c r="X2676" t="s">
        <v>634</v>
      </c>
      <c r="Y2676" t="s">
        <v>10875</v>
      </c>
      <c r="AA2676" t="s">
        <v>10974</v>
      </c>
      <c r="AB2676" t="s">
        <v>424</v>
      </c>
      <c r="AD2676" t="s">
        <v>11082</v>
      </c>
      <c r="AF2676" t="s">
        <v>11118</v>
      </c>
      <c r="AH2676" t="s">
        <v>10975</v>
      </c>
      <c r="AJ2676" t="s">
        <v>11140</v>
      </c>
      <c r="AK2676" t="s">
        <v>7225</v>
      </c>
      <c r="AM2676">
        <v>1311</v>
      </c>
      <c r="AO2676">
        <v>13</v>
      </c>
      <c r="AQ2676" t="s">
        <v>11157</v>
      </c>
      <c r="AS2676" t="s">
        <v>11176</v>
      </c>
      <c r="AU2676">
        <v>4</v>
      </c>
      <c r="AW2676" t="s">
        <v>11189</v>
      </c>
      <c r="AY2676" t="s">
        <v>11213</v>
      </c>
      <c r="AZ2676" t="s">
        <v>11221</v>
      </c>
      <c r="BB2676" t="s">
        <v>11224</v>
      </c>
      <c r="BC2676" t="s">
        <v>11447</v>
      </c>
      <c r="BE2676" t="s">
        <v>13231</v>
      </c>
      <c r="BG2676" t="s">
        <v>15045</v>
      </c>
      <c r="BM2676" t="s">
        <v>15650</v>
      </c>
    </row>
    <row r="2677" spans="1:65">
      <c r="A2677" s="1">
        <f>HYPERLINK("https://lsnyc.legalserver.org/matter/dynamic-profile/view/1915366","19-1915366")</f>
        <v>0</v>
      </c>
      <c r="B2677" t="s">
        <v>166</v>
      </c>
      <c r="C2677" t="s">
        <v>245</v>
      </c>
      <c r="D2677" t="s">
        <v>436</v>
      </c>
      <c r="F2677" t="s">
        <v>1262</v>
      </c>
      <c r="G2677" t="s">
        <v>4030</v>
      </c>
      <c r="H2677" t="s">
        <v>5682</v>
      </c>
      <c r="I2677" t="s">
        <v>6554</v>
      </c>
      <c r="J2677" t="s">
        <v>7169</v>
      </c>
      <c r="K2677">
        <v>10029</v>
      </c>
      <c r="N2677" t="s">
        <v>7237</v>
      </c>
      <c r="O2677" t="s">
        <v>8994</v>
      </c>
      <c r="P2677">
        <v>5</v>
      </c>
      <c r="Q2677">
        <v>0</v>
      </c>
      <c r="R2677">
        <v>293.01</v>
      </c>
      <c r="U2677">
        <v>88400</v>
      </c>
      <c r="W2677">
        <v>4.75</v>
      </c>
      <c r="X2677" t="s">
        <v>436</v>
      </c>
      <c r="Y2677" t="s">
        <v>10859</v>
      </c>
      <c r="AA2677" t="s">
        <v>10974</v>
      </c>
      <c r="AB2677" t="s">
        <v>436</v>
      </c>
      <c r="AD2677" t="s">
        <v>11098</v>
      </c>
      <c r="AF2677" t="s">
        <v>11118</v>
      </c>
      <c r="AH2677" t="s">
        <v>10974</v>
      </c>
      <c r="AJ2677" t="s">
        <v>11129</v>
      </c>
      <c r="AK2677" t="s">
        <v>7225</v>
      </c>
      <c r="AM2677">
        <v>1160</v>
      </c>
      <c r="AO2677">
        <v>11</v>
      </c>
      <c r="AQ2677" t="s">
        <v>11157</v>
      </c>
      <c r="AS2677" t="s">
        <v>11173</v>
      </c>
      <c r="AU2677">
        <v>22</v>
      </c>
      <c r="AW2677" t="s">
        <v>11187</v>
      </c>
      <c r="AY2677" t="s">
        <v>11213</v>
      </c>
      <c r="BA2677" t="s">
        <v>11222</v>
      </c>
      <c r="BE2677" t="s">
        <v>13229</v>
      </c>
      <c r="BF2677" t="s">
        <v>14364</v>
      </c>
      <c r="BM2677" t="s">
        <v>15650</v>
      </c>
    </row>
    <row r="2678" spans="1:65">
      <c r="A2678" s="1">
        <f>HYPERLINK("https://lsnyc.legalserver.org/matter/dynamic-profile/view/1915861","19-1915861")</f>
        <v>0</v>
      </c>
      <c r="B2678" t="s">
        <v>166</v>
      </c>
      <c r="C2678" t="s">
        <v>245</v>
      </c>
      <c r="D2678" t="s">
        <v>539</v>
      </c>
      <c r="F2678" t="s">
        <v>1700</v>
      </c>
      <c r="G2678" t="s">
        <v>4031</v>
      </c>
      <c r="H2678" t="s">
        <v>5175</v>
      </c>
      <c r="I2678" t="s">
        <v>6908</v>
      </c>
      <c r="J2678" t="s">
        <v>7169</v>
      </c>
      <c r="K2678">
        <v>10037</v>
      </c>
      <c r="N2678" t="s">
        <v>7237</v>
      </c>
      <c r="O2678" t="s">
        <v>8997</v>
      </c>
      <c r="P2678">
        <v>3</v>
      </c>
      <c r="Q2678">
        <v>0</v>
      </c>
      <c r="R2678">
        <v>445.38</v>
      </c>
      <c r="U2678">
        <v>95000</v>
      </c>
      <c r="W2678">
        <v>0</v>
      </c>
      <c r="Y2678" t="s">
        <v>10859</v>
      </c>
      <c r="AA2678" t="s">
        <v>10974</v>
      </c>
      <c r="AB2678" t="s">
        <v>539</v>
      </c>
      <c r="AD2678" t="s">
        <v>11086</v>
      </c>
      <c r="AF2678" t="s">
        <v>10384</v>
      </c>
      <c r="AH2678" t="s">
        <v>10974</v>
      </c>
      <c r="AJ2678" t="s">
        <v>11134</v>
      </c>
      <c r="AK2678" t="s">
        <v>7225</v>
      </c>
      <c r="AM2678">
        <v>2300</v>
      </c>
      <c r="AO2678">
        <v>259</v>
      </c>
      <c r="AQ2678" t="s">
        <v>11157</v>
      </c>
      <c r="AS2678" t="s">
        <v>11173</v>
      </c>
      <c r="AU2678">
        <v>5</v>
      </c>
      <c r="AW2678" t="s">
        <v>11187</v>
      </c>
      <c r="AY2678" t="s">
        <v>11213</v>
      </c>
      <c r="BA2678" t="s">
        <v>11222</v>
      </c>
      <c r="BE2678" t="s">
        <v>13232</v>
      </c>
      <c r="BF2678" t="s">
        <v>14364</v>
      </c>
      <c r="BM2678" t="s">
        <v>15650</v>
      </c>
    </row>
    <row r="2679" spans="1:65">
      <c r="A2679" s="1">
        <f>HYPERLINK("https://lsnyc.legalserver.org/matter/dynamic-profile/view/1915418","19-1915418")</f>
        <v>0</v>
      </c>
      <c r="B2679" t="s">
        <v>166</v>
      </c>
      <c r="C2679" t="s">
        <v>245</v>
      </c>
      <c r="D2679" t="s">
        <v>436</v>
      </c>
      <c r="F2679" t="s">
        <v>1174</v>
      </c>
      <c r="G2679" t="s">
        <v>2956</v>
      </c>
      <c r="H2679" t="s">
        <v>5682</v>
      </c>
      <c r="I2679" t="s">
        <v>6907</v>
      </c>
      <c r="J2679" t="s">
        <v>7169</v>
      </c>
      <c r="K2679">
        <v>10029</v>
      </c>
      <c r="N2679" t="s">
        <v>7237</v>
      </c>
      <c r="O2679" t="s">
        <v>8990</v>
      </c>
      <c r="P2679">
        <v>4</v>
      </c>
      <c r="Q2679">
        <v>1</v>
      </c>
      <c r="R2679">
        <v>68.94</v>
      </c>
      <c r="U2679">
        <v>20800</v>
      </c>
      <c r="W2679">
        <v>0.1</v>
      </c>
      <c r="X2679" t="s">
        <v>528</v>
      </c>
      <c r="Y2679" t="s">
        <v>10859</v>
      </c>
      <c r="AA2679" t="s">
        <v>10974</v>
      </c>
      <c r="AB2679" t="s">
        <v>436</v>
      </c>
      <c r="AD2679" t="s">
        <v>11098</v>
      </c>
      <c r="AF2679" t="s">
        <v>11122</v>
      </c>
      <c r="AH2679" t="s">
        <v>10974</v>
      </c>
      <c r="AJ2679" t="s">
        <v>11129</v>
      </c>
      <c r="AK2679" t="s">
        <v>7225</v>
      </c>
      <c r="AM2679">
        <v>1085</v>
      </c>
      <c r="AO2679">
        <v>10</v>
      </c>
      <c r="AQ2679" t="s">
        <v>11157</v>
      </c>
      <c r="AS2679" t="s">
        <v>11173</v>
      </c>
      <c r="AU2679">
        <v>21</v>
      </c>
      <c r="AW2679" t="s">
        <v>11189</v>
      </c>
      <c r="BA2679" t="s">
        <v>11222</v>
      </c>
      <c r="BE2679" t="s">
        <v>11236</v>
      </c>
      <c r="BF2679" t="s">
        <v>14364</v>
      </c>
      <c r="BM2679" t="s">
        <v>15650</v>
      </c>
    </row>
    <row r="2680" spans="1:65">
      <c r="A2680" s="1">
        <f>HYPERLINK("https://lsnyc.legalserver.org/matter/dynamic-profile/view/1914092","19-1914092")</f>
        <v>0</v>
      </c>
      <c r="B2680" t="s">
        <v>166</v>
      </c>
      <c r="C2680" t="s">
        <v>245</v>
      </c>
      <c r="D2680" t="s">
        <v>301</v>
      </c>
      <c r="F2680" t="s">
        <v>1700</v>
      </c>
      <c r="G2680" t="s">
        <v>4031</v>
      </c>
      <c r="H2680" t="s">
        <v>5175</v>
      </c>
      <c r="I2680" t="s">
        <v>6908</v>
      </c>
      <c r="J2680" t="s">
        <v>7169</v>
      </c>
      <c r="K2680">
        <v>10037</v>
      </c>
      <c r="N2680" t="s">
        <v>7237</v>
      </c>
      <c r="O2680" t="s">
        <v>8997</v>
      </c>
      <c r="P2680">
        <v>3</v>
      </c>
      <c r="Q2680">
        <v>0</v>
      </c>
      <c r="R2680">
        <v>445.38</v>
      </c>
      <c r="U2680">
        <v>95000</v>
      </c>
      <c r="W2680">
        <v>2.75</v>
      </c>
      <c r="X2680" t="s">
        <v>333</v>
      </c>
      <c r="Y2680" t="s">
        <v>10859</v>
      </c>
      <c r="AA2680" t="s">
        <v>10974</v>
      </c>
      <c r="AB2680" t="s">
        <v>333</v>
      </c>
      <c r="AD2680" t="s">
        <v>11101</v>
      </c>
      <c r="AF2680" t="s">
        <v>11118</v>
      </c>
      <c r="AH2680" t="s">
        <v>10974</v>
      </c>
      <c r="AJ2680" t="s">
        <v>11134</v>
      </c>
      <c r="AK2680" t="s">
        <v>7225</v>
      </c>
      <c r="AM2680">
        <v>2300</v>
      </c>
      <c r="AO2680">
        <v>259</v>
      </c>
      <c r="AQ2680" t="s">
        <v>11157</v>
      </c>
      <c r="AS2680" t="s">
        <v>11173</v>
      </c>
      <c r="AU2680">
        <v>5</v>
      </c>
      <c r="AW2680" t="s">
        <v>11187</v>
      </c>
      <c r="AY2680" t="s">
        <v>11213</v>
      </c>
      <c r="BA2680" t="s">
        <v>11222</v>
      </c>
      <c r="BE2680" t="s">
        <v>13232</v>
      </c>
      <c r="BF2680" t="s">
        <v>14364</v>
      </c>
      <c r="BM2680" t="s">
        <v>15650</v>
      </c>
    </row>
    <row r="2681" spans="1:65">
      <c r="A2681" s="1">
        <f>HYPERLINK("https://lsnyc.legalserver.org/matter/dynamic-profile/view/1904817","19-1904817")</f>
        <v>0</v>
      </c>
      <c r="B2681" t="s">
        <v>166</v>
      </c>
      <c r="C2681" t="s">
        <v>245</v>
      </c>
      <c r="D2681" t="s">
        <v>923</v>
      </c>
      <c r="F2681" t="s">
        <v>1545</v>
      </c>
      <c r="G2681" t="s">
        <v>4032</v>
      </c>
      <c r="H2681" t="s">
        <v>5686</v>
      </c>
      <c r="I2681" t="s">
        <v>6412</v>
      </c>
      <c r="J2681" t="s">
        <v>7169</v>
      </c>
      <c r="K2681">
        <v>10024</v>
      </c>
      <c r="N2681" t="s">
        <v>7237</v>
      </c>
      <c r="O2681" t="s">
        <v>8998</v>
      </c>
      <c r="P2681">
        <v>1</v>
      </c>
      <c r="Q2681">
        <v>0</v>
      </c>
      <c r="R2681">
        <v>96.08</v>
      </c>
      <c r="U2681">
        <v>12000</v>
      </c>
      <c r="V2681" t="s">
        <v>10513</v>
      </c>
      <c r="W2681">
        <v>22.35</v>
      </c>
      <c r="X2681" t="s">
        <v>737</v>
      </c>
      <c r="Y2681" t="s">
        <v>10859</v>
      </c>
      <c r="AA2681" t="s">
        <v>10974</v>
      </c>
      <c r="AB2681" t="s">
        <v>651</v>
      </c>
      <c r="AD2681" t="s">
        <v>11101</v>
      </c>
      <c r="AF2681" t="s">
        <v>11118</v>
      </c>
      <c r="AH2681" t="s">
        <v>10974</v>
      </c>
      <c r="AJ2681" t="s">
        <v>11139</v>
      </c>
      <c r="AK2681" t="s">
        <v>7225</v>
      </c>
      <c r="AM2681">
        <v>386</v>
      </c>
      <c r="AO2681">
        <v>12</v>
      </c>
      <c r="AQ2681" t="s">
        <v>11160</v>
      </c>
      <c r="AS2681" t="s">
        <v>11173</v>
      </c>
      <c r="AU2681">
        <v>62</v>
      </c>
      <c r="AW2681" t="s">
        <v>11187</v>
      </c>
      <c r="AY2681" t="s">
        <v>11213</v>
      </c>
      <c r="BA2681" t="s">
        <v>11222</v>
      </c>
      <c r="BE2681" t="s">
        <v>13233</v>
      </c>
      <c r="BF2681" t="s">
        <v>14364</v>
      </c>
      <c r="BM2681" t="s">
        <v>15650</v>
      </c>
    </row>
    <row r="2682" spans="1:65">
      <c r="A2682" s="1">
        <f>HYPERLINK("https://lsnyc.legalserver.org/matter/dynamic-profile/view/1904010","19-1904010")</f>
        <v>0</v>
      </c>
      <c r="B2682" t="s">
        <v>166</v>
      </c>
      <c r="C2682" t="s">
        <v>245</v>
      </c>
      <c r="D2682" t="s">
        <v>406</v>
      </c>
      <c r="F2682" t="s">
        <v>1127</v>
      </c>
      <c r="G2682" t="s">
        <v>4033</v>
      </c>
      <c r="H2682" t="s">
        <v>5686</v>
      </c>
      <c r="I2682" t="s">
        <v>6413</v>
      </c>
      <c r="J2682" t="s">
        <v>7169</v>
      </c>
      <c r="K2682">
        <v>10024</v>
      </c>
      <c r="N2682" t="s">
        <v>7237</v>
      </c>
      <c r="O2682" t="s">
        <v>7774</v>
      </c>
      <c r="P2682">
        <v>4</v>
      </c>
      <c r="Q2682">
        <v>0</v>
      </c>
      <c r="R2682">
        <v>166.99</v>
      </c>
      <c r="U2682">
        <v>43000</v>
      </c>
      <c r="W2682">
        <v>1.5</v>
      </c>
      <c r="X2682" t="s">
        <v>349</v>
      </c>
      <c r="Y2682" t="s">
        <v>10859</v>
      </c>
      <c r="AA2682" t="s">
        <v>10974</v>
      </c>
      <c r="AB2682" t="s">
        <v>406</v>
      </c>
      <c r="AD2682" t="s">
        <v>11101</v>
      </c>
      <c r="AF2682" t="s">
        <v>11121</v>
      </c>
      <c r="AH2682" t="s">
        <v>10974</v>
      </c>
      <c r="AJ2682" t="s">
        <v>11141</v>
      </c>
      <c r="AK2682" t="s">
        <v>7225</v>
      </c>
      <c r="AM2682">
        <v>495</v>
      </c>
      <c r="AO2682">
        <v>29</v>
      </c>
      <c r="AQ2682" t="s">
        <v>11160</v>
      </c>
      <c r="AS2682" t="s">
        <v>11173</v>
      </c>
      <c r="AU2682">
        <v>31</v>
      </c>
      <c r="AW2682" t="s">
        <v>11187</v>
      </c>
      <c r="AY2682" t="s">
        <v>11213</v>
      </c>
      <c r="BA2682" t="s">
        <v>11222</v>
      </c>
      <c r="BE2682" t="s">
        <v>13234</v>
      </c>
      <c r="BF2682" t="s">
        <v>14364</v>
      </c>
      <c r="BM2682" t="s">
        <v>15650</v>
      </c>
    </row>
    <row r="2683" spans="1:65">
      <c r="A2683" s="1">
        <f>HYPERLINK("https://lsnyc.legalserver.org/matter/dynamic-profile/view/1914147","19-1914147")</f>
        <v>0</v>
      </c>
      <c r="B2683" t="s">
        <v>166</v>
      </c>
      <c r="C2683" t="s">
        <v>245</v>
      </c>
      <c r="D2683" t="s">
        <v>301</v>
      </c>
      <c r="F2683" t="s">
        <v>2223</v>
      </c>
      <c r="G2683" t="s">
        <v>3333</v>
      </c>
      <c r="H2683" t="s">
        <v>5175</v>
      </c>
      <c r="I2683" t="s">
        <v>6549</v>
      </c>
      <c r="J2683" t="s">
        <v>7169</v>
      </c>
      <c r="K2683">
        <v>10037</v>
      </c>
      <c r="N2683" t="s">
        <v>7237</v>
      </c>
      <c r="O2683" t="s">
        <v>8999</v>
      </c>
      <c r="P2683">
        <v>2</v>
      </c>
      <c r="Q2683">
        <v>0</v>
      </c>
      <c r="R2683">
        <v>113.54</v>
      </c>
      <c r="U2683">
        <v>19200</v>
      </c>
      <c r="W2683">
        <v>0.1</v>
      </c>
      <c r="X2683" t="s">
        <v>528</v>
      </c>
      <c r="Y2683" t="s">
        <v>10859</v>
      </c>
      <c r="AA2683" t="s">
        <v>10974</v>
      </c>
      <c r="AB2683" t="s">
        <v>735</v>
      </c>
      <c r="AD2683" t="s">
        <v>11101</v>
      </c>
      <c r="AF2683" t="s">
        <v>11121</v>
      </c>
      <c r="AH2683" t="s">
        <v>10974</v>
      </c>
      <c r="AJ2683" t="s">
        <v>11134</v>
      </c>
      <c r="AK2683" t="s">
        <v>7225</v>
      </c>
      <c r="AM2683">
        <v>1000</v>
      </c>
      <c r="AO2683">
        <v>259</v>
      </c>
      <c r="AQ2683" t="s">
        <v>11157</v>
      </c>
      <c r="AS2683" t="s">
        <v>11173</v>
      </c>
      <c r="AU2683">
        <v>33</v>
      </c>
      <c r="AW2683" t="s">
        <v>11187</v>
      </c>
      <c r="AY2683" t="s">
        <v>11213</v>
      </c>
      <c r="BA2683" t="s">
        <v>11222</v>
      </c>
      <c r="BE2683" t="s">
        <v>13235</v>
      </c>
      <c r="BF2683" t="s">
        <v>14364</v>
      </c>
      <c r="BM2683" t="s">
        <v>15650</v>
      </c>
    </row>
    <row r="2684" spans="1:65">
      <c r="A2684" s="1">
        <f>HYPERLINK("https://lsnyc.legalserver.org/matter/dynamic-profile/view/1913712","19-1913712")</f>
        <v>0</v>
      </c>
      <c r="B2684" t="s">
        <v>166</v>
      </c>
      <c r="C2684" t="s">
        <v>245</v>
      </c>
      <c r="D2684" t="s">
        <v>272</v>
      </c>
      <c r="F2684" t="s">
        <v>2224</v>
      </c>
      <c r="G2684" t="s">
        <v>4034</v>
      </c>
      <c r="H2684" t="s">
        <v>5687</v>
      </c>
      <c r="I2684" t="s">
        <v>6420</v>
      </c>
      <c r="J2684" t="s">
        <v>7169</v>
      </c>
      <c r="K2684">
        <v>10035</v>
      </c>
      <c r="N2684" t="s">
        <v>7237</v>
      </c>
      <c r="O2684" t="s">
        <v>9000</v>
      </c>
      <c r="P2684">
        <v>2</v>
      </c>
      <c r="Q2684">
        <v>0</v>
      </c>
      <c r="R2684">
        <v>591.37</v>
      </c>
      <c r="U2684">
        <v>100000</v>
      </c>
      <c r="W2684">
        <v>3.5</v>
      </c>
      <c r="X2684" t="s">
        <v>273</v>
      </c>
      <c r="Y2684" t="s">
        <v>10859</v>
      </c>
      <c r="AA2684" t="s">
        <v>10974</v>
      </c>
      <c r="AB2684" t="s">
        <v>273</v>
      </c>
      <c r="AD2684" t="s">
        <v>11086</v>
      </c>
      <c r="AF2684" t="s">
        <v>11120</v>
      </c>
      <c r="AH2684" t="s">
        <v>10975</v>
      </c>
      <c r="AJ2684" t="s">
        <v>11137</v>
      </c>
      <c r="AK2684" t="s">
        <v>7225</v>
      </c>
      <c r="AL2684" t="s">
        <v>11150</v>
      </c>
      <c r="AM2684">
        <v>0</v>
      </c>
      <c r="AO2684">
        <v>35</v>
      </c>
      <c r="AQ2684" t="s">
        <v>11157</v>
      </c>
      <c r="AS2684" t="s">
        <v>11173</v>
      </c>
      <c r="AU2684">
        <v>2</v>
      </c>
      <c r="AW2684" t="s">
        <v>11187</v>
      </c>
      <c r="AY2684" t="s">
        <v>11213</v>
      </c>
      <c r="BA2684" t="s">
        <v>11222</v>
      </c>
      <c r="BE2684" t="s">
        <v>13236</v>
      </c>
      <c r="BF2684" t="s">
        <v>14364</v>
      </c>
      <c r="BM2684" t="s">
        <v>15650</v>
      </c>
    </row>
    <row r="2685" spans="1:65">
      <c r="A2685" s="1">
        <f>HYPERLINK("https://lsnyc.legalserver.org/matter/dynamic-profile/view/1913840","19-1913840")</f>
        <v>0</v>
      </c>
      <c r="B2685" t="s">
        <v>166</v>
      </c>
      <c r="C2685" t="s">
        <v>245</v>
      </c>
      <c r="D2685" t="s">
        <v>735</v>
      </c>
      <c r="F2685" t="s">
        <v>2225</v>
      </c>
      <c r="G2685" t="s">
        <v>4035</v>
      </c>
      <c r="H2685" t="s">
        <v>5675</v>
      </c>
      <c r="I2685" t="s">
        <v>6623</v>
      </c>
      <c r="J2685" t="s">
        <v>7169</v>
      </c>
      <c r="K2685">
        <v>10029</v>
      </c>
      <c r="N2685" t="s">
        <v>7237</v>
      </c>
      <c r="O2685" t="s">
        <v>9001</v>
      </c>
      <c r="P2685">
        <v>3</v>
      </c>
      <c r="Q2685">
        <v>0</v>
      </c>
      <c r="R2685">
        <v>178.15</v>
      </c>
      <c r="U2685">
        <v>38000</v>
      </c>
      <c r="W2685">
        <v>6</v>
      </c>
      <c r="X2685" t="s">
        <v>669</v>
      </c>
      <c r="Y2685" t="s">
        <v>10859</v>
      </c>
      <c r="AA2685" t="s">
        <v>10974</v>
      </c>
      <c r="AB2685" t="s">
        <v>272</v>
      </c>
      <c r="AD2685" t="s">
        <v>11086</v>
      </c>
      <c r="AF2685" t="s">
        <v>10384</v>
      </c>
      <c r="AH2685" t="s">
        <v>10974</v>
      </c>
      <c r="AJ2685" t="s">
        <v>11134</v>
      </c>
      <c r="AK2685" t="s">
        <v>7225</v>
      </c>
      <c r="AM2685">
        <v>875</v>
      </c>
      <c r="AO2685">
        <v>135</v>
      </c>
      <c r="AQ2685" t="s">
        <v>11157</v>
      </c>
      <c r="AS2685" t="s">
        <v>11173</v>
      </c>
      <c r="AU2685">
        <v>36</v>
      </c>
      <c r="AW2685" t="s">
        <v>11189</v>
      </c>
      <c r="AY2685" t="s">
        <v>11213</v>
      </c>
      <c r="BA2685" t="s">
        <v>11222</v>
      </c>
      <c r="BE2685" t="s">
        <v>13237</v>
      </c>
      <c r="BF2685" t="s">
        <v>14364</v>
      </c>
      <c r="BM2685" t="s">
        <v>15650</v>
      </c>
    </row>
    <row r="2686" spans="1:65">
      <c r="A2686" s="1">
        <f>HYPERLINK("https://lsnyc.legalserver.org/matter/dynamic-profile/view/1914156","19-1914156")</f>
        <v>0</v>
      </c>
      <c r="B2686" t="s">
        <v>166</v>
      </c>
      <c r="C2686" t="s">
        <v>245</v>
      </c>
      <c r="D2686" t="s">
        <v>301</v>
      </c>
      <c r="F2686" t="s">
        <v>1563</v>
      </c>
      <c r="G2686" t="s">
        <v>4036</v>
      </c>
      <c r="H2686" t="s">
        <v>5175</v>
      </c>
      <c r="I2686" t="s">
        <v>6598</v>
      </c>
      <c r="J2686" t="s">
        <v>7169</v>
      </c>
      <c r="K2686">
        <v>10037</v>
      </c>
      <c r="N2686" t="s">
        <v>7237</v>
      </c>
      <c r="O2686" t="s">
        <v>9002</v>
      </c>
      <c r="P2686">
        <v>1</v>
      </c>
      <c r="Q2686">
        <v>0</v>
      </c>
      <c r="R2686">
        <v>180.27</v>
      </c>
      <c r="U2686">
        <v>22516</v>
      </c>
      <c r="W2686">
        <v>0.1</v>
      </c>
      <c r="X2686" t="s">
        <v>528</v>
      </c>
      <c r="Y2686" t="s">
        <v>10859</v>
      </c>
      <c r="AA2686" t="s">
        <v>10974</v>
      </c>
      <c r="AB2686" t="s">
        <v>735</v>
      </c>
      <c r="AD2686" t="s">
        <v>11101</v>
      </c>
      <c r="AF2686" t="s">
        <v>11121</v>
      </c>
      <c r="AH2686" t="s">
        <v>10974</v>
      </c>
      <c r="AJ2686" t="s">
        <v>11134</v>
      </c>
      <c r="AK2686" t="s">
        <v>7225</v>
      </c>
      <c r="AM2686">
        <v>1691</v>
      </c>
      <c r="AO2686">
        <v>259</v>
      </c>
      <c r="AQ2686" t="s">
        <v>11157</v>
      </c>
      <c r="AS2686" t="s">
        <v>11173</v>
      </c>
      <c r="AU2686">
        <v>2</v>
      </c>
      <c r="AW2686" t="s">
        <v>11187</v>
      </c>
      <c r="AY2686" t="s">
        <v>11213</v>
      </c>
      <c r="BA2686" t="s">
        <v>11222</v>
      </c>
      <c r="BE2686" t="s">
        <v>13238</v>
      </c>
      <c r="BF2686" t="s">
        <v>14364</v>
      </c>
      <c r="BM2686" t="s">
        <v>15650</v>
      </c>
    </row>
    <row r="2687" spans="1:65">
      <c r="A2687" s="1">
        <f>HYPERLINK("https://lsnyc.legalserver.org/matter/dynamic-profile/view/1914254","19-1914254")</f>
        <v>0</v>
      </c>
      <c r="B2687" t="s">
        <v>166</v>
      </c>
      <c r="C2687" t="s">
        <v>245</v>
      </c>
      <c r="D2687" t="s">
        <v>266</v>
      </c>
      <c r="F2687" t="s">
        <v>2226</v>
      </c>
      <c r="G2687" t="s">
        <v>3336</v>
      </c>
      <c r="H2687" t="s">
        <v>5175</v>
      </c>
      <c r="J2687" t="s">
        <v>7169</v>
      </c>
      <c r="K2687">
        <v>10037</v>
      </c>
      <c r="N2687" t="s">
        <v>7237</v>
      </c>
      <c r="O2687" t="s">
        <v>9003</v>
      </c>
      <c r="P2687">
        <v>1</v>
      </c>
      <c r="Q2687">
        <v>2</v>
      </c>
      <c r="R2687">
        <v>117.21</v>
      </c>
      <c r="U2687">
        <v>25000</v>
      </c>
      <c r="W2687">
        <v>0.1</v>
      </c>
      <c r="X2687" t="s">
        <v>528</v>
      </c>
      <c r="Y2687" t="s">
        <v>10859</v>
      </c>
      <c r="AA2687" t="s">
        <v>10974</v>
      </c>
      <c r="AB2687" t="s">
        <v>735</v>
      </c>
      <c r="AD2687" t="s">
        <v>11101</v>
      </c>
      <c r="AF2687" t="s">
        <v>11118</v>
      </c>
      <c r="AH2687" t="s">
        <v>10974</v>
      </c>
      <c r="AJ2687" t="s">
        <v>11134</v>
      </c>
      <c r="AK2687" t="s">
        <v>7225</v>
      </c>
      <c r="AL2687" t="s">
        <v>11150</v>
      </c>
      <c r="AM2687">
        <v>0</v>
      </c>
      <c r="AO2687">
        <v>259</v>
      </c>
      <c r="AP2687" t="s">
        <v>11155</v>
      </c>
      <c r="AS2687" t="s">
        <v>11173</v>
      </c>
      <c r="AU2687">
        <v>3</v>
      </c>
      <c r="AW2687" t="s">
        <v>11187</v>
      </c>
      <c r="AY2687" t="s">
        <v>11213</v>
      </c>
      <c r="BA2687" t="s">
        <v>11222</v>
      </c>
      <c r="BE2687" t="s">
        <v>13239</v>
      </c>
      <c r="BF2687" t="s">
        <v>14364</v>
      </c>
      <c r="BM2687" t="s">
        <v>15650</v>
      </c>
    </row>
    <row r="2688" spans="1:65">
      <c r="A2688" s="1">
        <f>HYPERLINK("https://lsnyc.legalserver.org/matter/dynamic-profile/view/1904533","19-1904533")</f>
        <v>0</v>
      </c>
      <c r="B2688" t="s">
        <v>166</v>
      </c>
      <c r="C2688" t="s">
        <v>245</v>
      </c>
      <c r="D2688" t="s">
        <v>380</v>
      </c>
      <c r="F2688" t="s">
        <v>2227</v>
      </c>
      <c r="G2688" t="s">
        <v>4037</v>
      </c>
      <c r="H2688" t="s">
        <v>5686</v>
      </c>
      <c r="I2688" t="s">
        <v>6437</v>
      </c>
      <c r="J2688" t="s">
        <v>7169</v>
      </c>
      <c r="K2688">
        <v>10024</v>
      </c>
      <c r="N2688" t="s">
        <v>7237</v>
      </c>
      <c r="O2688" t="s">
        <v>8828</v>
      </c>
      <c r="P2688">
        <v>2</v>
      </c>
      <c r="Q2688">
        <v>0</v>
      </c>
      <c r="R2688">
        <v>87.43000000000001</v>
      </c>
      <c r="U2688">
        <v>14784</v>
      </c>
      <c r="W2688">
        <v>0.1</v>
      </c>
      <c r="X2688" t="s">
        <v>685</v>
      </c>
      <c r="Y2688" t="s">
        <v>10859</v>
      </c>
      <c r="AA2688" t="s">
        <v>10974</v>
      </c>
      <c r="AB2688" t="s">
        <v>267</v>
      </c>
      <c r="AD2688" t="s">
        <v>11101</v>
      </c>
      <c r="AF2688" t="s">
        <v>11118</v>
      </c>
      <c r="AH2688" t="s">
        <v>10974</v>
      </c>
      <c r="AJ2688" t="s">
        <v>11139</v>
      </c>
      <c r="AK2688" t="s">
        <v>7225</v>
      </c>
      <c r="AM2688">
        <v>670</v>
      </c>
      <c r="AO2688">
        <v>12</v>
      </c>
      <c r="AQ2688" t="s">
        <v>11160</v>
      </c>
      <c r="AS2688" t="s">
        <v>11173</v>
      </c>
      <c r="AU2688">
        <v>45</v>
      </c>
      <c r="AW2688" t="s">
        <v>11187</v>
      </c>
      <c r="AY2688" t="s">
        <v>11213</v>
      </c>
      <c r="BA2688" t="s">
        <v>11222</v>
      </c>
      <c r="BE2688" t="s">
        <v>13240</v>
      </c>
      <c r="BF2688" t="s">
        <v>14364</v>
      </c>
      <c r="BM2688" t="s">
        <v>15650</v>
      </c>
    </row>
    <row r="2689" spans="1:65">
      <c r="A2689" s="1">
        <f>HYPERLINK("https://lsnyc.legalserver.org/matter/dynamic-profile/view/1905028","19-1905028")</f>
        <v>0</v>
      </c>
      <c r="B2689" t="s">
        <v>166</v>
      </c>
      <c r="C2689" t="s">
        <v>245</v>
      </c>
      <c r="D2689" t="s">
        <v>332</v>
      </c>
      <c r="F2689" t="s">
        <v>2228</v>
      </c>
      <c r="G2689" t="s">
        <v>4038</v>
      </c>
      <c r="H2689" t="s">
        <v>5686</v>
      </c>
      <c r="I2689" t="s">
        <v>6417</v>
      </c>
      <c r="J2689" t="s">
        <v>7169</v>
      </c>
      <c r="K2689">
        <v>10024</v>
      </c>
      <c r="N2689" t="s">
        <v>7237</v>
      </c>
      <c r="O2689" t="s">
        <v>9004</v>
      </c>
      <c r="P2689">
        <v>1</v>
      </c>
      <c r="Q2689">
        <v>0</v>
      </c>
      <c r="R2689">
        <v>560.45</v>
      </c>
      <c r="U2689">
        <v>70000</v>
      </c>
      <c r="W2689">
        <v>0.1</v>
      </c>
      <c r="X2689" t="s">
        <v>685</v>
      </c>
      <c r="Y2689" t="s">
        <v>10859</v>
      </c>
      <c r="AA2689" t="s">
        <v>10974</v>
      </c>
      <c r="AB2689" t="s">
        <v>311</v>
      </c>
      <c r="AD2689" t="s">
        <v>11101</v>
      </c>
      <c r="AF2689" t="s">
        <v>11118</v>
      </c>
      <c r="AH2689" t="s">
        <v>10974</v>
      </c>
      <c r="AJ2689" t="s">
        <v>11139</v>
      </c>
      <c r="AK2689" t="s">
        <v>7225</v>
      </c>
      <c r="AM2689">
        <v>2085</v>
      </c>
      <c r="AO2689">
        <v>29</v>
      </c>
      <c r="AQ2689" t="s">
        <v>11157</v>
      </c>
      <c r="AS2689" t="s">
        <v>11173</v>
      </c>
      <c r="AU2689">
        <v>2</v>
      </c>
      <c r="AW2689" t="s">
        <v>11187</v>
      </c>
      <c r="AY2689" t="s">
        <v>11213</v>
      </c>
      <c r="BA2689" t="s">
        <v>11222</v>
      </c>
      <c r="BE2689" t="s">
        <v>13241</v>
      </c>
      <c r="BF2689" t="s">
        <v>14364</v>
      </c>
      <c r="BM2689" t="s">
        <v>15650</v>
      </c>
    </row>
    <row r="2690" spans="1:65">
      <c r="A2690" s="1">
        <f>HYPERLINK("https://lsnyc.legalserver.org/matter/dynamic-profile/view/1915774","19-1915774")</f>
        <v>0</v>
      </c>
      <c r="B2690" t="s">
        <v>166</v>
      </c>
      <c r="C2690" t="s">
        <v>245</v>
      </c>
      <c r="D2690" t="s">
        <v>638</v>
      </c>
      <c r="F2690" t="s">
        <v>2028</v>
      </c>
      <c r="G2690" t="s">
        <v>4039</v>
      </c>
      <c r="H2690" t="s">
        <v>5688</v>
      </c>
      <c r="I2690" t="s">
        <v>6433</v>
      </c>
      <c r="J2690" t="s">
        <v>7169</v>
      </c>
      <c r="K2690">
        <v>10035</v>
      </c>
      <c r="N2690" t="s">
        <v>7237</v>
      </c>
      <c r="O2690" t="s">
        <v>9005</v>
      </c>
      <c r="P2690">
        <v>2</v>
      </c>
      <c r="Q2690">
        <v>0</v>
      </c>
      <c r="R2690">
        <v>296.63</v>
      </c>
      <c r="U2690">
        <v>50160</v>
      </c>
      <c r="W2690">
        <v>3.5</v>
      </c>
      <c r="X2690" t="s">
        <v>638</v>
      </c>
      <c r="Y2690" t="s">
        <v>10859</v>
      </c>
      <c r="AA2690" t="s">
        <v>10974</v>
      </c>
      <c r="AB2690" t="s">
        <v>638</v>
      </c>
      <c r="AD2690" t="s">
        <v>11086</v>
      </c>
      <c r="AF2690" t="s">
        <v>10384</v>
      </c>
      <c r="AH2690" t="s">
        <v>10974</v>
      </c>
      <c r="AJ2690" t="s">
        <v>11134</v>
      </c>
      <c r="AK2690" t="s">
        <v>7225</v>
      </c>
      <c r="AM2690">
        <v>2150</v>
      </c>
      <c r="AO2690">
        <v>35</v>
      </c>
      <c r="AQ2690" t="s">
        <v>11157</v>
      </c>
      <c r="AS2690" t="s">
        <v>11173</v>
      </c>
      <c r="AU2690">
        <v>2</v>
      </c>
      <c r="AW2690" t="s">
        <v>11187</v>
      </c>
      <c r="AY2690" t="s">
        <v>11213</v>
      </c>
      <c r="BA2690" t="s">
        <v>11222</v>
      </c>
      <c r="BE2690" t="s">
        <v>13242</v>
      </c>
      <c r="BF2690" t="s">
        <v>14364</v>
      </c>
      <c r="BM2690" t="s">
        <v>15650</v>
      </c>
    </row>
    <row r="2691" spans="1:65">
      <c r="A2691" s="1">
        <f>HYPERLINK("https://lsnyc.legalserver.org/matter/dynamic-profile/view/1866214","18-1866214")</f>
        <v>0</v>
      </c>
      <c r="B2691" t="s">
        <v>166</v>
      </c>
      <c r="C2691" t="s">
        <v>245</v>
      </c>
      <c r="D2691" t="s">
        <v>493</v>
      </c>
      <c r="E2691" t="s">
        <v>638</v>
      </c>
      <c r="F2691" t="s">
        <v>2218</v>
      </c>
      <c r="G2691" t="s">
        <v>3126</v>
      </c>
      <c r="H2691" t="s">
        <v>5689</v>
      </c>
      <c r="I2691">
        <v>3</v>
      </c>
      <c r="J2691" t="s">
        <v>7169</v>
      </c>
      <c r="K2691">
        <v>10035</v>
      </c>
      <c r="L2691" t="s">
        <v>7217</v>
      </c>
      <c r="N2691" t="s">
        <v>7241</v>
      </c>
      <c r="O2691" t="s">
        <v>9006</v>
      </c>
      <c r="P2691">
        <v>1</v>
      </c>
      <c r="Q2691">
        <v>0</v>
      </c>
      <c r="R2691">
        <v>79.08</v>
      </c>
      <c r="U2691">
        <v>9600</v>
      </c>
      <c r="W2691">
        <v>38.93</v>
      </c>
      <c r="X2691" t="s">
        <v>264</v>
      </c>
      <c r="Y2691" t="s">
        <v>10882</v>
      </c>
      <c r="AA2691" t="s">
        <v>10974</v>
      </c>
      <c r="AB2691" t="s">
        <v>628</v>
      </c>
      <c r="AD2691" t="s">
        <v>11086</v>
      </c>
      <c r="AF2691" t="s">
        <v>10384</v>
      </c>
      <c r="AH2691" t="s">
        <v>10975</v>
      </c>
      <c r="AJ2691" t="s">
        <v>11147</v>
      </c>
      <c r="AK2691" t="s">
        <v>7225</v>
      </c>
      <c r="AM2691">
        <v>900</v>
      </c>
      <c r="AO2691">
        <v>6</v>
      </c>
      <c r="AQ2691" t="s">
        <v>11157</v>
      </c>
      <c r="AS2691" t="s">
        <v>11174</v>
      </c>
      <c r="AU2691">
        <v>17</v>
      </c>
      <c r="AW2691" t="s">
        <v>11187</v>
      </c>
      <c r="AY2691" t="s">
        <v>11213</v>
      </c>
      <c r="BA2691" t="s">
        <v>11222</v>
      </c>
      <c r="BE2691" t="s">
        <v>13243</v>
      </c>
      <c r="BF2691" t="s">
        <v>14364</v>
      </c>
      <c r="BM2691" t="s">
        <v>15651</v>
      </c>
    </row>
    <row r="2692" spans="1:65">
      <c r="A2692" s="1">
        <f>HYPERLINK("https://lsnyc.legalserver.org/matter/dynamic-profile/view/1915421","19-1915421")</f>
        <v>0</v>
      </c>
      <c r="B2692" t="s">
        <v>166</v>
      </c>
      <c r="C2692" t="s">
        <v>245</v>
      </c>
      <c r="D2692" t="s">
        <v>436</v>
      </c>
      <c r="E2692" t="s">
        <v>528</v>
      </c>
      <c r="F2692" t="s">
        <v>1174</v>
      </c>
      <c r="G2692" t="s">
        <v>2956</v>
      </c>
      <c r="H2692" t="s">
        <v>5682</v>
      </c>
      <c r="I2692" t="s">
        <v>6907</v>
      </c>
      <c r="J2692" t="s">
        <v>7169</v>
      </c>
      <c r="K2692">
        <v>10029</v>
      </c>
      <c r="L2692" t="s">
        <v>7217</v>
      </c>
      <c r="N2692" t="s">
        <v>7237</v>
      </c>
      <c r="O2692" t="s">
        <v>8990</v>
      </c>
      <c r="P2692">
        <v>4</v>
      </c>
      <c r="Q2692">
        <v>1</v>
      </c>
      <c r="R2692">
        <v>68.94</v>
      </c>
      <c r="U2692">
        <v>20800</v>
      </c>
      <c r="W2692">
        <v>0.1</v>
      </c>
      <c r="X2692" t="s">
        <v>528</v>
      </c>
      <c r="Y2692" t="s">
        <v>10859</v>
      </c>
      <c r="AA2692" t="s">
        <v>10974</v>
      </c>
      <c r="AB2692" t="s">
        <v>436</v>
      </c>
      <c r="AD2692" t="s">
        <v>11083</v>
      </c>
      <c r="AF2692" t="s">
        <v>10384</v>
      </c>
      <c r="AH2692" t="s">
        <v>10975</v>
      </c>
      <c r="AJ2692" t="s">
        <v>11129</v>
      </c>
      <c r="AK2692" t="s">
        <v>7225</v>
      </c>
      <c r="AM2692">
        <v>1085</v>
      </c>
      <c r="AO2692">
        <v>10</v>
      </c>
      <c r="AP2692" t="s">
        <v>11155</v>
      </c>
      <c r="AS2692" t="s">
        <v>11173</v>
      </c>
      <c r="AU2692">
        <v>21</v>
      </c>
      <c r="AW2692" t="s">
        <v>11189</v>
      </c>
      <c r="AY2692" t="s">
        <v>11213</v>
      </c>
      <c r="BA2692" t="s">
        <v>11222</v>
      </c>
      <c r="BE2692" t="s">
        <v>11236</v>
      </c>
      <c r="BF2692" t="s">
        <v>14364</v>
      </c>
      <c r="BM2692" t="s">
        <v>15651</v>
      </c>
    </row>
    <row r="2693" spans="1:65">
      <c r="A2693" s="1">
        <f>HYPERLINK("https://lsnyc.legalserver.org/matter/dynamic-profile/view/1886662","18-1886662")</f>
        <v>0</v>
      </c>
      <c r="B2693" t="s">
        <v>166</v>
      </c>
      <c r="C2693" t="s">
        <v>245</v>
      </c>
      <c r="D2693" t="s">
        <v>922</v>
      </c>
      <c r="F2693" t="s">
        <v>2229</v>
      </c>
      <c r="G2693" t="s">
        <v>4040</v>
      </c>
      <c r="H2693" t="s">
        <v>5682</v>
      </c>
      <c r="I2693" t="s">
        <v>6564</v>
      </c>
      <c r="J2693" t="s">
        <v>7169</v>
      </c>
      <c r="K2693">
        <v>10029</v>
      </c>
      <c r="N2693" t="s">
        <v>7237</v>
      </c>
      <c r="O2693" t="s">
        <v>9007</v>
      </c>
      <c r="P2693">
        <v>4</v>
      </c>
      <c r="Q2693">
        <v>0</v>
      </c>
      <c r="R2693">
        <v>350.6</v>
      </c>
      <c r="U2693">
        <v>88000</v>
      </c>
      <c r="W2693">
        <v>25.75</v>
      </c>
      <c r="X2693" t="s">
        <v>10839</v>
      </c>
      <c r="Y2693" t="s">
        <v>10859</v>
      </c>
      <c r="AA2693" t="s">
        <v>10974</v>
      </c>
      <c r="AB2693" t="s">
        <v>922</v>
      </c>
      <c r="AD2693" t="s">
        <v>11101</v>
      </c>
      <c r="AF2693" t="s">
        <v>11118</v>
      </c>
      <c r="AH2693" t="s">
        <v>10974</v>
      </c>
      <c r="AJ2693" t="s">
        <v>11134</v>
      </c>
      <c r="AK2693" t="s">
        <v>7225</v>
      </c>
      <c r="AM2693">
        <v>2300</v>
      </c>
      <c r="AN2693" t="s">
        <v>11151</v>
      </c>
      <c r="AO2693" t="s">
        <v>11153</v>
      </c>
      <c r="AQ2693" t="s">
        <v>11156</v>
      </c>
      <c r="AS2693" t="s">
        <v>11173</v>
      </c>
      <c r="AU2693">
        <v>1</v>
      </c>
      <c r="AW2693" t="s">
        <v>11194</v>
      </c>
      <c r="AY2693" t="s">
        <v>11213</v>
      </c>
      <c r="BA2693" t="s">
        <v>11222</v>
      </c>
      <c r="BE2693" t="s">
        <v>13244</v>
      </c>
      <c r="BF2693" t="s">
        <v>14364</v>
      </c>
      <c r="BM2693" t="s">
        <v>15650</v>
      </c>
    </row>
    <row r="2694" spans="1:65">
      <c r="A2694" s="1">
        <f>HYPERLINK("https://lsnyc.legalserver.org/matter/dynamic-profile/view/1915424","19-1915424")</f>
        <v>0</v>
      </c>
      <c r="B2694" t="s">
        <v>166</v>
      </c>
      <c r="C2694" t="s">
        <v>245</v>
      </c>
      <c r="D2694" t="s">
        <v>436</v>
      </c>
      <c r="E2694" t="s">
        <v>548</v>
      </c>
      <c r="F2694" t="s">
        <v>2230</v>
      </c>
      <c r="G2694" t="s">
        <v>3680</v>
      </c>
      <c r="H2694" t="s">
        <v>5474</v>
      </c>
      <c r="I2694">
        <v>411</v>
      </c>
      <c r="J2694" t="s">
        <v>7169</v>
      </c>
      <c r="K2694">
        <v>10029</v>
      </c>
      <c r="L2694" t="s">
        <v>7217</v>
      </c>
      <c r="N2694" t="s">
        <v>7237</v>
      </c>
      <c r="O2694" t="s">
        <v>9008</v>
      </c>
      <c r="P2694">
        <v>2</v>
      </c>
      <c r="Q2694">
        <v>0</v>
      </c>
      <c r="R2694">
        <v>70.54000000000001</v>
      </c>
      <c r="U2694">
        <v>11928</v>
      </c>
      <c r="W2694">
        <v>0.5</v>
      </c>
      <c r="X2694" t="s">
        <v>548</v>
      </c>
      <c r="Y2694" t="s">
        <v>10859</v>
      </c>
      <c r="AA2694" t="s">
        <v>10974</v>
      </c>
      <c r="AB2694" t="s">
        <v>436</v>
      </c>
      <c r="AD2694" t="s">
        <v>11082</v>
      </c>
      <c r="AF2694" t="s">
        <v>10384</v>
      </c>
      <c r="AH2694" t="s">
        <v>10975</v>
      </c>
      <c r="AJ2694" t="s">
        <v>11129</v>
      </c>
      <c r="AK2694" t="s">
        <v>7225</v>
      </c>
      <c r="AM2694">
        <v>138</v>
      </c>
      <c r="AN2694" t="s">
        <v>11151</v>
      </c>
      <c r="AO2694" t="s">
        <v>11153</v>
      </c>
      <c r="AQ2694" t="s">
        <v>11157</v>
      </c>
      <c r="AS2694" t="s">
        <v>11174</v>
      </c>
      <c r="AU2694">
        <v>36</v>
      </c>
      <c r="AW2694" t="s">
        <v>11189</v>
      </c>
      <c r="AY2694" t="s">
        <v>11213</v>
      </c>
      <c r="BA2694" t="s">
        <v>11222</v>
      </c>
      <c r="BD2694" t="s">
        <v>11667</v>
      </c>
      <c r="BF2694" t="s">
        <v>14364</v>
      </c>
      <c r="BM2694" t="s">
        <v>15651</v>
      </c>
    </row>
    <row r="2695" spans="1:65">
      <c r="A2695" s="1">
        <f>HYPERLINK("https://lsnyc.legalserver.org/matter/dynamic-profile/view/0831668","17-0831668")</f>
        <v>0</v>
      </c>
      <c r="B2695" t="s">
        <v>166</v>
      </c>
      <c r="C2695" t="s">
        <v>245</v>
      </c>
      <c r="D2695" t="s">
        <v>924</v>
      </c>
      <c r="E2695" t="s">
        <v>548</v>
      </c>
      <c r="F2695" t="s">
        <v>1624</v>
      </c>
      <c r="G2695" t="s">
        <v>4041</v>
      </c>
      <c r="H2695" t="s">
        <v>5688</v>
      </c>
      <c r="I2695" t="s">
        <v>6628</v>
      </c>
      <c r="J2695" t="s">
        <v>7169</v>
      </c>
      <c r="K2695">
        <v>10035</v>
      </c>
      <c r="L2695" t="s">
        <v>7223</v>
      </c>
      <c r="N2695" t="s">
        <v>7237</v>
      </c>
      <c r="O2695" t="s">
        <v>9009</v>
      </c>
      <c r="P2695">
        <v>2</v>
      </c>
      <c r="Q2695">
        <v>0</v>
      </c>
      <c r="R2695">
        <v>172.41</v>
      </c>
      <c r="U2695">
        <v>28000</v>
      </c>
      <c r="W2695">
        <v>176</v>
      </c>
      <c r="X2695" t="s">
        <v>564</v>
      </c>
      <c r="Y2695" t="s">
        <v>10937</v>
      </c>
      <c r="AA2695" t="s">
        <v>10974</v>
      </c>
      <c r="AB2695" t="s">
        <v>924</v>
      </c>
      <c r="AD2695" t="s">
        <v>11086</v>
      </c>
      <c r="AF2695" t="s">
        <v>11120</v>
      </c>
      <c r="AH2695" t="s">
        <v>10975</v>
      </c>
      <c r="AJ2695" t="s">
        <v>11130</v>
      </c>
      <c r="AK2695" t="s">
        <v>7225</v>
      </c>
      <c r="AM2695">
        <v>1550</v>
      </c>
      <c r="AO2695">
        <v>35</v>
      </c>
      <c r="AQ2695" t="s">
        <v>11157</v>
      </c>
      <c r="AS2695" t="s">
        <v>11173</v>
      </c>
      <c r="AU2695">
        <v>5</v>
      </c>
      <c r="AW2695" t="s">
        <v>11187</v>
      </c>
      <c r="AZ2695" t="s">
        <v>11221</v>
      </c>
      <c r="BE2695" t="s">
        <v>13245</v>
      </c>
      <c r="BF2695" t="s">
        <v>14364</v>
      </c>
      <c r="BM2695" t="s">
        <v>15651</v>
      </c>
    </row>
    <row r="2696" spans="1:65">
      <c r="A2696" s="1">
        <f>HYPERLINK("https://lsnyc.legalserver.org/matter/dynamic-profile/view/1914226","19-1914226")</f>
        <v>0</v>
      </c>
      <c r="B2696" t="s">
        <v>166</v>
      </c>
      <c r="C2696" t="s">
        <v>245</v>
      </c>
      <c r="D2696" t="s">
        <v>266</v>
      </c>
      <c r="F2696" t="s">
        <v>2231</v>
      </c>
      <c r="G2696" t="s">
        <v>4042</v>
      </c>
      <c r="H2696" t="s">
        <v>5183</v>
      </c>
      <c r="I2696" t="s">
        <v>6556</v>
      </c>
      <c r="J2696" t="s">
        <v>7169</v>
      </c>
      <c r="K2696">
        <v>10037</v>
      </c>
      <c r="N2696" t="s">
        <v>7237</v>
      </c>
      <c r="O2696" t="s">
        <v>9010</v>
      </c>
      <c r="P2696">
        <v>1</v>
      </c>
      <c r="Q2696">
        <v>0</v>
      </c>
      <c r="R2696">
        <v>720.58</v>
      </c>
      <c r="U2696">
        <v>90000</v>
      </c>
      <c r="W2696">
        <v>0</v>
      </c>
      <c r="Y2696" t="s">
        <v>10859</v>
      </c>
      <c r="AA2696" t="s">
        <v>10974</v>
      </c>
      <c r="AB2696" t="s">
        <v>735</v>
      </c>
      <c r="AD2696" t="s">
        <v>11101</v>
      </c>
      <c r="AF2696" t="s">
        <v>11121</v>
      </c>
      <c r="AH2696" t="s">
        <v>10974</v>
      </c>
      <c r="AJ2696" t="s">
        <v>11134</v>
      </c>
      <c r="AK2696" t="s">
        <v>7225</v>
      </c>
      <c r="AM2696">
        <v>1826</v>
      </c>
      <c r="AO2696">
        <v>259</v>
      </c>
      <c r="AQ2696" t="s">
        <v>11157</v>
      </c>
      <c r="AR2696" t="s">
        <v>11172</v>
      </c>
      <c r="AU2696">
        <v>2</v>
      </c>
      <c r="AW2696" t="s">
        <v>11187</v>
      </c>
      <c r="AY2696" t="s">
        <v>11213</v>
      </c>
      <c r="BA2696" t="s">
        <v>11222</v>
      </c>
      <c r="BE2696" t="s">
        <v>13246</v>
      </c>
      <c r="BF2696" t="s">
        <v>14364</v>
      </c>
      <c r="BM2696" t="s">
        <v>15650</v>
      </c>
    </row>
    <row r="2697" spans="1:65">
      <c r="A2697" s="1">
        <f>HYPERLINK("https://lsnyc.legalserver.org/matter/dynamic-profile/view/1915781","19-1915781")</f>
        <v>0</v>
      </c>
      <c r="B2697" t="s">
        <v>166</v>
      </c>
      <c r="C2697" t="s">
        <v>245</v>
      </c>
      <c r="D2697" t="s">
        <v>638</v>
      </c>
      <c r="F2697" t="s">
        <v>2232</v>
      </c>
      <c r="G2697" t="s">
        <v>3757</v>
      </c>
      <c r="H2697" t="s">
        <v>5688</v>
      </c>
      <c r="I2697" t="s">
        <v>6501</v>
      </c>
      <c r="J2697" t="s">
        <v>7169</v>
      </c>
      <c r="K2697">
        <v>10035</v>
      </c>
      <c r="N2697" t="s">
        <v>7237</v>
      </c>
      <c r="O2697" t="s">
        <v>9011</v>
      </c>
      <c r="P2697">
        <v>1</v>
      </c>
      <c r="Q2697">
        <v>0</v>
      </c>
      <c r="R2697">
        <v>784.63</v>
      </c>
      <c r="U2697">
        <v>98000</v>
      </c>
      <c r="W2697">
        <v>3</v>
      </c>
      <c r="X2697" t="s">
        <v>638</v>
      </c>
      <c r="Y2697" t="s">
        <v>10859</v>
      </c>
      <c r="AA2697" t="s">
        <v>10974</v>
      </c>
      <c r="AB2697" t="s">
        <v>638</v>
      </c>
      <c r="AD2697" t="s">
        <v>11086</v>
      </c>
      <c r="AF2697" t="s">
        <v>10384</v>
      </c>
      <c r="AG2697" t="s">
        <v>11124</v>
      </c>
      <c r="AJ2697" t="s">
        <v>11134</v>
      </c>
      <c r="AK2697" t="s">
        <v>7225</v>
      </c>
      <c r="AM2697">
        <v>2250</v>
      </c>
      <c r="AO2697">
        <v>30</v>
      </c>
      <c r="AQ2697" t="s">
        <v>11157</v>
      </c>
      <c r="AS2697" t="s">
        <v>11173</v>
      </c>
      <c r="AU2697">
        <v>1</v>
      </c>
      <c r="AW2697" t="s">
        <v>11187</v>
      </c>
      <c r="AY2697" t="s">
        <v>11213</v>
      </c>
      <c r="BA2697" t="s">
        <v>11222</v>
      </c>
      <c r="BE2697" t="s">
        <v>13247</v>
      </c>
      <c r="BF2697" t="s">
        <v>14364</v>
      </c>
      <c r="BM2697" t="s">
        <v>15650</v>
      </c>
    </row>
    <row r="2698" spans="1:65">
      <c r="A2698" s="1">
        <f>HYPERLINK("https://lsnyc.legalserver.org/matter/dynamic-profile/view/1915744","19-1915744")</f>
        <v>0</v>
      </c>
      <c r="B2698" t="s">
        <v>166</v>
      </c>
      <c r="C2698" t="s">
        <v>245</v>
      </c>
      <c r="D2698" t="s">
        <v>638</v>
      </c>
      <c r="F2698" t="s">
        <v>2144</v>
      </c>
      <c r="G2698" t="s">
        <v>3551</v>
      </c>
      <c r="H2698" t="s">
        <v>5688</v>
      </c>
      <c r="I2698" t="s">
        <v>6502</v>
      </c>
      <c r="J2698" t="s">
        <v>7169</v>
      </c>
      <c r="K2698">
        <v>10035</v>
      </c>
      <c r="N2698" t="s">
        <v>7237</v>
      </c>
      <c r="O2698" t="s">
        <v>9012</v>
      </c>
      <c r="P2698">
        <v>1</v>
      </c>
      <c r="Q2698">
        <v>0</v>
      </c>
      <c r="R2698">
        <v>180.14</v>
      </c>
      <c r="U2698">
        <v>22500</v>
      </c>
      <c r="W2698">
        <v>0</v>
      </c>
      <c r="Y2698" t="s">
        <v>10859</v>
      </c>
      <c r="AA2698" t="s">
        <v>10974</v>
      </c>
      <c r="AB2698" t="s">
        <v>638</v>
      </c>
      <c r="AD2698" t="s">
        <v>11086</v>
      </c>
      <c r="AF2698" t="s">
        <v>10384</v>
      </c>
      <c r="AH2698" t="s">
        <v>10974</v>
      </c>
      <c r="AJ2698" t="s">
        <v>11134</v>
      </c>
      <c r="AK2698" t="s">
        <v>7225</v>
      </c>
      <c r="AM2698">
        <v>2400</v>
      </c>
      <c r="AO2698">
        <v>30</v>
      </c>
      <c r="AQ2698" t="s">
        <v>11157</v>
      </c>
      <c r="AS2698" t="s">
        <v>11173</v>
      </c>
      <c r="AU2698">
        <v>1</v>
      </c>
      <c r="AW2698" t="s">
        <v>11187</v>
      </c>
      <c r="AY2698" t="s">
        <v>11213</v>
      </c>
      <c r="BA2698" t="s">
        <v>11222</v>
      </c>
      <c r="BE2698" t="s">
        <v>13248</v>
      </c>
      <c r="BF2698" t="s">
        <v>14364</v>
      </c>
      <c r="BM2698" t="s">
        <v>15650</v>
      </c>
    </row>
    <row r="2699" spans="1:65">
      <c r="A2699" s="1">
        <f>HYPERLINK("https://lsnyc.legalserver.org/matter/dynamic-profile/view/1915753","19-1915753")</f>
        <v>0</v>
      </c>
      <c r="B2699" t="s">
        <v>166</v>
      </c>
      <c r="C2699" t="s">
        <v>245</v>
      </c>
      <c r="D2699" t="s">
        <v>638</v>
      </c>
      <c r="F2699" t="s">
        <v>2144</v>
      </c>
      <c r="G2699" t="s">
        <v>3551</v>
      </c>
      <c r="H2699" t="s">
        <v>5688</v>
      </c>
      <c r="I2699" t="s">
        <v>6502</v>
      </c>
      <c r="J2699" t="s">
        <v>7169</v>
      </c>
      <c r="K2699">
        <v>10035</v>
      </c>
      <c r="N2699" t="s">
        <v>7237</v>
      </c>
      <c r="O2699" t="s">
        <v>9012</v>
      </c>
      <c r="P2699">
        <v>1</v>
      </c>
      <c r="Q2699">
        <v>0</v>
      </c>
      <c r="R2699">
        <v>180.14</v>
      </c>
      <c r="U2699">
        <v>22500</v>
      </c>
      <c r="W2699">
        <v>0</v>
      </c>
      <c r="Y2699" t="s">
        <v>10859</v>
      </c>
      <c r="AA2699" t="s">
        <v>10974</v>
      </c>
      <c r="AB2699" t="s">
        <v>638</v>
      </c>
      <c r="AD2699" t="s">
        <v>11086</v>
      </c>
      <c r="AF2699" t="s">
        <v>10384</v>
      </c>
      <c r="AH2699" t="s">
        <v>10974</v>
      </c>
      <c r="AJ2699" t="s">
        <v>11129</v>
      </c>
      <c r="AK2699" t="s">
        <v>7225</v>
      </c>
      <c r="AM2699">
        <v>2400</v>
      </c>
      <c r="AO2699">
        <v>30</v>
      </c>
      <c r="AQ2699" t="s">
        <v>11157</v>
      </c>
      <c r="AS2699" t="s">
        <v>11173</v>
      </c>
      <c r="AU2699">
        <v>1</v>
      </c>
      <c r="AW2699" t="s">
        <v>11187</v>
      </c>
      <c r="AY2699" t="s">
        <v>11213</v>
      </c>
      <c r="BA2699" t="s">
        <v>11222</v>
      </c>
      <c r="BE2699" t="s">
        <v>13248</v>
      </c>
      <c r="BF2699" t="s">
        <v>14364</v>
      </c>
      <c r="BM2699" t="s">
        <v>15650</v>
      </c>
    </row>
    <row r="2700" spans="1:65">
      <c r="A2700" s="1">
        <f>HYPERLINK("https://lsnyc.legalserver.org/matter/dynamic-profile/view/1914079","19-1914079")</f>
        <v>0</v>
      </c>
      <c r="B2700" t="s">
        <v>166</v>
      </c>
      <c r="C2700" t="s">
        <v>245</v>
      </c>
      <c r="D2700" t="s">
        <v>301</v>
      </c>
      <c r="F2700" t="s">
        <v>1128</v>
      </c>
      <c r="G2700" t="s">
        <v>4043</v>
      </c>
      <c r="H2700" t="s">
        <v>5681</v>
      </c>
      <c r="I2700" t="s">
        <v>6421</v>
      </c>
      <c r="J2700" t="s">
        <v>7169</v>
      </c>
      <c r="K2700">
        <v>10035</v>
      </c>
      <c r="N2700" t="s">
        <v>7237</v>
      </c>
      <c r="O2700" t="s">
        <v>9013</v>
      </c>
      <c r="P2700">
        <v>2</v>
      </c>
      <c r="Q2700">
        <v>0</v>
      </c>
      <c r="R2700">
        <v>626.85</v>
      </c>
      <c r="U2700">
        <v>106000</v>
      </c>
      <c r="W2700">
        <v>2.75</v>
      </c>
      <c r="X2700" t="s">
        <v>333</v>
      </c>
      <c r="Y2700" t="s">
        <v>10859</v>
      </c>
      <c r="AA2700" t="s">
        <v>10974</v>
      </c>
      <c r="AB2700" t="s">
        <v>333</v>
      </c>
      <c r="AD2700" t="s">
        <v>11086</v>
      </c>
      <c r="AF2700" t="s">
        <v>11120</v>
      </c>
      <c r="AH2700" t="s">
        <v>10974</v>
      </c>
      <c r="AJ2700" t="s">
        <v>11134</v>
      </c>
      <c r="AK2700" t="s">
        <v>7225</v>
      </c>
      <c r="AM2700">
        <v>2025</v>
      </c>
      <c r="AO2700">
        <v>33</v>
      </c>
      <c r="AQ2700" t="s">
        <v>11157</v>
      </c>
      <c r="AS2700" t="s">
        <v>11173</v>
      </c>
      <c r="AU2700">
        <v>5</v>
      </c>
      <c r="AW2700" t="s">
        <v>11187</v>
      </c>
      <c r="AY2700" t="s">
        <v>11213</v>
      </c>
      <c r="BA2700" t="s">
        <v>11222</v>
      </c>
      <c r="BE2700" t="s">
        <v>13249</v>
      </c>
      <c r="BF2700" t="s">
        <v>14364</v>
      </c>
      <c r="BM2700" t="s">
        <v>15650</v>
      </c>
    </row>
    <row r="2701" spans="1:65">
      <c r="A2701" s="1">
        <f>HYPERLINK("https://lsnyc.legalserver.org/matter/dynamic-profile/view/1914570","19-1914570")</f>
        <v>0</v>
      </c>
      <c r="B2701" t="s">
        <v>166</v>
      </c>
      <c r="C2701" t="s">
        <v>245</v>
      </c>
      <c r="D2701" t="s">
        <v>312</v>
      </c>
      <c r="E2701" t="s">
        <v>548</v>
      </c>
      <c r="F2701" t="s">
        <v>1144</v>
      </c>
      <c r="G2701" t="s">
        <v>2984</v>
      </c>
      <c r="H2701" t="s">
        <v>5690</v>
      </c>
      <c r="I2701" t="s">
        <v>6417</v>
      </c>
      <c r="J2701" t="s">
        <v>7169</v>
      </c>
      <c r="K2701">
        <v>10029</v>
      </c>
      <c r="L2701" t="s">
        <v>7216</v>
      </c>
      <c r="N2701" t="s">
        <v>7237</v>
      </c>
      <c r="O2701" t="s">
        <v>9014</v>
      </c>
      <c r="P2701">
        <v>1</v>
      </c>
      <c r="Q2701">
        <v>0</v>
      </c>
      <c r="R2701">
        <v>88.39</v>
      </c>
      <c r="U2701">
        <v>11040</v>
      </c>
      <c r="W2701">
        <v>4.75</v>
      </c>
      <c r="X2701" t="s">
        <v>426</v>
      </c>
      <c r="Y2701" t="s">
        <v>10949</v>
      </c>
      <c r="AA2701" t="s">
        <v>10974</v>
      </c>
      <c r="AB2701" t="s">
        <v>312</v>
      </c>
      <c r="AD2701" t="s">
        <v>11086</v>
      </c>
      <c r="AF2701" t="s">
        <v>11119</v>
      </c>
      <c r="AH2701" t="s">
        <v>10975</v>
      </c>
      <c r="AJ2701" t="s">
        <v>11104</v>
      </c>
      <c r="AK2701" t="s">
        <v>7225</v>
      </c>
      <c r="AM2701">
        <v>1500</v>
      </c>
      <c r="AO2701">
        <v>20</v>
      </c>
      <c r="AQ2701" t="s">
        <v>11167</v>
      </c>
      <c r="AS2701" t="s">
        <v>11174</v>
      </c>
      <c r="AU2701">
        <v>6</v>
      </c>
      <c r="AW2701" t="s">
        <v>11187</v>
      </c>
      <c r="AY2701" t="s">
        <v>11213</v>
      </c>
      <c r="BA2701" t="s">
        <v>11222</v>
      </c>
      <c r="BE2701" t="s">
        <v>11236</v>
      </c>
      <c r="BF2701" t="s">
        <v>14364</v>
      </c>
      <c r="BM2701" t="s">
        <v>15651</v>
      </c>
    </row>
    <row r="2702" spans="1:65">
      <c r="A2702" s="1">
        <f>HYPERLINK("https://lsnyc.legalserver.org/matter/dynamic-profile/view/1904379","19-1904379")</f>
        <v>0</v>
      </c>
      <c r="B2702" t="s">
        <v>166</v>
      </c>
      <c r="C2702" t="s">
        <v>245</v>
      </c>
      <c r="D2702" t="s">
        <v>525</v>
      </c>
      <c r="F2702" t="s">
        <v>1562</v>
      </c>
      <c r="G2702" t="s">
        <v>4044</v>
      </c>
      <c r="H2702" t="s">
        <v>5686</v>
      </c>
      <c r="I2702" t="s">
        <v>6419</v>
      </c>
      <c r="J2702" t="s">
        <v>7169</v>
      </c>
      <c r="K2702">
        <v>10024</v>
      </c>
      <c r="N2702" t="s">
        <v>7237</v>
      </c>
      <c r="O2702" t="s">
        <v>9015</v>
      </c>
      <c r="P2702">
        <v>1</v>
      </c>
      <c r="Q2702">
        <v>0</v>
      </c>
      <c r="R2702">
        <v>468.37</v>
      </c>
      <c r="U2702">
        <v>58500</v>
      </c>
      <c r="W2702">
        <v>0.1</v>
      </c>
      <c r="X2702" t="s">
        <v>685</v>
      </c>
      <c r="Y2702" t="s">
        <v>10859</v>
      </c>
      <c r="AA2702" t="s">
        <v>10974</v>
      </c>
      <c r="AB2702" t="s">
        <v>512</v>
      </c>
      <c r="AD2702" t="s">
        <v>11101</v>
      </c>
      <c r="AF2702" t="s">
        <v>11118</v>
      </c>
      <c r="AH2702" t="s">
        <v>10974</v>
      </c>
      <c r="AJ2702" t="s">
        <v>11139</v>
      </c>
      <c r="AK2702" t="s">
        <v>7225</v>
      </c>
      <c r="AM2702">
        <v>2300</v>
      </c>
      <c r="AO2702">
        <v>29</v>
      </c>
      <c r="AQ2702" t="s">
        <v>11162</v>
      </c>
      <c r="AS2702" t="s">
        <v>11173</v>
      </c>
      <c r="AU2702">
        <v>7</v>
      </c>
      <c r="AW2702" t="s">
        <v>11187</v>
      </c>
      <c r="AY2702" t="s">
        <v>11213</v>
      </c>
      <c r="BA2702" t="s">
        <v>11222</v>
      </c>
      <c r="BE2702" t="s">
        <v>13250</v>
      </c>
      <c r="BF2702" t="s">
        <v>14364</v>
      </c>
      <c r="BM2702" t="s">
        <v>15650</v>
      </c>
    </row>
    <row r="2703" spans="1:65">
      <c r="A2703" s="1">
        <f>HYPERLINK("https://lsnyc.legalserver.org/matter/dynamic-profile/view/1915426","19-1915426")</f>
        <v>0</v>
      </c>
      <c r="B2703" t="s">
        <v>166</v>
      </c>
      <c r="C2703" t="s">
        <v>245</v>
      </c>
      <c r="D2703" t="s">
        <v>436</v>
      </c>
      <c r="F2703" t="s">
        <v>2230</v>
      </c>
      <c r="G2703" t="s">
        <v>3680</v>
      </c>
      <c r="H2703" t="s">
        <v>5474</v>
      </c>
      <c r="I2703">
        <v>411</v>
      </c>
      <c r="J2703" t="s">
        <v>7169</v>
      </c>
      <c r="K2703">
        <v>10029</v>
      </c>
      <c r="N2703" t="s">
        <v>7237</v>
      </c>
      <c r="O2703" t="s">
        <v>9008</v>
      </c>
      <c r="P2703">
        <v>2</v>
      </c>
      <c r="Q2703">
        <v>0</v>
      </c>
      <c r="R2703">
        <v>70.54000000000001</v>
      </c>
      <c r="U2703">
        <v>11928</v>
      </c>
      <c r="W2703">
        <v>0.2</v>
      </c>
      <c r="X2703" t="s">
        <v>528</v>
      </c>
      <c r="Y2703" t="s">
        <v>10859</v>
      </c>
      <c r="AA2703" t="s">
        <v>10974</v>
      </c>
      <c r="AB2703" t="s">
        <v>436</v>
      </c>
      <c r="AD2703" t="s">
        <v>11101</v>
      </c>
      <c r="AF2703" t="s">
        <v>11118</v>
      </c>
      <c r="AH2703" t="s">
        <v>10974</v>
      </c>
      <c r="AJ2703" t="s">
        <v>11129</v>
      </c>
      <c r="AK2703" t="s">
        <v>7225</v>
      </c>
      <c r="AM2703">
        <v>138</v>
      </c>
      <c r="AO2703">
        <v>135</v>
      </c>
      <c r="AQ2703" t="s">
        <v>11157</v>
      </c>
      <c r="AS2703" t="s">
        <v>11174</v>
      </c>
      <c r="AU2703">
        <v>36</v>
      </c>
      <c r="AW2703" t="s">
        <v>11189</v>
      </c>
      <c r="AY2703" t="s">
        <v>11213</v>
      </c>
      <c r="BA2703" t="s">
        <v>11222</v>
      </c>
      <c r="BD2703" t="s">
        <v>11667</v>
      </c>
      <c r="BF2703" t="s">
        <v>14364</v>
      </c>
      <c r="BM2703" t="s">
        <v>15650</v>
      </c>
    </row>
    <row r="2704" spans="1:65">
      <c r="A2704" s="1">
        <f>HYPERLINK("https://lsnyc.legalserver.org/matter/dynamic-profile/view/1913275","19-1913275")</f>
        <v>0</v>
      </c>
      <c r="B2704" t="s">
        <v>166</v>
      </c>
      <c r="C2704" t="s">
        <v>245</v>
      </c>
      <c r="D2704" t="s">
        <v>925</v>
      </c>
      <c r="E2704" t="s">
        <v>638</v>
      </c>
      <c r="F2704" t="s">
        <v>1828</v>
      </c>
      <c r="G2704" t="s">
        <v>4045</v>
      </c>
      <c r="H2704" t="s">
        <v>5342</v>
      </c>
      <c r="I2704">
        <v>204</v>
      </c>
      <c r="J2704" t="s">
        <v>7169</v>
      </c>
      <c r="K2704">
        <v>10019</v>
      </c>
      <c r="L2704" t="s">
        <v>7217</v>
      </c>
      <c r="N2704" t="s">
        <v>7237</v>
      </c>
      <c r="O2704" t="s">
        <v>8282</v>
      </c>
      <c r="P2704">
        <v>2</v>
      </c>
      <c r="Q2704">
        <v>0</v>
      </c>
      <c r="R2704">
        <v>425.78</v>
      </c>
      <c r="S2704" t="s">
        <v>10254</v>
      </c>
      <c r="T2704" t="s">
        <v>10275</v>
      </c>
      <c r="U2704">
        <v>72000</v>
      </c>
      <c r="W2704">
        <v>5</v>
      </c>
      <c r="X2704" t="s">
        <v>925</v>
      </c>
      <c r="Y2704" t="s">
        <v>10859</v>
      </c>
      <c r="AA2704" t="s">
        <v>10974</v>
      </c>
      <c r="AB2704" t="s">
        <v>925</v>
      </c>
      <c r="AD2704" t="s">
        <v>11086</v>
      </c>
      <c r="AF2704" t="s">
        <v>10384</v>
      </c>
      <c r="AH2704" t="s">
        <v>10975</v>
      </c>
      <c r="AJ2704" t="s">
        <v>11133</v>
      </c>
      <c r="AK2704" t="s">
        <v>11149</v>
      </c>
      <c r="AM2704">
        <v>3300</v>
      </c>
      <c r="AN2704" t="s">
        <v>11151</v>
      </c>
      <c r="AO2704" t="s">
        <v>11153</v>
      </c>
      <c r="AQ2704" t="s">
        <v>11156</v>
      </c>
      <c r="AS2704" t="s">
        <v>11173</v>
      </c>
      <c r="AU2704">
        <v>1</v>
      </c>
      <c r="AW2704" t="s">
        <v>11187</v>
      </c>
      <c r="AY2704" t="s">
        <v>11213</v>
      </c>
      <c r="BA2704" t="s">
        <v>11222</v>
      </c>
      <c r="BE2704" t="s">
        <v>12573</v>
      </c>
      <c r="BF2704" t="s">
        <v>14364</v>
      </c>
      <c r="BM2704" t="s">
        <v>15651</v>
      </c>
    </row>
    <row r="2705" spans="1:65">
      <c r="A2705" s="1">
        <f>HYPERLINK("https://lsnyc.legalserver.org/matter/dynamic-profile/view/1915376","19-1915376")</f>
        <v>0</v>
      </c>
      <c r="B2705" t="s">
        <v>166</v>
      </c>
      <c r="C2705" t="s">
        <v>245</v>
      </c>
      <c r="D2705" t="s">
        <v>436</v>
      </c>
      <c r="F2705" t="s">
        <v>1144</v>
      </c>
      <c r="G2705" t="s">
        <v>2984</v>
      </c>
      <c r="H2705" t="s">
        <v>5690</v>
      </c>
      <c r="I2705" t="s">
        <v>6417</v>
      </c>
      <c r="J2705" t="s">
        <v>7169</v>
      </c>
      <c r="K2705">
        <v>10029</v>
      </c>
      <c r="N2705" t="s">
        <v>7237</v>
      </c>
      <c r="O2705" t="s">
        <v>9014</v>
      </c>
      <c r="P2705">
        <v>1</v>
      </c>
      <c r="Q2705">
        <v>0</v>
      </c>
      <c r="R2705">
        <v>88.39</v>
      </c>
      <c r="U2705">
        <v>11040</v>
      </c>
      <c r="W2705">
        <v>1</v>
      </c>
      <c r="X2705" t="s">
        <v>436</v>
      </c>
      <c r="Y2705" t="s">
        <v>10859</v>
      </c>
      <c r="AA2705" t="s">
        <v>10974</v>
      </c>
      <c r="AB2705" t="s">
        <v>436</v>
      </c>
      <c r="AD2705" t="s">
        <v>11086</v>
      </c>
      <c r="AF2705" t="s">
        <v>10384</v>
      </c>
      <c r="AH2705" t="s">
        <v>10975</v>
      </c>
      <c r="AJ2705" t="s">
        <v>11104</v>
      </c>
      <c r="AK2705" t="s">
        <v>7225</v>
      </c>
      <c r="AM2705">
        <v>1500</v>
      </c>
      <c r="AO2705">
        <v>20</v>
      </c>
      <c r="AQ2705" t="s">
        <v>11167</v>
      </c>
      <c r="AS2705" t="s">
        <v>11182</v>
      </c>
      <c r="AU2705">
        <v>6</v>
      </c>
      <c r="AW2705" t="s">
        <v>11187</v>
      </c>
      <c r="AY2705" t="s">
        <v>11213</v>
      </c>
      <c r="BA2705" t="s">
        <v>11222</v>
      </c>
      <c r="BE2705" t="s">
        <v>11236</v>
      </c>
      <c r="BF2705" t="s">
        <v>14364</v>
      </c>
      <c r="BM2705" t="s">
        <v>15650</v>
      </c>
    </row>
    <row r="2706" spans="1:65">
      <c r="A2706" s="1">
        <f>HYPERLINK("https://lsnyc.legalserver.org/matter/dynamic-profile/view/1913806","19-1913806")</f>
        <v>0</v>
      </c>
      <c r="B2706" t="s">
        <v>166</v>
      </c>
      <c r="C2706" t="s">
        <v>245</v>
      </c>
      <c r="D2706" t="s">
        <v>735</v>
      </c>
      <c r="F2706" t="s">
        <v>2230</v>
      </c>
      <c r="G2706" t="s">
        <v>3680</v>
      </c>
      <c r="H2706" t="s">
        <v>5474</v>
      </c>
      <c r="I2706">
        <v>411</v>
      </c>
      <c r="J2706" t="s">
        <v>7169</v>
      </c>
      <c r="K2706">
        <v>10029</v>
      </c>
      <c r="N2706" t="s">
        <v>7237</v>
      </c>
      <c r="O2706" t="s">
        <v>9008</v>
      </c>
      <c r="P2706">
        <v>2</v>
      </c>
      <c r="Q2706">
        <v>0</v>
      </c>
      <c r="R2706">
        <v>70.54000000000001</v>
      </c>
      <c r="U2706">
        <v>11928</v>
      </c>
      <c r="W2706">
        <v>26.25</v>
      </c>
      <c r="X2706" t="s">
        <v>638</v>
      </c>
      <c r="Y2706" t="s">
        <v>10859</v>
      </c>
      <c r="AA2706" t="s">
        <v>10974</v>
      </c>
      <c r="AB2706" t="s">
        <v>272</v>
      </c>
      <c r="AD2706" t="s">
        <v>11086</v>
      </c>
      <c r="AF2706" t="s">
        <v>10384</v>
      </c>
      <c r="AH2706" t="s">
        <v>10974</v>
      </c>
      <c r="AJ2706" t="s">
        <v>11134</v>
      </c>
      <c r="AK2706" t="s">
        <v>7225</v>
      </c>
      <c r="AM2706">
        <v>138</v>
      </c>
      <c r="AO2706">
        <v>135</v>
      </c>
      <c r="AQ2706" t="s">
        <v>11157</v>
      </c>
      <c r="AS2706" t="s">
        <v>11174</v>
      </c>
      <c r="AU2706">
        <v>36</v>
      </c>
      <c r="AW2706" t="s">
        <v>11189</v>
      </c>
      <c r="AY2706" t="s">
        <v>11213</v>
      </c>
      <c r="BA2706" t="s">
        <v>11222</v>
      </c>
      <c r="BD2706" t="s">
        <v>11667</v>
      </c>
      <c r="BF2706" t="s">
        <v>14364</v>
      </c>
      <c r="BM2706" t="s">
        <v>15650</v>
      </c>
    </row>
    <row r="2707" spans="1:65">
      <c r="A2707" s="1">
        <f>HYPERLINK("https://lsnyc.legalserver.org/matter/dynamic-profile/view/1914166","19-1914166")</f>
        <v>0</v>
      </c>
      <c r="B2707" t="s">
        <v>166</v>
      </c>
      <c r="C2707" t="s">
        <v>245</v>
      </c>
      <c r="D2707" t="s">
        <v>301</v>
      </c>
      <c r="F2707" t="s">
        <v>1122</v>
      </c>
      <c r="G2707" t="s">
        <v>4046</v>
      </c>
      <c r="H2707" t="s">
        <v>5183</v>
      </c>
      <c r="I2707" t="s">
        <v>6572</v>
      </c>
      <c r="J2707" t="s">
        <v>7169</v>
      </c>
      <c r="K2707">
        <v>10037</v>
      </c>
      <c r="N2707" t="s">
        <v>7237</v>
      </c>
      <c r="O2707" t="s">
        <v>9016</v>
      </c>
      <c r="P2707">
        <v>2</v>
      </c>
      <c r="Q2707">
        <v>1</v>
      </c>
      <c r="R2707">
        <v>632.91</v>
      </c>
      <c r="U2707">
        <v>135000</v>
      </c>
      <c r="W2707">
        <v>0.1</v>
      </c>
      <c r="X2707" t="s">
        <v>528</v>
      </c>
      <c r="Y2707" t="s">
        <v>10859</v>
      </c>
      <c r="AA2707" t="s">
        <v>10974</v>
      </c>
      <c r="AB2707" t="s">
        <v>735</v>
      </c>
      <c r="AD2707" t="s">
        <v>11101</v>
      </c>
      <c r="AF2707" t="s">
        <v>11121</v>
      </c>
      <c r="AH2707" t="s">
        <v>10974</v>
      </c>
      <c r="AJ2707" t="s">
        <v>11134</v>
      </c>
      <c r="AK2707" t="s">
        <v>7225</v>
      </c>
      <c r="AM2707">
        <v>2198</v>
      </c>
      <c r="AO2707">
        <v>259</v>
      </c>
      <c r="AQ2707" t="s">
        <v>11157</v>
      </c>
      <c r="AS2707" t="s">
        <v>11173</v>
      </c>
      <c r="AU2707">
        <v>2</v>
      </c>
      <c r="AW2707" t="s">
        <v>11187</v>
      </c>
      <c r="AY2707" t="s">
        <v>11213</v>
      </c>
      <c r="BA2707" t="s">
        <v>11222</v>
      </c>
      <c r="BE2707" t="s">
        <v>13251</v>
      </c>
      <c r="BF2707" t="s">
        <v>14364</v>
      </c>
      <c r="BM2707" t="s">
        <v>15650</v>
      </c>
    </row>
    <row r="2708" spans="1:65">
      <c r="A2708" s="1">
        <f>HYPERLINK("https://lsnyc.legalserver.org/matter/dynamic-profile/view/1915787","19-1915787")</f>
        <v>0</v>
      </c>
      <c r="B2708" t="s">
        <v>166</v>
      </c>
      <c r="C2708" t="s">
        <v>245</v>
      </c>
      <c r="D2708" t="s">
        <v>638</v>
      </c>
      <c r="E2708" t="s">
        <v>638</v>
      </c>
      <c r="F2708" t="s">
        <v>1127</v>
      </c>
      <c r="G2708" t="s">
        <v>4047</v>
      </c>
      <c r="H2708" t="s">
        <v>5691</v>
      </c>
      <c r="I2708" t="s">
        <v>6409</v>
      </c>
      <c r="J2708" t="s">
        <v>7169</v>
      </c>
      <c r="K2708">
        <v>10029</v>
      </c>
      <c r="L2708" t="s">
        <v>7217</v>
      </c>
      <c r="N2708" t="s">
        <v>7237</v>
      </c>
      <c r="O2708" t="s">
        <v>9017</v>
      </c>
      <c r="P2708">
        <v>2</v>
      </c>
      <c r="Q2708">
        <v>0</v>
      </c>
      <c r="R2708">
        <v>121.99</v>
      </c>
      <c r="U2708">
        <v>20628</v>
      </c>
      <c r="W2708">
        <v>0.1</v>
      </c>
      <c r="X2708" t="s">
        <v>638</v>
      </c>
      <c r="Y2708" t="s">
        <v>10859</v>
      </c>
      <c r="AA2708" t="s">
        <v>10974</v>
      </c>
      <c r="AB2708" t="s">
        <v>638</v>
      </c>
      <c r="AD2708" t="s">
        <v>11086</v>
      </c>
      <c r="AF2708" t="s">
        <v>10384</v>
      </c>
      <c r="AH2708" t="s">
        <v>10975</v>
      </c>
      <c r="AJ2708" t="s">
        <v>11129</v>
      </c>
      <c r="AK2708" t="s">
        <v>7225</v>
      </c>
      <c r="AM2708">
        <v>900</v>
      </c>
      <c r="AO2708">
        <v>272</v>
      </c>
      <c r="AQ2708" t="s">
        <v>11161</v>
      </c>
      <c r="AS2708" t="s">
        <v>11174</v>
      </c>
      <c r="AU2708">
        <v>45</v>
      </c>
      <c r="AW2708" t="s">
        <v>11187</v>
      </c>
      <c r="AY2708" t="s">
        <v>11213</v>
      </c>
      <c r="BA2708" t="s">
        <v>11222</v>
      </c>
      <c r="BE2708" t="s">
        <v>13252</v>
      </c>
      <c r="BF2708" t="s">
        <v>14364</v>
      </c>
      <c r="BM2708" t="s">
        <v>15651</v>
      </c>
    </row>
    <row r="2709" spans="1:65">
      <c r="A2709" s="1">
        <f>HYPERLINK("https://lsnyc.legalserver.org/matter/dynamic-profile/view/1915786","19-1915786")</f>
        <v>0</v>
      </c>
      <c r="B2709" t="s">
        <v>166</v>
      </c>
      <c r="C2709" t="s">
        <v>245</v>
      </c>
      <c r="D2709" t="s">
        <v>638</v>
      </c>
      <c r="E2709" t="s">
        <v>638</v>
      </c>
      <c r="F2709" t="s">
        <v>1127</v>
      </c>
      <c r="G2709" t="s">
        <v>4047</v>
      </c>
      <c r="H2709" t="s">
        <v>5691</v>
      </c>
      <c r="I2709" t="s">
        <v>6409</v>
      </c>
      <c r="J2709" t="s">
        <v>7169</v>
      </c>
      <c r="K2709">
        <v>10029</v>
      </c>
      <c r="L2709" t="s">
        <v>7217</v>
      </c>
      <c r="N2709" t="s">
        <v>7237</v>
      </c>
      <c r="O2709" t="s">
        <v>9017</v>
      </c>
      <c r="P2709">
        <v>2</v>
      </c>
      <c r="Q2709">
        <v>0</v>
      </c>
      <c r="R2709">
        <v>121.99</v>
      </c>
      <c r="U2709">
        <v>20628</v>
      </c>
      <c r="W2709">
        <v>0.1</v>
      </c>
      <c r="X2709" t="s">
        <v>638</v>
      </c>
      <c r="Y2709" t="s">
        <v>10859</v>
      </c>
      <c r="AA2709" t="s">
        <v>10974</v>
      </c>
      <c r="AB2709" t="s">
        <v>638</v>
      </c>
      <c r="AD2709" t="s">
        <v>11086</v>
      </c>
      <c r="AF2709" t="s">
        <v>10384</v>
      </c>
      <c r="AH2709" t="s">
        <v>10975</v>
      </c>
      <c r="AJ2709" t="s">
        <v>11129</v>
      </c>
      <c r="AK2709" t="s">
        <v>7225</v>
      </c>
      <c r="AM2709">
        <v>900</v>
      </c>
      <c r="AO2709">
        <v>272</v>
      </c>
      <c r="AQ2709" t="s">
        <v>11161</v>
      </c>
      <c r="AS2709" t="s">
        <v>11174</v>
      </c>
      <c r="AU2709">
        <v>45</v>
      </c>
      <c r="AW2709" t="s">
        <v>11187</v>
      </c>
      <c r="AY2709" t="s">
        <v>11213</v>
      </c>
      <c r="BA2709" t="s">
        <v>11222</v>
      </c>
      <c r="BE2709" t="s">
        <v>13252</v>
      </c>
      <c r="BF2709" t="s">
        <v>14364</v>
      </c>
      <c r="BM2709" t="s">
        <v>15651</v>
      </c>
    </row>
    <row r="2710" spans="1:65">
      <c r="A2710" s="1">
        <f>HYPERLINK("https://lsnyc.legalserver.org/matter/dynamic-profile/view/1914720","19-1914720")</f>
        <v>0</v>
      </c>
      <c r="B2710" t="s">
        <v>166</v>
      </c>
      <c r="C2710" t="s">
        <v>245</v>
      </c>
      <c r="D2710" t="s">
        <v>614</v>
      </c>
      <c r="F2710" t="s">
        <v>2225</v>
      </c>
      <c r="G2710" t="s">
        <v>4035</v>
      </c>
      <c r="H2710" t="s">
        <v>5675</v>
      </c>
      <c r="I2710" t="s">
        <v>6623</v>
      </c>
      <c r="J2710" t="s">
        <v>7169</v>
      </c>
      <c r="K2710">
        <v>10029</v>
      </c>
      <c r="N2710" t="s">
        <v>7237</v>
      </c>
      <c r="O2710" t="s">
        <v>9001</v>
      </c>
      <c r="P2710">
        <v>3</v>
      </c>
      <c r="Q2710">
        <v>0</v>
      </c>
      <c r="R2710">
        <v>178.15</v>
      </c>
      <c r="U2710">
        <v>38000</v>
      </c>
      <c r="W2710">
        <v>0.1</v>
      </c>
      <c r="X2710" t="s">
        <v>528</v>
      </c>
      <c r="Y2710" t="s">
        <v>10859</v>
      </c>
      <c r="AA2710" t="s">
        <v>10974</v>
      </c>
      <c r="AB2710" t="s">
        <v>333</v>
      </c>
      <c r="AD2710" t="s">
        <v>11082</v>
      </c>
      <c r="AF2710" t="s">
        <v>11118</v>
      </c>
      <c r="AH2710" t="s">
        <v>10975</v>
      </c>
      <c r="AJ2710" t="s">
        <v>11129</v>
      </c>
      <c r="AK2710" t="s">
        <v>7225</v>
      </c>
      <c r="AM2710">
        <v>875</v>
      </c>
      <c r="AO2710">
        <v>135</v>
      </c>
      <c r="AQ2710" t="s">
        <v>11157</v>
      </c>
      <c r="AS2710" t="s">
        <v>11173</v>
      </c>
      <c r="AU2710">
        <v>36</v>
      </c>
      <c r="AW2710" t="s">
        <v>11189</v>
      </c>
      <c r="AY2710" t="s">
        <v>11213</v>
      </c>
      <c r="BA2710" t="s">
        <v>11222</v>
      </c>
      <c r="BE2710" t="s">
        <v>13237</v>
      </c>
      <c r="BF2710" t="s">
        <v>14364</v>
      </c>
      <c r="BG2710" t="s">
        <v>15046</v>
      </c>
      <c r="BM2710" t="s">
        <v>15650</v>
      </c>
    </row>
    <row r="2711" spans="1:65">
      <c r="A2711" s="1">
        <f>HYPERLINK("https://lsnyc.legalserver.org/matter/dynamic-profile/view/1900563","19-1900563")</f>
        <v>0</v>
      </c>
      <c r="B2711" t="s">
        <v>166</v>
      </c>
      <c r="C2711" t="s">
        <v>245</v>
      </c>
      <c r="D2711" t="s">
        <v>549</v>
      </c>
      <c r="F2711" t="s">
        <v>1174</v>
      </c>
      <c r="G2711" t="s">
        <v>2956</v>
      </c>
      <c r="H2711" t="s">
        <v>5682</v>
      </c>
      <c r="I2711" t="s">
        <v>6907</v>
      </c>
      <c r="J2711" t="s">
        <v>7169</v>
      </c>
      <c r="K2711">
        <v>10029</v>
      </c>
      <c r="N2711" t="s">
        <v>7237</v>
      </c>
      <c r="O2711" t="s">
        <v>8990</v>
      </c>
      <c r="P2711">
        <v>4</v>
      </c>
      <c r="Q2711">
        <v>1</v>
      </c>
      <c r="R2711">
        <v>68.94</v>
      </c>
      <c r="U2711">
        <v>20800</v>
      </c>
      <c r="V2711" t="s">
        <v>10514</v>
      </c>
      <c r="W2711">
        <v>58.5</v>
      </c>
      <c r="X2711" t="s">
        <v>426</v>
      </c>
      <c r="Y2711" t="s">
        <v>10859</v>
      </c>
      <c r="AA2711" t="s">
        <v>10974</v>
      </c>
      <c r="AB2711" t="s">
        <v>675</v>
      </c>
      <c r="AD2711" t="s">
        <v>11101</v>
      </c>
      <c r="AF2711" t="s">
        <v>11122</v>
      </c>
      <c r="AH2711" t="s">
        <v>10975</v>
      </c>
      <c r="AJ2711" t="s">
        <v>11134</v>
      </c>
      <c r="AK2711" t="s">
        <v>7225</v>
      </c>
      <c r="AM2711">
        <v>1085</v>
      </c>
      <c r="AO2711">
        <v>10</v>
      </c>
      <c r="AQ2711" t="s">
        <v>11157</v>
      </c>
      <c r="AS2711" t="s">
        <v>11173</v>
      </c>
      <c r="AU2711">
        <v>21</v>
      </c>
      <c r="AW2711" t="s">
        <v>11189</v>
      </c>
      <c r="AY2711" t="s">
        <v>11213</v>
      </c>
      <c r="BA2711" t="s">
        <v>11222</v>
      </c>
      <c r="BE2711" t="s">
        <v>11236</v>
      </c>
      <c r="BF2711" t="s">
        <v>14364</v>
      </c>
      <c r="BM2711" t="s">
        <v>15650</v>
      </c>
    </row>
    <row r="2712" spans="1:65">
      <c r="A2712" s="1">
        <f>HYPERLINK("https://lsnyc.legalserver.org/matter/dynamic-profile/view/1909919","19-1909919")</f>
        <v>0</v>
      </c>
      <c r="B2712" t="s">
        <v>166</v>
      </c>
      <c r="C2712" t="s">
        <v>245</v>
      </c>
      <c r="D2712" t="s">
        <v>624</v>
      </c>
      <c r="E2712" t="s">
        <v>638</v>
      </c>
      <c r="F2712" t="s">
        <v>1127</v>
      </c>
      <c r="G2712" t="s">
        <v>4047</v>
      </c>
      <c r="H2712" t="s">
        <v>5691</v>
      </c>
      <c r="I2712" t="s">
        <v>6409</v>
      </c>
      <c r="J2712" t="s">
        <v>7169</v>
      </c>
      <c r="K2712">
        <v>10029</v>
      </c>
      <c r="L2712" t="s">
        <v>7223</v>
      </c>
      <c r="N2712" t="s">
        <v>7237</v>
      </c>
      <c r="O2712" t="s">
        <v>9017</v>
      </c>
      <c r="P2712">
        <v>2</v>
      </c>
      <c r="Q2712">
        <v>0</v>
      </c>
      <c r="R2712">
        <v>121.99</v>
      </c>
      <c r="U2712">
        <v>20628</v>
      </c>
      <c r="W2712">
        <v>21.05</v>
      </c>
      <c r="X2712" t="s">
        <v>297</v>
      </c>
      <c r="Y2712" t="s">
        <v>10911</v>
      </c>
      <c r="AA2712" t="s">
        <v>10974</v>
      </c>
      <c r="AB2712" t="s">
        <v>563</v>
      </c>
      <c r="AD2712" t="s">
        <v>11094</v>
      </c>
      <c r="AF2712" t="s">
        <v>11122</v>
      </c>
      <c r="AH2712" t="s">
        <v>10975</v>
      </c>
      <c r="AJ2712" t="s">
        <v>11132</v>
      </c>
      <c r="AK2712" t="s">
        <v>7225</v>
      </c>
      <c r="AM2712">
        <v>900</v>
      </c>
      <c r="AO2712">
        <v>272</v>
      </c>
      <c r="AQ2712" t="s">
        <v>11161</v>
      </c>
      <c r="AS2712" t="s">
        <v>11174</v>
      </c>
      <c r="AU2712">
        <v>45</v>
      </c>
      <c r="AW2712" t="s">
        <v>11187</v>
      </c>
      <c r="AY2712" t="s">
        <v>11213</v>
      </c>
      <c r="BA2712" t="s">
        <v>11222</v>
      </c>
      <c r="BE2712" t="s">
        <v>13252</v>
      </c>
      <c r="BF2712" t="s">
        <v>14364</v>
      </c>
      <c r="BJ2712" t="s">
        <v>15615</v>
      </c>
      <c r="BM2712" t="s">
        <v>15651</v>
      </c>
    </row>
    <row r="2713" spans="1:65">
      <c r="A2713" s="1">
        <f>HYPERLINK("https://lsnyc.legalserver.org/matter/dynamic-profile/view/1914812","19-1914812")</f>
        <v>0</v>
      </c>
      <c r="B2713" t="s">
        <v>167</v>
      </c>
      <c r="C2713" t="s">
        <v>246</v>
      </c>
      <c r="D2713" t="s">
        <v>614</v>
      </c>
      <c r="F2713" t="s">
        <v>1354</v>
      </c>
      <c r="G2713" t="s">
        <v>4048</v>
      </c>
      <c r="H2713" t="s">
        <v>5692</v>
      </c>
      <c r="I2713" t="s">
        <v>6440</v>
      </c>
      <c r="J2713" t="s">
        <v>7170</v>
      </c>
      <c r="K2713">
        <v>10468</v>
      </c>
      <c r="N2713" t="s">
        <v>7238</v>
      </c>
      <c r="O2713" t="s">
        <v>8121</v>
      </c>
      <c r="P2713">
        <v>2</v>
      </c>
      <c r="Q2713">
        <v>1</v>
      </c>
      <c r="R2713">
        <v>44.39</v>
      </c>
      <c r="U2713">
        <v>9468</v>
      </c>
      <c r="W2713">
        <v>1.75</v>
      </c>
      <c r="X2713" t="s">
        <v>264</v>
      </c>
      <c r="Y2713" t="s">
        <v>167</v>
      </c>
      <c r="Z2713" t="s">
        <v>10972</v>
      </c>
      <c r="AA2713" t="s">
        <v>10976</v>
      </c>
      <c r="AD2713" t="s">
        <v>11088</v>
      </c>
      <c r="AF2713" t="s">
        <v>10384</v>
      </c>
      <c r="AG2713" t="s">
        <v>11124</v>
      </c>
      <c r="AI2713" t="s">
        <v>11126</v>
      </c>
      <c r="AK2713" t="s">
        <v>7225</v>
      </c>
      <c r="AL2713" t="s">
        <v>11150</v>
      </c>
      <c r="AM2713">
        <v>0</v>
      </c>
      <c r="AN2713" t="s">
        <v>11151</v>
      </c>
      <c r="AO2713" t="s">
        <v>11153</v>
      </c>
      <c r="AP2713" t="s">
        <v>11155</v>
      </c>
      <c r="AR2713" t="s">
        <v>11172</v>
      </c>
      <c r="AT2713" t="s">
        <v>11184</v>
      </c>
      <c r="AU2713">
        <v>0</v>
      </c>
      <c r="AW2713" t="s">
        <v>11187</v>
      </c>
      <c r="AX2713" t="s">
        <v>11212</v>
      </c>
      <c r="AZ2713" t="s">
        <v>11221</v>
      </c>
      <c r="BE2713" t="s">
        <v>13253</v>
      </c>
      <c r="BF2713" t="s">
        <v>14364</v>
      </c>
      <c r="BM2713" t="s">
        <v>15650</v>
      </c>
    </row>
    <row r="2714" spans="1:65">
      <c r="A2714" s="1">
        <f>HYPERLINK("https://lsnyc.legalserver.org/matter/dynamic-profile/view/1910016","19-1910016")</f>
        <v>0</v>
      </c>
      <c r="B2714" t="s">
        <v>167</v>
      </c>
      <c r="C2714" t="s">
        <v>246</v>
      </c>
      <c r="D2714" t="s">
        <v>624</v>
      </c>
      <c r="F2714" t="s">
        <v>2233</v>
      </c>
      <c r="G2714" t="s">
        <v>4049</v>
      </c>
      <c r="H2714" t="s">
        <v>5693</v>
      </c>
      <c r="I2714" t="s">
        <v>6576</v>
      </c>
      <c r="J2714" t="s">
        <v>7170</v>
      </c>
      <c r="K2714">
        <v>10451</v>
      </c>
      <c r="N2714" t="s">
        <v>7238</v>
      </c>
      <c r="O2714" t="s">
        <v>9018</v>
      </c>
      <c r="P2714">
        <v>1</v>
      </c>
      <c r="Q2714">
        <v>0</v>
      </c>
      <c r="R2714">
        <v>104.01</v>
      </c>
      <c r="U2714">
        <v>12991.2</v>
      </c>
      <c r="W2714">
        <v>2.75</v>
      </c>
      <c r="X2714" t="s">
        <v>264</v>
      </c>
      <c r="Y2714" t="s">
        <v>10938</v>
      </c>
      <c r="Z2714" t="s">
        <v>10972</v>
      </c>
      <c r="AA2714" t="s">
        <v>10976</v>
      </c>
      <c r="AC2714" t="s">
        <v>11081</v>
      </c>
      <c r="AE2714" t="s">
        <v>11117</v>
      </c>
      <c r="AG2714" t="s">
        <v>11124</v>
      </c>
      <c r="AI2714" t="s">
        <v>11126</v>
      </c>
      <c r="AK2714" t="s">
        <v>7225</v>
      </c>
      <c r="AL2714" t="s">
        <v>11150</v>
      </c>
      <c r="AM2714">
        <v>0</v>
      </c>
      <c r="AN2714" t="s">
        <v>11151</v>
      </c>
      <c r="AO2714" t="s">
        <v>11153</v>
      </c>
      <c r="AP2714" t="s">
        <v>11155</v>
      </c>
      <c r="AR2714" t="s">
        <v>11172</v>
      </c>
      <c r="AT2714" t="s">
        <v>11184</v>
      </c>
      <c r="AU2714">
        <v>0</v>
      </c>
      <c r="AW2714" t="s">
        <v>11187</v>
      </c>
      <c r="AX2714" t="s">
        <v>11212</v>
      </c>
      <c r="AZ2714" t="s">
        <v>11221</v>
      </c>
      <c r="BE2714" t="s">
        <v>13254</v>
      </c>
      <c r="BF2714" t="s">
        <v>14364</v>
      </c>
      <c r="BM2714" t="s">
        <v>15650</v>
      </c>
    </row>
    <row r="2715" spans="1:65">
      <c r="A2715" s="1">
        <f>HYPERLINK("https://lsnyc.legalserver.org/matter/dynamic-profile/view/0780213","15-0780213")</f>
        <v>0</v>
      </c>
      <c r="B2715" t="s">
        <v>168</v>
      </c>
      <c r="C2715" t="s">
        <v>248</v>
      </c>
      <c r="D2715" t="s">
        <v>926</v>
      </c>
      <c r="F2715" t="s">
        <v>1255</v>
      </c>
      <c r="G2715" t="s">
        <v>3139</v>
      </c>
      <c r="H2715" t="s">
        <v>5694</v>
      </c>
      <c r="I2715" t="s">
        <v>6734</v>
      </c>
      <c r="J2715" t="s">
        <v>7174</v>
      </c>
      <c r="K2715">
        <v>11215</v>
      </c>
      <c r="M2715" t="s">
        <v>7226</v>
      </c>
      <c r="N2715" t="s">
        <v>7237</v>
      </c>
      <c r="O2715" t="s">
        <v>9019</v>
      </c>
      <c r="P2715">
        <v>1</v>
      </c>
      <c r="Q2715">
        <v>0</v>
      </c>
      <c r="R2715">
        <v>132.54</v>
      </c>
      <c r="U2715">
        <v>15600</v>
      </c>
      <c r="W2715">
        <v>131.81</v>
      </c>
      <c r="X2715" t="s">
        <v>266</v>
      </c>
      <c r="Y2715" t="s">
        <v>10909</v>
      </c>
      <c r="AA2715" t="s">
        <v>10974</v>
      </c>
      <c r="AB2715" t="s">
        <v>10982</v>
      </c>
      <c r="AD2715" t="s">
        <v>11083</v>
      </c>
      <c r="AF2715" t="s">
        <v>11118</v>
      </c>
      <c r="AG2715" t="s">
        <v>11124</v>
      </c>
      <c r="AI2715" t="s">
        <v>11126</v>
      </c>
      <c r="AK2715" t="s">
        <v>7225</v>
      </c>
      <c r="AM2715">
        <v>214</v>
      </c>
      <c r="AO2715">
        <v>8</v>
      </c>
      <c r="AQ2715" t="s">
        <v>11157</v>
      </c>
      <c r="AR2715" t="s">
        <v>11172</v>
      </c>
      <c r="AU2715">
        <v>31</v>
      </c>
      <c r="AW2715" t="s">
        <v>11187</v>
      </c>
      <c r="AZ2715" t="s">
        <v>11221</v>
      </c>
      <c r="BE2715" t="s">
        <v>13255</v>
      </c>
      <c r="BG2715" t="s">
        <v>15047</v>
      </c>
      <c r="BM2715" t="s">
        <v>15650</v>
      </c>
    </row>
    <row r="2716" spans="1:65">
      <c r="A2716" s="1">
        <f>HYPERLINK("https://lsnyc.legalserver.org/matter/dynamic-profile/view/1876097","18-1876097")</f>
        <v>0</v>
      </c>
      <c r="B2716" t="s">
        <v>168</v>
      </c>
      <c r="C2716" t="s">
        <v>248</v>
      </c>
      <c r="D2716" t="s">
        <v>532</v>
      </c>
      <c r="F2716" t="s">
        <v>1525</v>
      </c>
      <c r="G2716" t="s">
        <v>4050</v>
      </c>
      <c r="H2716" t="s">
        <v>5695</v>
      </c>
      <c r="I2716" t="s">
        <v>6620</v>
      </c>
      <c r="J2716" t="s">
        <v>7174</v>
      </c>
      <c r="K2716">
        <v>11230</v>
      </c>
      <c r="N2716" t="s">
        <v>7237</v>
      </c>
      <c r="O2716" t="s">
        <v>9020</v>
      </c>
      <c r="P2716">
        <v>1</v>
      </c>
      <c r="Q2716">
        <v>1</v>
      </c>
      <c r="R2716">
        <v>145.81</v>
      </c>
      <c r="U2716">
        <v>24000</v>
      </c>
      <c r="W2716">
        <v>25.6</v>
      </c>
      <c r="X2716" t="s">
        <v>663</v>
      </c>
      <c r="Y2716" t="s">
        <v>10950</v>
      </c>
      <c r="Z2716" t="s">
        <v>10972</v>
      </c>
      <c r="AA2716" t="s">
        <v>10976</v>
      </c>
      <c r="AD2716" t="s">
        <v>11083</v>
      </c>
      <c r="AF2716" t="s">
        <v>11118</v>
      </c>
      <c r="AH2716" t="s">
        <v>10975</v>
      </c>
      <c r="AJ2716" t="s">
        <v>11129</v>
      </c>
      <c r="AK2716" t="s">
        <v>7225</v>
      </c>
      <c r="AM2716">
        <v>1050</v>
      </c>
      <c r="AN2716" t="s">
        <v>11151</v>
      </c>
      <c r="AO2716" t="s">
        <v>11153</v>
      </c>
      <c r="AQ2716" t="s">
        <v>11157</v>
      </c>
      <c r="AR2716" t="s">
        <v>11172</v>
      </c>
      <c r="AU2716">
        <v>5</v>
      </c>
      <c r="AW2716" t="s">
        <v>11187</v>
      </c>
      <c r="AX2716" t="s">
        <v>11212</v>
      </c>
      <c r="AZ2716" t="s">
        <v>11221</v>
      </c>
      <c r="BE2716" t="s">
        <v>13256</v>
      </c>
      <c r="BG2716" t="s">
        <v>15048</v>
      </c>
      <c r="BM2716" t="s">
        <v>15650</v>
      </c>
    </row>
    <row r="2717" spans="1:65">
      <c r="A2717" s="1">
        <f>HYPERLINK("https://lsnyc.legalserver.org/matter/dynamic-profile/view/1870597","18-1870597")</f>
        <v>0</v>
      </c>
      <c r="B2717" t="s">
        <v>168</v>
      </c>
      <c r="C2717" t="s">
        <v>248</v>
      </c>
      <c r="D2717" t="s">
        <v>409</v>
      </c>
      <c r="F2717" t="s">
        <v>2234</v>
      </c>
      <c r="G2717" t="s">
        <v>4051</v>
      </c>
      <c r="H2717" t="s">
        <v>5696</v>
      </c>
      <c r="I2717" t="s">
        <v>6637</v>
      </c>
      <c r="J2717" t="s">
        <v>7174</v>
      </c>
      <c r="K2717">
        <v>11233</v>
      </c>
      <c r="N2717" t="s">
        <v>7237</v>
      </c>
      <c r="O2717" t="s">
        <v>9021</v>
      </c>
      <c r="P2717">
        <v>3</v>
      </c>
      <c r="Q2717">
        <v>1</v>
      </c>
      <c r="R2717">
        <v>42.62</v>
      </c>
      <c r="U2717">
        <v>10698.84</v>
      </c>
      <c r="W2717">
        <v>50.5</v>
      </c>
      <c r="X2717" t="s">
        <v>406</v>
      </c>
      <c r="Y2717" t="s">
        <v>10951</v>
      </c>
      <c r="AA2717" t="s">
        <v>10974</v>
      </c>
      <c r="AB2717" t="s">
        <v>409</v>
      </c>
      <c r="AD2717" t="s">
        <v>11083</v>
      </c>
      <c r="AF2717" t="s">
        <v>11118</v>
      </c>
      <c r="AH2717" t="s">
        <v>10975</v>
      </c>
      <c r="AJ2717" t="s">
        <v>11129</v>
      </c>
      <c r="AK2717" t="s">
        <v>7225</v>
      </c>
      <c r="AL2717" t="s">
        <v>11150</v>
      </c>
      <c r="AM2717">
        <v>0</v>
      </c>
      <c r="AN2717" t="s">
        <v>11151</v>
      </c>
      <c r="AO2717" t="s">
        <v>11153</v>
      </c>
      <c r="AP2717" t="s">
        <v>11155</v>
      </c>
      <c r="AS2717" t="s">
        <v>11180</v>
      </c>
      <c r="AT2717" t="s">
        <v>11184</v>
      </c>
      <c r="AU2717">
        <v>0</v>
      </c>
      <c r="AW2717" t="s">
        <v>11187</v>
      </c>
      <c r="AZ2717" t="s">
        <v>11221</v>
      </c>
      <c r="BE2717" t="s">
        <v>13257</v>
      </c>
      <c r="BG2717" t="s">
        <v>15049</v>
      </c>
      <c r="BM2717" t="s">
        <v>15650</v>
      </c>
    </row>
    <row r="2718" spans="1:65">
      <c r="A2718" s="1">
        <f>HYPERLINK("https://lsnyc.legalserver.org/matter/dynamic-profile/view/1844003","17-1844003")</f>
        <v>0</v>
      </c>
      <c r="B2718" t="s">
        <v>169</v>
      </c>
      <c r="C2718" t="s">
        <v>247</v>
      </c>
      <c r="D2718" t="s">
        <v>927</v>
      </c>
      <c r="F2718" t="s">
        <v>2235</v>
      </c>
      <c r="G2718" t="s">
        <v>4052</v>
      </c>
      <c r="H2718" t="s">
        <v>5697</v>
      </c>
      <c r="I2718">
        <v>620</v>
      </c>
      <c r="J2718" t="s">
        <v>7173</v>
      </c>
      <c r="K2718">
        <v>11355</v>
      </c>
      <c r="N2718" t="s">
        <v>7248</v>
      </c>
      <c r="O2718" t="s">
        <v>9022</v>
      </c>
      <c r="P2718">
        <v>3</v>
      </c>
      <c r="Q2718">
        <v>2</v>
      </c>
      <c r="R2718">
        <v>39.11</v>
      </c>
      <c r="S2718" t="s">
        <v>1021</v>
      </c>
      <c r="U2718">
        <v>11256</v>
      </c>
      <c r="V2718" t="s">
        <v>10515</v>
      </c>
      <c r="W2718">
        <v>82.3</v>
      </c>
      <c r="X2718" t="s">
        <v>801</v>
      </c>
      <c r="Y2718" t="s">
        <v>10889</v>
      </c>
      <c r="AA2718" t="s">
        <v>10974</v>
      </c>
      <c r="AB2718" t="s">
        <v>410</v>
      </c>
      <c r="AD2718" t="s">
        <v>11097</v>
      </c>
      <c r="AF2718" t="s">
        <v>11118</v>
      </c>
      <c r="AH2718" t="s">
        <v>10975</v>
      </c>
      <c r="AJ2718" t="s">
        <v>11137</v>
      </c>
      <c r="AK2718" t="s">
        <v>7225</v>
      </c>
      <c r="AM2718">
        <v>975.25</v>
      </c>
      <c r="AO2718">
        <v>50</v>
      </c>
      <c r="AQ2718" t="s">
        <v>11157</v>
      </c>
      <c r="AS2718" t="s">
        <v>11176</v>
      </c>
      <c r="AU2718">
        <v>22</v>
      </c>
      <c r="AW2718" t="s">
        <v>11189</v>
      </c>
      <c r="AY2718" t="s">
        <v>11213</v>
      </c>
      <c r="AZ2718" t="s">
        <v>11221</v>
      </c>
      <c r="BB2718" t="s">
        <v>11224</v>
      </c>
      <c r="BC2718" t="s">
        <v>11448</v>
      </c>
      <c r="BE2718" t="s">
        <v>11236</v>
      </c>
      <c r="BG2718" t="s">
        <v>15050</v>
      </c>
      <c r="BM2718" t="s">
        <v>15650</v>
      </c>
    </row>
    <row r="2719" spans="1:65">
      <c r="A2719" s="1">
        <f>HYPERLINK("https://lsnyc.legalserver.org/matter/dynamic-profile/view/1891259","19-1891259")</f>
        <v>0</v>
      </c>
      <c r="B2719" t="s">
        <v>169</v>
      </c>
      <c r="C2719" t="s">
        <v>247</v>
      </c>
      <c r="D2719" t="s">
        <v>483</v>
      </c>
      <c r="F2719" t="s">
        <v>2236</v>
      </c>
      <c r="G2719" t="s">
        <v>2308</v>
      </c>
      <c r="H2719" t="s">
        <v>5698</v>
      </c>
      <c r="I2719">
        <v>2</v>
      </c>
      <c r="J2719" t="s">
        <v>7173</v>
      </c>
      <c r="K2719">
        <v>11355</v>
      </c>
      <c r="N2719" t="s">
        <v>7237</v>
      </c>
      <c r="O2719" t="s">
        <v>9023</v>
      </c>
      <c r="P2719">
        <v>1</v>
      </c>
      <c r="Q2719">
        <v>3</v>
      </c>
      <c r="R2719">
        <v>60.58</v>
      </c>
      <c r="S2719" t="s">
        <v>10254</v>
      </c>
      <c r="T2719" t="s">
        <v>10275</v>
      </c>
      <c r="U2719">
        <v>15600</v>
      </c>
      <c r="W2719">
        <v>48.2</v>
      </c>
      <c r="X2719" t="s">
        <v>669</v>
      </c>
      <c r="Y2719" t="s">
        <v>169</v>
      </c>
      <c r="AA2719" t="s">
        <v>10974</v>
      </c>
      <c r="AB2719" t="s">
        <v>586</v>
      </c>
      <c r="AD2719" t="s">
        <v>11083</v>
      </c>
      <c r="AF2719" t="s">
        <v>11118</v>
      </c>
      <c r="AH2719" t="s">
        <v>10975</v>
      </c>
      <c r="AJ2719" t="s">
        <v>11133</v>
      </c>
      <c r="AK2719" t="s">
        <v>11149</v>
      </c>
      <c r="AM2719">
        <v>2150</v>
      </c>
      <c r="AO2719">
        <v>3</v>
      </c>
      <c r="AQ2719" t="s">
        <v>11156</v>
      </c>
      <c r="AS2719" t="s">
        <v>11173</v>
      </c>
      <c r="AU2719">
        <v>1</v>
      </c>
      <c r="AW2719" t="s">
        <v>11189</v>
      </c>
      <c r="AY2719" t="s">
        <v>11213</v>
      </c>
      <c r="AZ2719" t="s">
        <v>11221</v>
      </c>
      <c r="BB2719" t="s">
        <v>11224</v>
      </c>
      <c r="BC2719" t="s">
        <v>11236</v>
      </c>
      <c r="BE2719" t="s">
        <v>11236</v>
      </c>
      <c r="BG2719" t="s">
        <v>15051</v>
      </c>
      <c r="BM2719" t="s">
        <v>15650</v>
      </c>
    </row>
    <row r="2720" spans="1:65">
      <c r="A2720" s="1">
        <f>HYPERLINK("https://lsnyc.legalserver.org/matter/dynamic-profile/view/1914800","19-1914800")</f>
        <v>0</v>
      </c>
      <c r="B2720" t="s">
        <v>170</v>
      </c>
      <c r="C2720" t="s">
        <v>246</v>
      </c>
      <c r="D2720" t="s">
        <v>614</v>
      </c>
      <c r="F2720" t="s">
        <v>1390</v>
      </c>
      <c r="G2720" t="s">
        <v>3007</v>
      </c>
      <c r="H2720" t="s">
        <v>4972</v>
      </c>
      <c r="I2720" t="s">
        <v>6424</v>
      </c>
      <c r="J2720" t="s">
        <v>7170</v>
      </c>
      <c r="K2720">
        <v>10452</v>
      </c>
      <c r="N2720" t="s">
        <v>7237</v>
      </c>
      <c r="O2720" t="s">
        <v>7612</v>
      </c>
      <c r="P2720">
        <v>1</v>
      </c>
      <c r="Q2720">
        <v>0</v>
      </c>
      <c r="R2720">
        <v>67.25</v>
      </c>
      <c r="U2720">
        <v>8400</v>
      </c>
      <c r="W2720">
        <v>0</v>
      </c>
      <c r="Y2720" t="s">
        <v>216</v>
      </c>
      <c r="AA2720" t="s">
        <v>10974</v>
      </c>
      <c r="AC2720" t="s">
        <v>11081</v>
      </c>
      <c r="AE2720" t="s">
        <v>11117</v>
      </c>
      <c r="AH2720" t="s">
        <v>10974</v>
      </c>
      <c r="AJ2720" t="s">
        <v>11129</v>
      </c>
      <c r="AK2720" t="s">
        <v>7225</v>
      </c>
      <c r="AL2720" t="s">
        <v>11150</v>
      </c>
      <c r="AM2720">
        <v>0</v>
      </c>
      <c r="AO2720">
        <v>65</v>
      </c>
      <c r="AP2720" t="s">
        <v>11155</v>
      </c>
      <c r="AS2720" t="s">
        <v>11174</v>
      </c>
      <c r="AU2720">
        <v>18</v>
      </c>
      <c r="AW2720" t="s">
        <v>11189</v>
      </c>
      <c r="AX2720" t="s">
        <v>11212</v>
      </c>
      <c r="BA2720" t="s">
        <v>11222</v>
      </c>
      <c r="BE2720" t="s">
        <v>11984</v>
      </c>
      <c r="BF2720" t="s">
        <v>14364</v>
      </c>
      <c r="BM2720" t="s">
        <v>15650</v>
      </c>
    </row>
    <row r="2721" spans="1:65">
      <c r="A2721" s="1">
        <f>HYPERLINK("https://lsnyc.legalserver.org/matter/dynamic-profile/view/1914692","19-1914692")</f>
        <v>0</v>
      </c>
      <c r="B2721" t="s">
        <v>171</v>
      </c>
      <c r="C2721" t="s">
        <v>246</v>
      </c>
      <c r="D2721" t="s">
        <v>735</v>
      </c>
      <c r="F2721" t="s">
        <v>1632</v>
      </c>
      <c r="G2721" t="s">
        <v>2877</v>
      </c>
      <c r="H2721" t="s">
        <v>5699</v>
      </c>
      <c r="I2721" t="s">
        <v>6809</v>
      </c>
      <c r="J2721" t="s">
        <v>7170</v>
      </c>
      <c r="K2721">
        <v>10453</v>
      </c>
      <c r="N2721" t="s">
        <v>7237</v>
      </c>
      <c r="O2721" t="s">
        <v>9024</v>
      </c>
      <c r="P2721">
        <v>1</v>
      </c>
      <c r="Q2721">
        <v>4</v>
      </c>
      <c r="R2721">
        <v>19.89</v>
      </c>
      <c r="U2721">
        <v>6000</v>
      </c>
      <c r="W2721">
        <v>0</v>
      </c>
      <c r="Y2721" t="s">
        <v>216</v>
      </c>
      <c r="AA2721" t="s">
        <v>10974</v>
      </c>
      <c r="AC2721" t="s">
        <v>11081</v>
      </c>
      <c r="AF2721" t="s">
        <v>11119</v>
      </c>
      <c r="AH2721" t="s">
        <v>10975</v>
      </c>
      <c r="AJ2721" t="s">
        <v>11141</v>
      </c>
      <c r="AK2721" t="s">
        <v>7225</v>
      </c>
      <c r="AM2721">
        <v>1800</v>
      </c>
      <c r="AN2721" t="s">
        <v>11151</v>
      </c>
      <c r="AO2721" t="s">
        <v>11153</v>
      </c>
      <c r="AQ2721" t="s">
        <v>11164</v>
      </c>
      <c r="AS2721" t="s">
        <v>11180</v>
      </c>
      <c r="AU2721">
        <v>2</v>
      </c>
      <c r="AW2721" t="s">
        <v>11187</v>
      </c>
      <c r="AX2721" t="s">
        <v>11212</v>
      </c>
      <c r="BA2721" t="s">
        <v>11222</v>
      </c>
      <c r="BE2721" t="s">
        <v>13258</v>
      </c>
      <c r="BF2721" t="s">
        <v>14364</v>
      </c>
      <c r="BM2721" t="s">
        <v>15650</v>
      </c>
    </row>
    <row r="2722" spans="1:65">
      <c r="A2722" s="1">
        <f>HYPERLINK("https://lsnyc.legalserver.org/matter/dynamic-profile/view/1909609","19-1909609")</f>
        <v>0</v>
      </c>
      <c r="B2722" t="s">
        <v>171</v>
      </c>
      <c r="C2722" t="s">
        <v>246</v>
      </c>
      <c r="D2722" t="s">
        <v>560</v>
      </c>
      <c r="F2722" t="s">
        <v>2237</v>
      </c>
      <c r="G2722" t="s">
        <v>4053</v>
      </c>
      <c r="H2722" t="s">
        <v>4972</v>
      </c>
      <c r="J2722" t="s">
        <v>7170</v>
      </c>
      <c r="K2722">
        <v>10452</v>
      </c>
      <c r="N2722" t="s">
        <v>7237</v>
      </c>
      <c r="O2722" t="s">
        <v>9025</v>
      </c>
      <c r="P2722">
        <v>1</v>
      </c>
      <c r="Q2722">
        <v>0</v>
      </c>
      <c r="R2722">
        <v>160.13</v>
      </c>
      <c r="U2722">
        <v>20000</v>
      </c>
      <c r="W2722">
        <v>0</v>
      </c>
      <c r="Y2722" t="s">
        <v>216</v>
      </c>
      <c r="AA2722" t="s">
        <v>10974</v>
      </c>
      <c r="AC2722" t="s">
        <v>11081</v>
      </c>
      <c r="AE2722" t="s">
        <v>11117</v>
      </c>
      <c r="AH2722" t="s">
        <v>10974</v>
      </c>
      <c r="AJ2722" t="s">
        <v>11141</v>
      </c>
      <c r="AK2722" t="s">
        <v>7225</v>
      </c>
      <c r="AM2722">
        <v>1926.79</v>
      </c>
      <c r="AO2722">
        <v>63</v>
      </c>
      <c r="AQ2722" t="s">
        <v>11157</v>
      </c>
      <c r="AS2722" t="s">
        <v>11173</v>
      </c>
      <c r="AU2722">
        <v>27</v>
      </c>
      <c r="AV2722" t="s">
        <v>11186</v>
      </c>
      <c r="AX2722" t="s">
        <v>11212</v>
      </c>
      <c r="BA2722" t="s">
        <v>11222</v>
      </c>
      <c r="BE2722" t="s">
        <v>13259</v>
      </c>
      <c r="BF2722" t="s">
        <v>14364</v>
      </c>
      <c r="BM2722" t="s">
        <v>15650</v>
      </c>
    </row>
    <row r="2723" spans="1:65">
      <c r="A2723" s="1">
        <f>HYPERLINK("https://lsnyc.legalserver.org/matter/dynamic-profile/view/1914495","19-1914495")</f>
        <v>0</v>
      </c>
      <c r="B2723" t="s">
        <v>171</v>
      </c>
      <c r="C2723" t="s">
        <v>246</v>
      </c>
      <c r="D2723" t="s">
        <v>735</v>
      </c>
      <c r="F2723" t="s">
        <v>1419</v>
      </c>
      <c r="G2723" t="s">
        <v>1261</v>
      </c>
      <c r="H2723" t="s">
        <v>4972</v>
      </c>
      <c r="I2723" t="s">
        <v>6527</v>
      </c>
      <c r="J2723" t="s">
        <v>7170</v>
      </c>
      <c r="K2723">
        <v>10452</v>
      </c>
      <c r="N2723" t="s">
        <v>7237</v>
      </c>
      <c r="O2723" t="s">
        <v>9026</v>
      </c>
      <c r="P2723">
        <v>3</v>
      </c>
      <c r="Q2723">
        <v>0</v>
      </c>
      <c r="R2723">
        <v>170.65</v>
      </c>
      <c r="U2723">
        <v>36400</v>
      </c>
      <c r="W2723">
        <v>0</v>
      </c>
      <c r="Y2723" t="s">
        <v>216</v>
      </c>
      <c r="AA2723" t="s">
        <v>10974</v>
      </c>
      <c r="AC2723" t="s">
        <v>11081</v>
      </c>
      <c r="AF2723" t="s">
        <v>11119</v>
      </c>
      <c r="AG2723" t="s">
        <v>11124</v>
      </c>
      <c r="AJ2723" t="s">
        <v>11141</v>
      </c>
      <c r="AK2723" t="s">
        <v>7225</v>
      </c>
      <c r="AM2723">
        <v>2170.39</v>
      </c>
      <c r="AO2723">
        <v>63</v>
      </c>
      <c r="AP2723" t="s">
        <v>11155</v>
      </c>
      <c r="AS2723" t="s">
        <v>11173</v>
      </c>
      <c r="AU2723">
        <v>14</v>
      </c>
      <c r="AW2723" t="s">
        <v>11187</v>
      </c>
      <c r="AX2723" t="s">
        <v>11212</v>
      </c>
      <c r="BA2723" t="s">
        <v>11222</v>
      </c>
      <c r="BD2723" t="s">
        <v>11667</v>
      </c>
      <c r="BF2723" t="s">
        <v>14364</v>
      </c>
      <c r="BM2723" t="s">
        <v>15650</v>
      </c>
    </row>
    <row r="2724" spans="1:65">
      <c r="A2724" s="1">
        <f>HYPERLINK("https://lsnyc.legalserver.org/matter/dynamic-profile/view/1890415","19-1890415")</f>
        <v>0</v>
      </c>
      <c r="B2724" t="s">
        <v>171</v>
      </c>
      <c r="C2724" t="s">
        <v>246</v>
      </c>
      <c r="D2724" t="s">
        <v>405</v>
      </c>
      <c r="F2724" t="s">
        <v>2238</v>
      </c>
      <c r="G2724" t="s">
        <v>4054</v>
      </c>
      <c r="H2724" t="s">
        <v>5700</v>
      </c>
      <c r="I2724" t="s">
        <v>6909</v>
      </c>
      <c r="J2724" t="s">
        <v>7170</v>
      </c>
      <c r="K2724">
        <v>10453</v>
      </c>
      <c r="N2724" t="s">
        <v>7237</v>
      </c>
      <c r="O2724" t="s">
        <v>9027</v>
      </c>
      <c r="P2724">
        <v>2</v>
      </c>
      <c r="Q2724">
        <v>0</v>
      </c>
      <c r="R2724">
        <v>46.13</v>
      </c>
      <c r="U2724">
        <v>7800</v>
      </c>
      <c r="W2724">
        <v>0</v>
      </c>
      <c r="Y2724" t="s">
        <v>216</v>
      </c>
      <c r="AA2724" t="s">
        <v>10974</v>
      </c>
      <c r="AB2724" t="s">
        <v>405</v>
      </c>
      <c r="AD2724" t="s">
        <v>11086</v>
      </c>
      <c r="AF2724" t="s">
        <v>11120</v>
      </c>
      <c r="AH2724" t="s">
        <v>10974</v>
      </c>
      <c r="AJ2724" t="s">
        <v>11141</v>
      </c>
      <c r="AK2724" t="s">
        <v>7225</v>
      </c>
      <c r="AM2724">
        <v>713.8</v>
      </c>
      <c r="AO2724">
        <v>44</v>
      </c>
      <c r="AQ2724" t="s">
        <v>11157</v>
      </c>
      <c r="AS2724" t="s">
        <v>11173</v>
      </c>
      <c r="AU2724">
        <v>28</v>
      </c>
      <c r="AW2724" t="s">
        <v>11189</v>
      </c>
      <c r="AZ2724" t="s">
        <v>11221</v>
      </c>
      <c r="BE2724" t="s">
        <v>13260</v>
      </c>
      <c r="BF2724" t="s">
        <v>14364</v>
      </c>
      <c r="BM2724" t="s">
        <v>15650</v>
      </c>
    </row>
    <row r="2725" spans="1:65">
      <c r="A2725" s="1">
        <f>HYPERLINK("https://lsnyc.legalserver.org/matter/dynamic-profile/view/1890394","18-1890394")</f>
        <v>0</v>
      </c>
      <c r="B2725" t="s">
        <v>171</v>
      </c>
      <c r="C2725" t="s">
        <v>246</v>
      </c>
      <c r="D2725" t="s">
        <v>405</v>
      </c>
      <c r="F2725" t="s">
        <v>1608</v>
      </c>
      <c r="G2725" t="s">
        <v>4055</v>
      </c>
      <c r="H2725" t="s">
        <v>5700</v>
      </c>
      <c r="I2725" t="s">
        <v>6502</v>
      </c>
      <c r="J2725" t="s">
        <v>7170</v>
      </c>
      <c r="K2725">
        <v>10453</v>
      </c>
      <c r="N2725" t="s">
        <v>7237</v>
      </c>
      <c r="O2725" t="s">
        <v>9028</v>
      </c>
      <c r="P2725">
        <v>1</v>
      </c>
      <c r="Q2725">
        <v>0</v>
      </c>
      <c r="R2725">
        <v>63.95</v>
      </c>
      <c r="U2725">
        <v>7764</v>
      </c>
      <c r="W2725">
        <v>0</v>
      </c>
      <c r="Y2725" t="s">
        <v>216</v>
      </c>
      <c r="AA2725" t="s">
        <v>10974</v>
      </c>
      <c r="AB2725" t="s">
        <v>11054</v>
      </c>
      <c r="AD2725" t="s">
        <v>11086</v>
      </c>
      <c r="AF2725" t="s">
        <v>11120</v>
      </c>
      <c r="AH2725" t="s">
        <v>10974</v>
      </c>
      <c r="AJ2725" t="s">
        <v>11141</v>
      </c>
      <c r="AK2725" t="s">
        <v>7225</v>
      </c>
      <c r="AM2725">
        <v>187</v>
      </c>
      <c r="AO2725">
        <v>44</v>
      </c>
      <c r="AQ2725" t="s">
        <v>11157</v>
      </c>
      <c r="AS2725" t="s">
        <v>11174</v>
      </c>
      <c r="AU2725">
        <v>25</v>
      </c>
      <c r="AW2725" t="s">
        <v>11189</v>
      </c>
      <c r="AZ2725" t="s">
        <v>11221</v>
      </c>
      <c r="BE2725" t="s">
        <v>13261</v>
      </c>
      <c r="BF2725" t="s">
        <v>14364</v>
      </c>
      <c r="BM2725" t="s">
        <v>15650</v>
      </c>
    </row>
    <row r="2726" spans="1:65">
      <c r="A2726" s="1">
        <f>HYPERLINK("https://lsnyc.legalserver.org/matter/dynamic-profile/view/1914795","19-1914795")</f>
        <v>0</v>
      </c>
      <c r="B2726" t="s">
        <v>171</v>
      </c>
      <c r="C2726" t="s">
        <v>246</v>
      </c>
      <c r="D2726" t="s">
        <v>614</v>
      </c>
      <c r="F2726" t="s">
        <v>2239</v>
      </c>
      <c r="G2726" t="s">
        <v>4056</v>
      </c>
      <c r="H2726" t="s">
        <v>4972</v>
      </c>
      <c r="I2726" t="s">
        <v>6410</v>
      </c>
      <c r="J2726" t="s">
        <v>7170</v>
      </c>
      <c r="K2726">
        <v>10452</v>
      </c>
      <c r="N2726" t="s">
        <v>7237</v>
      </c>
      <c r="O2726" t="s">
        <v>9029</v>
      </c>
      <c r="P2726">
        <v>1</v>
      </c>
      <c r="Q2726">
        <v>0</v>
      </c>
      <c r="R2726">
        <v>208.17</v>
      </c>
      <c r="U2726">
        <v>26000</v>
      </c>
      <c r="W2726">
        <v>0</v>
      </c>
      <c r="Y2726" t="s">
        <v>216</v>
      </c>
      <c r="AA2726" t="s">
        <v>10974</v>
      </c>
      <c r="AC2726" t="s">
        <v>11081</v>
      </c>
      <c r="AE2726" t="s">
        <v>11117</v>
      </c>
      <c r="AG2726" t="s">
        <v>11124</v>
      </c>
      <c r="AJ2726" t="s">
        <v>11134</v>
      </c>
      <c r="AK2726" t="s">
        <v>7225</v>
      </c>
      <c r="AM2726">
        <v>794.86</v>
      </c>
      <c r="AO2726">
        <v>65</v>
      </c>
      <c r="AQ2726" t="s">
        <v>11157</v>
      </c>
      <c r="AS2726" t="s">
        <v>11173</v>
      </c>
      <c r="AU2726">
        <v>30</v>
      </c>
      <c r="AW2726" t="s">
        <v>11187</v>
      </c>
      <c r="AX2726" t="s">
        <v>11212</v>
      </c>
      <c r="BA2726" t="s">
        <v>11222</v>
      </c>
      <c r="BE2726" t="s">
        <v>13262</v>
      </c>
      <c r="BF2726" t="s">
        <v>14364</v>
      </c>
      <c r="BM2726" t="s">
        <v>15650</v>
      </c>
    </row>
    <row r="2727" spans="1:65">
      <c r="A2727" s="1">
        <f>HYPERLINK("https://lsnyc.legalserver.org/matter/dynamic-profile/view/1914695","19-1914695")</f>
        <v>0</v>
      </c>
      <c r="B2727" t="s">
        <v>171</v>
      </c>
      <c r="C2727" t="s">
        <v>246</v>
      </c>
      <c r="D2727" t="s">
        <v>297</v>
      </c>
      <c r="F2727" t="s">
        <v>2237</v>
      </c>
      <c r="G2727" t="s">
        <v>4053</v>
      </c>
      <c r="H2727" t="s">
        <v>4972</v>
      </c>
      <c r="J2727" t="s">
        <v>7170</v>
      </c>
      <c r="K2727">
        <v>10452</v>
      </c>
      <c r="N2727" t="s">
        <v>7237</v>
      </c>
      <c r="O2727" t="s">
        <v>9025</v>
      </c>
      <c r="P2727">
        <v>1</v>
      </c>
      <c r="Q2727">
        <v>0</v>
      </c>
      <c r="R2727">
        <v>160.13</v>
      </c>
      <c r="U2727">
        <v>20000</v>
      </c>
      <c r="W2727">
        <v>0</v>
      </c>
      <c r="Y2727" t="s">
        <v>10865</v>
      </c>
      <c r="AA2727" t="s">
        <v>10974</v>
      </c>
      <c r="AC2727" t="s">
        <v>11081</v>
      </c>
      <c r="AE2727" t="s">
        <v>11117</v>
      </c>
      <c r="AH2727" t="s">
        <v>10974</v>
      </c>
      <c r="AJ2727" t="s">
        <v>11129</v>
      </c>
      <c r="AK2727" t="s">
        <v>7225</v>
      </c>
      <c r="AM2727">
        <v>1926.79</v>
      </c>
      <c r="AO2727">
        <v>63</v>
      </c>
      <c r="AQ2727" t="s">
        <v>11157</v>
      </c>
      <c r="AS2727" t="s">
        <v>11173</v>
      </c>
      <c r="AU2727">
        <v>27</v>
      </c>
      <c r="AV2727" t="s">
        <v>11186</v>
      </c>
      <c r="AX2727" t="s">
        <v>11212</v>
      </c>
      <c r="BA2727" t="s">
        <v>11222</v>
      </c>
      <c r="BE2727" t="s">
        <v>13259</v>
      </c>
      <c r="BF2727" t="s">
        <v>14364</v>
      </c>
      <c r="BM2727" t="s">
        <v>15650</v>
      </c>
    </row>
    <row r="2728" spans="1:65">
      <c r="A2728" s="1">
        <f>HYPERLINK("https://lsnyc.legalserver.org/matter/dynamic-profile/view/1890420","19-1890420")</f>
        <v>0</v>
      </c>
      <c r="B2728" t="s">
        <v>171</v>
      </c>
      <c r="C2728" t="s">
        <v>246</v>
      </c>
      <c r="D2728" t="s">
        <v>405</v>
      </c>
      <c r="F2728" t="s">
        <v>2238</v>
      </c>
      <c r="G2728" t="s">
        <v>4054</v>
      </c>
      <c r="H2728" t="s">
        <v>5700</v>
      </c>
      <c r="I2728" t="s">
        <v>6909</v>
      </c>
      <c r="J2728" t="s">
        <v>7170</v>
      </c>
      <c r="K2728">
        <v>10453</v>
      </c>
      <c r="N2728" t="s">
        <v>7237</v>
      </c>
      <c r="O2728" t="s">
        <v>9027</v>
      </c>
      <c r="P2728">
        <v>2</v>
      </c>
      <c r="Q2728">
        <v>0</v>
      </c>
      <c r="R2728">
        <v>46.13</v>
      </c>
      <c r="U2728">
        <v>7800</v>
      </c>
      <c r="W2728">
        <v>0</v>
      </c>
      <c r="Y2728" t="s">
        <v>216</v>
      </c>
      <c r="AA2728" t="s">
        <v>10974</v>
      </c>
      <c r="AB2728" t="s">
        <v>370</v>
      </c>
      <c r="AD2728" t="s">
        <v>11101</v>
      </c>
      <c r="AF2728" t="s">
        <v>11118</v>
      </c>
      <c r="AH2728" t="s">
        <v>10974</v>
      </c>
      <c r="AJ2728" t="s">
        <v>11141</v>
      </c>
      <c r="AK2728" t="s">
        <v>7225</v>
      </c>
      <c r="AM2728">
        <v>713.8</v>
      </c>
      <c r="AO2728">
        <v>44</v>
      </c>
      <c r="AQ2728" t="s">
        <v>11157</v>
      </c>
      <c r="AS2728" t="s">
        <v>11173</v>
      </c>
      <c r="AU2728">
        <v>28</v>
      </c>
      <c r="AW2728" t="s">
        <v>11189</v>
      </c>
      <c r="AZ2728" t="s">
        <v>11221</v>
      </c>
      <c r="BE2728" t="s">
        <v>13260</v>
      </c>
      <c r="BG2728" t="s">
        <v>15052</v>
      </c>
      <c r="BM2728" t="s">
        <v>15650</v>
      </c>
    </row>
    <row r="2729" spans="1:65">
      <c r="A2729" s="1">
        <f>HYPERLINK("https://lsnyc.legalserver.org/matter/dynamic-profile/view/1914867","19-1914867")</f>
        <v>0</v>
      </c>
      <c r="B2729" t="s">
        <v>171</v>
      </c>
      <c r="C2729" t="s">
        <v>246</v>
      </c>
      <c r="D2729" t="s">
        <v>262</v>
      </c>
      <c r="F2729" t="s">
        <v>2240</v>
      </c>
      <c r="G2729" t="s">
        <v>4057</v>
      </c>
      <c r="H2729" t="s">
        <v>4972</v>
      </c>
      <c r="I2729" t="s">
        <v>6414</v>
      </c>
      <c r="J2729" t="s">
        <v>7170</v>
      </c>
      <c r="K2729">
        <v>10452</v>
      </c>
      <c r="N2729" t="s">
        <v>7237</v>
      </c>
      <c r="O2729" t="s">
        <v>9030</v>
      </c>
      <c r="P2729">
        <v>2</v>
      </c>
      <c r="Q2729">
        <v>0</v>
      </c>
      <c r="R2729">
        <v>354.82</v>
      </c>
      <c r="U2729">
        <v>60000</v>
      </c>
      <c r="W2729">
        <v>0</v>
      </c>
      <c r="Y2729" t="s">
        <v>93</v>
      </c>
      <c r="AA2729" t="s">
        <v>10974</v>
      </c>
      <c r="AC2729" t="s">
        <v>11081</v>
      </c>
      <c r="AE2729" t="s">
        <v>11117</v>
      </c>
      <c r="AH2729" t="s">
        <v>10974</v>
      </c>
      <c r="AJ2729" t="s">
        <v>11141</v>
      </c>
      <c r="AK2729" t="s">
        <v>7225</v>
      </c>
      <c r="AM2729">
        <v>15</v>
      </c>
      <c r="AO2729">
        <v>65</v>
      </c>
      <c r="AQ2729" t="s">
        <v>11157</v>
      </c>
      <c r="AS2729" t="s">
        <v>11173</v>
      </c>
      <c r="AU2729">
        <v>15</v>
      </c>
      <c r="AW2729" t="s">
        <v>11187</v>
      </c>
      <c r="AX2729" t="s">
        <v>11212</v>
      </c>
      <c r="AZ2729" t="s">
        <v>11221</v>
      </c>
      <c r="BE2729" t="s">
        <v>13263</v>
      </c>
      <c r="BF2729" t="s">
        <v>14364</v>
      </c>
      <c r="BM2729" t="s">
        <v>15650</v>
      </c>
    </row>
    <row r="2730" spans="1:65">
      <c r="A2730" s="1">
        <f>HYPERLINK("https://lsnyc.legalserver.org/matter/dynamic-profile/view/1890395","19-1890395")</f>
        <v>0</v>
      </c>
      <c r="B2730" t="s">
        <v>171</v>
      </c>
      <c r="C2730" t="s">
        <v>246</v>
      </c>
      <c r="D2730" t="s">
        <v>405</v>
      </c>
      <c r="F2730" t="s">
        <v>1608</v>
      </c>
      <c r="G2730" t="s">
        <v>4055</v>
      </c>
      <c r="H2730" t="s">
        <v>5700</v>
      </c>
      <c r="I2730" t="s">
        <v>6502</v>
      </c>
      <c r="J2730" t="s">
        <v>7170</v>
      </c>
      <c r="K2730">
        <v>10453</v>
      </c>
      <c r="N2730" t="s">
        <v>7237</v>
      </c>
      <c r="O2730" t="s">
        <v>9028</v>
      </c>
      <c r="P2730">
        <v>1</v>
      </c>
      <c r="Q2730">
        <v>0</v>
      </c>
      <c r="R2730">
        <v>63.95</v>
      </c>
      <c r="U2730">
        <v>7764</v>
      </c>
      <c r="W2730">
        <v>0</v>
      </c>
      <c r="Y2730" t="s">
        <v>216</v>
      </c>
      <c r="AA2730" t="s">
        <v>10974</v>
      </c>
      <c r="AB2730" t="s">
        <v>370</v>
      </c>
      <c r="AD2730" t="s">
        <v>11101</v>
      </c>
      <c r="AF2730" t="s">
        <v>11118</v>
      </c>
      <c r="AH2730" t="s">
        <v>10974</v>
      </c>
      <c r="AJ2730" t="s">
        <v>11141</v>
      </c>
      <c r="AK2730" t="s">
        <v>7225</v>
      </c>
      <c r="AM2730">
        <v>187</v>
      </c>
      <c r="AO2730">
        <v>44</v>
      </c>
      <c r="AQ2730" t="s">
        <v>11157</v>
      </c>
      <c r="AS2730" t="s">
        <v>11174</v>
      </c>
      <c r="AU2730">
        <v>25</v>
      </c>
      <c r="AW2730" t="s">
        <v>11189</v>
      </c>
      <c r="AZ2730" t="s">
        <v>11221</v>
      </c>
      <c r="BE2730" t="s">
        <v>13261</v>
      </c>
      <c r="BG2730" t="s">
        <v>15052</v>
      </c>
      <c r="BM2730" t="s">
        <v>15650</v>
      </c>
    </row>
    <row r="2731" spans="1:65">
      <c r="A2731" s="1">
        <f>HYPERLINK("https://lsnyc.legalserver.org/matter/dynamic-profile/view/1913913","19-1913913")</f>
        <v>0</v>
      </c>
      <c r="B2731" t="s">
        <v>171</v>
      </c>
      <c r="C2731" t="s">
        <v>246</v>
      </c>
      <c r="D2731" t="s">
        <v>735</v>
      </c>
      <c r="F2731" t="s">
        <v>1450</v>
      </c>
      <c r="G2731" t="s">
        <v>4058</v>
      </c>
      <c r="H2731" t="s">
        <v>5701</v>
      </c>
      <c r="I2731" t="s">
        <v>6424</v>
      </c>
      <c r="J2731" t="s">
        <v>7170</v>
      </c>
      <c r="K2731">
        <v>10451</v>
      </c>
      <c r="N2731" t="s">
        <v>7237</v>
      </c>
      <c r="O2731" t="s">
        <v>9031</v>
      </c>
      <c r="P2731">
        <v>2</v>
      </c>
      <c r="Q2731">
        <v>1</v>
      </c>
      <c r="R2731">
        <v>45.01</v>
      </c>
      <c r="U2731">
        <v>9600</v>
      </c>
      <c r="W2731">
        <v>0</v>
      </c>
      <c r="Y2731" t="s">
        <v>171</v>
      </c>
      <c r="Z2731" t="s">
        <v>10972</v>
      </c>
      <c r="AA2731" t="s">
        <v>10976</v>
      </c>
      <c r="AC2731" t="s">
        <v>11081</v>
      </c>
      <c r="AF2731" t="s">
        <v>11119</v>
      </c>
      <c r="AG2731" t="s">
        <v>11124</v>
      </c>
      <c r="AI2731" t="s">
        <v>11126</v>
      </c>
      <c r="AK2731" t="s">
        <v>7225</v>
      </c>
      <c r="AL2731" t="s">
        <v>11150</v>
      </c>
      <c r="AM2731">
        <v>0</v>
      </c>
      <c r="AN2731" t="s">
        <v>11151</v>
      </c>
      <c r="AO2731" t="s">
        <v>11153</v>
      </c>
      <c r="AP2731" t="s">
        <v>11155</v>
      </c>
      <c r="AR2731" t="s">
        <v>11172</v>
      </c>
      <c r="AT2731" t="s">
        <v>11184</v>
      </c>
      <c r="AU2731">
        <v>0</v>
      </c>
      <c r="AW2731" t="s">
        <v>11187</v>
      </c>
      <c r="AX2731" t="s">
        <v>11212</v>
      </c>
      <c r="AZ2731" t="s">
        <v>11221</v>
      </c>
      <c r="BE2731" t="s">
        <v>13264</v>
      </c>
      <c r="BF2731" t="s">
        <v>14364</v>
      </c>
      <c r="BM2731" t="s">
        <v>15650</v>
      </c>
    </row>
    <row r="2732" spans="1:65">
      <c r="A2732" s="1">
        <f>HYPERLINK("https://lsnyc.legalserver.org/matter/dynamic-profile/view/1894051","19-1894051")</f>
        <v>0</v>
      </c>
      <c r="B2732" t="s">
        <v>171</v>
      </c>
      <c r="C2732" t="s">
        <v>246</v>
      </c>
      <c r="D2732" t="s">
        <v>631</v>
      </c>
      <c r="F2732" t="s">
        <v>1244</v>
      </c>
      <c r="G2732" t="s">
        <v>4059</v>
      </c>
      <c r="H2732" t="s">
        <v>5700</v>
      </c>
      <c r="I2732" t="s">
        <v>6480</v>
      </c>
      <c r="J2732" t="s">
        <v>7170</v>
      </c>
      <c r="K2732">
        <v>10453</v>
      </c>
      <c r="N2732" t="s">
        <v>7237</v>
      </c>
      <c r="O2732" t="s">
        <v>9032</v>
      </c>
      <c r="P2732">
        <v>1</v>
      </c>
      <c r="Q2732">
        <v>0</v>
      </c>
      <c r="R2732">
        <v>510.77</v>
      </c>
      <c r="U2732">
        <v>62007.92</v>
      </c>
      <c r="W2732">
        <v>0</v>
      </c>
      <c r="Y2732" t="s">
        <v>216</v>
      </c>
      <c r="AA2732" t="s">
        <v>10974</v>
      </c>
      <c r="AB2732" t="s">
        <v>370</v>
      </c>
      <c r="AD2732" t="s">
        <v>11098</v>
      </c>
      <c r="AF2732" t="s">
        <v>11122</v>
      </c>
      <c r="AH2732" t="s">
        <v>10974</v>
      </c>
      <c r="AJ2732" t="s">
        <v>11141</v>
      </c>
      <c r="AK2732" t="s">
        <v>7225</v>
      </c>
      <c r="AM2732">
        <v>1102.63</v>
      </c>
      <c r="AN2732" t="s">
        <v>11151</v>
      </c>
      <c r="AO2732" t="s">
        <v>11153</v>
      </c>
      <c r="AQ2732" t="s">
        <v>11157</v>
      </c>
      <c r="AS2732" t="s">
        <v>11173</v>
      </c>
      <c r="AU2732">
        <v>28</v>
      </c>
      <c r="AW2732" t="s">
        <v>11189</v>
      </c>
      <c r="AZ2732" t="s">
        <v>11221</v>
      </c>
      <c r="BE2732" t="s">
        <v>13265</v>
      </c>
      <c r="BF2732" t="s">
        <v>14364</v>
      </c>
      <c r="BM2732" t="s">
        <v>15650</v>
      </c>
    </row>
    <row r="2733" spans="1:65">
      <c r="A2733" s="1">
        <f>HYPERLINK("https://lsnyc.legalserver.org/matter/dynamic-profile/view/1914583","19-1914583")</f>
        <v>0</v>
      </c>
      <c r="B2733" t="s">
        <v>171</v>
      </c>
      <c r="C2733" t="s">
        <v>246</v>
      </c>
      <c r="D2733" t="s">
        <v>735</v>
      </c>
      <c r="F2733" t="s">
        <v>1360</v>
      </c>
      <c r="G2733" t="s">
        <v>3136</v>
      </c>
      <c r="H2733" t="s">
        <v>4972</v>
      </c>
      <c r="I2733" t="s">
        <v>6413</v>
      </c>
      <c r="J2733" t="s">
        <v>7170</v>
      </c>
      <c r="K2733">
        <v>10452</v>
      </c>
      <c r="N2733" t="s">
        <v>7237</v>
      </c>
      <c r="O2733" t="s">
        <v>9033</v>
      </c>
      <c r="P2733">
        <v>2</v>
      </c>
      <c r="Q2733">
        <v>2</v>
      </c>
      <c r="R2733">
        <v>69.90000000000001</v>
      </c>
      <c r="U2733">
        <v>18000</v>
      </c>
      <c r="W2733">
        <v>0</v>
      </c>
      <c r="Y2733" t="s">
        <v>216</v>
      </c>
      <c r="AA2733" t="s">
        <v>10974</v>
      </c>
      <c r="AC2733" t="s">
        <v>11081</v>
      </c>
      <c r="AF2733" t="s">
        <v>11119</v>
      </c>
      <c r="AH2733" t="s">
        <v>10974</v>
      </c>
      <c r="AJ2733" t="s">
        <v>11141</v>
      </c>
      <c r="AK2733" t="s">
        <v>7225</v>
      </c>
      <c r="AM2733">
        <v>962</v>
      </c>
      <c r="AO2733">
        <v>63</v>
      </c>
      <c r="AQ2733" t="s">
        <v>11157</v>
      </c>
      <c r="AS2733" t="s">
        <v>11175</v>
      </c>
      <c r="AU2733">
        <v>44</v>
      </c>
      <c r="AW2733" t="s">
        <v>11187</v>
      </c>
      <c r="AX2733" t="s">
        <v>11212</v>
      </c>
      <c r="BA2733" t="s">
        <v>11222</v>
      </c>
      <c r="BE2733" t="s">
        <v>13266</v>
      </c>
      <c r="BF2733" t="s">
        <v>14364</v>
      </c>
      <c r="BM2733" t="s">
        <v>15650</v>
      </c>
    </row>
    <row r="2734" spans="1:65">
      <c r="A2734" s="1">
        <f>HYPERLINK("https://lsnyc.legalserver.org/matter/dynamic-profile/view/1906941","19-1906941")</f>
        <v>0</v>
      </c>
      <c r="B2734" t="s">
        <v>171</v>
      </c>
      <c r="C2734" t="s">
        <v>246</v>
      </c>
      <c r="D2734" t="s">
        <v>450</v>
      </c>
      <c r="F2734" t="s">
        <v>2241</v>
      </c>
      <c r="G2734" t="s">
        <v>3165</v>
      </c>
      <c r="H2734" t="s">
        <v>4972</v>
      </c>
      <c r="I2734" t="s">
        <v>6407</v>
      </c>
      <c r="J2734" t="s">
        <v>7170</v>
      </c>
      <c r="K2734">
        <v>10452</v>
      </c>
      <c r="N2734" t="s">
        <v>7237</v>
      </c>
      <c r="O2734" t="s">
        <v>9034</v>
      </c>
      <c r="P2734">
        <v>1</v>
      </c>
      <c r="Q2734">
        <v>0</v>
      </c>
      <c r="R2734">
        <v>72.92</v>
      </c>
      <c r="U2734">
        <v>9108</v>
      </c>
      <c r="W2734">
        <v>0.8</v>
      </c>
      <c r="X2734" t="s">
        <v>384</v>
      </c>
      <c r="Y2734" t="s">
        <v>93</v>
      </c>
      <c r="AA2734" t="s">
        <v>10974</v>
      </c>
      <c r="AC2734" t="s">
        <v>11081</v>
      </c>
      <c r="AE2734" t="s">
        <v>11117</v>
      </c>
      <c r="AH2734" t="s">
        <v>10974</v>
      </c>
      <c r="AJ2734" t="s">
        <v>11134</v>
      </c>
      <c r="AK2734" t="s">
        <v>7225</v>
      </c>
      <c r="AM2734">
        <v>1659</v>
      </c>
      <c r="AO2734">
        <v>65</v>
      </c>
      <c r="AQ2734" t="s">
        <v>11164</v>
      </c>
      <c r="AS2734" t="s">
        <v>11174</v>
      </c>
      <c r="AU2734">
        <v>19</v>
      </c>
      <c r="AW2734" t="s">
        <v>11189</v>
      </c>
      <c r="AX2734" t="s">
        <v>11212</v>
      </c>
      <c r="AZ2734" t="s">
        <v>11221</v>
      </c>
      <c r="BE2734" t="s">
        <v>13267</v>
      </c>
      <c r="BF2734" t="s">
        <v>14364</v>
      </c>
      <c r="BM2734" t="s">
        <v>15650</v>
      </c>
    </row>
    <row r="2735" spans="1:65">
      <c r="A2735" s="1">
        <f>HYPERLINK("https://lsnyc.legalserver.org/matter/dynamic-profile/view/1914257","19-1914257")</f>
        <v>0</v>
      </c>
      <c r="B2735" t="s">
        <v>171</v>
      </c>
      <c r="C2735" t="s">
        <v>246</v>
      </c>
      <c r="D2735" t="s">
        <v>266</v>
      </c>
      <c r="F2735" t="s">
        <v>1464</v>
      </c>
      <c r="G2735" t="s">
        <v>2877</v>
      </c>
      <c r="H2735" t="s">
        <v>4846</v>
      </c>
      <c r="I2735" t="s">
        <v>6786</v>
      </c>
      <c r="J2735" t="s">
        <v>7170</v>
      </c>
      <c r="K2735">
        <v>10452</v>
      </c>
      <c r="N2735" t="s">
        <v>7237</v>
      </c>
      <c r="O2735" t="s">
        <v>8120</v>
      </c>
      <c r="P2735">
        <v>1</v>
      </c>
      <c r="Q2735">
        <v>0</v>
      </c>
      <c r="R2735">
        <v>74.08</v>
      </c>
      <c r="U2735">
        <v>9252</v>
      </c>
      <c r="W2735">
        <v>0</v>
      </c>
      <c r="Y2735" t="s">
        <v>10897</v>
      </c>
      <c r="AA2735" t="s">
        <v>10974</v>
      </c>
      <c r="AD2735" t="s">
        <v>11086</v>
      </c>
      <c r="AF2735" t="s">
        <v>11119</v>
      </c>
      <c r="AG2735" t="s">
        <v>11124</v>
      </c>
      <c r="AJ2735" t="s">
        <v>11141</v>
      </c>
      <c r="AK2735" t="s">
        <v>7225</v>
      </c>
      <c r="AM2735">
        <v>168</v>
      </c>
      <c r="AN2735" t="s">
        <v>11151</v>
      </c>
      <c r="AO2735" t="s">
        <v>11153</v>
      </c>
      <c r="AQ2735" t="s">
        <v>11164</v>
      </c>
      <c r="AS2735" t="s">
        <v>11174</v>
      </c>
      <c r="AU2735">
        <v>28</v>
      </c>
      <c r="AW2735" t="s">
        <v>11189</v>
      </c>
      <c r="AX2735" t="s">
        <v>11212</v>
      </c>
      <c r="BA2735" t="s">
        <v>11223</v>
      </c>
      <c r="BC2735" t="s">
        <v>11449</v>
      </c>
      <c r="BE2735" t="s">
        <v>12427</v>
      </c>
      <c r="BF2735" t="s">
        <v>14364</v>
      </c>
      <c r="BM2735" t="s">
        <v>15650</v>
      </c>
    </row>
    <row r="2736" spans="1:65">
      <c r="A2736" s="1">
        <f>HYPERLINK("https://lsnyc.legalserver.org/matter/dynamic-profile/view/1890972","19-1890972")</f>
        <v>0</v>
      </c>
      <c r="B2736" t="s">
        <v>171</v>
      </c>
      <c r="C2736" t="s">
        <v>246</v>
      </c>
      <c r="D2736" t="s">
        <v>605</v>
      </c>
      <c r="F2736" t="s">
        <v>2242</v>
      </c>
      <c r="G2736" t="s">
        <v>4060</v>
      </c>
      <c r="H2736" t="s">
        <v>5700</v>
      </c>
      <c r="I2736" t="s">
        <v>6415</v>
      </c>
      <c r="J2736" t="s">
        <v>7170</v>
      </c>
      <c r="K2736">
        <v>10453</v>
      </c>
      <c r="N2736" t="s">
        <v>7237</v>
      </c>
      <c r="O2736" t="s">
        <v>9035</v>
      </c>
      <c r="P2736">
        <v>2</v>
      </c>
      <c r="Q2736">
        <v>0</v>
      </c>
      <c r="R2736">
        <v>379.1</v>
      </c>
      <c r="U2736">
        <v>62400</v>
      </c>
      <c r="W2736">
        <v>0</v>
      </c>
      <c r="Y2736" t="s">
        <v>216</v>
      </c>
      <c r="AA2736" t="s">
        <v>10974</v>
      </c>
      <c r="AB2736" t="s">
        <v>370</v>
      </c>
      <c r="AD2736" t="s">
        <v>11098</v>
      </c>
      <c r="AF2736" t="s">
        <v>11122</v>
      </c>
      <c r="AH2736" t="s">
        <v>10974</v>
      </c>
      <c r="AJ2736" t="s">
        <v>11141</v>
      </c>
      <c r="AK2736" t="s">
        <v>7225</v>
      </c>
      <c r="AM2736">
        <v>1270</v>
      </c>
      <c r="AO2736">
        <v>44</v>
      </c>
      <c r="AQ2736" t="s">
        <v>11157</v>
      </c>
      <c r="AS2736" t="s">
        <v>11173</v>
      </c>
      <c r="AU2736">
        <v>3</v>
      </c>
      <c r="AW2736" t="s">
        <v>11187</v>
      </c>
      <c r="AZ2736" t="s">
        <v>11221</v>
      </c>
      <c r="BD2736" t="s">
        <v>11667</v>
      </c>
      <c r="BF2736" t="s">
        <v>14364</v>
      </c>
      <c r="BM2736" t="s">
        <v>15650</v>
      </c>
    </row>
    <row r="2737" spans="1:65">
      <c r="A2737" s="1">
        <f>HYPERLINK("https://lsnyc.legalserver.org/matter/dynamic-profile/view/1890970","19-1890970")</f>
        <v>0</v>
      </c>
      <c r="B2737" t="s">
        <v>171</v>
      </c>
      <c r="C2737" t="s">
        <v>246</v>
      </c>
      <c r="D2737" t="s">
        <v>605</v>
      </c>
      <c r="F2737" t="s">
        <v>2242</v>
      </c>
      <c r="G2737" t="s">
        <v>4060</v>
      </c>
      <c r="H2737" t="s">
        <v>5700</v>
      </c>
      <c r="I2737" t="s">
        <v>6415</v>
      </c>
      <c r="J2737" t="s">
        <v>7170</v>
      </c>
      <c r="K2737">
        <v>10453</v>
      </c>
      <c r="N2737" t="s">
        <v>7237</v>
      </c>
      <c r="O2737" t="s">
        <v>9035</v>
      </c>
      <c r="P2737">
        <v>2</v>
      </c>
      <c r="Q2737">
        <v>0</v>
      </c>
      <c r="R2737">
        <v>379.1</v>
      </c>
      <c r="U2737">
        <v>62400</v>
      </c>
      <c r="W2737">
        <v>0</v>
      </c>
      <c r="Y2737" t="s">
        <v>216</v>
      </c>
      <c r="AA2737" t="s">
        <v>10974</v>
      </c>
      <c r="AB2737" t="s">
        <v>370</v>
      </c>
      <c r="AD2737" t="s">
        <v>11101</v>
      </c>
      <c r="AF2737" t="s">
        <v>11118</v>
      </c>
      <c r="AH2737" t="s">
        <v>10974</v>
      </c>
      <c r="AJ2737" t="s">
        <v>11141</v>
      </c>
      <c r="AK2737" t="s">
        <v>7225</v>
      </c>
      <c r="AM2737">
        <v>1270</v>
      </c>
      <c r="AO2737">
        <v>44</v>
      </c>
      <c r="AQ2737" t="s">
        <v>11157</v>
      </c>
      <c r="AS2737" t="s">
        <v>11173</v>
      </c>
      <c r="AU2737">
        <v>3</v>
      </c>
      <c r="AW2737" t="s">
        <v>11187</v>
      </c>
      <c r="AZ2737" t="s">
        <v>11221</v>
      </c>
      <c r="BD2737" t="s">
        <v>11667</v>
      </c>
      <c r="BG2737" t="s">
        <v>15052</v>
      </c>
      <c r="BM2737" t="s">
        <v>15650</v>
      </c>
    </row>
    <row r="2738" spans="1:65">
      <c r="A2738" s="1">
        <f>HYPERLINK("https://lsnyc.legalserver.org/matter/dynamic-profile/view/1914847","19-1914847")</f>
        <v>0</v>
      </c>
      <c r="B2738" t="s">
        <v>171</v>
      </c>
      <c r="C2738" t="s">
        <v>246</v>
      </c>
      <c r="D2738" t="s">
        <v>262</v>
      </c>
      <c r="F2738" t="s">
        <v>1360</v>
      </c>
      <c r="G2738" t="s">
        <v>3136</v>
      </c>
      <c r="H2738" t="s">
        <v>4972</v>
      </c>
      <c r="I2738" t="s">
        <v>6413</v>
      </c>
      <c r="J2738" t="s">
        <v>7170</v>
      </c>
      <c r="K2738">
        <v>10452</v>
      </c>
      <c r="N2738" t="s">
        <v>7237</v>
      </c>
      <c r="O2738" t="s">
        <v>9033</v>
      </c>
      <c r="P2738">
        <v>2</v>
      </c>
      <c r="Q2738">
        <v>2</v>
      </c>
      <c r="R2738">
        <v>69.90000000000001</v>
      </c>
      <c r="U2738">
        <v>18000</v>
      </c>
      <c r="W2738">
        <v>0</v>
      </c>
      <c r="Y2738" t="s">
        <v>93</v>
      </c>
      <c r="AA2738" t="s">
        <v>10974</v>
      </c>
      <c r="AC2738" t="s">
        <v>11081</v>
      </c>
      <c r="AF2738" t="s">
        <v>11121</v>
      </c>
      <c r="AH2738" t="s">
        <v>10974</v>
      </c>
      <c r="AJ2738" t="s">
        <v>11141</v>
      </c>
      <c r="AK2738" t="s">
        <v>7225</v>
      </c>
      <c r="AM2738">
        <v>962</v>
      </c>
      <c r="AO2738">
        <v>63</v>
      </c>
      <c r="AQ2738" t="s">
        <v>11157</v>
      </c>
      <c r="AS2738" t="s">
        <v>11175</v>
      </c>
      <c r="AU2738">
        <v>44</v>
      </c>
      <c r="AW2738" t="s">
        <v>11187</v>
      </c>
      <c r="AX2738" t="s">
        <v>11212</v>
      </c>
      <c r="AZ2738" t="s">
        <v>11221</v>
      </c>
      <c r="BE2738" t="s">
        <v>13266</v>
      </c>
      <c r="BF2738" t="s">
        <v>14364</v>
      </c>
      <c r="BM2738" t="s">
        <v>15650</v>
      </c>
    </row>
    <row r="2739" spans="1:65">
      <c r="A2739" s="1">
        <f>HYPERLINK("https://lsnyc.legalserver.org/matter/dynamic-profile/view/1914694","19-1914694")</f>
        <v>0</v>
      </c>
      <c r="B2739" t="s">
        <v>171</v>
      </c>
      <c r="C2739" t="s">
        <v>246</v>
      </c>
      <c r="D2739" t="s">
        <v>297</v>
      </c>
      <c r="F2739" t="s">
        <v>2243</v>
      </c>
      <c r="G2739" t="s">
        <v>4061</v>
      </c>
      <c r="H2739" t="s">
        <v>4972</v>
      </c>
      <c r="I2739" t="s">
        <v>6448</v>
      </c>
      <c r="J2739" t="s">
        <v>7170</v>
      </c>
      <c r="K2739">
        <v>10452</v>
      </c>
      <c r="N2739" t="s">
        <v>7237</v>
      </c>
      <c r="O2739" t="s">
        <v>7838</v>
      </c>
      <c r="P2739">
        <v>3</v>
      </c>
      <c r="Q2739">
        <v>0</v>
      </c>
      <c r="R2739">
        <v>0</v>
      </c>
      <c r="U2739">
        <v>0</v>
      </c>
      <c r="W2739">
        <v>0</v>
      </c>
      <c r="Y2739" t="s">
        <v>10865</v>
      </c>
      <c r="AA2739" t="s">
        <v>10974</v>
      </c>
      <c r="AC2739" t="s">
        <v>11081</v>
      </c>
      <c r="AE2739" t="s">
        <v>11117</v>
      </c>
      <c r="AH2739" t="s">
        <v>10974</v>
      </c>
      <c r="AJ2739" t="s">
        <v>11129</v>
      </c>
      <c r="AK2739" t="s">
        <v>7225</v>
      </c>
      <c r="AM2739">
        <v>1063</v>
      </c>
      <c r="AO2739">
        <v>65</v>
      </c>
      <c r="AP2739" t="s">
        <v>11155</v>
      </c>
      <c r="AS2739" t="s">
        <v>11174</v>
      </c>
      <c r="AU2739">
        <v>18</v>
      </c>
      <c r="AW2739" t="s">
        <v>11189</v>
      </c>
      <c r="AX2739" t="s">
        <v>11212</v>
      </c>
      <c r="BA2739" t="s">
        <v>11222</v>
      </c>
      <c r="BE2739" t="s">
        <v>13268</v>
      </c>
      <c r="BF2739" t="s">
        <v>14364</v>
      </c>
      <c r="BM2739" t="s">
        <v>15650</v>
      </c>
    </row>
    <row r="2740" spans="1:65">
      <c r="A2740" s="1">
        <f>HYPERLINK("https://lsnyc.legalserver.org/matter/dynamic-profile/view/1887071","19-1887071")</f>
        <v>0</v>
      </c>
      <c r="B2740" t="s">
        <v>171</v>
      </c>
      <c r="C2740" t="s">
        <v>246</v>
      </c>
      <c r="D2740" t="s">
        <v>785</v>
      </c>
      <c r="F2740" t="s">
        <v>1491</v>
      </c>
      <c r="G2740" t="s">
        <v>2419</v>
      </c>
      <c r="H2740" t="s">
        <v>5700</v>
      </c>
      <c r="I2740" t="s">
        <v>6422</v>
      </c>
      <c r="J2740" t="s">
        <v>7170</v>
      </c>
      <c r="K2740">
        <v>10453</v>
      </c>
      <c r="N2740" t="s">
        <v>7237</v>
      </c>
      <c r="O2740" t="s">
        <v>9036</v>
      </c>
      <c r="P2740">
        <v>1</v>
      </c>
      <c r="Q2740">
        <v>4</v>
      </c>
      <c r="R2740">
        <v>139.68</v>
      </c>
      <c r="U2740">
        <v>41095</v>
      </c>
      <c r="W2740">
        <v>0</v>
      </c>
      <c r="Y2740" t="s">
        <v>10865</v>
      </c>
      <c r="AA2740" t="s">
        <v>10974</v>
      </c>
      <c r="AB2740" t="s">
        <v>631</v>
      </c>
      <c r="AD2740" t="s">
        <v>11086</v>
      </c>
      <c r="AF2740" t="s">
        <v>11120</v>
      </c>
      <c r="AH2740" t="s">
        <v>10974</v>
      </c>
      <c r="AJ2740" t="s">
        <v>11141</v>
      </c>
      <c r="AK2740" t="s">
        <v>7225</v>
      </c>
      <c r="AM2740">
        <v>968.91</v>
      </c>
      <c r="AO2740">
        <v>49</v>
      </c>
      <c r="AQ2740" t="s">
        <v>11157</v>
      </c>
      <c r="AS2740" t="s">
        <v>11173</v>
      </c>
      <c r="AU2740">
        <v>14</v>
      </c>
      <c r="AW2740" t="s">
        <v>11187</v>
      </c>
      <c r="AZ2740" t="s">
        <v>11221</v>
      </c>
      <c r="BE2740" t="s">
        <v>13269</v>
      </c>
      <c r="BF2740" t="s">
        <v>14364</v>
      </c>
      <c r="BM2740" t="s">
        <v>15650</v>
      </c>
    </row>
    <row r="2741" spans="1:65">
      <c r="A2741" s="1">
        <f>HYPERLINK("https://lsnyc.legalserver.org/matter/dynamic-profile/view/1887051","19-1887051")</f>
        <v>0</v>
      </c>
      <c r="B2741" t="s">
        <v>171</v>
      </c>
      <c r="C2741" t="s">
        <v>246</v>
      </c>
      <c r="D2741" t="s">
        <v>785</v>
      </c>
      <c r="F2741" t="s">
        <v>1491</v>
      </c>
      <c r="G2741" t="s">
        <v>2419</v>
      </c>
      <c r="H2741" t="s">
        <v>5700</v>
      </c>
      <c r="I2741" t="s">
        <v>6422</v>
      </c>
      <c r="J2741" t="s">
        <v>7170</v>
      </c>
      <c r="K2741">
        <v>10453</v>
      </c>
      <c r="N2741" t="s">
        <v>7237</v>
      </c>
      <c r="O2741" t="s">
        <v>9036</v>
      </c>
      <c r="P2741">
        <v>1</v>
      </c>
      <c r="Q2741">
        <v>4</v>
      </c>
      <c r="R2741">
        <v>139.68</v>
      </c>
      <c r="U2741">
        <v>41095</v>
      </c>
      <c r="W2741">
        <v>0</v>
      </c>
      <c r="Y2741" t="s">
        <v>10865</v>
      </c>
      <c r="AA2741" t="s">
        <v>10974</v>
      </c>
      <c r="AB2741" t="s">
        <v>370</v>
      </c>
      <c r="AD2741" t="s">
        <v>11101</v>
      </c>
      <c r="AF2741" t="s">
        <v>11118</v>
      </c>
      <c r="AH2741" t="s">
        <v>10974</v>
      </c>
      <c r="AJ2741" t="s">
        <v>11141</v>
      </c>
      <c r="AK2741" t="s">
        <v>7225</v>
      </c>
      <c r="AM2741">
        <v>968.91</v>
      </c>
      <c r="AO2741">
        <v>49</v>
      </c>
      <c r="AQ2741" t="s">
        <v>11157</v>
      </c>
      <c r="AS2741" t="s">
        <v>11173</v>
      </c>
      <c r="AU2741">
        <v>14</v>
      </c>
      <c r="AW2741" t="s">
        <v>11187</v>
      </c>
      <c r="AZ2741" t="s">
        <v>11221</v>
      </c>
      <c r="BE2741" t="s">
        <v>13269</v>
      </c>
      <c r="BG2741" t="s">
        <v>15052</v>
      </c>
      <c r="BM2741" t="s">
        <v>15650</v>
      </c>
    </row>
    <row r="2742" spans="1:65">
      <c r="A2742" s="1">
        <f>HYPERLINK("https://lsnyc.legalserver.org/matter/dynamic-profile/view/1908894","19-1908894")</f>
        <v>0</v>
      </c>
      <c r="B2742" t="s">
        <v>171</v>
      </c>
      <c r="C2742" t="s">
        <v>246</v>
      </c>
      <c r="D2742" t="s">
        <v>420</v>
      </c>
      <c r="F2742" t="s">
        <v>2244</v>
      </c>
      <c r="G2742" t="s">
        <v>2877</v>
      </c>
      <c r="H2742" t="s">
        <v>5702</v>
      </c>
      <c r="I2742">
        <v>26</v>
      </c>
      <c r="J2742" t="s">
        <v>7170</v>
      </c>
      <c r="K2742">
        <v>10458</v>
      </c>
      <c r="N2742" t="s">
        <v>7237</v>
      </c>
      <c r="O2742" t="s">
        <v>9037</v>
      </c>
      <c r="P2742">
        <v>1</v>
      </c>
      <c r="Q2742">
        <v>0</v>
      </c>
      <c r="R2742">
        <v>99.92</v>
      </c>
      <c r="U2742">
        <v>12480</v>
      </c>
      <c r="W2742">
        <v>0</v>
      </c>
      <c r="Y2742" t="s">
        <v>93</v>
      </c>
      <c r="AA2742" t="s">
        <v>10974</v>
      </c>
      <c r="AC2742" t="s">
        <v>11081</v>
      </c>
      <c r="AE2742" t="s">
        <v>11117</v>
      </c>
      <c r="AH2742" t="s">
        <v>10975</v>
      </c>
      <c r="AJ2742" t="s">
        <v>11141</v>
      </c>
      <c r="AK2742" t="s">
        <v>7225</v>
      </c>
      <c r="AM2742">
        <v>986.4</v>
      </c>
      <c r="AO2742">
        <v>30</v>
      </c>
      <c r="AQ2742" t="s">
        <v>11157</v>
      </c>
      <c r="AS2742" t="s">
        <v>11180</v>
      </c>
      <c r="AU2742">
        <v>5</v>
      </c>
      <c r="AW2742" t="s">
        <v>11189</v>
      </c>
      <c r="AX2742" t="s">
        <v>11212</v>
      </c>
      <c r="AZ2742" t="s">
        <v>11221</v>
      </c>
      <c r="BB2742" t="s">
        <v>11224</v>
      </c>
      <c r="BC2742" t="s">
        <v>11450</v>
      </c>
      <c r="BE2742" t="s">
        <v>13270</v>
      </c>
      <c r="BF2742" t="s">
        <v>14364</v>
      </c>
      <c r="BM2742" t="s">
        <v>15650</v>
      </c>
    </row>
    <row r="2743" spans="1:65">
      <c r="A2743" s="1">
        <f>HYPERLINK("https://lsnyc.legalserver.org/matter/dynamic-profile/view/1890966","19-1890966")</f>
        <v>0</v>
      </c>
      <c r="B2743" t="s">
        <v>171</v>
      </c>
      <c r="C2743" t="s">
        <v>246</v>
      </c>
      <c r="D2743" t="s">
        <v>605</v>
      </c>
      <c r="F2743" t="s">
        <v>2242</v>
      </c>
      <c r="G2743" t="s">
        <v>4060</v>
      </c>
      <c r="H2743" t="s">
        <v>5700</v>
      </c>
      <c r="I2743" t="s">
        <v>6415</v>
      </c>
      <c r="J2743" t="s">
        <v>7170</v>
      </c>
      <c r="K2743">
        <v>10453</v>
      </c>
      <c r="N2743" t="s">
        <v>7237</v>
      </c>
      <c r="O2743" t="s">
        <v>9035</v>
      </c>
      <c r="P2743">
        <v>2</v>
      </c>
      <c r="Q2743">
        <v>0</v>
      </c>
      <c r="R2743">
        <v>379.1</v>
      </c>
      <c r="U2743">
        <v>62400</v>
      </c>
      <c r="W2743">
        <v>0</v>
      </c>
      <c r="Y2743" t="s">
        <v>216</v>
      </c>
      <c r="AA2743" t="s">
        <v>10974</v>
      </c>
      <c r="AB2743" t="s">
        <v>370</v>
      </c>
      <c r="AD2743" t="s">
        <v>11086</v>
      </c>
      <c r="AF2743" t="s">
        <v>11120</v>
      </c>
      <c r="AH2743" t="s">
        <v>10974</v>
      </c>
      <c r="AJ2743" t="s">
        <v>11141</v>
      </c>
      <c r="AK2743" t="s">
        <v>7225</v>
      </c>
      <c r="AM2743">
        <v>1270</v>
      </c>
      <c r="AO2743">
        <v>44</v>
      </c>
      <c r="AQ2743" t="s">
        <v>11157</v>
      </c>
      <c r="AS2743" t="s">
        <v>11173</v>
      </c>
      <c r="AU2743">
        <v>3</v>
      </c>
      <c r="AW2743" t="s">
        <v>11187</v>
      </c>
      <c r="AZ2743" t="s">
        <v>11221</v>
      </c>
      <c r="BD2743" t="s">
        <v>11667</v>
      </c>
      <c r="BF2743" t="s">
        <v>14364</v>
      </c>
      <c r="BM2743" t="s">
        <v>15650</v>
      </c>
    </row>
    <row r="2744" spans="1:65">
      <c r="A2744" s="1">
        <f>HYPERLINK("https://lsnyc.legalserver.org/matter/dynamic-profile/view/1914697","19-1914697")</f>
        <v>0</v>
      </c>
      <c r="B2744" t="s">
        <v>171</v>
      </c>
      <c r="C2744" t="s">
        <v>246</v>
      </c>
      <c r="D2744" t="s">
        <v>297</v>
      </c>
      <c r="F2744" t="s">
        <v>1157</v>
      </c>
      <c r="G2744" t="s">
        <v>3196</v>
      </c>
      <c r="H2744" t="s">
        <v>4972</v>
      </c>
      <c r="I2744" t="s">
        <v>6595</v>
      </c>
      <c r="J2744" t="s">
        <v>7170</v>
      </c>
      <c r="K2744">
        <v>10452</v>
      </c>
      <c r="N2744" t="s">
        <v>7237</v>
      </c>
      <c r="O2744" t="s">
        <v>7658</v>
      </c>
      <c r="P2744">
        <v>1</v>
      </c>
      <c r="Q2744">
        <v>0</v>
      </c>
      <c r="R2744">
        <v>547.64</v>
      </c>
      <c r="U2744">
        <v>68400</v>
      </c>
      <c r="W2744">
        <v>0</v>
      </c>
      <c r="Y2744" t="s">
        <v>10865</v>
      </c>
      <c r="AA2744" t="s">
        <v>10974</v>
      </c>
      <c r="AC2744" t="s">
        <v>11081</v>
      </c>
      <c r="AE2744" t="s">
        <v>11117</v>
      </c>
      <c r="AH2744" t="s">
        <v>10974</v>
      </c>
      <c r="AJ2744" t="s">
        <v>11141</v>
      </c>
      <c r="AK2744" t="s">
        <v>7225</v>
      </c>
      <c r="AM2744">
        <v>930.77</v>
      </c>
      <c r="AO2744">
        <v>63</v>
      </c>
      <c r="AQ2744" t="s">
        <v>11157</v>
      </c>
      <c r="AS2744" t="s">
        <v>11173</v>
      </c>
      <c r="AT2744" t="s">
        <v>11184</v>
      </c>
      <c r="AU2744">
        <v>0</v>
      </c>
      <c r="AW2744" t="s">
        <v>11187</v>
      </c>
      <c r="AX2744" t="s">
        <v>11212</v>
      </c>
      <c r="AZ2744" t="s">
        <v>11221</v>
      </c>
      <c r="BE2744" t="s">
        <v>13271</v>
      </c>
      <c r="BF2744" t="s">
        <v>14364</v>
      </c>
      <c r="BM2744" t="s">
        <v>15650</v>
      </c>
    </row>
    <row r="2745" spans="1:65">
      <c r="A2745" s="1">
        <f>HYPERLINK("https://lsnyc.legalserver.org/matter/dynamic-profile/view/1909953","19-1909953")</f>
        <v>0</v>
      </c>
      <c r="B2745" t="s">
        <v>171</v>
      </c>
      <c r="C2745" t="s">
        <v>246</v>
      </c>
      <c r="D2745" t="s">
        <v>420</v>
      </c>
      <c r="F2745" t="s">
        <v>1139</v>
      </c>
      <c r="G2745" t="s">
        <v>4062</v>
      </c>
      <c r="H2745" t="s">
        <v>5259</v>
      </c>
      <c r="I2745" t="s">
        <v>6437</v>
      </c>
      <c r="J2745" t="s">
        <v>7170</v>
      </c>
      <c r="K2745">
        <v>10453</v>
      </c>
      <c r="N2745" t="s">
        <v>7237</v>
      </c>
      <c r="O2745" t="s">
        <v>9038</v>
      </c>
      <c r="P2745">
        <v>1</v>
      </c>
      <c r="Q2745">
        <v>0</v>
      </c>
      <c r="R2745">
        <v>101.59</v>
      </c>
      <c r="U2745">
        <v>12688</v>
      </c>
      <c r="W2745">
        <v>0.5</v>
      </c>
      <c r="X2745" t="s">
        <v>728</v>
      </c>
      <c r="Y2745" t="s">
        <v>216</v>
      </c>
      <c r="AA2745" t="s">
        <v>10974</v>
      </c>
      <c r="AC2745" t="s">
        <v>11081</v>
      </c>
      <c r="AF2745" t="s">
        <v>11119</v>
      </c>
      <c r="AH2745" t="s">
        <v>10975</v>
      </c>
      <c r="AJ2745" t="s">
        <v>11141</v>
      </c>
      <c r="AK2745" t="s">
        <v>7225</v>
      </c>
      <c r="AL2745" t="s">
        <v>11150</v>
      </c>
      <c r="AM2745">
        <v>0</v>
      </c>
      <c r="AO2745">
        <v>101</v>
      </c>
      <c r="AP2745" t="s">
        <v>11155</v>
      </c>
      <c r="AS2745" t="s">
        <v>11173</v>
      </c>
      <c r="AU2745">
        <v>11</v>
      </c>
      <c r="AW2745" t="s">
        <v>11187</v>
      </c>
      <c r="AX2745" t="s">
        <v>11212</v>
      </c>
      <c r="BA2745" t="s">
        <v>11222</v>
      </c>
      <c r="BE2745" t="s">
        <v>13272</v>
      </c>
      <c r="BF2745" t="s">
        <v>14364</v>
      </c>
      <c r="BM2745" t="s">
        <v>15650</v>
      </c>
    </row>
    <row r="2746" spans="1:65">
      <c r="A2746" s="1">
        <f>HYPERLINK("https://lsnyc.legalserver.org/matter/dynamic-profile/view/1906746","19-1906746")</f>
        <v>0</v>
      </c>
      <c r="B2746" t="s">
        <v>171</v>
      </c>
      <c r="C2746" t="s">
        <v>246</v>
      </c>
      <c r="D2746" t="s">
        <v>733</v>
      </c>
      <c r="F2746" t="s">
        <v>2243</v>
      </c>
      <c r="G2746" t="s">
        <v>4061</v>
      </c>
      <c r="H2746" t="s">
        <v>4972</v>
      </c>
      <c r="I2746" t="s">
        <v>6448</v>
      </c>
      <c r="J2746" t="s">
        <v>7170</v>
      </c>
      <c r="K2746">
        <v>10452</v>
      </c>
      <c r="N2746" t="s">
        <v>7237</v>
      </c>
      <c r="O2746" t="s">
        <v>7838</v>
      </c>
      <c r="P2746">
        <v>3</v>
      </c>
      <c r="Q2746">
        <v>0</v>
      </c>
      <c r="R2746">
        <v>0</v>
      </c>
      <c r="U2746">
        <v>0</v>
      </c>
      <c r="W2746">
        <v>0.1</v>
      </c>
      <c r="X2746" t="s">
        <v>345</v>
      </c>
      <c r="Y2746" t="s">
        <v>93</v>
      </c>
      <c r="AA2746" t="s">
        <v>10974</v>
      </c>
      <c r="AC2746" t="s">
        <v>11081</v>
      </c>
      <c r="AE2746" t="s">
        <v>11117</v>
      </c>
      <c r="AG2746" t="s">
        <v>11124</v>
      </c>
      <c r="AJ2746" t="s">
        <v>11134</v>
      </c>
      <c r="AK2746" t="s">
        <v>7225</v>
      </c>
      <c r="AM2746">
        <v>1063</v>
      </c>
      <c r="AO2746">
        <v>65</v>
      </c>
      <c r="AQ2746" t="s">
        <v>11164</v>
      </c>
      <c r="AS2746" t="s">
        <v>11174</v>
      </c>
      <c r="AU2746">
        <v>18</v>
      </c>
      <c r="AW2746" t="s">
        <v>11189</v>
      </c>
      <c r="AX2746" t="s">
        <v>11212</v>
      </c>
      <c r="AZ2746" t="s">
        <v>11221</v>
      </c>
      <c r="BE2746" t="s">
        <v>13268</v>
      </c>
      <c r="BF2746" t="s">
        <v>14364</v>
      </c>
      <c r="BM2746" t="s">
        <v>15650</v>
      </c>
    </row>
    <row r="2747" spans="1:65">
      <c r="A2747" s="1">
        <f>HYPERLINK("https://lsnyc.legalserver.org/matter/dynamic-profile/view/1909957","19-1909957")</f>
        <v>0</v>
      </c>
      <c r="B2747" t="s">
        <v>171</v>
      </c>
      <c r="C2747" t="s">
        <v>246</v>
      </c>
      <c r="D2747" t="s">
        <v>568</v>
      </c>
      <c r="F2747" t="s">
        <v>1144</v>
      </c>
      <c r="G2747" t="s">
        <v>4063</v>
      </c>
      <c r="H2747" t="s">
        <v>5703</v>
      </c>
      <c r="I2747">
        <v>7</v>
      </c>
      <c r="J2747" t="s">
        <v>7170</v>
      </c>
      <c r="K2747">
        <v>10454</v>
      </c>
      <c r="N2747" t="s">
        <v>7237</v>
      </c>
      <c r="O2747" t="s">
        <v>9039</v>
      </c>
      <c r="P2747">
        <v>1</v>
      </c>
      <c r="Q2747">
        <v>0</v>
      </c>
      <c r="R2747">
        <v>99.34</v>
      </c>
      <c r="U2747">
        <v>12408</v>
      </c>
      <c r="W2747">
        <v>1.5</v>
      </c>
      <c r="X2747" t="s">
        <v>341</v>
      </c>
      <c r="Y2747" t="s">
        <v>216</v>
      </c>
      <c r="AA2747" t="s">
        <v>10974</v>
      </c>
      <c r="AC2747" t="s">
        <v>11081</v>
      </c>
      <c r="AF2747" t="s">
        <v>11119</v>
      </c>
      <c r="AH2747" t="s">
        <v>10975</v>
      </c>
      <c r="AJ2747" t="s">
        <v>11141</v>
      </c>
      <c r="AK2747" t="s">
        <v>7225</v>
      </c>
      <c r="AM2747">
        <v>500</v>
      </c>
      <c r="AO2747">
        <v>1</v>
      </c>
      <c r="AQ2747" t="s">
        <v>11170</v>
      </c>
      <c r="AS2747" t="s">
        <v>11173</v>
      </c>
      <c r="AU2747">
        <v>14</v>
      </c>
      <c r="AW2747" t="s">
        <v>11187</v>
      </c>
      <c r="AX2747" t="s">
        <v>11212</v>
      </c>
      <c r="BA2747" t="s">
        <v>11222</v>
      </c>
      <c r="BE2747" t="s">
        <v>13273</v>
      </c>
      <c r="BF2747" t="s">
        <v>14364</v>
      </c>
      <c r="BM2747" t="s">
        <v>15650</v>
      </c>
    </row>
    <row r="2748" spans="1:65">
      <c r="A2748" s="1">
        <f>HYPERLINK("https://lsnyc.legalserver.org/matter/dynamic-profile/view/1894050","19-1894050")</f>
        <v>0</v>
      </c>
      <c r="B2748" t="s">
        <v>171</v>
      </c>
      <c r="C2748" t="s">
        <v>246</v>
      </c>
      <c r="D2748" t="s">
        <v>631</v>
      </c>
      <c r="F2748" t="s">
        <v>1244</v>
      </c>
      <c r="G2748" t="s">
        <v>4059</v>
      </c>
      <c r="H2748" t="s">
        <v>5700</v>
      </c>
      <c r="I2748" t="s">
        <v>6480</v>
      </c>
      <c r="J2748" t="s">
        <v>7170</v>
      </c>
      <c r="K2748">
        <v>10453</v>
      </c>
      <c r="N2748" t="s">
        <v>7237</v>
      </c>
      <c r="O2748" t="s">
        <v>9032</v>
      </c>
      <c r="P2748">
        <v>1</v>
      </c>
      <c r="Q2748">
        <v>0</v>
      </c>
      <c r="R2748">
        <v>510.77</v>
      </c>
      <c r="U2748">
        <v>62007.92</v>
      </c>
      <c r="W2748">
        <v>0</v>
      </c>
      <c r="Y2748" t="s">
        <v>216</v>
      </c>
      <c r="AA2748" t="s">
        <v>10974</v>
      </c>
      <c r="AB2748" t="s">
        <v>370</v>
      </c>
      <c r="AD2748" t="s">
        <v>11101</v>
      </c>
      <c r="AF2748" t="s">
        <v>11118</v>
      </c>
      <c r="AH2748" t="s">
        <v>10974</v>
      </c>
      <c r="AJ2748" t="s">
        <v>11141</v>
      </c>
      <c r="AK2748" t="s">
        <v>7225</v>
      </c>
      <c r="AM2748">
        <v>1102.63</v>
      </c>
      <c r="AO2748">
        <v>44</v>
      </c>
      <c r="AQ2748" t="s">
        <v>11157</v>
      </c>
      <c r="AS2748" t="s">
        <v>11173</v>
      </c>
      <c r="AU2748">
        <v>28</v>
      </c>
      <c r="AW2748" t="s">
        <v>11189</v>
      </c>
      <c r="AZ2748" t="s">
        <v>11221</v>
      </c>
      <c r="BE2748" t="s">
        <v>13265</v>
      </c>
      <c r="BG2748" t="s">
        <v>15052</v>
      </c>
      <c r="BM2748" t="s">
        <v>15650</v>
      </c>
    </row>
    <row r="2749" spans="1:65">
      <c r="A2749" s="1">
        <f>HYPERLINK("https://lsnyc.legalserver.org/matter/dynamic-profile/view/1914942","19-1914942")</f>
        <v>0</v>
      </c>
      <c r="B2749" t="s">
        <v>171</v>
      </c>
      <c r="C2749" t="s">
        <v>246</v>
      </c>
      <c r="D2749" t="s">
        <v>262</v>
      </c>
      <c r="F2749" t="s">
        <v>1391</v>
      </c>
      <c r="G2749" t="s">
        <v>2938</v>
      </c>
      <c r="H2749" t="s">
        <v>4972</v>
      </c>
      <c r="I2749" t="s">
        <v>6502</v>
      </c>
      <c r="J2749" t="s">
        <v>7170</v>
      </c>
      <c r="K2749">
        <v>10452</v>
      </c>
      <c r="N2749" t="s">
        <v>7237</v>
      </c>
      <c r="O2749" t="s">
        <v>9040</v>
      </c>
      <c r="P2749">
        <v>1</v>
      </c>
      <c r="Q2749">
        <v>0</v>
      </c>
      <c r="R2749">
        <v>74.08</v>
      </c>
      <c r="U2749">
        <v>9252</v>
      </c>
      <c r="W2749">
        <v>0</v>
      </c>
      <c r="Y2749" t="s">
        <v>10897</v>
      </c>
      <c r="Z2749" t="s">
        <v>10972</v>
      </c>
      <c r="AA2749" t="s">
        <v>10976</v>
      </c>
      <c r="AC2749" t="s">
        <v>11081</v>
      </c>
      <c r="AE2749" t="s">
        <v>11117</v>
      </c>
      <c r="AH2749" t="s">
        <v>10974</v>
      </c>
      <c r="AJ2749" t="s">
        <v>11141</v>
      </c>
      <c r="AK2749" t="s">
        <v>7225</v>
      </c>
      <c r="AM2749">
        <v>1260</v>
      </c>
      <c r="AO2749">
        <v>65</v>
      </c>
      <c r="AQ2749" t="s">
        <v>11157</v>
      </c>
      <c r="AS2749" t="s">
        <v>11176</v>
      </c>
      <c r="AU2749">
        <v>44</v>
      </c>
      <c r="AW2749" t="s">
        <v>11189</v>
      </c>
      <c r="AX2749" t="s">
        <v>11212</v>
      </c>
      <c r="AZ2749" t="s">
        <v>11221</v>
      </c>
      <c r="BE2749" t="s">
        <v>11986</v>
      </c>
      <c r="BF2749" t="s">
        <v>14364</v>
      </c>
      <c r="BM2749" t="s">
        <v>15650</v>
      </c>
    </row>
    <row r="2750" spans="1:65">
      <c r="A2750" s="1">
        <f>HYPERLINK("https://lsnyc.legalserver.org/matter/dynamic-profile/view/1890408","18-1890408")</f>
        <v>0</v>
      </c>
      <c r="B2750" t="s">
        <v>171</v>
      </c>
      <c r="C2750" t="s">
        <v>246</v>
      </c>
      <c r="D2750" t="s">
        <v>405</v>
      </c>
      <c r="F2750" t="s">
        <v>2238</v>
      </c>
      <c r="G2750" t="s">
        <v>4054</v>
      </c>
      <c r="H2750" t="s">
        <v>5700</v>
      </c>
      <c r="I2750" t="s">
        <v>6909</v>
      </c>
      <c r="J2750" t="s">
        <v>7170</v>
      </c>
      <c r="K2750">
        <v>10453</v>
      </c>
      <c r="N2750" t="s">
        <v>7237</v>
      </c>
      <c r="O2750" t="s">
        <v>9027</v>
      </c>
      <c r="P2750">
        <v>2</v>
      </c>
      <c r="Q2750">
        <v>0</v>
      </c>
      <c r="R2750">
        <v>47.39</v>
      </c>
      <c r="U2750">
        <v>7800</v>
      </c>
      <c r="W2750">
        <v>0</v>
      </c>
      <c r="Y2750" t="s">
        <v>216</v>
      </c>
      <c r="AA2750" t="s">
        <v>10974</v>
      </c>
      <c r="AB2750" t="s">
        <v>370</v>
      </c>
      <c r="AD2750" t="s">
        <v>11098</v>
      </c>
      <c r="AF2750" t="s">
        <v>11122</v>
      </c>
      <c r="AH2750" t="s">
        <v>10974</v>
      </c>
      <c r="AJ2750" t="s">
        <v>11141</v>
      </c>
      <c r="AK2750" t="s">
        <v>7225</v>
      </c>
      <c r="AM2750">
        <v>713.8</v>
      </c>
      <c r="AO2750">
        <v>44</v>
      </c>
      <c r="AQ2750" t="s">
        <v>11157</v>
      </c>
      <c r="AS2750" t="s">
        <v>11173</v>
      </c>
      <c r="AU2750">
        <v>28</v>
      </c>
      <c r="AW2750" t="s">
        <v>11189</v>
      </c>
      <c r="AZ2750" t="s">
        <v>11221</v>
      </c>
      <c r="BE2750" t="s">
        <v>13260</v>
      </c>
      <c r="BF2750" t="s">
        <v>14364</v>
      </c>
      <c r="BM2750" t="s">
        <v>15650</v>
      </c>
    </row>
    <row r="2751" spans="1:65">
      <c r="A2751" s="1">
        <f>HYPERLINK("https://lsnyc.legalserver.org/matter/dynamic-profile/view/1906591","19-1906591")</f>
        <v>0</v>
      </c>
      <c r="B2751" t="s">
        <v>171</v>
      </c>
      <c r="C2751" t="s">
        <v>246</v>
      </c>
      <c r="D2751" t="s">
        <v>429</v>
      </c>
      <c r="F2751" t="s">
        <v>1391</v>
      </c>
      <c r="G2751" t="s">
        <v>2938</v>
      </c>
      <c r="H2751" t="s">
        <v>4972</v>
      </c>
      <c r="I2751" t="s">
        <v>6502</v>
      </c>
      <c r="J2751" t="s">
        <v>7170</v>
      </c>
      <c r="K2751">
        <v>10452</v>
      </c>
      <c r="N2751" t="s">
        <v>7237</v>
      </c>
      <c r="O2751" t="s">
        <v>9040</v>
      </c>
      <c r="P2751">
        <v>1</v>
      </c>
      <c r="Q2751">
        <v>0</v>
      </c>
      <c r="R2751">
        <v>67.25</v>
      </c>
      <c r="U2751">
        <v>8400</v>
      </c>
      <c r="W2751">
        <v>142.95</v>
      </c>
      <c r="X2751" t="s">
        <v>436</v>
      </c>
      <c r="Y2751" t="s">
        <v>93</v>
      </c>
      <c r="AA2751" t="s">
        <v>10974</v>
      </c>
      <c r="AC2751" t="s">
        <v>11081</v>
      </c>
      <c r="AE2751" t="s">
        <v>11117</v>
      </c>
      <c r="AH2751" t="s">
        <v>10974</v>
      </c>
      <c r="AJ2751" t="s">
        <v>11134</v>
      </c>
      <c r="AK2751" t="s">
        <v>7225</v>
      </c>
      <c r="AM2751">
        <v>1260</v>
      </c>
      <c r="AO2751">
        <v>65</v>
      </c>
      <c r="AQ2751" t="s">
        <v>11157</v>
      </c>
      <c r="AS2751" t="s">
        <v>11176</v>
      </c>
      <c r="AU2751">
        <v>44</v>
      </c>
      <c r="AW2751" t="s">
        <v>11189</v>
      </c>
      <c r="AX2751" t="s">
        <v>11212</v>
      </c>
      <c r="AZ2751" t="s">
        <v>11221</v>
      </c>
      <c r="BE2751" t="s">
        <v>13274</v>
      </c>
      <c r="BF2751" t="s">
        <v>14364</v>
      </c>
      <c r="BM2751" t="s">
        <v>15650</v>
      </c>
    </row>
    <row r="2752" spans="1:65">
      <c r="A2752" s="1">
        <f>HYPERLINK("https://lsnyc.legalserver.org/matter/dynamic-profile/view/1914836","19-1914836")</f>
        <v>0</v>
      </c>
      <c r="B2752" t="s">
        <v>171</v>
      </c>
      <c r="C2752" t="s">
        <v>246</v>
      </c>
      <c r="D2752" t="s">
        <v>262</v>
      </c>
      <c r="F2752" t="s">
        <v>2245</v>
      </c>
      <c r="G2752" t="s">
        <v>2877</v>
      </c>
      <c r="H2752" t="s">
        <v>4972</v>
      </c>
      <c r="I2752" t="s">
        <v>6451</v>
      </c>
      <c r="J2752" t="s">
        <v>7170</v>
      </c>
      <c r="K2752">
        <v>10452</v>
      </c>
      <c r="N2752" t="s">
        <v>7237</v>
      </c>
      <c r="O2752" t="s">
        <v>7601</v>
      </c>
      <c r="P2752">
        <v>2</v>
      </c>
      <c r="Q2752">
        <v>1</v>
      </c>
      <c r="R2752">
        <v>46.81</v>
      </c>
      <c r="U2752">
        <v>9984</v>
      </c>
      <c r="W2752">
        <v>0</v>
      </c>
      <c r="Y2752" t="s">
        <v>93</v>
      </c>
      <c r="Z2752" t="s">
        <v>10972</v>
      </c>
      <c r="AA2752" t="s">
        <v>10975</v>
      </c>
      <c r="AC2752" t="s">
        <v>11081</v>
      </c>
      <c r="AF2752" t="s">
        <v>11121</v>
      </c>
      <c r="AH2752" t="s">
        <v>10974</v>
      </c>
      <c r="AJ2752" t="s">
        <v>11141</v>
      </c>
      <c r="AK2752" t="s">
        <v>7225</v>
      </c>
      <c r="AM2752">
        <v>980</v>
      </c>
      <c r="AO2752">
        <v>63</v>
      </c>
      <c r="AQ2752" t="s">
        <v>11157</v>
      </c>
      <c r="AS2752" t="s">
        <v>11104</v>
      </c>
      <c r="AU2752">
        <v>16</v>
      </c>
      <c r="AW2752" t="s">
        <v>11189</v>
      </c>
      <c r="AX2752" t="s">
        <v>11212</v>
      </c>
      <c r="AZ2752" t="s">
        <v>11221</v>
      </c>
      <c r="BD2752" t="s">
        <v>11667</v>
      </c>
      <c r="BF2752" t="s">
        <v>14364</v>
      </c>
      <c r="BM2752" t="s">
        <v>15650</v>
      </c>
    </row>
    <row r="2753" spans="1:65">
      <c r="A2753" s="1">
        <f>HYPERLINK("https://lsnyc.legalserver.org/matter/dynamic-profile/view/1906660","19-1906660")</f>
        <v>0</v>
      </c>
      <c r="B2753" t="s">
        <v>171</v>
      </c>
      <c r="C2753" t="s">
        <v>246</v>
      </c>
      <c r="D2753" t="s">
        <v>429</v>
      </c>
      <c r="F2753" t="s">
        <v>2240</v>
      </c>
      <c r="G2753" t="s">
        <v>4057</v>
      </c>
      <c r="H2753" t="s">
        <v>4972</v>
      </c>
      <c r="I2753" t="s">
        <v>6414</v>
      </c>
      <c r="J2753" t="s">
        <v>7170</v>
      </c>
      <c r="K2753">
        <v>10452</v>
      </c>
      <c r="N2753" t="s">
        <v>7237</v>
      </c>
      <c r="O2753" t="s">
        <v>9030</v>
      </c>
      <c r="P2753">
        <v>2</v>
      </c>
      <c r="Q2753">
        <v>0</v>
      </c>
      <c r="R2753">
        <v>354.82</v>
      </c>
      <c r="U2753">
        <v>60000</v>
      </c>
      <c r="W2753">
        <v>9</v>
      </c>
      <c r="X2753" t="s">
        <v>422</v>
      </c>
      <c r="Y2753" t="s">
        <v>93</v>
      </c>
      <c r="AA2753" t="s">
        <v>10974</v>
      </c>
      <c r="AC2753" t="s">
        <v>11081</v>
      </c>
      <c r="AE2753" t="s">
        <v>11117</v>
      </c>
      <c r="AH2753" t="s">
        <v>10974</v>
      </c>
      <c r="AJ2753" t="s">
        <v>11141</v>
      </c>
      <c r="AK2753" t="s">
        <v>7225</v>
      </c>
      <c r="AM2753">
        <v>15</v>
      </c>
      <c r="AO2753">
        <v>65</v>
      </c>
      <c r="AQ2753" t="s">
        <v>11157</v>
      </c>
      <c r="AS2753" t="s">
        <v>11173</v>
      </c>
      <c r="AU2753">
        <v>15</v>
      </c>
      <c r="AW2753" t="s">
        <v>11187</v>
      </c>
      <c r="AX2753" t="s">
        <v>11212</v>
      </c>
      <c r="AZ2753" t="s">
        <v>11221</v>
      </c>
      <c r="BE2753" t="s">
        <v>13263</v>
      </c>
      <c r="BF2753" t="s">
        <v>14364</v>
      </c>
      <c r="BM2753" t="s">
        <v>15650</v>
      </c>
    </row>
    <row r="2754" spans="1:65">
      <c r="A2754" s="1">
        <f>HYPERLINK("https://lsnyc.legalserver.org/matter/dynamic-profile/view/1914932","19-1914932")</f>
        <v>0</v>
      </c>
      <c r="B2754" t="s">
        <v>171</v>
      </c>
      <c r="C2754" t="s">
        <v>246</v>
      </c>
      <c r="D2754" t="s">
        <v>262</v>
      </c>
      <c r="F2754" t="s">
        <v>2241</v>
      </c>
      <c r="G2754" t="s">
        <v>3165</v>
      </c>
      <c r="H2754" t="s">
        <v>4972</v>
      </c>
      <c r="I2754" t="s">
        <v>6407</v>
      </c>
      <c r="J2754" t="s">
        <v>7170</v>
      </c>
      <c r="K2754">
        <v>10452</v>
      </c>
      <c r="N2754" t="s">
        <v>7237</v>
      </c>
      <c r="O2754" t="s">
        <v>9034</v>
      </c>
      <c r="P2754">
        <v>1</v>
      </c>
      <c r="Q2754">
        <v>0</v>
      </c>
      <c r="R2754">
        <v>72.92</v>
      </c>
      <c r="U2754">
        <v>9108</v>
      </c>
      <c r="W2754">
        <v>0</v>
      </c>
      <c r="Y2754" t="s">
        <v>10897</v>
      </c>
      <c r="Z2754" t="s">
        <v>10972</v>
      </c>
      <c r="AA2754" t="s">
        <v>10976</v>
      </c>
      <c r="AC2754" t="s">
        <v>11081</v>
      </c>
      <c r="AE2754" t="s">
        <v>11117</v>
      </c>
      <c r="AH2754" t="s">
        <v>10974</v>
      </c>
      <c r="AJ2754" t="s">
        <v>11141</v>
      </c>
      <c r="AK2754" t="s">
        <v>7225</v>
      </c>
      <c r="AM2754">
        <v>1659</v>
      </c>
      <c r="AO2754">
        <v>65</v>
      </c>
      <c r="AQ2754" t="s">
        <v>11164</v>
      </c>
      <c r="AS2754" t="s">
        <v>11174</v>
      </c>
      <c r="AU2754">
        <v>19</v>
      </c>
      <c r="AW2754" t="s">
        <v>11189</v>
      </c>
      <c r="AX2754" t="s">
        <v>11212</v>
      </c>
      <c r="AZ2754" t="s">
        <v>11221</v>
      </c>
      <c r="BE2754" t="s">
        <v>13267</v>
      </c>
      <c r="BF2754" t="s">
        <v>14364</v>
      </c>
      <c r="BM2754" t="s">
        <v>15650</v>
      </c>
    </row>
    <row r="2755" spans="1:65">
      <c r="A2755" s="1">
        <f>HYPERLINK("https://lsnyc.legalserver.org/matter/dynamic-profile/view/1914587","19-1914587")</f>
        <v>0</v>
      </c>
      <c r="B2755" t="s">
        <v>171</v>
      </c>
      <c r="C2755" t="s">
        <v>246</v>
      </c>
      <c r="D2755" t="s">
        <v>735</v>
      </c>
      <c r="F2755" t="s">
        <v>2245</v>
      </c>
      <c r="G2755" t="s">
        <v>2877</v>
      </c>
      <c r="H2755" t="s">
        <v>4972</v>
      </c>
      <c r="I2755" t="s">
        <v>6451</v>
      </c>
      <c r="J2755" t="s">
        <v>7170</v>
      </c>
      <c r="K2755">
        <v>10452</v>
      </c>
      <c r="N2755" t="s">
        <v>7237</v>
      </c>
      <c r="O2755" t="s">
        <v>7601</v>
      </c>
      <c r="P2755">
        <v>2</v>
      </c>
      <c r="Q2755">
        <v>1</v>
      </c>
      <c r="R2755">
        <v>46.81</v>
      </c>
      <c r="U2755">
        <v>9984</v>
      </c>
      <c r="W2755">
        <v>0</v>
      </c>
      <c r="Y2755" t="s">
        <v>216</v>
      </c>
      <c r="AA2755" t="s">
        <v>10974</v>
      </c>
      <c r="AC2755" t="s">
        <v>11081</v>
      </c>
      <c r="AF2755" t="s">
        <v>11119</v>
      </c>
      <c r="AH2755" t="s">
        <v>10974</v>
      </c>
      <c r="AJ2755" t="s">
        <v>11141</v>
      </c>
      <c r="AK2755" t="s">
        <v>7225</v>
      </c>
      <c r="AM2755">
        <v>980</v>
      </c>
      <c r="AO2755">
        <v>63</v>
      </c>
      <c r="AQ2755" t="s">
        <v>11157</v>
      </c>
      <c r="AS2755" t="s">
        <v>11104</v>
      </c>
      <c r="AU2755">
        <v>16</v>
      </c>
      <c r="AW2755" t="s">
        <v>11189</v>
      </c>
      <c r="AX2755" t="s">
        <v>11212</v>
      </c>
      <c r="BA2755" t="s">
        <v>11222</v>
      </c>
      <c r="BD2755" t="s">
        <v>11667</v>
      </c>
      <c r="BF2755" t="s">
        <v>14364</v>
      </c>
      <c r="BM2755" t="s">
        <v>15650</v>
      </c>
    </row>
    <row r="2756" spans="1:65">
      <c r="A2756" s="1">
        <f>HYPERLINK("https://lsnyc.legalserver.org/matter/dynamic-profile/view/1892227","19-1892227")</f>
        <v>0</v>
      </c>
      <c r="B2756" t="s">
        <v>171</v>
      </c>
      <c r="C2756" t="s">
        <v>246</v>
      </c>
      <c r="D2756" t="s">
        <v>503</v>
      </c>
      <c r="F2756" t="s">
        <v>1491</v>
      </c>
      <c r="G2756" t="s">
        <v>2419</v>
      </c>
      <c r="H2756" t="s">
        <v>5700</v>
      </c>
      <c r="I2756" t="s">
        <v>6422</v>
      </c>
      <c r="J2756" t="s">
        <v>7170</v>
      </c>
      <c r="K2756">
        <v>10453</v>
      </c>
      <c r="N2756" t="s">
        <v>7237</v>
      </c>
      <c r="O2756" t="s">
        <v>9036</v>
      </c>
      <c r="P2756">
        <v>1</v>
      </c>
      <c r="Q2756">
        <v>4</v>
      </c>
      <c r="R2756">
        <v>136.21</v>
      </c>
      <c r="U2756">
        <v>41095</v>
      </c>
      <c r="W2756">
        <v>0</v>
      </c>
      <c r="Y2756" t="s">
        <v>10865</v>
      </c>
      <c r="AA2756" t="s">
        <v>10974</v>
      </c>
      <c r="AB2756" t="s">
        <v>370</v>
      </c>
      <c r="AD2756" t="s">
        <v>11098</v>
      </c>
      <c r="AF2756" t="s">
        <v>11122</v>
      </c>
      <c r="AH2756" t="s">
        <v>10974</v>
      </c>
      <c r="AJ2756" t="s">
        <v>11141</v>
      </c>
      <c r="AK2756" t="s">
        <v>7225</v>
      </c>
      <c r="AM2756">
        <v>968.91</v>
      </c>
      <c r="AO2756">
        <v>49</v>
      </c>
      <c r="AQ2756" t="s">
        <v>11157</v>
      </c>
      <c r="AS2756" t="s">
        <v>11173</v>
      </c>
      <c r="AU2756">
        <v>14</v>
      </c>
      <c r="AW2756" t="s">
        <v>11187</v>
      </c>
      <c r="AZ2756" t="s">
        <v>11221</v>
      </c>
      <c r="BE2756" t="s">
        <v>13269</v>
      </c>
      <c r="BF2756" t="s">
        <v>14364</v>
      </c>
      <c r="BM2756" t="s">
        <v>15650</v>
      </c>
    </row>
    <row r="2757" spans="1:65">
      <c r="A2757" s="1">
        <f>HYPERLINK("https://lsnyc.legalserver.org/matter/dynamic-profile/view/1914602","19-1914602")</f>
        <v>0</v>
      </c>
      <c r="B2757" t="s">
        <v>171</v>
      </c>
      <c r="C2757" t="s">
        <v>246</v>
      </c>
      <c r="D2757" t="s">
        <v>735</v>
      </c>
      <c r="F2757" t="s">
        <v>2246</v>
      </c>
      <c r="G2757" t="s">
        <v>4064</v>
      </c>
      <c r="H2757" t="s">
        <v>5704</v>
      </c>
      <c r="I2757" t="s">
        <v>6910</v>
      </c>
      <c r="J2757" t="s">
        <v>7170</v>
      </c>
      <c r="K2757">
        <v>10453</v>
      </c>
      <c r="N2757" t="s">
        <v>7237</v>
      </c>
      <c r="P2757">
        <v>2</v>
      </c>
      <c r="Q2757">
        <v>0</v>
      </c>
      <c r="R2757">
        <v>66.70999999999999</v>
      </c>
      <c r="U2757">
        <v>11280</v>
      </c>
      <c r="W2757">
        <v>0</v>
      </c>
      <c r="Y2757" t="s">
        <v>216</v>
      </c>
      <c r="AA2757" t="s">
        <v>10974</v>
      </c>
      <c r="AC2757" t="s">
        <v>11081</v>
      </c>
      <c r="AF2757" t="s">
        <v>11119</v>
      </c>
      <c r="AH2757" t="s">
        <v>10975</v>
      </c>
      <c r="AJ2757" t="s">
        <v>11141</v>
      </c>
      <c r="AK2757" t="s">
        <v>7225</v>
      </c>
      <c r="AL2757" t="s">
        <v>11150</v>
      </c>
      <c r="AM2757">
        <v>0</v>
      </c>
      <c r="AO2757">
        <v>31</v>
      </c>
      <c r="AP2757" t="s">
        <v>11155</v>
      </c>
      <c r="AR2757" t="s">
        <v>11172</v>
      </c>
      <c r="AT2757" t="s">
        <v>11184</v>
      </c>
      <c r="AU2757">
        <v>0</v>
      </c>
      <c r="AW2757" t="s">
        <v>11189</v>
      </c>
      <c r="AX2757" t="s">
        <v>11212</v>
      </c>
      <c r="BA2757" t="s">
        <v>11222</v>
      </c>
      <c r="BE2757" t="s">
        <v>13275</v>
      </c>
      <c r="BF2757" t="s">
        <v>14364</v>
      </c>
      <c r="BM2757" t="s">
        <v>15650</v>
      </c>
    </row>
    <row r="2758" spans="1:65">
      <c r="A2758" s="1">
        <f>HYPERLINK("https://lsnyc.legalserver.org/matter/dynamic-profile/view/1894068","18-1894068")</f>
        <v>0</v>
      </c>
      <c r="B2758" t="s">
        <v>171</v>
      </c>
      <c r="C2758" t="s">
        <v>246</v>
      </c>
      <c r="D2758" t="s">
        <v>405</v>
      </c>
      <c r="F2758" t="s">
        <v>1238</v>
      </c>
      <c r="G2758" t="s">
        <v>2962</v>
      </c>
      <c r="H2758" t="s">
        <v>5700</v>
      </c>
      <c r="I2758" t="s">
        <v>6437</v>
      </c>
      <c r="J2758" t="s">
        <v>7170</v>
      </c>
      <c r="K2758">
        <v>10453</v>
      </c>
      <c r="N2758" t="s">
        <v>7237</v>
      </c>
      <c r="O2758" t="s">
        <v>9041</v>
      </c>
      <c r="P2758">
        <v>1</v>
      </c>
      <c r="Q2758">
        <v>0</v>
      </c>
      <c r="R2758">
        <v>95.19</v>
      </c>
      <c r="U2758">
        <v>11556</v>
      </c>
      <c r="W2758">
        <v>0</v>
      </c>
      <c r="Y2758" t="s">
        <v>216</v>
      </c>
      <c r="AA2758" t="s">
        <v>10974</v>
      </c>
      <c r="AB2758" t="s">
        <v>631</v>
      </c>
      <c r="AD2758" t="s">
        <v>11086</v>
      </c>
      <c r="AF2758" t="s">
        <v>11120</v>
      </c>
      <c r="AH2758" t="s">
        <v>10974</v>
      </c>
      <c r="AJ2758" t="s">
        <v>11141</v>
      </c>
      <c r="AK2758" t="s">
        <v>7225</v>
      </c>
      <c r="AL2758" t="s">
        <v>11150</v>
      </c>
      <c r="AM2758">
        <v>0</v>
      </c>
      <c r="AO2758">
        <v>44</v>
      </c>
      <c r="AQ2758" t="s">
        <v>11157</v>
      </c>
      <c r="AS2758" t="s">
        <v>11104</v>
      </c>
      <c r="AU2758">
        <v>13</v>
      </c>
      <c r="AW2758" t="s">
        <v>11187</v>
      </c>
      <c r="AZ2758" t="s">
        <v>11221</v>
      </c>
      <c r="BE2758" t="s">
        <v>13276</v>
      </c>
      <c r="BF2758" t="s">
        <v>14364</v>
      </c>
      <c r="BM2758" t="s">
        <v>15650</v>
      </c>
    </row>
    <row r="2759" spans="1:65">
      <c r="A2759" s="1">
        <f>HYPERLINK("https://lsnyc.legalserver.org/matter/dynamic-profile/view/1914843","19-1914843")</f>
        <v>0</v>
      </c>
      <c r="B2759" t="s">
        <v>171</v>
      </c>
      <c r="C2759" t="s">
        <v>246</v>
      </c>
      <c r="D2759" t="s">
        <v>262</v>
      </c>
      <c r="F2759" t="s">
        <v>1419</v>
      </c>
      <c r="G2759" t="s">
        <v>1261</v>
      </c>
      <c r="H2759" t="s">
        <v>4972</v>
      </c>
      <c r="I2759" t="s">
        <v>6527</v>
      </c>
      <c r="J2759" t="s">
        <v>7170</v>
      </c>
      <c r="K2759">
        <v>10452</v>
      </c>
      <c r="N2759" t="s">
        <v>7237</v>
      </c>
      <c r="O2759" t="s">
        <v>9026</v>
      </c>
      <c r="P2759">
        <v>3</v>
      </c>
      <c r="Q2759">
        <v>0</v>
      </c>
      <c r="R2759">
        <v>170.65</v>
      </c>
      <c r="U2759">
        <v>36400</v>
      </c>
      <c r="W2759">
        <v>0</v>
      </c>
      <c r="Y2759" t="s">
        <v>93</v>
      </c>
      <c r="AA2759" t="s">
        <v>10974</v>
      </c>
      <c r="AC2759" t="s">
        <v>11081</v>
      </c>
      <c r="AE2759" t="s">
        <v>11117</v>
      </c>
      <c r="AH2759" t="s">
        <v>10974</v>
      </c>
      <c r="AJ2759" t="s">
        <v>11141</v>
      </c>
      <c r="AK2759" t="s">
        <v>7225</v>
      </c>
      <c r="AM2759">
        <v>2170.39</v>
      </c>
      <c r="AO2759">
        <v>63</v>
      </c>
      <c r="AQ2759" t="s">
        <v>11164</v>
      </c>
      <c r="AS2759" t="s">
        <v>11173</v>
      </c>
      <c r="AU2759">
        <v>14</v>
      </c>
      <c r="AW2759" t="s">
        <v>11187</v>
      </c>
      <c r="AX2759" t="s">
        <v>11212</v>
      </c>
      <c r="AZ2759" t="s">
        <v>11221</v>
      </c>
      <c r="BD2759" t="s">
        <v>11667</v>
      </c>
      <c r="BF2759" t="s">
        <v>14364</v>
      </c>
      <c r="BM2759" t="s">
        <v>15650</v>
      </c>
    </row>
    <row r="2760" spans="1:65">
      <c r="A2760" s="1">
        <f>HYPERLINK("https://lsnyc.legalserver.org/matter/dynamic-profile/view/1914679","19-1914679")</f>
        <v>0</v>
      </c>
      <c r="B2760" t="s">
        <v>171</v>
      </c>
      <c r="C2760" t="s">
        <v>246</v>
      </c>
      <c r="D2760" t="s">
        <v>735</v>
      </c>
      <c r="F2760" t="s">
        <v>1450</v>
      </c>
      <c r="G2760" t="s">
        <v>4058</v>
      </c>
      <c r="H2760" t="s">
        <v>5705</v>
      </c>
      <c r="I2760" t="s">
        <v>6424</v>
      </c>
      <c r="J2760" t="s">
        <v>7170</v>
      </c>
      <c r="K2760">
        <v>10451</v>
      </c>
      <c r="N2760" t="s">
        <v>7237</v>
      </c>
      <c r="O2760" t="s">
        <v>9031</v>
      </c>
      <c r="P2760">
        <v>2</v>
      </c>
      <c r="Q2760">
        <v>1</v>
      </c>
      <c r="R2760">
        <v>157.52</v>
      </c>
      <c r="U2760">
        <v>33600</v>
      </c>
      <c r="W2760">
        <v>0</v>
      </c>
      <c r="Y2760" t="s">
        <v>10952</v>
      </c>
      <c r="AA2760" t="s">
        <v>10974</v>
      </c>
      <c r="AC2760" t="s">
        <v>11081</v>
      </c>
      <c r="AF2760" t="s">
        <v>11119</v>
      </c>
      <c r="AH2760" t="s">
        <v>10975</v>
      </c>
      <c r="AI2760" t="s">
        <v>11126</v>
      </c>
      <c r="AK2760" t="s">
        <v>7225</v>
      </c>
      <c r="AL2760" t="s">
        <v>11150</v>
      </c>
      <c r="AM2760">
        <v>0</v>
      </c>
      <c r="AN2760" t="s">
        <v>11151</v>
      </c>
      <c r="AO2760" t="s">
        <v>11153</v>
      </c>
      <c r="AP2760" t="s">
        <v>11155</v>
      </c>
      <c r="AS2760" t="s">
        <v>11173</v>
      </c>
      <c r="AT2760" t="s">
        <v>11184</v>
      </c>
      <c r="AU2760">
        <v>0</v>
      </c>
      <c r="AW2760" t="s">
        <v>11189</v>
      </c>
      <c r="AX2760" t="s">
        <v>11212</v>
      </c>
      <c r="BA2760" t="s">
        <v>11222</v>
      </c>
      <c r="BE2760" t="s">
        <v>13264</v>
      </c>
      <c r="BF2760" t="s">
        <v>14364</v>
      </c>
      <c r="BM2760" t="s">
        <v>15650</v>
      </c>
    </row>
    <row r="2761" spans="1:65">
      <c r="A2761" s="1">
        <f>HYPERLINK("https://lsnyc.legalserver.org/matter/dynamic-profile/view/1914594","19-1914594")</f>
        <v>0</v>
      </c>
      <c r="B2761" t="s">
        <v>171</v>
      </c>
      <c r="C2761" t="s">
        <v>246</v>
      </c>
      <c r="D2761" t="s">
        <v>735</v>
      </c>
      <c r="F2761" t="s">
        <v>2247</v>
      </c>
      <c r="G2761" t="s">
        <v>2988</v>
      </c>
      <c r="H2761" t="s">
        <v>5706</v>
      </c>
      <c r="I2761" t="s">
        <v>6591</v>
      </c>
      <c r="J2761" t="s">
        <v>7208</v>
      </c>
      <c r="K2761">
        <v>10542</v>
      </c>
      <c r="N2761" t="s">
        <v>7237</v>
      </c>
      <c r="O2761" t="s">
        <v>7649</v>
      </c>
      <c r="P2761">
        <v>2</v>
      </c>
      <c r="Q2761">
        <v>0</v>
      </c>
      <c r="R2761">
        <v>50.6</v>
      </c>
      <c r="U2761">
        <v>8556</v>
      </c>
      <c r="W2761">
        <v>0</v>
      </c>
      <c r="Y2761" t="s">
        <v>216</v>
      </c>
      <c r="AA2761" t="s">
        <v>10974</v>
      </c>
      <c r="AC2761" t="s">
        <v>11081</v>
      </c>
      <c r="AF2761" t="s">
        <v>11119</v>
      </c>
      <c r="AH2761" t="s">
        <v>10974</v>
      </c>
      <c r="AJ2761" t="s">
        <v>11141</v>
      </c>
      <c r="AK2761" t="s">
        <v>7225</v>
      </c>
      <c r="AL2761" t="s">
        <v>11150</v>
      </c>
      <c r="AM2761">
        <v>0</v>
      </c>
      <c r="AO2761">
        <v>63</v>
      </c>
      <c r="AP2761" t="s">
        <v>11155</v>
      </c>
      <c r="AS2761" t="s">
        <v>11175</v>
      </c>
      <c r="AU2761">
        <v>43</v>
      </c>
      <c r="AW2761" t="s">
        <v>11189</v>
      </c>
      <c r="AX2761" t="s">
        <v>11212</v>
      </c>
      <c r="BA2761" t="s">
        <v>11222</v>
      </c>
      <c r="BE2761" t="s">
        <v>12015</v>
      </c>
      <c r="BF2761" t="s">
        <v>14364</v>
      </c>
      <c r="BM2761" t="s">
        <v>15650</v>
      </c>
    </row>
    <row r="2762" spans="1:65">
      <c r="A2762" s="1">
        <f>HYPERLINK("https://lsnyc.legalserver.org/matter/dynamic-profile/view/1914798","19-1914798")</f>
        <v>0</v>
      </c>
      <c r="B2762" t="s">
        <v>171</v>
      </c>
      <c r="C2762" t="s">
        <v>246</v>
      </c>
      <c r="D2762" t="s">
        <v>614</v>
      </c>
      <c r="F2762" t="s">
        <v>2247</v>
      </c>
      <c r="G2762" t="s">
        <v>2988</v>
      </c>
      <c r="H2762" t="s">
        <v>5706</v>
      </c>
      <c r="I2762" t="s">
        <v>6591</v>
      </c>
      <c r="J2762" t="s">
        <v>7208</v>
      </c>
      <c r="K2762">
        <v>10542</v>
      </c>
      <c r="N2762" t="s">
        <v>7237</v>
      </c>
      <c r="O2762" t="s">
        <v>7649</v>
      </c>
      <c r="P2762">
        <v>2</v>
      </c>
      <c r="Q2762">
        <v>0</v>
      </c>
      <c r="R2762">
        <v>50.6</v>
      </c>
      <c r="U2762">
        <v>8556</v>
      </c>
      <c r="W2762">
        <v>0</v>
      </c>
      <c r="Y2762" t="s">
        <v>216</v>
      </c>
      <c r="AA2762" t="s">
        <v>10974</v>
      </c>
      <c r="AC2762" t="s">
        <v>11081</v>
      </c>
      <c r="AE2762" t="s">
        <v>11117</v>
      </c>
      <c r="AH2762" t="s">
        <v>10974</v>
      </c>
      <c r="AJ2762" t="s">
        <v>11141</v>
      </c>
      <c r="AK2762" t="s">
        <v>7225</v>
      </c>
      <c r="AL2762" t="s">
        <v>11150</v>
      </c>
      <c r="AM2762">
        <v>0</v>
      </c>
      <c r="AO2762">
        <v>63</v>
      </c>
      <c r="AQ2762" t="s">
        <v>11164</v>
      </c>
      <c r="AS2762" t="s">
        <v>11175</v>
      </c>
      <c r="AU2762">
        <v>43</v>
      </c>
      <c r="AW2762" t="s">
        <v>11189</v>
      </c>
      <c r="AX2762" t="s">
        <v>11212</v>
      </c>
      <c r="BA2762" t="s">
        <v>11222</v>
      </c>
      <c r="BE2762" t="s">
        <v>12015</v>
      </c>
      <c r="BF2762" t="s">
        <v>14364</v>
      </c>
      <c r="BM2762" t="s">
        <v>15650</v>
      </c>
    </row>
    <row r="2763" spans="1:65">
      <c r="A2763" s="1">
        <f>HYPERLINK("https://lsnyc.legalserver.org/matter/dynamic-profile/view/1906998","19-1906998")</f>
        <v>0</v>
      </c>
      <c r="B2763" t="s">
        <v>171</v>
      </c>
      <c r="C2763" t="s">
        <v>246</v>
      </c>
      <c r="D2763" t="s">
        <v>653</v>
      </c>
      <c r="F2763" t="s">
        <v>2239</v>
      </c>
      <c r="G2763" t="s">
        <v>4056</v>
      </c>
      <c r="H2763" t="s">
        <v>4972</v>
      </c>
      <c r="I2763" t="s">
        <v>6410</v>
      </c>
      <c r="J2763" t="s">
        <v>7170</v>
      </c>
      <c r="K2763">
        <v>10452</v>
      </c>
      <c r="N2763" t="s">
        <v>7237</v>
      </c>
      <c r="O2763" t="s">
        <v>9029</v>
      </c>
      <c r="P2763">
        <v>1</v>
      </c>
      <c r="Q2763">
        <v>0</v>
      </c>
      <c r="R2763">
        <v>208.17</v>
      </c>
      <c r="U2763">
        <v>26000</v>
      </c>
      <c r="W2763">
        <v>0</v>
      </c>
      <c r="Y2763" t="s">
        <v>93</v>
      </c>
      <c r="AA2763" t="s">
        <v>10974</v>
      </c>
      <c r="AC2763" t="s">
        <v>11081</v>
      </c>
      <c r="AE2763" t="s">
        <v>11117</v>
      </c>
      <c r="AH2763" t="s">
        <v>10974</v>
      </c>
      <c r="AJ2763" t="s">
        <v>11134</v>
      </c>
      <c r="AK2763" t="s">
        <v>7225</v>
      </c>
      <c r="AM2763">
        <v>794.86</v>
      </c>
      <c r="AO2763">
        <v>65</v>
      </c>
      <c r="AQ2763" t="s">
        <v>11157</v>
      </c>
      <c r="AS2763" t="s">
        <v>11173</v>
      </c>
      <c r="AU2763">
        <v>30</v>
      </c>
      <c r="AW2763" t="s">
        <v>11187</v>
      </c>
      <c r="AX2763" t="s">
        <v>11212</v>
      </c>
      <c r="AZ2763" t="s">
        <v>11221</v>
      </c>
      <c r="BE2763" t="s">
        <v>13262</v>
      </c>
      <c r="BF2763" t="s">
        <v>14364</v>
      </c>
      <c r="BM2763" t="s">
        <v>15650</v>
      </c>
    </row>
    <row r="2764" spans="1:65">
      <c r="A2764" s="1">
        <f>HYPERLINK("https://lsnyc.legalserver.org/matter/dynamic-profile/view/1906891","19-1906891")</f>
        <v>0</v>
      </c>
      <c r="B2764" t="s">
        <v>171</v>
      </c>
      <c r="C2764" t="s">
        <v>246</v>
      </c>
      <c r="D2764" t="s">
        <v>450</v>
      </c>
      <c r="F2764" t="s">
        <v>1390</v>
      </c>
      <c r="G2764" t="s">
        <v>3007</v>
      </c>
      <c r="H2764" t="s">
        <v>4972</v>
      </c>
      <c r="I2764" t="s">
        <v>6424</v>
      </c>
      <c r="J2764" t="s">
        <v>7170</v>
      </c>
      <c r="K2764">
        <v>10452</v>
      </c>
      <c r="N2764" t="s">
        <v>7237</v>
      </c>
      <c r="O2764" t="s">
        <v>7612</v>
      </c>
      <c r="P2764">
        <v>1</v>
      </c>
      <c r="Q2764">
        <v>0</v>
      </c>
      <c r="R2764">
        <v>67.25</v>
      </c>
      <c r="U2764">
        <v>8400</v>
      </c>
      <c r="W2764">
        <v>1</v>
      </c>
      <c r="X2764" t="s">
        <v>436</v>
      </c>
      <c r="Y2764" t="s">
        <v>93</v>
      </c>
      <c r="AA2764" t="s">
        <v>10974</v>
      </c>
      <c r="AC2764" t="s">
        <v>11081</v>
      </c>
      <c r="AE2764" t="s">
        <v>11117</v>
      </c>
      <c r="AH2764" t="s">
        <v>10974</v>
      </c>
      <c r="AJ2764" t="s">
        <v>11129</v>
      </c>
      <c r="AK2764" t="s">
        <v>7225</v>
      </c>
      <c r="AL2764" t="s">
        <v>11150</v>
      </c>
      <c r="AM2764">
        <v>0</v>
      </c>
      <c r="AO2764">
        <v>65</v>
      </c>
      <c r="AQ2764" t="s">
        <v>11164</v>
      </c>
      <c r="AS2764" t="s">
        <v>11174</v>
      </c>
      <c r="AU2764">
        <v>18</v>
      </c>
      <c r="AW2764" t="s">
        <v>11189</v>
      </c>
      <c r="AX2764" t="s">
        <v>11212</v>
      </c>
      <c r="AZ2764" t="s">
        <v>11221</v>
      </c>
      <c r="BE2764" t="s">
        <v>11984</v>
      </c>
      <c r="BF2764" t="s">
        <v>14364</v>
      </c>
      <c r="BM2764" t="s">
        <v>15650</v>
      </c>
    </row>
    <row r="2765" spans="1:65">
      <c r="A2765" s="1">
        <f>HYPERLINK("https://lsnyc.legalserver.org/matter/dynamic-profile/view/1914690","19-1914690")</f>
        <v>0</v>
      </c>
      <c r="B2765" t="s">
        <v>171</v>
      </c>
      <c r="C2765" t="s">
        <v>246</v>
      </c>
      <c r="D2765" t="s">
        <v>735</v>
      </c>
      <c r="F2765" t="s">
        <v>2248</v>
      </c>
      <c r="G2765" t="s">
        <v>4065</v>
      </c>
      <c r="H2765" t="s">
        <v>5707</v>
      </c>
      <c r="J2765" t="s">
        <v>7170</v>
      </c>
      <c r="K2765">
        <v>10453</v>
      </c>
      <c r="N2765" t="s">
        <v>7237</v>
      </c>
      <c r="O2765" t="s">
        <v>9042</v>
      </c>
      <c r="P2765">
        <v>1</v>
      </c>
      <c r="Q2765">
        <v>0</v>
      </c>
      <c r="R2765">
        <v>70.23</v>
      </c>
      <c r="U2765">
        <v>8772</v>
      </c>
      <c r="W2765">
        <v>0</v>
      </c>
      <c r="Y2765" t="s">
        <v>216</v>
      </c>
      <c r="AA2765" t="s">
        <v>10974</v>
      </c>
      <c r="AC2765" t="s">
        <v>11081</v>
      </c>
      <c r="AF2765" t="s">
        <v>11119</v>
      </c>
      <c r="AH2765" t="s">
        <v>10975</v>
      </c>
      <c r="AJ2765" t="s">
        <v>11141</v>
      </c>
      <c r="AK2765" t="s">
        <v>7225</v>
      </c>
      <c r="AM2765">
        <v>226</v>
      </c>
      <c r="AN2765" t="s">
        <v>11151</v>
      </c>
      <c r="AO2765" t="s">
        <v>11153</v>
      </c>
      <c r="AQ2765" t="s">
        <v>11164</v>
      </c>
      <c r="AS2765" t="s">
        <v>11177</v>
      </c>
      <c r="AU2765">
        <v>2</v>
      </c>
      <c r="AW2765" t="s">
        <v>11187</v>
      </c>
      <c r="AX2765" t="s">
        <v>11212</v>
      </c>
      <c r="BA2765" t="s">
        <v>11222</v>
      </c>
      <c r="BE2765" t="s">
        <v>13277</v>
      </c>
      <c r="BF2765" t="s">
        <v>14364</v>
      </c>
      <c r="BM2765" t="s">
        <v>15650</v>
      </c>
    </row>
    <row r="2766" spans="1:65">
      <c r="A2766" s="1">
        <f>HYPERLINK("https://lsnyc.legalserver.org/matter/dynamic-profile/view/1913878","19-1913878")</f>
        <v>0</v>
      </c>
      <c r="B2766" t="s">
        <v>171</v>
      </c>
      <c r="C2766" t="s">
        <v>246</v>
      </c>
      <c r="D2766" t="s">
        <v>735</v>
      </c>
      <c r="F2766" t="s">
        <v>2248</v>
      </c>
      <c r="G2766" t="s">
        <v>4065</v>
      </c>
      <c r="H2766" t="s">
        <v>5707</v>
      </c>
      <c r="I2766">
        <v>49</v>
      </c>
      <c r="J2766" t="s">
        <v>7170</v>
      </c>
      <c r="K2766">
        <v>10453</v>
      </c>
      <c r="N2766" t="s">
        <v>7237</v>
      </c>
      <c r="O2766" t="s">
        <v>9042</v>
      </c>
      <c r="P2766">
        <v>1</v>
      </c>
      <c r="Q2766">
        <v>0</v>
      </c>
      <c r="R2766">
        <v>70.23</v>
      </c>
      <c r="U2766">
        <v>8772</v>
      </c>
      <c r="W2766">
        <v>0</v>
      </c>
      <c r="Y2766" t="s">
        <v>171</v>
      </c>
      <c r="Z2766" t="s">
        <v>10972</v>
      </c>
      <c r="AA2766" t="s">
        <v>10976</v>
      </c>
      <c r="AC2766" t="s">
        <v>11081</v>
      </c>
      <c r="AF2766" t="s">
        <v>11119</v>
      </c>
      <c r="AG2766" t="s">
        <v>11124</v>
      </c>
      <c r="AI2766" t="s">
        <v>11126</v>
      </c>
      <c r="AK2766" t="s">
        <v>7225</v>
      </c>
      <c r="AL2766" t="s">
        <v>11150</v>
      </c>
      <c r="AM2766">
        <v>0</v>
      </c>
      <c r="AN2766" t="s">
        <v>11151</v>
      </c>
      <c r="AO2766" t="s">
        <v>11153</v>
      </c>
      <c r="AP2766" t="s">
        <v>11155</v>
      </c>
      <c r="AR2766" t="s">
        <v>11172</v>
      </c>
      <c r="AT2766" t="s">
        <v>11184</v>
      </c>
      <c r="AU2766">
        <v>0</v>
      </c>
      <c r="AW2766" t="s">
        <v>11187</v>
      </c>
      <c r="AX2766" t="s">
        <v>11212</v>
      </c>
      <c r="AZ2766" t="s">
        <v>11221</v>
      </c>
      <c r="BE2766" t="s">
        <v>13277</v>
      </c>
      <c r="BF2766" t="s">
        <v>14364</v>
      </c>
      <c r="BM2766" t="s">
        <v>15650</v>
      </c>
    </row>
    <row r="2767" spans="1:65">
      <c r="A2767" s="1">
        <f>HYPERLINK("https://lsnyc.legalserver.org/matter/dynamic-profile/view/1887089","19-1887089")</f>
        <v>0</v>
      </c>
      <c r="B2767" t="s">
        <v>171</v>
      </c>
      <c r="C2767" t="s">
        <v>246</v>
      </c>
      <c r="D2767" t="s">
        <v>785</v>
      </c>
      <c r="F2767" t="s">
        <v>2249</v>
      </c>
      <c r="G2767" t="s">
        <v>2877</v>
      </c>
      <c r="H2767" t="s">
        <v>5700</v>
      </c>
      <c r="I2767" t="s">
        <v>6611</v>
      </c>
      <c r="J2767" t="s">
        <v>7170</v>
      </c>
      <c r="K2767">
        <v>10453</v>
      </c>
      <c r="N2767" t="s">
        <v>7237</v>
      </c>
      <c r="O2767" t="s">
        <v>9043</v>
      </c>
      <c r="P2767">
        <v>1</v>
      </c>
      <c r="Q2767">
        <v>2</v>
      </c>
      <c r="R2767">
        <v>75.06999999999999</v>
      </c>
      <c r="U2767">
        <v>15600</v>
      </c>
      <c r="W2767">
        <v>0</v>
      </c>
      <c r="Y2767" t="s">
        <v>10865</v>
      </c>
      <c r="AA2767" t="s">
        <v>10974</v>
      </c>
      <c r="AB2767" t="s">
        <v>370</v>
      </c>
      <c r="AD2767" t="s">
        <v>11086</v>
      </c>
      <c r="AF2767" t="s">
        <v>11120</v>
      </c>
      <c r="AH2767" t="s">
        <v>10974</v>
      </c>
      <c r="AJ2767" t="s">
        <v>11141</v>
      </c>
      <c r="AK2767" t="s">
        <v>7225</v>
      </c>
      <c r="AM2767">
        <v>948</v>
      </c>
      <c r="AO2767">
        <v>49</v>
      </c>
      <c r="AQ2767" t="s">
        <v>11157</v>
      </c>
      <c r="AS2767" t="s">
        <v>11173</v>
      </c>
      <c r="AU2767">
        <v>3</v>
      </c>
      <c r="AW2767" t="s">
        <v>11187</v>
      </c>
      <c r="AZ2767" t="s">
        <v>11221</v>
      </c>
      <c r="BE2767" t="s">
        <v>13278</v>
      </c>
      <c r="BF2767" t="s">
        <v>14364</v>
      </c>
      <c r="BM2767" t="s">
        <v>15650</v>
      </c>
    </row>
    <row r="2768" spans="1:65">
      <c r="A2768" s="1">
        <f>HYPERLINK("https://lsnyc.legalserver.org/matter/dynamic-profile/view/1906928","19-1906928")</f>
        <v>0</v>
      </c>
      <c r="B2768" t="s">
        <v>171</v>
      </c>
      <c r="C2768" t="s">
        <v>246</v>
      </c>
      <c r="D2768" t="s">
        <v>450</v>
      </c>
      <c r="F2768" t="s">
        <v>1432</v>
      </c>
      <c r="G2768" t="s">
        <v>3032</v>
      </c>
      <c r="H2768" t="s">
        <v>4972</v>
      </c>
      <c r="I2768" t="s">
        <v>6415</v>
      </c>
      <c r="J2768" t="s">
        <v>7170</v>
      </c>
      <c r="K2768">
        <v>10452</v>
      </c>
      <c r="N2768" t="s">
        <v>7237</v>
      </c>
      <c r="O2768" t="s">
        <v>7679</v>
      </c>
      <c r="P2768">
        <v>1</v>
      </c>
      <c r="Q2768">
        <v>0</v>
      </c>
      <c r="R2768">
        <v>77.34</v>
      </c>
      <c r="U2768">
        <v>9660</v>
      </c>
      <c r="W2768">
        <v>0</v>
      </c>
      <c r="Y2768" t="s">
        <v>93</v>
      </c>
      <c r="AA2768" t="s">
        <v>10974</v>
      </c>
      <c r="AC2768" t="s">
        <v>11081</v>
      </c>
      <c r="AE2768" t="s">
        <v>11117</v>
      </c>
      <c r="AH2768" t="s">
        <v>10974</v>
      </c>
      <c r="AJ2768" t="s">
        <v>11134</v>
      </c>
      <c r="AK2768" t="s">
        <v>7225</v>
      </c>
      <c r="AL2768" t="s">
        <v>11150</v>
      </c>
      <c r="AM2768">
        <v>0</v>
      </c>
      <c r="AO2768">
        <v>63</v>
      </c>
      <c r="AQ2768" t="s">
        <v>11164</v>
      </c>
      <c r="AS2768" t="s">
        <v>11174</v>
      </c>
      <c r="AU2768">
        <v>20</v>
      </c>
      <c r="AW2768" t="s">
        <v>11189</v>
      </c>
      <c r="AX2768" t="s">
        <v>11212</v>
      </c>
      <c r="AZ2768" t="s">
        <v>11221</v>
      </c>
      <c r="BE2768" t="s">
        <v>12043</v>
      </c>
      <c r="BF2768" t="s">
        <v>14364</v>
      </c>
      <c r="BM2768" t="s">
        <v>15650</v>
      </c>
    </row>
    <row r="2769" spans="1:65">
      <c r="A2769" s="1">
        <f>HYPERLINK("https://lsnyc.legalserver.org/matter/dynamic-profile/view/1914804","19-1914804")</f>
        <v>0</v>
      </c>
      <c r="B2769" t="s">
        <v>171</v>
      </c>
      <c r="C2769" t="s">
        <v>246</v>
      </c>
      <c r="D2769" t="s">
        <v>614</v>
      </c>
      <c r="F2769" t="s">
        <v>1432</v>
      </c>
      <c r="G2769" t="s">
        <v>3032</v>
      </c>
      <c r="H2769" t="s">
        <v>4972</v>
      </c>
      <c r="I2769" t="s">
        <v>6415</v>
      </c>
      <c r="J2769" t="s">
        <v>7170</v>
      </c>
      <c r="K2769">
        <v>10452</v>
      </c>
      <c r="N2769" t="s">
        <v>7237</v>
      </c>
      <c r="O2769" t="s">
        <v>7679</v>
      </c>
      <c r="P2769">
        <v>1</v>
      </c>
      <c r="Q2769">
        <v>0</v>
      </c>
      <c r="R2769">
        <v>77.34</v>
      </c>
      <c r="U2769">
        <v>9660</v>
      </c>
      <c r="W2769">
        <v>0</v>
      </c>
      <c r="Y2769" t="s">
        <v>216</v>
      </c>
      <c r="AA2769" t="s">
        <v>10974</v>
      </c>
      <c r="AC2769" t="s">
        <v>11081</v>
      </c>
      <c r="AE2769" t="s">
        <v>11117</v>
      </c>
      <c r="AH2769" t="s">
        <v>10974</v>
      </c>
      <c r="AJ2769" t="s">
        <v>11134</v>
      </c>
      <c r="AK2769" t="s">
        <v>7225</v>
      </c>
      <c r="AL2769" t="s">
        <v>11150</v>
      </c>
      <c r="AM2769">
        <v>0</v>
      </c>
      <c r="AO2769">
        <v>63</v>
      </c>
      <c r="AQ2769" t="s">
        <v>11164</v>
      </c>
      <c r="AS2769" t="s">
        <v>11174</v>
      </c>
      <c r="AU2769">
        <v>20</v>
      </c>
      <c r="AW2769" t="s">
        <v>11189</v>
      </c>
      <c r="AX2769" t="s">
        <v>11212</v>
      </c>
      <c r="BA2769" t="s">
        <v>11222</v>
      </c>
      <c r="BE2769" t="s">
        <v>12043</v>
      </c>
      <c r="BF2769" t="s">
        <v>14364</v>
      </c>
      <c r="BM2769" t="s">
        <v>15650</v>
      </c>
    </row>
    <row r="2770" spans="1:65">
      <c r="A2770" s="1">
        <f>HYPERLINK("https://lsnyc.legalserver.org/matter/dynamic-profile/view/1913901","19-1913901")</f>
        <v>0</v>
      </c>
      <c r="B2770" t="s">
        <v>171</v>
      </c>
      <c r="C2770" t="s">
        <v>246</v>
      </c>
      <c r="D2770" t="s">
        <v>735</v>
      </c>
      <c r="F2770" t="s">
        <v>2250</v>
      </c>
      <c r="G2770" t="s">
        <v>2877</v>
      </c>
      <c r="H2770" t="s">
        <v>5708</v>
      </c>
      <c r="I2770" t="s">
        <v>6414</v>
      </c>
      <c r="J2770" t="s">
        <v>7170</v>
      </c>
      <c r="K2770">
        <v>10471</v>
      </c>
      <c r="N2770" t="s">
        <v>7237</v>
      </c>
      <c r="O2770" t="s">
        <v>9044</v>
      </c>
      <c r="P2770">
        <v>1</v>
      </c>
      <c r="Q2770">
        <v>1</v>
      </c>
      <c r="R2770">
        <v>30.75</v>
      </c>
      <c r="U2770">
        <v>5200</v>
      </c>
      <c r="W2770">
        <v>1</v>
      </c>
      <c r="X2770" t="s">
        <v>735</v>
      </c>
      <c r="Y2770" t="s">
        <v>171</v>
      </c>
      <c r="AA2770" t="s">
        <v>10974</v>
      </c>
      <c r="AD2770" t="s">
        <v>11082</v>
      </c>
      <c r="AF2770" t="s">
        <v>11119</v>
      </c>
      <c r="AH2770" t="s">
        <v>10975</v>
      </c>
      <c r="AJ2770" t="s">
        <v>11141</v>
      </c>
      <c r="AK2770" t="s">
        <v>7225</v>
      </c>
      <c r="AM2770">
        <v>987</v>
      </c>
      <c r="AO2770">
        <v>3</v>
      </c>
      <c r="AQ2770" t="s">
        <v>11156</v>
      </c>
      <c r="AS2770" t="s">
        <v>11174</v>
      </c>
      <c r="AU2770">
        <v>5</v>
      </c>
      <c r="AV2770" t="s">
        <v>11186</v>
      </c>
      <c r="AX2770" t="s">
        <v>11212</v>
      </c>
      <c r="AZ2770" t="s">
        <v>11221</v>
      </c>
      <c r="BE2770" t="s">
        <v>13279</v>
      </c>
      <c r="BF2770" t="s">
        <v>14364</v>
      </c>
      <c r="BM2770" t="s">
        <v>15650</v>
      </c>
    </row>
    <row r="2771" spans="1:65">
      <c r="A2771" s="1">
        <f>HYPERLINK("https://lsnyc.legalserver.org/matter/dynamic-profile/view/1906755","19-1906755")</f>
        <v>0</v>
      </c>
      <c r="B2771" t="s">
        <v>171</v>
      </c>
      <c r="C2771" t="s">
        <v>246</v>
      </c>
      <c r="D2771" t="s">
        <v>733</v>
      </c>
      <c r="F2771" t="s">
        <v>2251</v>
      </c>
      <c r="G2771" t="s">
        <v>4066</v>
      </c>
      <c r="H2771" t="s">
        <v>4972</v>
      </c>
      <c r="I2771" t="s">
        <v>6466</v>
      </c>
      <c r="J2771" t="s">
        <v>7170</v>
      </c>
      <c r="K2771">
        <v>10452</v>
      </c>
      <c r="N2771" t="s">
        <v>7237</v>
      </c>
      <c r="O2771" t="s">
        <v>9045</v>
      </c>
      <c r="P2771">
        <v>1</v>
      </c>
      <c r="Q2771">
        <v>0</v>
      </c>
      <c r="R2771">
        <v>78.20999999999999</v>
      </c>
      <c r="U2771">
        <v>9768</v>
      </c>
      <c r="W2771">
        <v>0</v>
      </c>
      <c r="Y2771" t="s">
        <v>93</v>
      </c>
      <c r="AA2771" t="s">
        <v>10974</v>
      </c>
      <c r="AC2771" t="s">
        <v>11081</v>
      </c>
      <c r="AE2771" t="s">
        <v>11117</v>
      </c>
      <c r="AH2771" t="s">
        <v>10974</v>
      </c>
      <c r="AJ2771" t="s">
        <v>11141</v>
      </c>
      <c r="AK2771" t="s">
        <v>7225</v>
      </c>
      <c r="AM2771">
        <v>450</v>
      </c>
      <c r="AO2771">
        <v>65</v>
      </c>
      <c r="AQ2771" t="s">
        <v>11157</v>
      </c>
      <c r="AS2771" t="s">
        <v>11174</v>
      </c>
      <c r="AU2771">
        <v>28</v>
      </c>
      <c r="AW2771" t="s">
        <v>11189</v>
      </c>
      <c r="AX2771" t="s">
        <v>11212</v>
      </c>
      <c r="AZ2771" t="s">
        <v>11221</v>
      </c>
      <c r="BE2771" t="s">
        <v>13280</v>
      </c>
      <c r="BF2771" t="s">
        <v>14364</v>
      </c>
      <c r="BM2771" t="s">
        <v>15650</v>
      </c>
    </row>
    <row r="2772" spans="1:65">
      <c r="A2772" s="1">
        <f>HYPERLINK("https://lsnyc.legalserver.org/matter/dynamic-profile/view/1887046","19-1887046")</f>
        <v>0</v>
      </c>
      <c r="B2772" t="s">
        <v>171</v>
      </c>
      <c r="C2772" t="s">
        <v>246</v>
      </c>
      <c r="D2772" t="s">
        <v>785</v>
      </c>
      <c r="F2772" t="s">
        <v>2249</v>
      </c>
      <c r="G2772" t="s">
        <v>2877</v>
      </c>
      <c r="H2772" t="s">
        <v>5700</v>
      </c>
      <c r="I2772" t="s">
        <v>6611</v>
      </c>
      <c r="J2772" t="s">
        <v>7170</v>
      </c>
      <c r="K2772">
        <v>10453</v>
      </c>
      <c r="N2772" t="s">
        <v>7237</v>
      </c>
      <c r="O2772" t="s">
        <v>9043</v>
      </c>
      <c r="P2772">
        <v>1</v>
      </c>
      <c r="Q2772">
        <v>2</v>
      </c>
      <c r="R2772">
        <v>75.06999999999999</v>
      </c>
      <c r="U2772">
        <v>15600</v>
      </c>
      <c r="W2772">
        <v>0</v>
      </c>
      <c r="Y2772" t="s">
        <v>10865</v>
      </c>
      <c r="AA2772" t="s">
        <v>10974</v>
      </c>
      <c r="AB2772" t="s">
        <v>370</v>
      </c>
      <c r="AD2772" t="s">
        <v>11101</v>
      </c>
      <c r="AF2772" t="s">
        <v>11118</v>
      </c>
      <c r="AH2772" t="s">
        <v>10974</v>
      </c>
      <c r="AJ2772" t="s">
        <v>11141</v>
      </c>
      <c r="AK2772" t="s">
        <v>7225</v>
      </c>
      <c r="AL2772" t="s">
        <v>11150</v>
      </c>
      <c r="AM2772">
        <v>0</v>
      </c>
      <c r="AO2772">
        <v>49</v>
      </c>
      <c r="AQ2772" t="s">
        <v>11157</v>
      </c>
      <c r="AS2772" t="s">
        <v>11173</v>
      </c>
      <c r="AT2772" t="s">
        <v>11184</v>
      </c>
      <c r="AU2772">
        <v>0</v>
      </c>
      <c r="AW2772" t="s">
        <v>11187</v>
      </c>
      <c r="AZ2772" t="s">
        <v>11221</v>
      </c>
      <c r="BE2772" t="s">
        <v>13278</v>
      </c>
      <c r="BG2772" t="s">
        <v>15052</v>
      </c>
      <c r="BM2772" t="s">
        <v>15650</v>
      </c>
    </row>
    <row r="2773" spans="1:65">
      <c r="A2773" s="1">
        <f>HYPERLINK("https://lsnyc.legalserver.org/matter/dynamic-profile/view/1890948","19-1890948")</f>
        <v>0</v>
      </c>
      <c r="B2773" t="s">
        <v>171</v>
      </c>
      <c r="C2773" t="s">
        <v>246</v>
      </c>
      <c r="D2773" t="s">
        <v>928</v>
      </c>
      <c r="F2773" t="s">
        <v>2252</v>
      </c>
      <c r="G2773" t="s">
        <v>2814</v>
      </c>
      <c r="H2773" t="s">
        <v>5709</v>
      </c>
      <c r="I2773" t="s">
        <v>6477</v>
      </c>
      <c r="J2773" t="s">
        <v>7170</v>
      </c>
      <c r="K2773">
        <v>10453</v>
      </c>
      <c r="N2773" t="s">
        <v>7237</v>
      </c>
      <c r="O2773" t="s">
        <v>8044</v>
      </c>
      <c r="P2773">
        <v>1</v>
      </c>
      <c r="Q2773">
        <v>2</v>
      </c>
      <c r="R2773">
        <v>161.75</v>
      </c>
      <c r="U2773">
        <v>34502</v>
      </c>
      <c r="W2773">
        <v>0</v>
      </c>
      <c r="Y2773" t="s">
        <v>216</v>
      </c>
      <c r="AA2773" t="s">
        <v>10974</v>
      </c>
      <c r="AB2773" t="s">
        <v>370</v>
      </c>
      <c r="AD2773" t="s">
        <v>11098</v>
      </c>
      <c r="AF2773" t="s">
        <v>11122</v>
      </c>
      <c r="AH2773" t="s">
        <v>10974</v>
      </c>
      <c r="AJ2773" t="s">
        <v>11141</v>
      </c>
      <c r="AK2773" t="s">
        <v>7225</v>
      </c>
      <c r="AL2773" t="s">
        <v>11150</v>
      </c>
      <c r="AM2773">
        <v>0</v>
      </c>
      <c r="AO2773">
        <v>44</v>
      </c>
      <c r="AQ2773" t="s">
        <v>11157</v>
      </c>
      <c r="AS2773" t="s">
        <v>11173</v>
      </c>
      <c r="AU2773">
        <v>8</v>
      </c>
      <c r="AW2773" t="s">
        <v>11187</v>
      </c>
      <c r="AZ2773" t="s">
        <v>11221</v>
      </c>
      <c r="BE2773" t="s">
        <v>13281</v>
      </c>
      <c r="BF2773" t="s">
        <v>14364</v>
      </c>
      <c r="BM2773" t="s">
        <v>15650</v>
      </c>
    </row>
    <row r="2774" spans="1:65">
      <c r="A2774" s="1">
        <f>HYPERLINK("https://lsnyc.legalserver.org/matter/dynamic-profile/view/1890618","19-1890618")</f>
        <v>0</v>
      </c>
      <c r="B2774" t="s">
        <v>171</v>
      </c>
      <c r="C2774" t="s">
        <v>246</v>
      </c>
      <c r="D2774" t="s">
        <v>442</v>
      </c>
      <c r="F2774" t="s">
        <v>1830</v>
      </c>
      <c r="G2774" t="s">
        <v>2962</v>
      </c>
      <c r="H2774" t="s">
        <v>5710</v>
      </c>
      <c r="I2774">
        <v>610</v>
      </c>
      <c r="J2774" t="s">
        <v>7170</v>
      </c>
      <c r="K2774">
        <v>10459</v>
      </c>
      <c r="N2774" t="s">
        <v>7237</v>
      </c>
      <c r="O2774" t="s">
        <v>9046</v>
      </c>
      <c r="P2774">
        <v>2</v>
      </c>
      <c r="Q2774">
        <v>0</v>
      </c>
      <c r="R2774">
        <v>167.13</v>
      </c>
      <c r="U2774">
        <v>28262</v>
      </c>
      <c r="W2774">
        <v>10.15</v>
      </c>
      <c r="X2774" t="s">
        <v>563</v>
      </c>
      <c r="Y2774" t="s">
        <v>10882</v>
      </c>
      <c r="AA2774" t="s">
        <v>10974</v>
      </c>
      <c r="AB2774" t="s">
        <v>10979</v>
      </c>
      <c r="AD2774" t="s">
        <v>11082</v>
      </c>
      <c r="AF2774" t="s">
        <v>11118</v>
      </c>
      <c r="AH2774" t="s">
        <v>10975</v>
      </c>
      <c r="AJ2774" t="s">
        <v>11130</v>
      </c>
      <c r="AK2774" t="s">
        <v>7225</v>
      </c>
      <c r="AM2774">
        <v>1220.06</v>
      </c>
      <c r="AO2774">
        <v>135</v>
      </c>
      <c r="AQ2774" t="s">
        <v>11157</v>
      </c>
      <c r="AR2774" t="s">
        <v>11172</v>
      </c>
      <c r="AU2774">
        <v>2</v>
      </c>
      <c r="AW2774" t="s">
        <v>11187</v>
      </c>
      <c r="BA2774" t="s">
        <v>11222</v>
      </c>
      <c r="BE2774" t="s">
        <v>13282</v>
      </c>
      <c r="BG2774" t="s">
        <v>15053</v>
      </c>
      <c r="BM2774" t="s">
        <v>15650</v>
      </c>
    </row>
    <row r="2775" spans="1:65">
      <c r="A2775" s="1">
        <f>HYPERLINK("https://lsnyc.legalserver.org/matter/dynamic-profile/view/1890943","19-1890943")</f>
        <v>0</v>
      </c>
      <c r="B2775" t="s">
        <v>171</v>
      </c>
      <c r="C2775" t="s">
        <v>246</v>
      </c>
      <c r="D2775" t="s">
        <v>928</v>
      </c>
      <c r="F2775" t="s">
        <v>2252</v>
      </c>
      <c r="G2775" t="s">
        <v>2814</v>
      </c>
      <c r="H2775" t="s">
        <v>5709</v>
      </c>
      <c r="I2775" t="s">
        <v>6477</v>
      </c>
      <c r="J2775" t="s">
        <v>7170</v>
      </c>
      <c r="K2775">
        <v>10453</v>
      </c>
      <c r="N2775" t="s">
        <v>7237</v>
      </c>
      <c r="O2775" t="s">
        <v>8044</v>
      </c>
      <c r="P2775">
        <v>1</v>
      </c>
      <c r="Q2775">
        <v>2</v>
      </c>
      <c r="R2775">
        <v>161.78</v>
      </c>
      <c r="U2775">
        <v>34507.2</v>
      </c>
      <c r="W2775">
        <v>0</v>
      </c>
      <c r="Y2775" t="s">
        <v>216</v>
      </c>
      <c r="AA2775" t="s">
        <v>10974</v>
      </c>
      <c r="AB2775" t="s">
        <v>370</v>
      </c>
      <c r="AD2775" t="s">
        <v>11101</v>
      </c>
      <c r="AF2775" t="s">
        <v>11118</v>
      </c>
      <c r="AH2775" t="s">
        <v>10974</v>
      </c>
      <c r="AJ2775" t="s">
        <v>11141</v>
      </c>
      <c r="AK2775" t="s">
        <v>7225</v>
      </c>
      <c r="AL2775" t="s">
        <v>11150</v>
      </c>
      <c r="AM2775">
        <v>0</v>
      </c>
      <c r="AO2775">
        <v>44</v>
      </c>
      <c r="AQ2775" t="s">
        <v>11157</v>
      </c>
      <c r="AS2775" t="s">
        <v>11173</v>
      </c>
      <c r="AU2775">
        <v>8</v>
      </c>
      <c r="AW2775" t="s">
        <v>11187</v>
      </c>
      <c r="AZ2775" t="s">
        <v>11221</v>
      </c>
      <c r="BE2775" t="s">
        <v>13281</v>
      </c>
      <c r="BG2775" t="s">
        <v>15052</v>
      </c>
      <c r="BM2775" t="s">
        <v>15650</v>
      </c>
    </row>
    <row r="2776" spans="1:65">
      <c r="A2776" s="1">
        <f>HYPERLINK("https://lsnyc.legalserver.org/matter/dynamic-profile/view/1890939","19-1890939")</f>
        <v>0</v>
      </c>
      <c r="B2776" t="s">
        <v>171</v>
      </c>
      <c r="C2776" t="s">
        <v>246</v>
      </c>
      <c r="D2776" t="s">
        <v>928</v>
      </c>
      <c r="F2776" t="s">
        <v>2252</v>
      </c>
      <c r="G2776" t="s">
        <v>2814</v>
      </c>
      <c r="H2776" t="s">
        <v>5709</v>
      </c>
      <c r="I2776" t="s">
        <v>6477</v>
      </c>
      <c r="J2776" t="s">
        <v>7170</v>
      </c>
      <c r="K2776">
        <v>10453</v>
      </c>
      <c r="N2776" t="s">
        <v>7237</v>
      </c>
      <c r="O2776" t="s">
        <v>8044</v>
      </c>
      <c r="P2776">
        <v>1</v>
      </c>
      <c r="Q2776">
        <v>2</v>
      </c>
      <c r="R2776">
        <v>161.78</v>
      </c>
      <c r="U2776">
        <v>34507.2</v>
      </c>
      <c r="W2776">
        <v>0</v>
      </c>
      <c r="Y2776" t="s">
        <v>216</v>
      </c>
      <c r="AA2776" t="s">
        <v>10974</v>
      </c>
      <c r="AB2776" t="s">
        <v>370</v>
      </c>
      <c r="AD2776" t="s">
        <v>11086</v>
      </c>
      <c r="AF2776" t="s">
        <v>11120</v>
      </c>
      <c r="AH2776" t="s">
        <v>10974</v>
      </c>
      <c r="AJ2776" t="s">
        <v>11141</v>
      </c>
      <c r="AK2776" t="s">
        <v>7225</v>
      </c>
      <c r="AL2776" t="s">
        <v>11150</v>
      </c>
      <c r="AM2776">
        <v>0</v>
      </c>
      <c r="AO2776">
        <v>44</v>
      </c>
      <c r="AQ2776" t="s">
        <v>11157</v>
      </c>
      <c r="AS2776" t="s">
        <v>11173</v>
      </c>
      <c r="AU2776">
        <v>8</v>
      </c>
      <c r="AW2776" t="s">
        <v>11187</v>
      </c>
      <c r="AZ2776" t="s">
        <v>11221</v>
      </c>
      <c r="BE2776" t="s">
        <v>13281</v>
      </c>
      <c r="BF2776" t="s">
        <v>14364</v>
      </c>
      <c r="BM2776" t="s">
        <v>15650</v>
      </c>
    </row>
    <row r="2777" spans="1:65">
      <c r="A2777" s="1">
        <f>HYPERLINK("https://lsnyc.legalserver.org/matter/dynamic-profile/view/1914806","19-1914806")</f>
        <v>0</v>
      </c>
      <c r="B2777" t="s">
        <v>171</v>
      </c>
      <c r="C2777" t="s">
        <v>246</v>
      </c>
      <c r="D2777" t="s">
        <v>614</v>
      </c>
      <c r="F2777" t="s">
        <v>1090</v>
      </c>
      <c r="G2777" t="s">
        <v>3680</v>
      </c>
      <c r="H2777" t="s">
        <v>4972</v>
      </c>
      <c r="I2777" t="s">
        <v>6425</v>
      </c>
      <c r="J2777" t="s">
        <v>7170</v>
      </c>
      <c r="K2777">
        <v>10452</v>
      </c>
      <c r="N2777" t="s">
        <v>7237</v>
      </c>
      <c r="O2777" t="s">
        <v>9047</v>
      </c>
      <c r="P2777">
        <v>3</v>
      </c>
      <c r="Q2777">
        <v>0</v>
      </c>
      <c r="R2777">
        <v>59.07</v>
      </c>
      <c r="U2777">
        <v>12600</v>
      </c>
      <c r="W2777">
        <v>0</v>
      </c>
      <c r="Y2777" t="s">
        <v>216</v>
      </c>
      <c r="AA2777" t="s">
        <v>10974</v>
      </c>
      <c r="AC2777" t="s">
        <v>11081</v>
      </c>
      <c r="AE2777" t="s">
        <v>11117</v>
      </c>
      <c r="AH2777" t="s">
        <v>10974</v>
      </c>
      <c r="AJ2777" t="s">
        <v>11141</v>
      </c>
      <c r="AK2777" t="s">
        <v>7225</v>
      </c>
      <c r="AM2777">
        <v>1724.69</v>
      </c>
      <c r="AO2777">
        <v>63</v>
      </c>
      <c r="AQ2777" t="s">
        <v>11157</v>
      </c>
      <c r="AS2777" t="s">
        <v>11173</v>
      </c>
      <c r="AU2777">
        <v>25</v>
      </c>
      <c r="AW2777" t="s">
        <v>11189</v>
      </c>
      <c r="AX2777" t="s">
        <v>11212</v>
      </c>
      <c r="BA2777" t="s">
        <v>11222</v>
      </c>
      <c r="BE2777" t="s">
        <v>13283</v>
      </c>
      <c r="BF2777" t="s">
        <v>14364</v>
      </c>
      <c r="BM2777" t="s">
        <v>15650</v>
      </c>
    </row>
    <row r="2778" spans="1:65">
      <c r="A2778" s="1">
        <f>HYPERLINK("https://lsnyc.legalserver.org/matter/dynamic-profile/view/1906780","19-1906780")</f>
        <v>0</v>
      </c>
      <c r="B2778" t="s">
        <v>171</v>
      </c>
      <c r="C2778" t="s">
        <v>246</v>
      </c>
      <c r="D2778" t="s">
        <v>450</v>
      </c>
      <c r="F2778" t="s">
        <v>1090</v>
      </c>
      <c r="G2778" t="s">
        <v>3680</v>
      </c>
      <c r="H2778" t="s">
        <v>4972</v>
      </c>
      <c r="I2778" t="s">
        <v>6425</v>
      </c>
      <c r="J2778" t="s">
        <v>7170</v>
      </c>
      <c r="K2778">
        <v>10452</v>
      </c>
      <c r="N2778" t="s">
        <v>7237</v>
      </c>
      <c r="O2778" t="s">
        <v>9047</v>
      </c>
      <c r="P2778">
        <v>3</v>
      </c>
      <c r="Q2778">
        <v>0</v>
      </c>
      <c r="R2778">
        <v>59.07</v>
      </c>
      <c r="U2778">
        <v>12600</v>
      </c>
      <c r="W2778">
        <v>0</v>
      </c>
      <c r="Y2778" t="s">
        <v>93</v>
      </c>
      <c r="AA2778" t="s">
        <v>10974</v>
      </c>
      <c r="AC2778" t="s">
        <v>11081</v>
      </c>
      <c r="AE2778" t="s">
        <v>11117</v>
      </c>
      <c r="AH2778" t="s">
        <v>10974</v>
      </c>
      <c r="AJ2778" t="s">
        <v>11134</v>
      </c>
      <c r="AK2778" t="s">
        <v>7225</v>
      </c>
      <c r="AM2778">
        <v>1724.69</v>
      </c>
      <c r="AO2778">
        <v>65</v>
      </c>
      <c r="AQ2778" t="s">
        <v>11157</v>
      </c>
      <c r="AS2778" t="s">
        <v>11173</v>
      </c>
      <c r="AU2778">
        <v>25</v>
      </c>
      <c r="AW2778" t="s">
        <v>11189</v>
      </c>
      <c r="AX2778" t="s">
        <v>11212</v>
      </c>
      <c r="AZ2778" t="s">
        <v>11221</v>
      </c>
      <c r="BE2778" t="s">
        <v>13283</v>
      </c>
      <c r="BF2778" t="s">
        <v>14364</v>
      </c>
      <c r="BM2778" t="s">
        <v>15650</v>
      </c>
    </row>
    <row r="2779" spans="1:65">
      <c r="A2779" s="1">
        <f>HYPERLINK("https://lsnyc.legalserver.org/matter/dynamic-profile/view/1890467","18-1890467")</f>
        <v>0</v>
      </c>
      <c r="B2779" t="s">
        <v>171</v>
      </c>
      <c r="C2779" t="s">
        <v>246</v>
      </c>
      <c r="D2779" t="s">
        <v>929</v>
      </c>
      <c r="F2779" t="s">
        <v>2253</v>
      </c>
      <c r="G2779" t="s">
        <v>3308</v>
      </c>
      <c r="H2779" t="s">
        <v>5700</v>
      </c>
      <c r="I2779" t="s">
        <v>6448</v>
      </c>
      <c r="J2779" t="s">
        <v>7170</v>
      </c>
      <c r="K2779">
        <v>10453</v>
      </c>
      <c r="N2779" t="s">
        <v>7237</v>
      </c>
      <c r="O2779" t="s">
        <v>9048</v>
      </c>
      <c r="P2779">
        <v>1</v>
      </c>
      <c r="Q2779">
        <v>0</v>
      </c>
      <c r="R2779">
        <v>128.5</v>
      </c>
      <c r="U2779">
        <v>15600</v>
      </c>
      <c r="W2779">
        <v>0</v>
      </c>
      <c r="Y2779" t="s">
        <v>216</v>
      </c>
      <c r="AA2779" t="s">
        <v>10974</v>
      </c>
      <c r="AB2779" t="s">
        <v>310</v>
      </c>
      <c r="AD2779" t="s">
        <v>11086</v>
      </c>
      <c r="AF2779" t="s">
        <v>11120</v>
      </c>
      <c r="AH2779" t="s">
        <v>10974</v>
      </c>
      <c r="AJ2779" t="s">
        <v>11141</v>
      </c>
      <c r="AK2779" t="s">
        <v>7225</v>
      </c>
      <c r="AM2779">
        <v>1100</v>
      </c>
      <c r="AO2779">
        <v>44</v>
      </c>
      <c r="AQ2779" t="s">
        <v>11157</v>
      </c>
      <c r="AS2779" t="s">
        <v>11173</v>
      </c>
      <c r="AU2779">
        <v>1</v>
      </c>
      <c r="AW2779" t="s">
        <v>11187</v>
      </c>
      <c r="BA2779" t="s">
        <v>11222</v>
      </c>
      <c r="BE2779" t="s">
        <v>13284</v>
      </c>
      <c r="BF2779" t="s">
        <v>14364</v>
      </c>
      <c r="BM2779" t="s">
        <v>15650</v>
      </c>
    </row>
    <row r="2780" spans="1:65">
      <c r="A2780" s="1">
        <f>HYPERLINK("https://lsnyc.legalserver.org/matter/dynamic-profile/view/1890504","19-1890504")</f>
        <v>0</v>
      </c>
      <c r="B2780" t="s">
        <v>171</v>
      </c>
      <c r="C2780" t="s">
        <v>246</v>
      </c>
      <c r="D2780" t="s">
        <v>672</v>
      </c>
      <c r="F2780" t="s">
        <v>2253</v>
      </c>
      <c r="G2780" t="s">
        <v>3308</v>
      </c>
      <c r="H2780" t="s">
        <v>5700</v>
      </c>
      <c r="I2780" t="s">
        <v>6448</v>
      </c>
      <c r="J2780" t="s">
        <v>7170</v>
      </c>
      <c r="K2780">
        <v>10453</v>
      </c>
      <c r="N2780" t="s">
        <v>7237</v>
      </c>
      <c r="O2780" t="s">
        <v>9048</v>
      </c>
      <c r="P2780">
        <v>1</v>
      </c>
      <c r="Q2780">
        <v>0</v>
      </c>
      <c r="R2780">
        <v>128.5</v>
      </c>
      <c r="U2780">
        <v>15600</v>
      </c>
      <c r="W2780">
        <v>0</v>
      </c>
      <c r="Y2780" t="s">
        <v>216</v>
      </c>
      <c r="AA2780" t="s">
        <v>10974</v>
      </c>
      <c r="AB2780" t="s">
        <v>370</v>
      </c>
      <c r="AD2780" t="s">
        <v>11098</v>
      </c>
      <c r="AF2780" t="s">
        <v>11122</v>
      </c>
      <c r="AH2780" t="s">
        <v>10974</v>
      </c>
      <c r="AJ2780" t="s">
        <v>11141</v>
      </c>
      <c r="AK2780" t="s">
        <v>7225</v>
      </c>
      <c r="AM2780">
        <v>1100</v>
      </c>
      <c r="AO2780">
        <v>44</v>
      </c>
      <c r="AQ2780" t="s">
        <v>11157</v>
      </c>
      <c r="AS2780" t="s">
        <v>11173</v>
      </c>
      <c r="AU2780">
        <v>1</v>
      </c>
      <c r="AW2780" t="s">
        <v>11187</v>
      </c>
      <c r="AZ2780" t="s">
        <v>11221</v>
      </c>
      <c r="BE2780" t="s">
        <v>13284</v>
      </c>
      <c r="BF2780" t="s">
        <v>14364</v>
      </c>
      <c r="BM2780" t="s">
        <v>15650</v>
      </c>
    </row>
    <row r="2781" spans="1:65">
      <c r="A2781" s="1">
        <f>HYPERLINK("https://lsnyc.legalserver.org/matter/dynamic-profile/view/1909946","19-1909946")</f>
        <v>0</v>
      </c>
      <c r="B2781" t="s">
        <v>171</v>
      </c>
      <c r="C2781" t="s">
        <v>246</v>
      </c>
      <c r="D2781" t="s">
        <v>624</v>
      </c>
      <c r="F2781" t="s">
        <v>1157</v>
      </c>
      <c r="G2781" t="s">
        <v>3196</v>
      </c>
      <c r="H2781" t="s">
        <v>4972</v>
      </c>
      <c r="I2781" t="s">
        <v>6595</v>
      </c>
      <c r="J2781" t="s">
        <v>7170</v>
      </c>
      <c r="K2781">
        <v>10452</v>
      </c>
      <c r="N2781" t="s">
        <v>7237</v>
      </c>
      <c r="O2781" t="s">
        <v>7658</v>
      </c>
      <c r="P2781">
        <v>1</v>
      </c>
      <c r="Q2781">
        <v>0</v>
      </c>
      <c r="R2781">
        <v>547.64</v>
      </c>
      <c r="U2781">
        <v>68400</v>
      </c>
      <c r="W2781">
        <v>0</v>
      </c>
      <c r="Y2781" t="s">
        <v>216</v>
      </c>
      <c r="AA2781" t="s">
        <v>10974</v>
      </c>
      <c r="AC2781" t="s">
        <v>11081</v>
      </c>
      <c r="AE2781" t="s">
        <v>11117</v>
      </c>
      <c r="AG2781" t="s">
        <v>11124</v>
      </c>
      <c r="AJ2781" t="s">
        <v>11141</v>
      </c>
      <c r="AK2781" t="s">
        <v>7225</v>
      </c>
      <c r="AM2781">
        <v>930.77</v>
      </c>
      <c r="AO2781">
        <v>63</v>
      </c>
      <c r="AQ2781" t="s">
        <v>11157</v>
      </c>
      <c r="AS2781" t="s">
        <v>11173</v>
      </c>
      <c r="AT2781" t="s">
        <v>11184</v>
      </c>
      <c r="AU2781">
        <v>0</v>
      </c>
      <c r="AW2781" t="s">
        <v>11187</v>
      </c>
      <c r="AX2781" t="s">
        <v>11212</v>
      </c>
      <c r="AZ2781" t="s">
        <v>11221</v>
      </c>
      <c r="BE2781" t="s">
        <v>13271</v>
      </c>
      <c r="BF2781" t="s">
        <v>14364</v>
      </c>
      <c r="BM2781" t="s">
        <v>15650</v>
      </c>
    </row>
    <row r="2782" spans="1:65">
      <c r="A2782" s="1">
        <f>HYPERLINK("https://lsnyc.legalserver.org/matter/dynamic-profile/view/1914685","19-1914685")</f>
        <v>0</v>
      </c>
      <c r="B2782" t="s">
        <v>171</v>
      </c>
      <c r="C2782" t="s">
        <v>246</v>
      </c>
      <c r="D2782" t="s">
        <v>735</v>
      </c>
      <c r="F2782" t="s">
        <v>2250</v>
      </c>
      <c r="G2782" t="s">
        <v>2877</v>
      </c>
      <c r="H2782" t="s">
        <v>5711</v>
      </c>
      <c r="I2782" t="s">
        <v>6414</v>
      </c>
      <c r="J2782" t="s">
        <v>7170</v>
      </c>
      <c r="K2782">
        <v>10471</v>
      </c>
      <c r="N2782" t="s">
        <v>7237</v>
      </c>
      <c r="O2782" t="s">
        <v>9044</v>
      </c>
      <c r="P2782">
        <v>1</v>
      </c>
      <c r="Q2782">
        <v>1</v>
      </c>
      <c r="R2782">
        <v>42.58</v>
      </c>
      <c r="U2782">
        <v>7200</v>
      </c>
      <c r="W2782">
        <v>0</v>
      </c>
      <c r="Y2782" t="s">
        <v>216</v>
      </c>
      <c r="AA2782" t="s">
        <v>10974</v>
      </c>
      <c r="AC2782" t="s">
        <v>11081</v>
      </c>
      <c r="AF2782" t="s">
        <v>11119</v>
      </c>
      <c r="AH2782" t="s">
        <v>10975</v>
      </c>
      <c r="AJ2782" t="s">
        <v>11141</v>
      </c>
      <c r="AK2782" t="s">
        <v>7225</v>
      </c>
      <c r="AM2782">
        <v>987</v>
      </c>
      <c r="AN2782" t="s">
        <v>11151</v>
      </c>
      <c r="AO2782" t="s">
        <v>11153</v>
      </c>
      <c r="AP2782" t="s">
        <v>11155</v>
      </c>
      <c r="AS2782" t="s">
        <v>11174</v>
      </c>
      <c r="AU2782">
        <v>4</v>
      </c>
      <c r="AW2782" t="s">
        <v>11187</v>
      </c>
      <c r="AX2782" t="s">
        <v>11212</v>
      </c>
      <c r="BA2782" t="s">
        <v>11222</v>
      </c>
      <c r="BC2782" t="s">
        <v>11451</v>
      </c>
      <c r="BE2782" t="s">
        <v>13279</v>
      </c>
      <c r="BF2782" t="s">
        <v>14364</v>
      </c>
      <c r="BM2782" t="s">
        <v>15650</v>
      </c>
    </row>
    <row r="2783" spans="1:65">
      <c r="A2783" s="1">
        <f>HYPERLINK("https://lsnyc.legalserver.org/matter/dynamic-profile/view/1914954","19-1914954")</f>
        <v>0</v>
      </c>
      <c r="B2783" t="s">
        <v>171</v>
      </c>
      <c r="C2783" t="s">
        <v>246</v>
      </c>
      <c r="D2783" t="s">
        <v>262</v>
      </c>
      <c r="F2783" t="s">
        <v>1446</v>
      </c>
      <c r="G2783" t="s">
        <v>3219</v>
      </c>
      <c r="H2783" t="s">
        <v>4972</v>
      </c>
      <c r="I2783" t="s">
        <v>6423</v>
      </c>
      <c r="J2783" t="s">
        <v>7170</v>
      </c>
      <c r="K2783">
        <v>10452</v>
      </c>
      <c r="N2783" t="s">
        <v>7237</v>
      </c>
      <c r="O2783" t="s">
        <v>7699</v>
      </c>
      <c r="P2783">
        <v>1</v>
      </c>
      <c r="Q2783">
        <v>0</v>
      </c>
      <c r="R2783">
        <v>164.68</v>
      </c>
      <c r="U2783">
        <v>20569.08</v>
      </c>
      <c r="W2783">
        <v>0</v>
      </c>
      <c r="Y2783" t="s">
        <v>10897</v>
      </c>
      <c r="Z2783" t="s">
        <v>10972</v>
      </c>
      <c r="AA2783" t="s">
        <v>10976</v>
      </c>
      <c r="AC2783" t="s">
        <v>11081</v>
      </c>
      <c r="AE2783" t="s">
        <v>11117</v>
      </c>
      <c r="AH2783" t="s">
        <v>10974</v>
      </c>
      <c r="AJ2783" t="s">
        <v>11141</v>
      </c>
      <c r="AK2783" t="s">
        <v>7225</v>
      </c>
      <c r="AM2783">
        <v>979.97</v>
      </c>
      <c r="AO2783">
        <v>65</v>
      </c>
      <c r="AQ2783" t="s">
        <v>11157</v>
      </c>
      <c r="AR2783" t="s">
        <v>11172</v>
      </c>
      <c r="AU2783">
        <v>45</v>
      </c>
      <c r="AW2783" t="s">
        <v>11187</v>
      </c>
      <c r="AX2783" t="s">
        <v>11212</v>
      </c>
      <c r="AZ2783" t="s">
        <v>11221</v>
      </c>
      <c r="BE2783" t="s">
        <v>12061</v>
      </c>
      <c r="BF2783" t="s">
        <v>14364</v>
      </c>
      <c r="BM2783" t="s">
        <v>15650</v>
      </c>
    </row>
    <row r="2784" spans="1:65">
      <c r="A2784" s="1">
        <f>HYPERLINK("https://lsnyc.legalserver.org/matter/dynamic-profile/view/1907341","19-1907341")</f>
        <v>0</v>
      </c>
      <c r="B2784" t="s">
        <v>171</v>
      </c>
      <c r="C2784" t="s">
        <v>246</v>
      </c>
      <c r="D2784" t="s">
        <v>433</v>
      </c>
      <c r="F2784" t="s">
        <v>2254</v>
      </c>
      <c r="G2784" t="s">
        <v>4067</v>
      </c>
      <c r="H2784" t="s">
        <v>5712</v>
      </c>
      <c r="I2784">
        <v>1205</v>
      </c>
      <c r="J2784" t="s">
        <v>7170</v>
      </c>
      <c r="K2784">
        <v>10456</v>
      </c>
      <c r="N2784" t="s">
        <v>7237</v>
      </c>
      <c r="O2784" t="s">
        <v>9049</v>
      </c>
      <c r="P2784">
        <v>1</v>
      </c>
      <c r="Q2784">
        <v>0</v>
      </c>
      <c r="R2784">
        <v>82.43000000000001</v>
      </c>
      <c r="U2784">
        <v>10296</v>
      </c>
      <c r="W2784">
        <v>27.4</v>
      </c>
      <c r="X2784" t="s">
        <v>436</v>
      </c>
      <c r="Y2784" t="s">
        <v>93</v>
      </c>
      <c r="AA2784" t="s">
        <v>10974</v>
      </c>
      <c r="AC2784" t="s">
        <v>11081</v>
      </c>
      <c r="AE2784" t="s">
        <v>11117</v>
      </c>
      <c r="AH2784" t="s">
        <v>10975</v>
      </c>
      <c r="AJ2784" t="s">
        <v>11104</v>
      </c>
      <c r="AK2784" t="s">
        <v>7225</v>
      </c>
      <c r="AM2784">
        <v>257.4</v>
      </c>
      <c r="AO2784">
        <v>154</v>
      </c>
      <c r="AQ2784" t="s">
        <v>11164</v>
      </c>
      <c r="AS2784" t="s">
        <v>11180</v>
      </c>
      <c r="AU2784">
        <v>-1</v>
      </c>
      <c r="AW2784" t="s">
        <v>11187</v>
      </c>
      <c r="AX2784" t="s">
        <v>11212</v>
      </c>
      <c r="AZ2784" t="s">
        <v>11221</v>
      </c>
      <c r="BE2784" t="s">
        <v>13285</v>
      </c>
      <c r="BF2784" t="s">
        <v>14364</v>
      </c>
      <c r="BM2784" t="s">
        <v>15650</v>
      </c>
    </row>
    <row r="2785" spans="1:65">
      <c r="A2785" s="1">
        <f>HYPERLINK("https://lsnyc.legalserver.org/matter/dynamic-profile/view/1906955","19-1906955")</f>
        <v>0</v>
      </c>
      <c r="B2785" t="s">
        <v>171</v>
      </c>
      <c r="C2785" t="s">
        <v>246</v>
      </c>
      <c r="D2785" t="s">
        <v>450</v>
      </c>
      <c r="F2785" t="s">
        <v>1446</v>
      </c>
      <c r="G2785" t="s">
        <v>3219</v>
      </c>
      <c r="H2785" t="s">
        <v>4972</v>
      </c>
      <c r="I2785" t="s">
        <v>6423</v>
      </c>
      <c r="J2785" t="s">
        <v>7170</v>
      </c>
      <c r="K2785">
        <v>10452</v>
      </c>
      <c r="N2785" t="s">
        <v>7237</v>
      </c>
      <c r="O2785" t="s">
        <v>7699</v>
      </c>
      <c r="P2785">
        <v>1</v>
      </c>
      <c r="Q2785">
        <v>0</v>
      </c>
      <c r="R2785">
        <v>164.68</v>
      </c>
      <c r="U2785">
        <v>20569.08</v>
      </c>
      <c r="W2785">
        <v>0</v>
      </c>
      <c r="Y2785" t="s">
        <v>93</v>
      </c>
      <c r="AA2785" t="s">
        <v>10974</v>
      </c>
      <c r="AC2785" t="s">
        <v>11081</v>
      </c>
      <c r="AE2785" t="s">
        <v>11117</v>
      </c>
      <c r="AH2785" t="s">
        <v>10974</v>
      </c>
      <c r="AJ2785" t="s">
        <v>11134</v>
      </c>
      <c r="AK2785" t="s">
        <v>7225</v>
      </c>
      <c r="AM2785">
        <v>979.97</v>
      </c>
      <c r="AO2785">
        <v>65</v>
      </c>
      <c r="AQ2785" t="s">
        <v>11157</v>
      </c>
      <c r="AS2785" t="s">
        <v>11173</v>
      </c>
      <c r="AU2785">
        <v>45</v>
      </c>
      <c r="AW2785" t="s">
        <v>11187</v>
      </c>
      <c r="AX2785" t="s">
        <v>11212</v>
      </c>
      <c r="AZ2785" t="s">
        <v>11221</v>
      </c>
      <c r="BE2785" t="s">
        <v>12061</v>
      </c>
      <c r="BF2785" t="s">
        <v>14364</v>
      </c>
      <c r="BM2785" t="s">
        <v>15650</v>
      </c>
    </row>
    <row r="2786" spans="1:65">
      <c r="A2786" s="1">
        <f>HYPERLINK("https://lsnyc.legalserver.org/matter/dynamic-profile/view/1914959","19-1914959")</f>
        <v>0</v>
      </c>
      <c r="B2786" t="s">
        <v>171</v>
      </c>
      <c r="C2786" t="s">
        <v>246</v>
      </c>
      <c r="D2786" t="s">
        <v>262</v>
      </c>
      <c r="F2786" t="s">
        <v>1223</v>
      </c>
      <c r="G2786" t="s">
        <v>2886</v>
      </c>
      <c r="H2786" t="s">
        <v>4972</v>
      </c>
      <c r="I2786" t="s">
        <v>6477</v>
      </c>
      <c r="J2786" t="s">
        <v>7170</v>
      </c>
      <c r="K2786">
        <v>10452</v>
      </c>
      <c r="N2786" t="s">
        <v>7237</v>
      </c>
      <c r="O2786" t="s">
        <v>7536</v>
      </c>
      <c r="P2786">
        <v>1</v>
      </c>
      <c r="Q2786">
        <v>0</v>
      </c>
      <c r="R2786">
        <v>80.7</v>
      </c>
      <c r="U2786">
        <v>10080</v>
      </c>
      <c r="W2786">
        <v>0</v>
      </c>
      <c r="Y2786" t="s">
        <v>10897</v>
      </c>
      <c r="Z2786" t="s">
        <v>10972</v>
      </c>
      <c r="AA2786" t="s">
        <v>10976</v>
      </c>
      <c r="AC2786" t="s">
        <v>11081</v>
      </c>
      <c r="AE2786" t="s">
        <v>11117</v>
      </c>
      <c r="AH2786" t="s">
        <v>10974</v>
      </c>
      <c r="AJ2786" t="s">
        <v>11141</v>
      </c>
      <c r="AK2786" t="s">
        <v>7225</v>
      </c>
      <c r="AM2786">
        <v>671.5</v>
      </c>
      <c r="AO2786">
        <v>65</v>
      </c>
      <c r="AQ2786" t="s">
        <v>11157</v>
      </c>
      <c r="AS2786" t="s">
        <v>11173</v>
      </c>
      <c r="AU2786">
        <v>38</v>
      </c>
      <c r="AW2786" t="s">
        <v>11189</v>
      </c>
      <c r="AX2786" t="s">
        <v>11212</v>
      </c>
      <c r="AZ2786" t="s">
        <v>11221</v>
      </c>
      <c r="BE2786" t="s">
        <v>11917</v>
      </c>
      <c r="BF2786" t="s">
        <v>14364</v>
      </c>
      <c r="BM2786" t="s">
        <v>15650</v>
      </c>
    </row>
    <row r="2787" spans="1:65">
      <c r="A2787" s="1">
        <f>HYPERLINK("https://lsnyc.legalserver.org/matter/dynamic-profile/view/1890563","19-1890563")</f>
        <v>0</v>
      </c>
      <c r="B2787" t="s">
        <v>171</v>
      </c>
      <c r="C2787" t="s">
        <v>246</v>
      </c>
      <c r="D2787" t="s">
        <v>566</v>
      </c>
      <c r="F2787" t="s">
        <v>2255</v>
      </c>
      <c r="G2787" t="s">
        <v>2921</v>
      </c>
      <c r="H2787" t="s">
        <v>5700</v>
      </c>
      <c r="I2787" t="s">
        <v>6573</v>
      </c>
      <c r="J2787" t="s">
        <v>7170</v>
      </c>
      <c r="K2787">
        <v>10453</v>
      </c>
      <c r="N2787" t="s">
        <v>7237</v>
      </c>
      <c r="O2787" t="s">
        <v>9050</v>
      </c>
      <c r="P2787">
        <v>2</v>
      </c>
      <c r="Q2787">
        <v>0</v>
      </c>
      <c r="R2787">
        <v>0</v>
      </c>
      <c r="U2787">
        <v>0</v>
      </c>
      <c r="V2787" t="s">
        <v>10516</v>
      </c>
      <c r="W2787">
        <v>0</v>
      </c>
      <c r="Y2787" t="s">
        <v>216</v>
      </c>
      <c r="AA2787" t="s">
        <v>10974</v>
      </c>
      <c r="AB2787" t="s">
        <v>631</v>
      </c>
      <c r="AD2787" t="s">
        <v>11086</v>
      </c>
      <c r="AF2787" t="s">
        <v>11120</v>
      </c>
      <c r="AH2787" t="s">
        <v>10975</v>
      </c>
      <c r="AJ2787" t="s">
        <v>11141</v>
      </c>
      <c r="AK2787" t="s">
        <v>7225</v>
      </c>
      <c r="AM2787">
        <v>800</v>
      </c>
      <c r="AO2787">
        <v>44</v>
      </c>
      <c r="AQ2787" t="s">
        <v>11157</v>
      </c>
      <c r="AS2787" t="s">
        <v>11173</v>
      </c>
      <c r="AU2787">
        <v>1</v>
      </c>
      <c r="AW2787" t="s">
        <v>11187</v>
      </c>
      <c r="AZ2787" t="s">
        <v>11221</v>
      </c>
      <c r="BE2787" t="s">
        <v>13286</v>
      </c>
      <c r="BF2787" t="s">
        <v>14364</v>
      </c>
      <c r="BM2787" t="s">
        <v>15650</v>
      </c>
    </row>
    <row r="2788" spans="1:65">
      <c r="A2788" s="1">
        <f>HYPERLINK("https://lsnyc.legalserver.org/matter/dynamic-profile/view/1894063","18-1894063")</f>
        <v>0</v>
      </c>
      <c r="B2788" t="s">
        <v>171</v>
      </c>
      <c r="C2788" t="s">
        <v>246</v>
      </c>
      <c r="D2788" t="s">
        <v>405</v>
      </c>
      <c r="F2788" t="s">
        <v>1267</v>
      </c>
      <c r="G2788" t="s">
        <v>3385</v>
      </c>
      <c r="H2788" t="s">
        <v>5700</v>
      </c>
      <c r="I2788" t="s">
        <v>6628</v>
      </c>
      <c r="J2788" t="s">
        <v>7170</v>
      </c>
      <c r="K2788">
        <v>10453</v>
      </c>
      <c r="N2788" t="s">
        <v>7237</v>
      </c>
      <c r="O2788" t="s">
        <v>9051</v>
      </c>
      <c r="P2788">
        <v>2</v>
      </c>
      <c r="Q2788">
        <v>0</v>
      </c>
      <c r="R2788">
        <v>56.14</v>
      </c>
      <c r="U2788">
        <v>9240</v>
      </c>
      <c r="W2788">
        <v>0</v>
      </c>
      <c r="Y2788" t="s">
        <v>216</v>
      </c>
      <c r="AA2788" t="s">
        <v>10974</v>
      </c>
      <c r="AB2788" t="s">
        <v>631</v>
      </c>
      <c r="AD2788" t="s">
        <v>11086</v>
      </c>
      <c r="AF2788" t="s">
        <v>11120</v>
      </c>
      <c r="AH2788" t="s">
        <v>10974</v>
      </c>
      <c r="AJ2788" t="s">
        <v>11141</v>
      </c>
      <c r="AK2788" t="s">
        <v>7225</v>
      </c>
      <c r="AM2788">
        <v>957</v>
      </c>
      <c r="AO2788">
        <v>44</v>
      </c>
      <c r="AQ2788" t="s">
        <v>11157</v>
      </c>
      <c r="AS2788" t="s">
        <v>11174</v>
      </c>
      <c r="AU2788">
        <v>28</v>
      </c>
      <c r="AW2788" t="s">
        <v>11189</v>
      </c>
      <c r="AZ2788" t="s">
        <v>11221</v>
      </c>
      <c r="BE2788" t="s">
        <v>13287</v>
      </c>
      <c r="BF2788" t="s">
        <v>14364</v>
      </c>
      <c r="BM2788" t="s">
        <v>15650</v>
      </c>
    </row>
    <row r="2789" spans="1:65">
      <c r="A2789" s="1">
        <f>HYPERLINK("https://lsnyc.legalserver.org/matter/dynamic-profile/view/1894064","19-1894064")</f>
        <v>0</v>
      </c>
      <c r="B2789" t="s">
        <v>171</v>
      </c>
      <c r="C2789" t="s">
        <v>246</v>
      </c>
      <c r="D2789" t="s">
        <v>405</v>
      </c>
      <c r="F2789" t="s">
        <v>1267</v>
      </c>
      <c r="G2789" t="s">
        <v>3385</v>
      </c>
      <c r="H2789" t="s">
        <v>5700</v>
      </c>
      <c r="I2789" t="s">
        <v>6628</v>
      </c>
      <c r="J2789" t="s">
        <v>7170</v>
      </c>
      <c r="K2789">
        <v>10453</v>
      </c>
      <c r="N2789" t="s">
        <v>7237</v>
      </c>
      <c r="O2789" t="s">
        <v>9051</v>
      </c>
      <c r="P2789">
        <v>2</v>
      </c>
      <c r="Q2789">
        <v>0</v>
      </c>
      <c r="R2789">
        <v>56.14</v>
      </c>
      <c r="U2789">
        <v>9240</v>
      </c>
      <c r="W2789">
        <v>0</v>
      </c>
      <c r="Y2789" t="s">
        <v>216</v>
      </c>
      <c r="AA2789" t="s">
        <v>10974</v>
      </c>
      <c r="AB2789" t="s">
        <v>370</v>
      </c>
      <c r="AD2789" t="s">
        <v>11101</v>
      </c>
      <c r="AF2789" t="s">
        <v>11118</v>
      </c>
      <c r="AH2789" t="s">
        <v>10974</v>
      </c>
      <c r="AJ2789" t="s">
        <v>11141</v>
      </c>
      <c r="AK2789" t="s">
        <v>7225</v>
      </c>
      <c r="AM2789">
        <v>957</v>
      </c>
      <c r="AO2789">
        <v>44</v>
      </c>
      <c r="AQ2789" t="s">
        <v>11157</v>
      </c>
      <c r="AS2789" t="s">
        <v>11174</v>
      </c>
      <c r="AU2789">
        <v>28</v>
      </c>
      <c r="AW2789" t="s">
        <v>11189</v>
      </c>
      <c r="AZ2789" t="s">
        <v>11221</v>
      </c>
      <c r="BE2789" t="s">
        <v>13287</v>
      </c>
      <c r="BG2789" t="s">
        <v>15052</v>
      </c>
      <c r="BM2789" t="s">
        <v>15650</v>
      </c>
    </row>
    <row r="2790" spans="1:65">
      <c r="A2790" s="1">
        <f>HYPERLINK("https://lsnyc.legalserver.org/matter/dynamic-profile/view/1894066","19-1894066")</f>
        <v>0</v>
      </c>
      <c r="B2790" t="s">
        <v>171</v>
      </c>
      <c r="C2790" t="s">
        <v>246</v>
      </c>
      <c r="D2790" t="s">
        <v>405</v>
      </c>
      <c r="F2790" t="s">
        <v>1267</v>
      </c>
      <c r="G2790" t="s">
        <v>3385</v>
      </c>
      <c r="H2790" t="s">
        <v>5700</v>
      </c>
      <c r="I2790" t="s">
        <v>6628</v>
      </c>
      <c r="J2790" t="s">
        <v>7170</v>
      </c>
      <c r="K2790">
        <v>10453</v>
      </c>
      <c r="N2790" t="s">
        <v>7237</v>
      </c>
      <c r="O2790" t="s">
        <v>9051</v>
      </c>
      <c r="P2790">
        <v>2</v>
      </c>
      <c r="Q2790">
        <v>0</v>
      </c>
      <c r="R2790">
        <v>56.14</v>
      </c>
      <c r="U2790">
        <v>9240</v>
      </c>
      <c r="W2790">
        <v>0</v>
      </c>
      <c r="Y2790" t="s">
        <v>216</v>
      </c>
      <c r="AA2790" t="s">
        <v>10974</v>
      </c>
      <c r="AB2790" t="s">
        <v>370</v>
      </c>
      <c r="AD2790" t="s">
        <v>11098</v>
      </c>
      <c r="AF2790" t="s">
        <v>11122</v>
      </c>
      <c r="AH2790" t="s">
        <v>10974</v>
      </c>
      <c r="AJ2790" t="s">
        <v>11141</v>
      </c>
      <c r="AK2790" t="s">
        <v>7225</v>
      </c>
      <c r="AM2790">
        <v>957</v>
      </c>
      <c r="AO2790">
        <v>44</v>
      </c>
      <c r="AQ2790" t="s">
        <v>11157</v>
      </c>
      <c r="AS2790" t="s">
        <v>11174</v>
      </c>
      <c r="AU2790">
        <v>28</v>
      </c>
      <c r="AW2790" t="s">
        <v>11189</v>
      </c>
      <c r="AZ2790" t="s">
        <v>11221</v>
      </c>
      <c r="BE2790" t="s">
        <v>13287</v>
      </c>
      <c r="BF2790" t="s">
        <v>14364</v>
      </c>
      <c r="BM2790" t="s">
        <v>15650</v>
      </c>
    </row>
    <row r="2791" spans="1:65">
      <c r="A2791" s="1">
        <f>HYPERLINK("https://lsnyc.legalserver.org/matter/dynamic-profile/view/1914564","19-1914564")</f>
        <v>0</v>
      </c>
      <c r="B2791" t="s">
        <v>171</v>
      </c>
      <c r="C2791" t="s">
        <v>246</v>
      </c>
      <c r="D2791" t="s">
        <v>312</v>
      </c>
      <c r="F2791" t="s">
        <v>1321</v>
      </c>
      <c r="G2791" t="s">
        <v>4068</v>
      </c>
      <c r="H2791" t="s">
        <v>5713</v>
      </c>
      <c r="I2791" t="s">
        <v>6480</v>
      </c>
      <c r="J2791" t="s">
        <v>7170</v>
      </c>
      <c r="K2791">
        <v>10462</v>
      </c>
      <c r="N2791" t="s">
        <v>7237</v>
      </c>
      <c r="O2791" t="s">
        <v>9052</v>
      </c>
      <c r="P2791">
        <v>1</v>
      </c>
      <c r="Q2791">
        <v>2</v>
      </c>
      <c r="R2791">
        <v>33.64</v>
      </c>
      <c r="U2791">
        <v>7176</v>
      </c>
      <c r="W2791">
        <v>0</v>
      </c>
      <c r="Y2791" t="s">
        <v>216</v>
      </c>
      <c r="AA2791" t="s">
        <v>10974</v>
      </c>
      <c r="AC2791" t="s">
        <v>11081</v>
      </c>
      <c r="AE2791" t="s">
        <v>11117</v>
      </c>
      <c r="AG2791" t="s">
        <v>11124</v>
      </c>
      <c r="AJ2791" t="s">
        <v>11139</v>
      </c>
      <c r="AK2791" t="s">
        <v>7225</v>
      </c>
      <c r="AM2791">
        <v>1557</v>
      </c>
      <c r="AO2791">
        <v>98</v>
      </c>
      <c r="AQ2791" t="s">
        <v>11165</v>
      </c>
      <c r="AS2791" t="s">
        <v>11180</v>
      </c>
      <c r="AU2791">
        <v>1</v>
      </c>
      <c r="AW2791" t="s">
        <v>11187</v>
      </c>
      <c r="AX2791" t="s">
        <v>11212</v>
      </c>
      <c r="BA2791" t="s">
        <v>11222</v>
      </c>
      <c r="BE2791" t="s">
        <v>13288</v>
      </c>
      <c r="BF2791" t="s">
        <v>14364</v>
      </c>
      <c r="BM2791" t="s">
        <v>15650</v>
      </c>
    </row>
    <row r="2792" spans="1:65">
      <c r="A2792" s="1">
        <f>HYPERLINK("https://lsnyc.legalserver.org/matter/dynamic-profile/view/1890574","19-1890574")</f>
        <v>0</v>
      </c>
      <c r="B2792" t="s">
        <v>171</v>
      </c>
      <c r="C2792" t="s">
        <v>246</v>
      </c>
      <c r="D2792" t="s">
        <v>566</v>
      </c>
      <c r="F2792" t="s">
        <v>2255</v>
      </c>
      <c r="G2792" t="s">
        <v>2921</v>
      </c>
      <c r="H2792" t="s">
        <v>5700</v>
      </c>
      <c r="I2792" t="s">
        <v>6573</v>
      </c>
      <c r="J2792" t="s">
        <v>7170</v>
      </c>
      <c r="K2792">
        <v>10453</v>
      </c>
      <c r="N2792" t="s">
        <v>7237</v>
      </c>
      <c r="O2792" t="s">
        <v>9050</v>
      </c>
      <c r="P2792">
        <v>2</v>
      </c>
      <c r="Q2792">
        <v>0</v>
      </c>
      <c r="R2792">
        <v>0</v>
      </c>
      <c r="U2792">
        <v>0</v>
      </c>
      <c r="W2792">
        <v>0</v>
      </c>
      <c r="Y2792" t="s">
        <v>216</v>
      </c>
      <c r="AA2792" t="s">
        <v>10974</v>
      </c>
      <c r="AB2792" t="s">
        <v>370</v>
      </c>
      <c r="AD2792" t="s">
        <v>11098</v>
      </c>
      <c r="AF2792" t="s">
        <v>11122</v>
      </c>
      <c r="AH2792" t="s">
        <v>10974</v>
      </c>
      <c r="AJ2792" t="s">
        <v>11141</v>
      </c>
      <c r="AK2792" t="s">
        <v>7225</v>
      </c>
      <c r="AM2792">
        <v>800</v>
      </c>
      <c r="AO2792">
        <v>44</v>
      </c>
      <c r="AQ2792" t="s">
        <v>11157</v>
      </c>
      <c r="AS2792" t="s">
        <v>11173</v>
      </c>
      <c r="AU2792">
        <v>1</v>
      </c>
      <c r="AW2792" t="s">
        <v>11187</v>
      </c>
      <c r="AZ2792" t="s">
        <v>11221</v>
      </c>
      <c r="BE2792" t="s">
        <v>13286</v>
      </c>
      <c r="BF2792" t="s">
        <v>14364</v>
      </c>
      <c r="BM2792" t="s">
        <v>15650</v>
      </c>
    </row>
    <row r="2793" spans="1:65">
      <c r="A2793" s="1">
        <f>HYPERLINK("https://lsnyc.legalserver.org/matter/dynamic-profile/view/1913813","19-1913813")</f>
        <v>0</v>
      </c>
      <c r="B2793" t="s">
        <v>171</v>
      </c>
      <c r="C2793" t="s">
        <v>246</v>
      </c>
      <c r="D2793" t="s">
        <v>735</v>
      </c>
      <c r="F2793" t="s">
        <v>2256</v>
      </c>
      <c r="G2793" t="s">
        <v>2246</v>
      </c>
      <c r="H2793" t="s">
        <v>5704</v>
      </c>
      <c r="I2793" t="s">
        <v>6433</v>
      </c>
      <c r="J2793" t="s">
        <v>7170</v>
      </c>
      <c r="K2793">
        <v>10453</v>
      </c>
      <c r="N2793" t="s">
        <v>7237</v>
      </c>
      <c r="O2793" t="s">
        <v>9053</v>
      </c>
      <c r="P2793">
        <v>2</v>
      </c>
      <c r="Q2793">
        <v>0</v>
      </c>
      <c r="R2793">
        <v>4.73</v>
      </c>
      <c r="U2793">
        <v>800</v>
      </c>
      <c r="W2793">
        <v>1.8</v>
      </c>
      <c r="X2793" t="s">
        <v>735</v>
      </c>
      <c r="Y2793" t="s">
        <v>171</v>
      </c>
      <c r="AA2793" t="s">
        <v>10974</v>
      </c>
      <c r="AB2793" t="s">
        <v>735</v>
      </c>
      <c r="AC2793" t="s">
        <v>11081</v>
      </c>
      <c r="AF2793" t="s">
        <v>11119</v>
      </c>
      <c r="AH2793" t="s">
        <v>10975</v>
      </c>
      <c r="AJ2793" t="s">
        <v>11141</v>
      </c>
      <c r="AK2793" t="s">
        <v>7225</v>
      </c>
      <c r="AM2793">
        <v>1120</v>
      </c>
      <c r="AO2793">
        <v>31</v>
      </c>
      <c r="AP2793" t="s">
        <v>11155</v>
      </c>
      <c r="AR2793" t="s">
        <v>11172</v>
      </c>
      <c r="AU2793">
        <v>35</v>
      </c>
      <c r="AW2793" t="s">
        <v>11189</v>
      </c>
      <c r="AZ2793" t="s">
        <v>11221</v>
      </c>
      <c r="BE2793" t="s">
        <v>13275</v>
      </c>
      <c r="BF2793" t="s">
        <v>14364</v>
      </c>
      <c r="BM2793" t="s">
        <v>15650</v>
      </c>
    </row>
    <row r="2794" spans="1:65">
      <c r="A2794" s="1">
        <f>HYPERLINK("https://lsnyc.legalserver.org/matter/dynamic-profile/view/1890433","19-1890433")</f>
        <v>0</v>
      </c>
      <c r="B2794" t="s">
        <v>171</v>
      </c>
      <c r="C2794" t="s">
        <v>246</v>
      </c>
      <c r="D2794" t="s">
        <v>405</v>
      </c>
      <c r="F2794" t="s">
        <v>1122</v>
      </c>
      <c r="G2794" t="s">
        <v>3140</v>
      </c>
      <c r="H2794" t="s">
        <v>5700</v>
      </c>
      <c r="I2794" t="s">
        <v>6410</v>
      </c>
      <c r="J2794" t="s">
        <v>7170</v>
      </c>
      <c r="K2794">
        <v>10453</v>
      </c>
      <c r="N2794" t="s">
        <v>7237</v>
      </c>
      <c r="O2794" t="s">
        <v>9054</v>
      </c>
      <c r="P2794">
        <v>2</v>
      </c>
      <c r="Q2794">
        <v>0</v>
      </c>
      <c r="R2794">
        <v>182.26</v>
      </c>
      <c r="U2794">
        <v>30000</v>
      </c>
      <c r="W2794">
        <v>0</v>
      </c>
      <c r="Y2794" t="s">
        <v>216</v>
      </c>
      <c r="AA2794" t="s">
        <v>10974</v>
      </c>
      <c r="AB2794" t="s">
        <v>874</v>
      </c>
      <c r="AD2794" t="s">
        <v>11101</v>
      </c>
      <c r="AF2794" t="s">
        <v>11118</v>
      </c>
      <c r="AG2794" t="s">
        <v>11124</v>
      </c>
      <c r="AJ2794" t="s">
        <v>11141</v>
      </c>
      <c r="AK2794" t="s">
        <v>7225</v>
      </c>
      <c r="AM2794">
        <v>692.88</v>
      </c>
      <c r="AO2794">
        <v>44</v>
      </c>
      <c r="AQ2794" t="s">
        <v>11157</v>
      </c>
      <c r="AS2794" t="s">
        <v>11173</v>
      </c>
      <c r="AU2794">
        <v>27</v>
      </c>
      <c r="AW2794" t="s">
        <v>11187</v>
      </c>
      <c r="AZ2794" t="s">
        <v>11221</v>
      </c>
      <c r="BE2794" t="s">
        <v>13289</v>
      </c>
      <c r="BF2794" t="s">
        <v>14364</v>
      </c>
      <c r="BM2794" t="s">
        <v>15650</v>
      </c>
    </row>
    <row r="2795" spans="1:65">
      <c r="A2795" s="1">
        <f>HYPERLINK("https://lsnyc.legalserver.org/matter/dynamic-profile/view/1914858","19-1914858")</f>
        <v>0</v>
      </c>
      <c r="B2795" t="s">
        <v>171</v>
      </c>
      <c r="C2795" t="s">
        <v>246</v>
      </c>
      <c r="D2795" t="s">
        <v>262</v>
      </c>
      <c r="F2795" t="s">
        <v>2251</v>
      </c>
      <c r="G2795" t="s">
        <v>4066</v>
      </c>
      <c r="H2795" t="s">
        <v>4972</v>
      </c>
      <c r="I2795" t="s">
        <v>6466</v>
      </c>
      <c r="J2795" t="s">
        <v>7170</v>
      </c>
      <c r="K2795">
        <v>10452</v>
      </c>
      <c r="N2795" t="s">
        <v>7237</v>
      </c>
      <c r="O2795" t="s">
        <v>9045</v>
      </c>
      <c r="P2795">
        <v>1</v>
      </c>
      <c r="Q2795">
        <v>0</v>
      </c>
      <c r="R2795">
        <v>78.20999999999999</v>
      </c>
      <c r="U2795">
        <v>9768</v>
      </c>
      <c r="W2795">
        <v>0</v>
      </c>
      <c r="Y2795" t="s">
        <v>93</v>
      </c>
      <c r="AA2795" t="s">
        <v>10974</v>
      </c>
      <c r="AC2795" t="s">
        <v>11081</v>
      </c>
      <c r="AF2795" t="s">
        <v>11121</v>
      </c>
      <c r="AH2795" t="s">
        <v>10974</v>
      </c>
      <c r="AJ2795" t="s">
        <v>11141</v>
      </c>
      <c r="AK2795" t="s">
        <v>7225</v>
      </c>
      <c r="AM2795">
        <v>450</v>
      </c>
      <c r="AO2795">
        <v>65</v>
      </c>
      <c r="AQ2795" t="s">
        <v>11157</v>
      </c>
      <c r="AS2795" t="s">
        <v>11174</v>
      </c>
      <c r="AU2795">
        <v>28</v>
      </c>
      <c r="AW2795" t="s">
        <v>11189</v>
      </c>
      <c r="AX2795" t="s">
        <v>11212</v>
      </c>
      <c r="AZ2795" t="s">
        <v>11221</v>
      </c>
      <c r="BE2795" t="s">
        <v>13280</v>
      </c>
      <c r="BF2795" t="s">
        <v>14364</v>
      </c>
      <c r="BM2795" t="s">
        <v>15650</v>
      </c>
    </row>
    <row r="2796" spans="1:65">
      <c r="A2796" s="1">
        <f>HYPERLINK("https://lsnyc.legalserver.org/matter/dynamic-profile/view/1907058","19-1907058")</f>
        <v>0</v>
      </c>
      <c r="B2796" t="s">
        <v>171</v>
      </c>
      <c r="C2796" t="s">
        <v>246</v>
      </c>
      <c r="D2796" t="s">
        <v>429</v>
      </c>
      <c r="F2796" t="s">
        <v>2257</v>
      </c>
      <c r="G2796" t="s">
        <v>1619</v>
      </c>
      <c r="H2796" t="s">
        <v>5714</v>
      </c>
      <c r="I2796">
        <v>2</v>
      </c>
      <c r="J2796" t="s">
        <v>7170</v>
      </c>
      <c r="K2796">
        <v>10473</v>
      </c>
      <c r="N2796" t="s">
        <v>7237</v>
      </c>
      <c r="O2796" t="s">
        <v>9055</v>
      </c>
      <c r="P2796">
        <v>1</v>
      </c>
      <c r="Q2796">
        <v>0</v>
      </c>
      <c r="R2796">
        <v>76.86</v>
      </c>
      <c r="U2796">
        <v>9600</v>
      </c>
      <c r="W2796">
        <v>6</v>
      </c>
      <c r="X2796" t="s">
        <v>345</v>
      </c>
      <c r="Y2796" t="s">
        <v>216</v>
      </c>
      <c r="AA2796" t="s">
        <v>10974</v>
      </c>
      <c r="AD2796" t="s">
        <v>11101</v>
      </c>
      <c r="AF2796" t="s">
        <v>11118</v>
      </c>
      <c r="AH2796" t="s">
        <v>10975</v>
      </c>
      <c r="AJ2796" t="s">
        <v>11141</v>
      </c>
      <c r="AK2796" t="s">
        <v>7225</v>
      </c>
      <c r="AL2796" t="s">
        <v>11150</v>
      </c>
      <c r="AM2796">
        <v>0</v>
      </c>
      <c r="AO2796">
        <v>3</v>
      </c>
      <c r="AQ2796" t="s">
        <v>11164</v>
      </c>
      <c r="AS2796" t="s">
        <v>11180</v>
      </c>
      <c r="AU2796">
        <v>2</v>
      </c>
      <c r="AW2796" t="s">
        <v>11187</v>
      </c>
      <c r="AX2796" t="s">
        <v>11212</v>
      </c>
      <c r="BA2796" t="s">
        <v>11222</v>
      </c>
      <c r="BD2796" t="s">
        <v>11667</v>
      </c>
      <c r="BF2796" t="s">
        <v>14364</v>
      </c>
      <c r="BM2796" t="s">
        <v>15650</v>
      </c>
    </row>
    <row r="2797" spans="1:65">
      <c r="A2797" s="1">
        <f>HYPERLINK("https://lsnyc.legalserver.org/matter/dynamic-profile/view/1890404","19-1890404")</f>
        <v>0</v>
      </c>
      <c r="B2797" t="s">
        <v>171</v>
      </c>
      <c r="C2797" t="s">
        <v>246</v>
      </c>
      <c r="D2797" t="s">
        <v>405</v>
      </c>
      <c r="F2797" t="s">
        <v>1608</v>
      </c>
      <c r="G2797" t="s">
        <v>4055</v>
      </c>
      <c r="H2797" t="s">
        <v>5700</v>
      </c>
      <c r="I2797" t="s">
        <v>6502</v>
      </c>
      <c r="J2797" t="s">
        <v>7170</v>
      </c>
      <c r="K2797">
        <v>10453</v>
      </c>
      <c r="N2797" t="s">
        <v>7237</v>
      </c>
      <c r="O2797" t="s">
        <v>9028</v>
      </c>
      <c r="P2797">
        <v>1</v>
      </c>
      <c r="Q2797">
        <v>0</v>
      </c>
      <c r="R2797">
        <v>62.16</v>
      </c>
      <c r="U2797">
        <v>7764</v>
      </c>
      <c r="W2797">
        <v>0</v>
      </c>
      <c r="Y2797" t="s">
        <v>216</v>
      </c>
      <c r="AA2797" t="s">
        <v>10974</v>
      </c>
      <c r="AB2797" t="s">
        <v>370</v>
      </c>
      <c r="AD2797" t="s">
        <v>11098</v>
      </c>
      <c r="AF2797" t="s">
        <v>11122</v>
      </c>
      <c r="AH2797" t="s">
        <v>10974</v>
      </c>
      <c r="AJ2797" t="s">
        <v>11141</v>
      </c>
      <c r="AK2797" t="s">
        <v>7225</v>
      </c>
      <c r="AM2797">
        <v>187</v>
      </c>
      <c r="AO2797">
        <v>44</v>
      </c>
      <c r="AQ2797" t="s">
        <v>11157</v>
      </c>
      <c r="AS2797" t="s">
        <v>11174</v>
      </c>
      <c r="AU2797">
        <v>25</v>
      </c>
      <c r="AW2797" t="s">
        <v>11189</v>
      </c>
      <c r="AZ2797" t="s">
        <v>11221</v>
      </c>
      <c r="BE2797" t="s">
        <v>13261</v>
      </c>
      <c r="BF2797" t="s">
        <v>14364</v>
      </c>
      <c r="BM2797" t="s">
        <v>15650</v>
      </c>
    </row>
    <row r="2798" spans="1:65">
      <c r="A2798" s="1">
        <f>HYPERLINK("https://lsnyc.legalserver.org/matter/dynamic-profile/view/1914948","19-1914948")</f>
        <v>0</v>
      </c>
      <c r="B2798" t="s">
        <v>171</v>
      </c>
      <c r="C2798" t="s">
        <v>246</v>
      </c>
      <c r="D2798" t="s">
        <v>262</v>
      </c>
      <c r="F2798" t="s">
        <v>1090</v>
      </c>
      <c r="G2798" t="s">
        <v>3520</v>
      </c>
      <c r="H2798" t="s">
        <v>4972</v>
      </c>
      <c r="I2798" t="s">
        <v>6468</v>
      </c>
      <c r="J2798" t="s">
        <v>7170</v>
      </c>
      <c r="K2798">
        <v>10452</v>
      </c>
      <c r="N2798" t="s">
        <v>7237</v>
      </c>
      <c r="O2798" t="s">
        <v>9056</v>
      </c>
      <c r="P2798">
        <v>3</v>
      </c>
      <c r="Q2798">
        <v>1</v>
      </c>
      <c r="R2798">
        <v>222.14</v>
      </c>
      <c r="U2798">
        <v>57200</v>
      </c>
      <c r="W2798">
        <v>0</v>
      </c>
      <c r="Y2798" t="s">
        <v>10897</v>
      </c>
      <c r="Z2798" t="s">
        <v>10972</v>
      </c>
      <c r="AA2798" t="s">
        <v>10976</v>
      </c>
      <c r="AC2798" t="s">
        <v>11081</v>
      </c>
      <c r="AE2798" t="s">
        <v>11117</v>
      </c>
      <c r="AH2798" t="s">
        <v>10974</v>
      </c>
      <c r="AJ2798" t="s">
        <v>11141</v>
      </c>
      <c r="AK2798" t="s">
        <v>7225</v>
      </c>
      <c r="AM2798">
        <v>1756.68</v>
      </c>
      <c r="AO2798">
        <v>65</v>
      </c>
      <c r="AP2798" t="s">
        <v>11155</v>
      </c>
      <c r="AR2798" t="s">
        <v>11172</v>
      </c>
      <c r="AU2798">
        <v>22</v>
      </c>
      <c r="AW2798" t="s">
        <v>11189</v>
      </c>
      <c r="AX2798" t="s">
        <v>11212</v>
      </c>
      <c r="AZ2798" t="s">
        <v>11221</v>
      </c>
      <c r="BD2798" t="s">
        <v>11667</v>
      </c>
      <c r="BF2798" t="s">
        <v>14364</v>
      </c>
      <c r="BM2798" t="s">
        <v>15650</v>
      </c>
    </row>
    <row r="2799" spans="1:65">
      <c r="A2799" s="1">
        <f>HYPERLINK("https://lsnyc.legalserver.org/matter/dynamic-profile/view/1912606","19-1912606")</f>
        <v>0</v>
      </c>
      <c r="B2799" t="s">
        <v>171</v>
      </c>
      <c r="C2799" t="s">
        <v>246</v>
      </c>
      <c r="D2799" t="s">
        <v>560</v>
      </c>
      <c r="F2799" t="s">
        <v>1090</v>
      </c>
      <c r="G2799" t="s">
        <v>3520</v>
      </c>
      <c r="H2799" t="s">
        <v>4972</v>
      </c>
      <c r="J2799" t="s">
        <v>7170</v>
      </c>
      <c r="K2799">
        <v>10452</v>
      </c>
      <c r="N2799" t="s">
        <v>7237</v>
      </c>
      <c r="O2799" t="s">
        <v>9056</v>
      </c>
      <c r="P2799">
        <v>3</v>
      </c>
      <c r="Q2799">
        <v>1</v>
      </c>
      <c r="R2799">
        <v>222.14</v>
      </c>
      <c r="U2799">
        <v>57200</v>
      </c>
      <c r="W2799">
        <v>0.1</v>
      </c>
      <c r="X2799" t="s">
        <v>634</v>
      </c>
      <c r="Y2799" t="s">
        <v>216</v>
      </c>
      <c r="AA2799" t="s">
        <v>10974</v>
      </c>
      <c r="AC2799" t="s">
        <v>11081</v>
      </c>
      <c r="AE2799" t="s">
        <v>11117</v>
      </c>
      <c r="AG2799" t="s">
        <v>11124</v>
      </c>
      <c r="AJ2799" t="s">
        <v>11141</v>
      </c>
      <c r="AK2799" t="s">
        <v>7225</v>
      </c>
      <c r="AM2799">
        <v>1756.68</v>
      </c>
      <c r="AO2799">
        <v>63</v>
      </c>
      <c r="AP2799" t="s">
        <v>11155</v>
      </c>
      <c r="AS2799" t="s">
        <v>11173</v>
      </c>
      <c r="AU2799">
        <v>22</v>
      </c>
      <c r="AW2799" t="s">
        <v>11189</v>
      </c>
      <c r="AX2799" t="s">
        <v>11212</v>
      </c>
      <c r="BA2799" t="s">
        <v>11222</v>
      </c>
      <c r="BD2799" t="s">
        <v>11667</v>
      </c>
      <c r="BF2799" t="s">
        <v>14364</v>
      </c>
      <c r="BM2799" t="s">
        <v>15650</v>
      </c>
    </row>
    <row r="2800" spans="1:65">
      <c r="A2800" s="1">
        <f>HYPERLINK("https://lsnyc.legalserver.org/matter/dynamic-profile/view/1887093","19-1887093")</f>
        <v>0</v>
      </c>
      <c r="B2800" t="s">
        <v>171</v>
      </c>
      <c r="C2800" t="s">
        <v>246</v>
      </c>
      <c r="D2800" t="s">
        <v>785</v>
      </c>
      <c r="F2800" t="s">
        <v>2258</v>
      </c>
      <c r="G2800" t="s">
        <v>3438</v>
      </c>
      <c r="H2800" t="s">
        <v>5700</v>
      </c>
      <c r="I2800" t="s">
        <v>6495</v>
      </c>
      <c r="J2800" t="s">
        <v>7170</v>
      </c>
      <c r="K2800">
        <v>10453</v>
      </c>
      <c r="N2800" t="s">
        <v>7237</v>
      </c>
      <c r="O2800" t="s">
        <v>9057</v>
      </c>
      <c r="P2800">
        <v>2</v>
      </c>
      <c r="Q2800">
        <v>2</v>
      </c>
      <c r="R2800">
        <v>61.39</v>
      </c>
      <c r="U2800">
        <v>15408</v>
      </c>
      <c r="W2800">
        <v>22.7</v>
      </c>
      <c r="X2800" t="s">
        <v>301</v>
      </c>
      <c r="Y2800" t="s">
        <v>10865</v>
      </c>
      <c r="AA2800" t="s">
        <v>10974</v>
      </c>
      <c r="AB2800" t="s">
        <v>370</v>
      </c>
      <c r="AD2800" t="s">
        <v>11086</v>
      </c>
      <c r="AF2800" t="s">
        <v>11120</v>
      </c>
      <c r="AH2800" t="s">
        <v>10974</v>
      </c>
      <c r="AJ2800" t="s">
        <v>11141</v>
      </c>
      <c r="AK2800" t="s">
        <v>7225</v>
      </c>
      <c r="AM2800">
        <v>1497.33</v>
      </c>
      <c r="AO2800">
        <v>49</v>
      </c>
      <c r="AQ2800" t="s">
        <v>11157</v>
      </c>
      <c r="AS2800" t="s">
        <v>11180</v>
      </c>
      <c r="AU2800">
        <v>8</v>
      </c>
      <c r="AW2800" t="s">
        <v>11187</v>
      </c>
      <c r="BA2800" t="s">
        <v>11223</v>
      </c>
      <c r="BB2800" t="s">
        <v>11224</v>
      </c>
      <c r="BC2800" t="s">
        <v>11452</v>
      </c>
      <c r="BE2800" t="s">
        <v>13290</v>
      </c>
      <c r="BF2800" t="s">
        <v>14364</v>
      </c>
      <c r="BM2800" t="s">
        <v>15650</v>
      </c>
    </row>
    <row r="2801" spans="1:67">
      <c r="A2801" s="1">
        <f>HYPERLINK("https://lsnyc.legalserver.org/matter/dynamic-profile/view/1890441","19-1890441")</f>
        <v>0</v>
      </c>
      <c r="B2801" t="s">
        <v>171</v>
      </c>
      <c r="C2801" t="s">
        <v>246</v>
      </c>
      <c r="D2801" t="s">
        <v>405</v>
      </c>
      <c r="F2801" t="s">
        <v>1122</v>
      </c>
      <c r="G2801" t="s">
        <v>3140</v>
      </c>
      <c r="H2801" t="s">
        <v>5700</v>
      </c>
      <c r="I2801" t="s">
        <v>6410</v>
      </c>
      <c r="J2801" t="s">
        <v>7170</v>
      </c>
      <c r="K2801">
        <v>10453</v>
      </c>
      <c r="N2801" t="s">
        <v>7237</v>
      </c>
      <c r="O2801" t="s">
        <v>9054</v>
      </c>
      <c r="P2801">
        <v>2</v>
      </c>
      <c r="Q2801">
        <v>0</v>
      </c>
      <c r="R2801">
        <v>182.26</v>
      </c>
      <c r="U2801">
        <v>30000</v>
      </c>
      <c r="W2801">
        <v>0</v>
      </c>
      <c r="Y2801" t="s">
        <v>216</v>
      </c>
      <c r="AA2801" t="s">
        <v>10974</v>
      </c>
      <c r="AB2801" t="s">
        <v>370</v>
      </c>
      <c r="AD2801" t="s">
        <v>11098</v>
      </c>
      <c r="AF2801" t="s">
        <v>11122</v>
      </c>
      <c r="AH2801" t="s">
        <v>10974</v>
      </c>
      <c r="AJ2801" t="s">
        <v>11141</v>
      </c>
      <c r="AK2801" t="s">
        <v>7225</v>
      </c>
      <c r="AM2801">
        <v>692.88</v>
      </c>
      <c r="AN2801" t="s">
        <v>11151</v>
      </c>
      <c r="AO2801" t="s">
        <v>11153</v>
      </c>
      <c r="AQ2801" t="s">
        <v>11157</v>
      </c>
      <c r="AS2801" t="s">
        <v>11173</v>
      </c>
      <c r="AU2801">
        <v>27</v>
      </c>
      <c r="AW2801" t="s">
        <v>11187</v>
      </c>
      <c r="AZ2801" t="s">
        <v>11221</v>
      </c>
      <c r="BE2801" t="s">
        <v>13289</v>
      </c>
      <c r="BF2801" t="s">
        <v>14364</v>
      </c>
      <c r="BM2801" t="s">
        <v>15650</v>
      </c>
    </row>
    <row r="2802" spans="1:67">
      <c r="A2802" s="1">
        <f>HYPERLINK("https://lsnyc.legalserver.org/matter/dynamic-profile/view/1914518","19-1914518")</f>
        <v>0</v>
      </c>
      <c r="B2802" t="s">
        <v>171</v>
      </c>
      <c r="C2802" t="s">
        <v>246</v>
      </c>
      <c r="D2802" t="s">
        <v>735</v>
      </c>
      <c r="F2802" t="s">
        <v>1155</v>
      </c>
      <c r="G2802" t="s">
        <v>3103</v>
      </c>
      <c r="H2802" t="s">
        <v>4972</v>
      </c>
      <c r="I2802" t="s">
        <v>6666</v>
      </c>
      <c r="J2802" t="s">
        <v>7170</v>
      </c>
      <c r="K2802">
        <v>10452</v>
      </c>
      <c r="N2802" t="s">
        <v>7237</v>
      </c>
      <c r="O2802" t="s">
        <v>9058</v>
      </c>
      <c r="P2802">
        <v>1</v>
      </c>
      <c r="Q2802">
        <v>0</v>
      </c>
      <c r="R2802">
        <v>326.66</v>
      </c>
      <c r="U2802">
        <v>40800</v>
      </c>
      <c r="W2802">
        <v>0.75</v>
      </c>
      <c r="X2802" t="s">
        <v>297</v>
      </c>
      <c r="Y2802" t="s">
        <v>216</v>
      </c>
      <c r="AA2802" t="s">
        <v>10974</v>
      </c>
      <c r="AC2802" t="s">
        <v>11081</v>
      </c>
      <c r="AE2802" t="s">
        <v>11117</v>
      </c>
      <c r="AH2802" t="s">
        <v>10974</v>
      </c>
      <c r="AJ2802" t="s">
        <v>11141</v>
      </c>
      <c r="AK2802" t="s">
        <v>7225</v>
      </c>
      <c r="AM2802">
        <v>851.47</v>
      </c>
      <c r="AO2802">
        <v>63</v>
      </c>
      <c r="AQ2802" t="s">
        <v>11157</v>
      </c>
      <c r="AS2802" t="s">
        <v>11173</v>
      </c>
      <c r="AU2802">
        <v>45</v>
      </c>
      <c r="AW2802" t="s">
        <v>11187</v>
      </c>
      <c r="AX2802" t="s">
        <v>11212</v>
      </c>
      <c r="BA2802" t="s">
        <v>11222</v>
      </c>
      <c r="BE2802" t="s">
        <v>13291</v>
      </c>
      <c r="BF2802" t="s">
        <v>14364</v>
      </c>
      <c r="BM2802" t="s">
        <v>15650</v>
      </c>
    </row>
    <row r="2803" spans="1:67">
      <c r="A2803" s="1">
        <f>HYPERLINK("https://lsnyc.legalserver.org/matter/dynamic-profile/view/1887040","19-1887040")</f>
        <v>0</v>
      </c>
      <c r="B2803" t="s">
        <v>171</v>
      </c>
      <c r="C2803" t="s">
        <v>246</v>
      </c>
      <c r="D2803" t="s">
        <v>785</v>
      </c>
      <c r="F2803" t="s">
        <v>2258</v>
      </c>
      <c r="G2803" t="s">
        <v>3438</v>
      </c>
      <c r="H2803" t="s">
        <v>5700</v>
      </c>
      <c r="I2803" t="s">
        <v>6495</v>
      </c>
      <c r="J2803" t="s">
        <v>7170</v>
      </c>
      <c r="K2803">
        <v>10453</v>
      </c>
      <c r="N2803" t="s">
        <v>7237</v>
      </c>
      <c r="O2803" t="s">
        <v>9057</v>
      </c>
      <c r="P2803">
        <v>2</v>
      </c>
      <c r="Q2803">
        <v>2</v>
      </c>
      <c r="R2803">
        <v>61.39</v>
      </c>
      <c r="U2803">
        <v>15408</v>
      </c>
      <c r="V2803" t="s">
        <v>10517</v>
      </c>
      <c r="W2803">
        <v>12.5</v>
      </c>
      <c r="X2803" t="s">
        <v>412</v>
      </c>
      <c r="Y2803" t="s">
        <v>10865</v>
      </c>
      <c r="Z2803" t="s">
        <v>10973</v>
      </c>
      <c r="AA2803" t="s">
        <v>10975</v>
      </c>
      <c r="AB2803" t="s">
        <v>370</v>
      </c>
      <c r="AD2803" t="s">
        <v>11098</v>
      </c>
      <c r="AF2803" t="s">
        <v>11122</v>
      </c>
      <c r="AH2803" t="s">
        <v>10974</v>
      </c>
      <c r="AJ2803" t="s">
        <v>11141</v>
      </c>
      <c r="AK2803" t="s">
        <v>7225</v>
      </c>
      <c r="AL2803" t="s">
        <v>11150</v>
      </c>
      <c r="AM2803">
        <v>0</v>
      </c>
      <c r="AO2803">
        <v>49</v>
      </c>
      <c r="AQ2803" t="s">
        <v>11157</v>
      </c>
      <c r="AS2803" t="s">
        <v>11173</v>
      </c>
      <c r="AT2803" t="s">
        <v>11184</v>
      </c>
      <c r="AU2803">
        <v>0</v>
      </c>
      <c r="AW2803" t="s">
        <v>11187</v>
      </c>
      <c r="AZ2803" t="s">
        <v>11221</v>
      </c>
      <c r="BB2803" t="s">
        <v>11224</v>
      </c>
      <c r="BC2803" t="s">
        <v>11452</v>
      </c>
      <c r="BE2803" t="s">
        <v>13290</v>
      </c>
      <c r="BF2803" t="s">
        <v>14364</v>
      </c>
      <c r="BM2803" t="s">
        <v>15650</v>
      </c>
    </row>
    <row r="2804" spans="1:67">
      <c r="A2804" s="1">
        <f>HYPERLINK("https://lsnyc.legalserver.org/matter/dynamic-profile/view/1887065","19-1887065")</f>
        <v>0</v>
      </c>
      <c r="B2804" t="s">
        <v>171</v>
      </c>
      <c r="C2804" t="s">
        <v>246</v>
      </c>
      <c r="D2804" t="s">
        <v>785</v>
      </c>
      <c r="F2804" t="s">
        <v>1139</v>
      </c>
      <c r="G2804" t="s">
        <v>2911</v>
      </c>
      <c r="H2804" t="s">
        <v>5700</v>
      </c>
      <c r="I2804" t="s">
        <v>6497</v>
      </c>
      <c r="J2804" t="s">
        <v>7170</v>
      </c>
      <c r="K2804">
        <v>10453</v>
      </c>
      <c r="N2804" t="s">
        <v>7237</v>
      </c>
      <c r="O2804" t="s">
        <v>9059</v>
      </c>
      <c r="P2804">
        <v>2</v>
      </c>
      <c r="Q2804">
        <v>0</v>
      </c>
      <c r="R2804">
        <v>113.73</v>
      </c>
      <c r="U2804">
        <v>18720</v>
      </c>
      <c r="W2804">
        <v>0</v>
      </c>
      <c r="Y2804" t="s">
        <v>10865</v>
      </c>
      <c r="AA2804" t="s">
        <v>10974</v>
      </c>
      <c r="AB2804" t="s">
        <v>370</v>
      </c>
      <c r="AD2804" t="s">
        <v>11098</v>
      </c>
      <c r="AF2804" t="s">
        <v>11122</v>
      </c>
      <c r="AH2804" t="s">
        <v>10974</v>
      </c>
      <c r="AJ2804" t="s">
        <v>11141</v>
      </c>
      <c r="AK2804" t="s">
        <v>7225</v>
      </c>
      <c r="AM2804">
        <v>1585</v>
      </c>
      <c r="AO2804">
        <v>49</v>
      </c>
      <c r="AQ2804" t="s">
        <v>11157</v>
      </c>
      <c r="AS2804" t="s">
        <v>11174</v>
      </c>
      <c r="AU2804">
        <v>9</v>
      </c>
      <c r="AW2804" t="s">
        <v>11187</v>
      </c>
      <c r="AZ2804" t="s">
        <v>11221</v>
      </c>
      <c r="BE2804" t="s">
        <v>13292</v>
      </c>
      <c r="BF2804" t="s">
        <v>14364</v>
      </c>
      <c r="BM2804" t="s">
        <v>15650</v>
      </c>
    </row>
    <row r="2805" spans="1:67">
      <c r="A2805" s="1">
        <f>HYPERLINK("https://lsnyc.legalserver.org/matter/dynamic-profile/view/1887063","19-1887063")</f>
        <v>0</v>
      </c>
      <c r="B2805" t="s">
        <v>171</v>
      </c>
      <c r="C2805" t="s">
        <v>246</v>
      </c>
      <c r="D2805" t="s">
        <v>785</v>
      </c>
      <c r="F2805" t="s">
        <v>1139</v>
      </c>
      <c r="G2805" t="s">
        <v>2911</v>
      </c>
      <c r="H2805" t="s">
        <v>5700</v>
      </c>
      <c r="I2805" t="s">
        <v>6497</v>
      </c>
      <c r="J2805" t="s">
        <v>7170</v>
      </c>
      <c r="K2805">
        <v>10453</v>
      </c>
      <c r="N2805" t="s">
        <v>7237</v>
      </c>
      <c r="O2805" t="s">
        <v>9059</v>
      </c>
      <c r="P2805">
        <v>2</v>
      </c>
      <c r="Q2805">
        <v>0</v>
      </c>
      <c r="R2805">
        <v>113.73</v>
      </c>
      <c r="U2805">
        <v>18720</v>
      </c>
      <c r="W2805">
        <v>0</v>
      </c>
      <c r="Y2805" t="s">
        <v>10865</v>
      </c>
      <c r="AA2805" t="s">
        <v>10974</v>
      </c>
      <c r="AB2805" t="s">
        <v>370</v>
      </c>
      <c r="AD2805" t="s">
        <v>11101</v>
      </c>
      <c r="AF2805" t="s">
        <v>11118</v>
      </c>
      <c r="AH2805" t="s">
        <v>10974</v>
      </c>
      <c r="AJ2805" t="s">
        <v>11141</v>
      </c>
      <c r="AK2805" t="s">
        <v>7225</v>
      </c>
      <c r="AM2805">
        <v>1585</v>
      </c>
      <c r="AO2805">
        <v>49</v>
      </c>
      <c r="AQ2805" t="s">
        <v>11157</v>
      </c>
      <c r="AS2805" t="s">
        <v>11174</v>
      </c>
      <c r="AU2805">
        <v>9</v>
      </c>
      <c r="AW2805" t="s">
        <v>11187</v>
      </c>
      <c r="AZ2805" t="s">
        <v>11221</v>
      </c>
      <c r="BE2805" t="s">
        <v>13292</v>
      </c>
      <c r="BG2805" t="s">
        <v>15052</v>
      </c>
      <c r="BM2805" t="s">
        <v>15650</v>
      </c>
    </row>
    <row r="2806" spans="1:67">
      <c r="A2806" s="1">
        <f>HYPERLINK("https://lsnyc.legalserver.org/matter/dynamic-profile/view/1887069","19-1887069")</f>
        <v>0</v>
      </c>
      <c r="B2806" t="s">
        <v>171</v>
      </c>
      <c r="C2806" t="s">
        <v>246</v>
      </c>
      <c r="D2806" t="s">
        <v>785</v>
      </c>
      <c r="F2806" t="s">
        <v>1139</v>
      </c>
      <c r="G2806" t="s">
        <v>2911</v>
      </c>
      <c r="H2806" t="s">
        <v>5700</v>
      </c>
      <c r="I2806" t="s">
        <v>6497</v>
      </c>
      <c r="J2806" t="s">
        <v>7170</v>
      </c>
      <c r="K2806">
        <v>10453</v>
      </c>
      <c r="N2806" t="s">
        <v>7237</v>
      </c>
      <c r="O2806" t="s">
        <v>9059</v>
      </c>
      <c r="P2806">
        <v>2</v>
      </c>
      <c r="Q2806">
        <v>0</v>
      </c>
      <c r="R2806">
        <v>113.73</v>
      </c>
      <c r="U2806">
        <v>18720</v>
      </c>
      <c r="W2806">
        <v>0</v>
      </c>
      <c r="Y2806" t="s">
        <v>10865</v>
      </c>
      <c r="AA2806" t="s">
        <v>10974</v>
      </c>
      <c r="AB2806" t="s">
        <v>370</v>
      </c>
      <c r="AD2806" t="s">
        <v>11086</v>
      </c>
      <c r="AF2806" t="s">
        <v>11120</v>
      </c>
      <c r="AH2806" t="s">
        <v>10974</v>
      </c>
      <c r="AJ2806" t="s">
        <v>11141</v>
      </c>
      <c r="AK2806" t="s">
        <v>7225</v>
      </c>
      <c r="AM2806">
        <v>1585</v>
      </c>
      <c r="AO2806">
        <v>49</v>
      </c>
      <c r="AQ2806" t="s">
        <v>11157</v>
      </c>
      <c r="AS2806" t="s">
        <v>11174</v>
      </c>
      <c r="AU2806">
        <v>9</v>
      </c>
      <c r="AW2806" t="s">
        <v>11187</v>
      </c>
      <c r="AZ2806" t="s">
        <v>11221</v>
      </c>
      <c r="BE2806" t="s">
        <v>13292</v>
      </c>
      <c r="BF2806" t="s">
        <v>14364</v>
      </c>
      <c r="BM2806" t="s">
        <v>15650</v>
      </c>
    </row>
    <row r="2807" spans="1:67">
      <c r="A2807" s="1">
        <f>HYPERLINK("https://lsnyc.legalserver.org/matter/dynamic-profile/view/1883368","18-1883368")</f>
        <v>0</v>
      </c>
      <c r="B2807" t="s">
        <v>171</v>
      </c>
      <c r="C2807" t="s">
        <v>246</v>
      </c>
      <c r="D2807" t="s">
        <v>606</v>
      </c>
      <c r="F2807" t="s">
        <v>2258</v>
      </c>
      <c r="G2807" t="s">
        <v>3438</v>
      </c>
      <c r="H2807" t="s">
        <v>5700</v>
      </c>
      <c r="I2807" t="s">
        <v>6495</v>
      </c>
      <c r="J2807" t="s">
        <v>7170</v>
      </c>
      <c r="K2807">
        <v>10453</v>
      </c>
      <c r="N2807" t="s">
        <v>7237</v>
      </c>
      <c r="O2807" t="s">
        <v>9057</v>
      </c>
      <c r="P2807">
        <v>2</v>
      </c>
      <c r="Q2807">
        <v>2</v>
      </c>
      <c r="R2807">
        <v>61.39</v>
      </c>
      <c r="U2807">
        <v>15408</v>
      </c>
      <c r="W2807">
        <v>251.25</v>
      </c>
      <c r="X2807" t="s">
        <v>548</v>
      </c>
      <c r="Y2807" t="s">
        <v>82</v>
      </c>
      <c r="AA2807" t="s">
        <v>10974</v>
      </c>
      <c r="AB2807" t="s">
        <v>606</v>
      </c>
      <c r="AD2807" t="s">
        <v>11101</v>
      </c>
      <c r="AF2807" t="s">
        <v>11118</v>
      </c>
      <c r="AH2807" t="s">
        <v>10974</v>
      </c>
      <c r="AJ2807" t="s">
        <v>11130</v>
      </c>
      <c r="AK2807" t="s">
        <v>7225</v>
      </c>
      <c r="AM2807">
        <v>1497.33</v>
      </c>
      <c r="AO2807">
        <v>44</v>
      </c>
      <c r="AQ2807" t="s">
        <v>11157</v>
      </c>
      <c r="AS2807" t="s">
        <v>11180</v>
      </c>
      <c r="AU2807">
        <v>8</v>
      </c>
      <c r="AW2807" t="s">
        <v>11187</v>
      </c>
      <c r="AZ2807" t="s">
        <v>11221</v>
      </c>
      <c r="BB2807" t="s">
        <v>11224</v>
      </c>
      <c r="BC2807" t="s">
        <v>11452</v>
      </c>
      <c r="BE2807" t="s">
        <v>13290</v>
      </c>
      <c r="BF2807" t="s">
        <v>14364</v>
      </c>
      <c r="BM2807" t="s">
        <v>15650</v>
      </c>
    </row>
    <row r="2808" spans="1:67">
      <c r="A2808" s="1">
        <f>HYPERLINK("https://lsnyc.legalserver.org/matter/dynamic-profile/view/1914698","19-1914698")</f>
        <v>0</v>
      </c>
      <c r="B2808" t="s">
        <v>172</v>
      </c>
      <c r="C2808" t="s">
        <v>246</v>
      </c>
      <c r="D2808" t="s">
        <v>297</v>
      </c>
      <c r="F2808" t="s">
        <v>1155</v>
      </c>
      <c r="G2808" t="s">
        <v>3103</v>
      </c>
      <c r="H2808" t="s">
        <v>4972</v>
      </c>
      <c r="I2808" t="s">
        <v>6666</v>
      </c>
      <c r="J2808" t="s">
        <v>7170</v>
      </c>
      <c r="K2808">
        <v>10452</v>
      </c>
      <c r="N2808" t="s">
        <v>7237</v>
      </c>
      <c r="O2808" t="s">
        <v>9058</v>
      </c>
      <c r="P2808">
        <v>1</v>
      </c>
      <c r="Q2808">
        <v>0</v>
      </c>
      <c r="R2808">
        <v>326.66</v>
      </c>
      <c r="U2808">
        <v>40800</v>
      </c>
      <c r="W2808">
        <v>0</v>
      </c>
      <c r="Y2808" t="s">
        <v>10865</v>
      </c>
      <c r="AA2808" t="s">
        <v>10974</v>
      </c>
      <c r="AC2808" t="s">
        <v>11081</v>
      </c>
      <c r="AE2808" t="s">
        <v>11117</v>
      </c>
      <c r="AH2808" t="s">
        <v>10974</v>
      </c>
      <c r="AJ2808" t="s">
        <v>11141</v>
      </c>
      <c r="AK2808" t="s">
        <v>7225</v>
      </c>
      <c r="AM2808">
        <v>851.47</v>
      </c>
      <c r="AO2808">
        <v>63</v>
      </c>
      <c r="AQ2808" t="s">
        <v>11157</v>
      </c>
      <c r="AS2808" t="s">
        <v>11173</v>
      </c>
      <c r="AU2808">
        <v>45</v>
      </c>
      <c r="AW2808" t="s">
        <v>11187</v>
      </c>
      <c r="AX2808" t="s">
        <v>11212</v>
      </c>
      <c r="BA2808" t="s">
        <v>11222</v>
      </c>
      <c r="BE2808" t="s">
        <v>13291</v>
      </c>
      <c r="BF2808" t="s">
        <v>14364</v>
      </c>
      <c r="BM2808" t="s">
        <v>15650</v>
      </c>
    </row>
    <row r="2809" spans="1:67">
      <c r="A2809" s="1">
        <f>HYPERLINK("https://lsnyc.legalserver.org/matter/dynamic-profile/view/0802632","16-0802632")</f>
        <v>0</v>
      </c>
      <c r="B2809" t="s">
        <v>173</v>
      </c>
      <c r="C2809" t="s">
        <v>246</v>
      </c>
      <c r="D2809" t="s">
        <v>756</v>
      </c>
      <c r="F2809" t="s">
        <v>1261</v>
      </c>
      <c r="G2809" t="s">
        <v>3008</v>
      </c>
      <c r="H2809" t="s">
        <v>5715</v>
      </c>
      <c r="I2809" t="s">
        <v>6452</v>
      </c>
      <c r="J2809" t="s">
        <v>7170</v>
      </c>
      <c r="K2809">
        <v>10452</v>
      </c>
      <c r="N2809" t="s">
        <v>7237</v>
      </c>
      <c r="O2809" t="s">
        <v>9060</v>
      </c>
      <c r="P2809">
        <v>2</v>
      </c>
      <c r="Q2809">
        <v>0</v>
      </c>
      <c r="R2809">
        <v>84.39</v>
      </c>
      <c r="U2809">
        <v>13520</v>
      </c>
      <c r="W2809">
        <v>384.65</v>
      </c>
      <c r="X2809" t="s">
        <v>641</v>
      </c>
      <c r="Y2809" t="s">
        <v>138</v>
      </c>
      <c r="AA2809" t="s">
        <v>10974</v>
      </c>
      <c r="AB2809" t="s">
        <v>930</v>
      </c>
      <c r="AD2809" t="s">
        <v>11107</v>
      </c>
      <c r="AF2809" t="s">
        <v>11118</v>
      </c>
      <c r="AH2809" t="s">
        <v>10974</v>
      </c>
      <c r="AJ2809" t="s">
        <v>11141</v>
      </c>
      <c r="AK2809" t="s">
        <v>7225</v>
      </c>
      <c r="AM2809">
        <v>975</v>
      </c>
      <c r="AN2809" t="s">
        <v>11151</v>
      </c>
      <c r="AO2809" t="s">
        <v>11153</v>
      </c>
      <c r="AQ2809" t="s">
        <v>11157</v>
      </c>
      <c r="AR2809" t="s">
        <v>11172</v>
      </c>
      <c r="AU2809">
        <v>-1</v>
      </c>
      <c r="AW2809" t="s">
        <v>11189</v>
      </c>
      <c r="AZ2809" t="s">
        <v>11221</v>
      </c>
      <c r="BE2809" t="s">
        <v>13293</v>
      </c>
      <c r="BF2809" t="s">
        <v>14364</v>
      </c>
      <c r="BM2809" t="s">
        <v>15650</v>
      </c>
    </row>
    <row r="2810" spans="1:67">
      <c r="A2810" s="1">
        <f>HYPERLINK("https://lsnyc.legalserver.org/matter/dynamic-profile/view/1847881","17-1847881")</f>
        <v>0</v>
      </c>
      <c r="B2810" t="s">
        <v>173</v>
      </c>
      <c r="C2810" t="s">
        <v>246</v>
      </c>
      <c r="D2810" t="s">
        <v>581</v>
      </c>
      <c r="F2810" t="s">
        <v>2259</v>
      </c>
      <c r="G2810" t="s">
        <v>4069</v>
      </c>
      <c r="H2810" t="s">
        <v>5716</v>
      </c>
      <c r="I2810" t="s">
        <v>6408</v>
      </c>
      <c r="J2810" t="s">
        <v>7170</v>
      </c>
      <c r="K2810">
        <v>10471</v>
      </c>
      <c r="N2810" t="s">
        <v>7237</v>
      </c>
      <c r="O2810" t="s">
        <v>9061</v>
      </c>
      <c r="P2810">
        <v>3</v>
      </c>
      <c r="Q2810">
        <v>0</v>
      </c>
      <c r="R2810">
        <v>198.33</v>
      </c>
      <c r="S2810" t="s">
        <v>10254</v>
      </c>
      <c r="T2810" t="s">
        <v>10275</v>
      </c>
      <c r="U2810">
        <v>40500</v>
      </c>
      <c r="W2810">
        <v>338.4</v>
      </c>
      <c r="X2810" t="s">
        <v>450</v>
      </c>
      <c r="Y2810" t="s">
        <v>10908</v>
      </c>
      <c r="AA2810" t="s">
        <v>10974</v>
      </c>
      <c r="AB2810" t="s">
        <v>11048</v>
      </c>
      <c r="AD2810" t="s">
        <v>11082</v>
      </c>
      <c r="AF2810" t="s">
        <v>11118</v>
      </c>
      <c r="AH2810" t="s">
        <v>10975</v>
      </c>
      <c r="AJ2810" t="s">
        <v>11133</v>
      </c>
      <c r="AK2810" t="s">
        <v>11149</v>
      </c>
      <c r="AM2810">
        <v>1525</v>
      </c>
      <c r="AO2810">
        <v>89</v>
      </c>
      <c r="AQ2810" t="s">
        <v>11157</v>
      </c>
      <c r="AS2810" t="s">
        <v>11173</v>
      </c>
      <c r="AU2810">
        <v>2</v>
      </c>
      <c r="AW2810" t="s">
        <v>11187</v>
      </c>
      <c r="AZ2810" t="s">
        <v>11221</v>
      </c>
      <c r="BE2810" t="s">
        <v>13294</v>
      </c>
      <c r="BG2810" t="s">
        <v>15054</v>
      </c>
      <c r="BM2810" t="s">
        <v>15650</v>
      </c>
    </row>
    <row r="2811" spans="1:67">
      <c r="A2811" s="1">
        <f>HYPERLINK("https://lsnyc.legalserver.org/matter/dynamic-profile/view/1860742","18-1860742")</f>
        <v>0</v>
      </c>
      <c r="B2811" t="s">
        <v>173</v>
      </c>
      <c r="C2811" t="s">
        <v>246</v>
      </c>
      <c r="D2811" t="s">
        <v>289</v>
      </c>
      <c r="F2811" t="s">
        <v>1915</v>
      </c>
      <c r="G2811" t="s">
        <v>3236</v>
      </c>
      <c r="H2811" t="s">
        <v>5259</v>
      </c>
      <c r="I2811" t="s">
        <v>6609</v>
      </c>
      <c r="J2811" t="s">
        <v>7170</v>
      </c>
      <c r="K2811">
        <v>10453</v>
      </c>
      <c r="N2811" t="s">
        <v>7237</v>
      </c>
      <c r="O2811" t="s">
        <v>9062</v>
      </c>
      <c r="P2811">
        <v>1</v>
      </c>
      <c r="Q2811">
        <v>0</v>
      </c>
      <c r="R2811">
        <v>71.27</v>
      </c>
      <c r="U2811">
        <v>8652</v>
      </c>
      <c r="V2811" t="s">
        <v>10306</v>
      </c>
      <c r="W2811">
        <v>22.6</v>
      </c>
      <c r="X2811" t="s">
        <v>392</v>
      </c>
      <c r="Y2811" t="s">
        <v>10866</v>
      </c>
      <c r="AA2811" t="s">
        <v>10974</v>
      </c>
      <c r="AB2811" t="s">
        <v>285</v>
      </c>
      <c r="AD2811" t="s">
        <v>11082</v>
      </c>
      <c r="AF2811" t="s">
        <v>11118</v>
      </c>
      <c r="AH2811" t="s">
        <v>10975</v>
      </c>
      <c r="AJ2811" t="s">
        <v>11129</v>
      </c>
      <c r="AK2811" t="s">
        <v>7225</v>
      </c>
      <c r="AM2811">
        <v>1193</v>
      </c>
      <c r="AO2811">
        <v>101</v>
      </c>
      <c r="AQ2811" t="s">
        <v>11157</v>
      </c>
      <c r="AS2811" t="s">
        <v>11174</v>
      </c>
      <c r="AU2811">
        <v>17</v>
      </c>
      <c r="AW2811" t="s">
        <v>11187</v>
      </c>
      <c r="AZ2811" t="s">
        <v>11221</v>
      </c>
      <c r="BC2811" t="s">
        <v>11453</v>
      </c>
      <c r="BE2811" t="s">
        <v>13295</v>
      </c>
      <c r="BG2811" t="s">
        <v>15055</v>
      </c>
      <c r="BM2811" t="s">
        <v>15650</v>
      </c>
      <c r="BO2811" t="s">
        <v>15656</v>
      </c>
    </row>
    <row r="2812" spans="1:67">
      <c r="A2812" s="1">
        <f>HYPERLINK("https://lsnyc.legalserver.org/matter/dynamic-profile/view/1905892","19-1905892")</f>
        <v>0</v>
      </c>
      <c r="B2812" t="s">
        <v>173</v>
      </c>
      <c r="C2812" t="s">
        <v>246</v>
      </c>
      <c r="D2812" t="s">
        <v>337</v>
      </c>
      <c r="E2812" t="s">
        <v>528</v>
      </c>
      <c r="F2812" t="s">
        <v>1545</v>
      </c>
      <c r="G2812" t="s">
        <v>3337</v>
      </c>
      <c r="H2812" t="s">
        <v>5261</v>
      </c>
      <c r="I2812" t="s">
        <v>6405</v>
      </c>
      <c r="J2812" t="s">
        <v>7170</v>
      </c>
      <c r="K2812">
        <v>10452</v>
      </c>
      <c r="L2812" t="s">
        <v>7216</v>
      </c>
      <c r="N2812" t="s">
        <v>7237</v>
      </c>
      <c r="O2812" t="s">
        <v>8154</v>
      </c>
      <c r="P2812">
        <v>1</v>
      </c>
      <c r="Q2812">
        <v>0</v>
      </c>
      <c r="R2812">
        <v>23.83</v>
      </c>
      <c r="U2812">
        <v>2976</v>
      </c>
      <c r="W2812">
        <v>0.01</v>
      </c>
      <c r="X2812" t="s">
        <v>528</v>
      </c>
      <c r="Y2812" t="s">
        <v>10865</v>
      </c>
      <c r="AA2812" t="s">
        <v>10974</v>
      </c>
      <c r="AB2812" t="s">
        <v>528</v>
      </c>
      <c r="AC2812" t="s">
        <v>11081</v>
      </c>
      <c r="AF2812" t="s">
        <v>11119</v>
      </c>
      <c r="AH2812" t="s">
        <v>10975</v>
      </c>
      <c r="AJ2812" t="s">
        <v>11129</v>
      </c>
      <c r="AK2812" t="s">
        <v>7225</v>
      </c>
      <c r="AM2812">
        <v>1557</v>
      </c>
      <c r="AO2812">
        <v>18</v>
      </c>
      <c r="AQ2812" t="s">
        <v>11161</v>
      </c>
      <c r="AS2812" t="s">
        <v>11173</v>
      </c>
      <c r="AU2812">
        <v>10</v>
      </c>
      <c r="AW2812" t="s">
        <v>11187</v>
      </c>
      <c r="AY2812" t="s">
        <v>11213</v>
      </c>
      <c r="BA2812" t="s">
        <v>11222</v>
      </c>
      <c r="BE2812" t="s">
        <v>12454</v>
      </c>
      <c r="BF2812" t="s">
        <v>14364</v>
      </c>
      <c r="BM2812" t="s">
        <v>15651</v>
      </c>
    </row>
    <row r="2813" spans="1:67">
      <c r="A2813" s="1">
        <f>HYPERLINK("https://lsnyc.legalserver.org/matter/dynamic-profile/view/0803176","16-0803176")</f>
        <v>0</v>
      </c>
      <c r="B2813" t="s">
        <v>173</v>
      </c>
      <c r="C2813" t="s">
        <v>246</v>
      </c>
      <c r="D2813" t="s">
        <v>930</v>
      </c>
      <c r="F2813" t="s">
        <v>2260</v>
      </c>
      <c r="G2813" t="s">
        <v>4070</v>
      </c>
      <c r="H2813" t="s">
        <v>5717</v>
      </c>
      <c r="I2813" t="s">
        <v>6450</v>
      </c>
      <c r="J2813" t="s">
        <v>7170</v>
      </c>
      <c r="K2813">
        <v>10452</v>
      </c>
      <c r="N2813" t="s">
        <v>7237</v>
      </c>
      <c r="O2813" t="s">
        <v>9063</v>
      </c>
      <c r="P2813">
        <v>2</v>
      </c>
      <c r="Q2813">
        <v>0</v>
      </c>
      <c r="R2813">
        <v>259.68</v>
      </c>
      <c r="U2813">
        <v>41600</v>
      </c>
      <c r="W2813">
        <v>0.35</v>
      </c>
      <c r="X2813" t="s">
        <v>283</v>
      </c>
      <c r="Y2813" t="s">
        <v>138</v>
      </c>
      <c r="AA2813" t="s">
        <v>10974</v>
      </c>
      <c r="AB2813" t="s">
        <v>930</v>
      </c>
      <c r="AD2813" t="s">
        <v>11107</v>
      </c>
      <c r="AF2813" t="s">
        <v>11118</v>
      </c>
      <c r="AH2813" t="s">
        <v>10974</v>
      </c>
      <c r="AJ2813" t="s">
        <v>11141</v>
      </c>
      <c r="AK2813" t="s">
        <v>7225</v>
      </c>
      <c r="AM2813">
        <v>871</v>
      </c>
      <c r="AN2813" t="s">
        <v>11151</v>
      </c>
      <c r="AO2813" t="s">
        <v>11153</v>
      </c>
      <c r="AQ2813" t="s">
        <v>11157</v>
      </c>
      <c r="AR2813" t="s">
        <v>11172</v>
      </c>
      <c r="AU2813">
        <v>13</v>
      </c>
      <c r="AW2813" t="s">
        <v>11187</v>
      </c>
      <c r="AZ2813" t="s">
        <v>11221</v>
      </c>
      <c r="BE2813" t="s">
        <v>13296</v>
      </c>
      <c r="BF2813" t="s">
        <v>14364</v>
      </c>
      <c r="BM2813" t="s">
        <v>15650</v>
      </c>
    </row>
    <row r="2814" spans="1:67">
      <c r="A2814" s="1">
        <f>HYPERLINK("https://lsnyc.legalserver.org/matter/dynamic-profile/view/1852140","17-1852140")</f>
        <v>0</v>
      </c>
      <c r="B2814" t="s">
        <v>173</v>
      </c>
      <c r="C2814" t="s">
        <v>246</v>
      </c>
      <c r="D2814" t="s">
        <v>931</v>
      </c>
      <c r="F2814" t="s">
        <v>2261</v>
      </c>
      <c r="G2814" t="s">
        <v>4071</v>
      </c>
      <c r="H2814" t="s">
        <v>5718</v>
      </c>
      <c r="I2814" t="s">
        <v>6911</v>
      </c>
      <c r="J2814" t="s">
        <v>7170</v>
      </c>
      <c r="K2814">
        <v>10453</v>
      </c>
      <c r="N2814" t="s">
        <v>7237</v>
      </c>
      <c r="O2814" t="s">
        <v>9064</v>
      </c>
      <c r="P2814">
        <v>1</v>
      </c>
      <c r="Q2814">
        <v>0</v>
      </c>
      <c r="R2814">
        <v>79.59999999999999</v>
      </c>
      <c r="U2814">
        <v>9600</v>
      </c>
      <c r="W2814">
        <v>45.6</v>
      </c>
      <c r="X2814" t="s">
        <v>759</v>
      </c>
      <c r="Y2814" t="s">
        <v>10865</v>
      </c>
      <c r="AA2814" t="s">
        <v>10974</v>
      </c>
      <c r="AB2814" t="s">
        <v>458</v>
      </c>
      <c r="AD2814" t="s">
        <v>11082</v>
      </c>
      <c r="AF2814" t="s">
        <v>11118</v>
      </c>
      <c r="AH2814" t="s">
        <v>10975</v>
      </c>
      <c r="AJ2814" t="s">
        <v>11129</v>
      </c>
      <c r="AK2814" t="s">
        <v>7225</v>
      </c>
      <c r="AM2814">
        <v>1130.25</v>
      </c>
      <c r="AO2814">
        <v>46</v>
      </c>
      <c r="AQ2814" t="s">
        <v>11157</v>
      </c>
      <c r="AS2814" t="s">
        <v>11173</v>
      </c>
      <c r="AU2814">
        <v>3</v>
      </c>
      <c r="AW2814" t="s">
        <v>11187</v>
      </c>
      <c r="AZ2814" t="s">
        <v>11221</v>
      </c>
      <c r="BC2814" t="s">
        <v>11454</v>
      </c>
      <c r="BE2814" t="s">
        <v>13297</v>
      </c>
      <c r="BG2814" t="s">
        <v>15056</v>
      </c>
      <c r="BM2814" t="s">
        <v>15650</v>
      </c>
      <c r="BO2814" t="s">
        <v>15656</v>
      </c>
    </row>
    <row r="2815" spans="1:67">
      <c r="A2815" s="1">
        <f>HYPERLINK("https://lsnyc.legalserver.org/matter/dynamic-profile/view/1899060","19-1899060")</f>
        <v>0</v>
      </c>
      <c r="B2815" t="s">
        <v>173</v>
      </c>
      <c r="C2815" t="s">
        <v>246</v>
      </c>
      <c r="D2815" t="s">
        <v>880</v>
      </c>
      <c r="F2815" t="s">
        <v>1382</v>
      </c>
      <c r="G2815" t="s">
        <v>4072</v>
      </c>
      <c r="H2815" t="s">
        <v>5719</v>
      </c>
      <c r="I2815">
        <v>1</v>
      </c>
      <c r="J2815" t="s">
        <v>7170</v>
      </c>
      <c r="K2815">
        <v>10456</v>
      </c>
      <c r="N2815" t="s">
        <v>7237</v>
      </c>
      <c r="O2815" t="s">
        <v>9065</v>
      </c>
      <c r="P2815">
        <v>2</v>
      </c>
      <c r="Q2815">
        <v>1</v>
      </c>
      <c r="R2815">
        <v>91.77</v>
      </c>
      <c r="U2815">
        <v>19574</v>
      </c>
      <c r="W2815">
        <v>49.2</v>
      </c>
      <c r="X2815" t="s">
        <v>660</v>
      </c>
      <c r="Y2815" t="s">
        <v>10865</v>
      </c>
      <c r="AA2815" t="s">
        <v>10974</v>
      </c>
      <c r="AB2815" t="s">
        <v>10979</v>
      </c>
      <c r="AD2815" t="s">
        <v>11083</v>
      </c>
      <c r="AF2815" t="s">
        <v>11118</v>
      </c>
      <c r="AH2815" t="s">
        <v>10975</v>
      </c>
      <c r="AJ2815" t="s">
        <v>11141</v>
      </c>
      <c r="AK2815" t="s">
        <v>7225</v>
      </c>
      <c r="AL2815" t="s">
        <v>11150</v>
      </c>
      <c r="AM2815">
        <v>0</v>
      </c>
      <c r="AO2815">
        <v>2</v>
      </c>
      <c r="AQ2815" t="s">
        <v>11164</v>
      </c>
      <c r="AS2815" t="s">
        <v>11174</v>
      </c>
      <c r="AU2815">
        <v>20</v>
      </c>
      <c r="AW2815" t="s">
        <v>11187</v>
      </c>
      <c r="AY2815" t="s">
        <v>11213</v>
      </c>
      <c r="BA2815" t="s">
        <v>11222</v>
      </c>
      <c r="BE2815" t="s">
        <v>13298</v>
      </c>
      <c r="BG2815" t="s">
        <v>15057</v>
      </c>
      <c r="BM2815" t="s">
        <v>15650</v>
      </c>
    </row>
    <row r="2816" spans="1:67">
      <c r="A2816" s="1">
        <f>HYPERLINK("https://lsnyc.legalserver.org/matter/dynamic-profile/view/1885367","18-1885367")</f>
        <v>0</v>
      </c>
      <c r="B2816" t="s">
        <v>173</v>
      </c>
      <c r="C2816" t="s">
        <v>246</v>
      </c>
      <c r="D2816" t="s">
        <v>672</v>
      </c>
      <c r="F2816" t="s">
        <v>2262</v>
      </c>
      <c r="G2816" t="s">
        <v>3143</v>
      </c>
      <c r="H2816" t="s">
        <v>5720</v>
      </c>
      <c r="I2816" t="s">
        <v>6423</v>
      </c>
      <c r="J2816" t="s">
        <v>7170</v>
      </c>
      <c r="K2816">
        <v>10463</v>
      </c>
      <c r="N2816" t="s">
        <v>7237</v>
      </c>
      <c r="O2816" t="s">
        <v>9066</v>
      </c>
      <c r="P2816">
        <v>1</v>
      </c>
      <c r="Q2816">
        <v>3</v>
      </c>
      <c r="R2816">
        <v>70.84999999999999</v>
      </c>
      <c r="U2816">
        <v>17784</v>
      </c>
      <c r="W2816">
        <v>0</v>
      </c>
      <c r="Y2816" t="s">
        <v>10897</v>
      </c>
      <c r="AA2816" t="s">
        <v>10974</v>
      </c>
      <c r="AB2816" t="s">
        <v>597</v>
      </c>
      <c r="AD2816" t="s">
        <v>11101</v>
      </c>
      <c r="AF2816" t="s">
        <v>11118</v>
      </c>
      <c r="AH2816" t="s">
        <v>10974</v>
      </c>
      <c r="AJ2816" t="s">
        <v>11141</v>
      </c>
      <c r="AK2816" t="s">
        <v>7225</v>
      </c>
      <c r="AM2816">
        <v>1530</v>
      </c>
      <c r="AO2816">
        <v>55</v>
      </c>
      <c r="AQ2816" t="s">
        <v>11157</v>
      </c>
      <c r="AS2816" t="s">
        <v>11104</v>
      </c>
      <c r="AU2816">
        <v>3</v>
      </c>
      <c r="AW2816" t="s">
        <v>11189</v>
      </c>
      <c r="AZ2816" t="s">
        <v>11221</v>
      </c>
      <c r="BC2816" t="s">
        <v>11455</v>
      </c>
      <c r="BD2816" t="s">
        <v>11667</v>
      </c>
      <c r="BG2816" t="s">
        <v>15058</v>
      </c>
      <c r="BM2816" t="s">
        <v>15650</v>
      </c>
    </row>
    <row r="2817" spans="1:67">
      <c r="A2817" s="1">
        <f>HYPERLINK("https://lsnyc.legalserver.org/matter/dynamic-profile/view/1884434","18-1884434")</f>
        <v>0</v>
      </c>
      <c r="B2817" t="s">
        <v>173</v>
      </c>
      <c r="C2817" t="s">
        <v>246</v>
      </c>
      <c r="D2817" t="s">
        <v>259</v>
      </c>
      <c r="F2817" t="s">
        <v>1726</v>
      </c>
      <c r="G2817" t="s">
        <v>4073</v>
      </c>
      <c r="H2817" t="s">
        <v>5721</v>
      </c>
      <c r="I2817" t="s">
        <v>6448</v>
      </c>
      <c r="J2817" t="s">
        <v>7170</v>
      </c>
      <c r="K2817">
        <v>10451</v>
      </c>
      <c r="N2817" t="s">
        <v>7237</v>
      </c>
      <c r="O2817" t="s">
        <v>9067</v>
      </c>
      <c r="P2817">
        <v>3</v>
      </c>
      <c r="Q2817">
        <v>1</v>
      </c>
      <c r="R2817">
        <v>82.52</v>
      </c>
      <c r="U2817">
        <v>20712</v>
      </c>
      <c r="W2817">
        <v>8.9</v>
      </c>
      <c r="X2817" t="s">
        <v>880</v>
      </c>
      <c r="Y2817" t="s">
        <v>10865</v>
      </c>
      <c r="AA2817" t="s">
        <v>10974</v>
      </c>
      <c r="AB2817" t="s">
        <v>11055</v>
      </c>
      <c r="AD2817" t="s">
        <v>11082</v>
      </c>
      <c r="AF2817" t="s">
        <v>11118</v>
      </c>
      <c r="AH2817" t="s">
        <v>10975</v>
      </c>
      <c r="AJ2817" t="s">
        <v>11129</v>
      </c>
      <c r="AK2817" t="s">
        <v>7225</v>
      </c>
      <c r="AM2817">
        <v>1640</v>
      </c>
      <c r="AN2817" t="s">
        <v>11151</v>
      </c>
      <c r="AO2817" t="s">
        <v>11153</v>
      </c>
      <c r="AQ2817" t="s">
        <v>11162</v>
      </c>
      <c r="AS2817" t="s">
        <v>11177</v>
      </c>
      <c r="AU2817">
        <v>2</v>
      </c>
      <c r="AV2817" t="s">
        <v>11186</v>
      </c>
      <c r="AZ2817" t="s">
        <v>11221</v>
      </c>
      <c r="BB2817" t="s">
        <v>11224</v>
      </c>
      <c r="BC2817" t="s">
        <v>11456</v>
      </c>
      <c r="BE2817" t="s">
        <v>13299</v>
      </c>
      <c r="BG2817" t="s">
        <v>15059</v>
      </c>
      <c r="BM2817" t="s">
        <v>15650</v>
      </c>
    </row>
    <row r="2818" spans="1:67">
      <c r="A2818" s="1">
        <f>HYPERLINK("https://lsnyc.legalserver.org/matter/dynamic-profile/view/0802567","16-0802567")</f>
        <v>0</v>
      </c>
      <c r="B2818" t="s">
        <v>173</v>
      </c>
      <c r="C2818" t="s">
        <v>246</v>
      </c>
      <c r="D2818" t="s">
        <v>932</v>
      </c>
      <c r="F2818" t="s">
        <v>1101</v>
      </c>
      <c r="G2818" t="s">
        <v>3017</v>
      </c>
      <c r="H2818" t="s">
        <v>5722</v>
      </c>
      <c r="I2818" t="s">
        <v>6733</v>
      </c>
      <c r="J2818" t="s">
        <v>7170</v>
      </c>
      <c r="K2818">
        <v>10452</v>
      </c>
      <c r="N2818" t="s">
        <v>7237</v>
      </c>
      <c r="O2818" t="s">
        <v>9068</v>
      </c>
      <c r="P2818">
        <v>3</v>
      </c>
      <c r="Q2818">
        <v>1</v>
      </c>
      <c r="R2818">
        <v>146.09</v>
      </c>
      <c r="U2818">
        <v>35500</v>
      </c>
      <c r="W2818">
        <v>0.2</v>
      </c>
      <c r="X2818" t="s">
        <v>283</v>
      </c>
      <c r="Y2818" t="s">
        <v>138</v>
      </c>
      <c r="AA2818" t="s">
        <v>10974</v>
      </c>
      <c r="AB2818" t="s">
        <v>930</v>
      </c>
      <c r="AD2818" t="s">
        <v>11107</v>
      </c>
      <c r="AF2818" t="s">
        <v>11118</v>
      </c>
      <c r="AH2818" t="s">
        <v>10974</v>
      </c>
      <c r="AJ2818" t="s">
        <v>11141</v>
      </c>
      <c r="AK2818" t="s">
        <v>7225</v>
      </c>
      <c r="AM2818">
        <v>940.13</v>
      </c>
      <c r="AN2818" t="s">
        <v>11151</v>
      </c>
      <c r="AO2818" t="s">
        <v>11153</v>
      </c>
      <c r="AQ2818" t="s">
        <v>11157</v>
      </c>
      <c r="AR2818" t="s">
        <v>11172</v>
      </c>
      <c r="AU2818">
        <v>7</v>
      </c>
      <c r="AW2818" t="s">
        <v>11189</v>
      </c>
      <c r="AZ2818" t="s">
        <v>11221</v>
      </c>
      <c r="BE2818" t="s">
        <v>13300</v>
      </c>
      <c r="BF2818" t="s">
        <v>14364</v>
      </c>
      <c r="BM2818" t="s">
        <v>15650</v>
      </c>
    </row>
    <row r="2819" spans="1:67">
      <c r="A2819" s="1">
        <f>HYPERLINK("https://lsnyc.legalserver.org/matter/dynamic-profile/view/1843398","17-1843398")</f>
        <v>0</v>
      </c>
      <c r="B2819" t="s">
        <v>173</v>
      </c>
      <c r="C2819" t="s">
        <v>246</v>
      </c>
      <c r="D2819" t="s">
        <v>933</v>
      </c>
      <c r="F2819" t="s">
        <v>1294</v>
      </c>
      <c r="G2819" t="s">
        <v>3236</v>
      </c>
      <c r="H2819" t="s">
        <v>5723</v>
      </c>
      <c r="I2819" t="s">
        <v>6912</v>
      </c>
      <c r="J2819" t="s">
        <v>7170</v>
      </c>
      <c r="K2819">
        <v>10451</v>
      </c>
      <c r="N2819" t="s">
        <v>7237</v>
      </c>
      <c r="O2819" t="s">
        <v>9069</v>
      </c>
      <c r="P2819">
        <v>1</v>
      </c>
      <c r="Q2819">
        <v>0</v>
      </c>
      <c r="R2819">
        <v>189.52</v>
      </c>
      <c r="S2819" t="s">
        <v>10270</v>
      </c>
      <c r="U2819">
        <v>22856.16</v>
      </c>
      <c r="V2819" t="s">
        <v>10518</v>
      </c>
      <c r="W2819">
        <v>2.35</v>
      </c>
      <c r="X2819" t="s">
        <v>488</v>
      </c>
      <c r="Y2819" t="s">
        <v>10899</v>
      </c>
      <c r="AA2819" t="s">
        <v>10974</v>
      </c>
      <c r="AB2819" t="s">
        <v>10992</v>
      </c>
      <c r="AD2819" t="s">
        <v>11100</v>
      </c>
      <c r="AF2819" t="s">
        <v>11120</v>
      </c>
      <c r="AH2819" t="s">
        <v>10974</v>
      </c>
      <c r="AJ2819" t="s">
        <v>11130</v>
      </c>
      <c r="AK2819" t="s">
        <v>7225</v>
      </c>
      <c r="AM2819">
        <v>1106.48</v>
      </c>
      <c r="AO2819">
        <v>936</v>
      </c>
      <c r="AQ2819" t="s">
        <v>11158</v>
      </c>
      <c r="AS2819" t="s">
        <v>11173</v>
      </c>
      <c r="AU2819">
        <v>21</v>
      </c>
      <c r="AW2819" t="s">
        <v>11187</v>
      </c>
      <c r="AZ2819" t="s">
        <v>11221</v>
      </c>
      <c r="BE2819" t="s">
        <v>13301</v>
      </c>
      <c r="BF2819" t="s">
        <v>14364</v>
      </c>
      <c r="BM2819" t="s">
        <v>15650</v>
      </c>
    </row>
    <row r="2820" spans="1:67">
      <c r="A2820" s="1">
        <f>HYPERLINK("https://lsnyc.legalserver.org/matter/dynamic-profile/view/1913533","19-1913533")</f>
        <v>0</v>
      </c>
      <c r="B2820" t="s">
        <v>173</v>
      </c>
      <c r="C2820" t="s">
        <v>246</v>
      </c>
      <c r="D2820" t="s">
        <v>293</v>
      </c>
      <c r="F2820" t="s">
        <v>2263</v>
      </c>
      <c r="G2820" t="s">
        <v>3226</v>
      </c>
      <c r="H2820" t="s">
        <v>5277</v>
      </c>
      <c r="I2820" t="s">
        <v>6448</v>
      </c>
      <c r="J2820" t="s">
        <v>7170</v>
      </c>
      <c r="K2820">
        <v>10459</v>
      </c>
      <c r="N2820" t="s">
        <v>7237</v>
      </c>
      <c r="O2820" t="s">
        <v>9070</v>
      </c>
      <c r="P2820">
        <v>1</v>
      </c>
      <c r="Q2820">
        <v>1</v>
      </c>
      <c r="R2820">
        <v>82.25</v>
      </c>
      <c r="U2820">
        <v>13908</v>
      </c>
      <c r="W2820">
        <v>1.8</v>
      </c>
      <c r="X2820" t="s">
        <v>333</v>
      </c>
      <c r="Y2820" t="s">
        <v>10914</v>
      </c>
      <c r="AA2820" t="s">
        <v>10974</v>
      </c>
      <c r="AC2820" t="s">
        <v>11081</v>
      </c>
      <c r="AF2820" t="s">
        <v>10384</v>
      </c>
      <c r="AH2820" t="s">
        <v>10975</v>
      </c>
      <c r="AJ2820" t="s">
        <v>11131</v>
      </c>
      <c r="AK2820" t="s">
        <v>7225</v>
      </c>
      <c r="AM2820">
        <v>165</v>
      </c>
      <c r="AO2820">
        <v>64</v>
      </c>
      <c r="AQ2820" t="s">
        <v>11161</v>
      </c>
      <c r="AR2820" t="s">
        <v>11172</v>
      </c>
      <c r="AU2820">
        <v>12</v>
      </c>
      <c r="AW2820" t="s">
        <v>11187</v>
      </c>
      <c r="AX2820" t="s">
        <v>11212</v>
      </c>
      <c r="BA2820" t="s">
        <v>11222</v>
      </c>
      <c r="BE2820" t="s">
        <v>13302</v>
      </c>
      <c r="BF2820" t="s">
        <v>14364</v>
      </c>
      <c r="BM2820" t="s">
        <v>15650</v>
      </c>
    </row>
    <row r="2821" spans="1:67">
      <c r="A2821" s="1">
        <f>HYPERLINK("https://lsnyc.legalserver.org/matter/dynamic-profile/view/1905515","19-1905515")</f>
        <v>0</v>
      </c>
      <c r="B2821" t="s">
        <v>173</v>
      </c>
      <c r="C2821" t="s">
        <v>246</v>
      </c>
      <c r="D2821" t="s">
        <v>685</v>
      </c>
      <c r="F2821" t="s">
        <v>2264</v>
      </c>
      <c r="G2821" t="s">
        <v>4074</v>
      </c>
      <c r="H2821" t="s">
        <v>5724</v>
      </c>
      <c r="I2821" t="s">
        <v>6913</v>
      </c>
      <c r="J2821" t="s">
        <v>7170</v>
      </c>
      <c r="K2821">
        <v>10452</v>
      </c>
      <c r="N2821" t="s">
        <v>7237</v>
      </c>
      <c r="O2821" t="s">
        <v>9071</v>
      </c>
      <c r="P2821">
        <v>1</v>
      </c>
      <c r="Q2821">
        <v>1</v>
      </c>
      <c r="R2821">
        <v>71.59999999999999</v>
      </c>
      <c r="U2821">
        <v>12108</v>
      </c>
      <c r="V2821" t="s">
        <v>10519</v>
      </c>
      <c r="W2821">
        <v>3.1</v>
      </c>
      <c r="X2821" t="s">
        <v>578</v>
      </c>
      <c r="Y2821" t="s">
        <v>173</v>
      </c>
      <c r="Z2821" t="s">
        <v>10972</v>
      </c>
      <c r="AA2821" t="s">
        <v>10976</v>
      </c>
      <c r="AD2821" t="s">
        <v>11101</v>
      </c>
      <c r="AF2821" t="s">
        <v>11118</v>
      </c>
      <c r="AH2821" t="s">
        <v>10975</v>
      </c>
      <c r="AJ2821" t="s">
        <v>11141</v>
      </c>
      <c r="AK2821" t="s">
        <v>7225</v>
      </c>
      <c r="AM2821">
        <v>1078.15</v>
      </c>
      <c r="AO2821">
        <v>59</v>
      </c>
      <c r="AQ2821" t="s">
        <v>11157</v>
      </c>
      <c r="AR2821" t="s">
        <v>11172</v>
      </c>
      <c r="AU2821">
        <v>30</v>
      </c>
      <c r="AW2821" t="s">
        <v>11187</v>
      </c>
      <c r="AX2821" t="s">
        <v>11212</v>
      </c>
      <c r="AZ2821" t="s">
        <v>11221</v>
      </c>
      <c r="BE2821" t="s">
        <v>13303</v>
      </c>
      <c r="BF2821" t="s">
        <v>14364</v>
      </c>
      <c r="BG2821" t="s">
        <v>15060</v>
      </c>
      <c r="BM2821" t="s">
        <v>15650</v>
      </c>
    </row>
    <row r="2822" spans="1:67">
      <c r="A2822" s="1">
        <f>HYPERLINK("https://lsnyc.legalserver.org/matter/dynamic-profile/view/1841709","17-1841709")</f>
        <v>0</v>
      </c>
      <c r="B2822" t="s">
        <v>173</v>
      </c>
      <c r="C2822" t="s">
        <v>246</v>
      </c>
      <c r="D2822" t="s">
        <v>831</v>
      </c>
      <c r="F2822" t="s">
        <v>1650</v>
      </c>
      <c r="G2822" t="s">
        <v>4075</v>
      </c>
      <c r="H2822" t="s">
        <v>5725</v>
      </c>
      <c r="I2822" t="s">
        <v>6914</v>
      </c>
      <c r="J2822" t="s">
        <v>7170</v>
      </c>
      <c r="K2822">
        <v>10452</v>
      </c>
      <c r="N2822" t="s">
        <v>7237</v>
      </c>
      <c r="O2822" t="s">
        <v>9072</v>
      </c>
      <c r="P2822">
        <v>1</v>
      </c>
      <c r="Q2822">
        <v>0</v>
      </c>
      <c r="R2822">
        <v>74.93000000000001</v>
      </c>
      <c r="U2822">
        <v>9036</v>
      </c>
      <c r="W2822">
        <v>8.85</v>
      </c>
      <c r="X2822" t="s">
        <v>450</v>
      </c>
      <c r="Y2822" t="s">
        <v>10900</v>
      </c>
      <c r="AA2822" t="s">
        <v>10974</v>
      </c>
      <c r="AB2822" t="s">
        <v>10804</v>
      </c>
      <c r="AD2822" t="s">
        <v>11096</v>
      </c>
      <c r="AF2822" t="s">
        <v>11122</v>
      </c>
      <c r="AH2822" t="s">
        <v>10975</v>
      </c>
      <c r="AJ2822" t="s">
        <v>11129</v>
      </c>
      <c r="AK2822" t="s">
        <v>7225</v>
      </c>
      <c r="AM2822">
        <v>1005</v>
      </c>
      <c r="AO2822">
        <v>54</v>
      </c>
      <c r="AQ2822" t="s">
        <v>11157</v>
      </c>
      <c r="AS2822" t="s">
        <v>11174</v>
      </c>
      <c r="AU2822">
        <v>15</v>
      </c>
      <c r="AW2822" t="s">
        <v>11189</v>
      </c>
      <c r="AZ2822" t="s">
        <v>11221</v>
      </c>
      <c r="BC2822" t="s">
        <v>11457</v>
      </c>
      <c r="BE2822" t="s">
        <v>13304</v>
      </c>
      <c r="BG2822" t="s">
        <v>15061</v>
      </c>
      <c r="BM2822" t="s">
        <v>15650</v>
      </c>
    </row>
    <row r="2823" spans="1:67">
      <c r="A2823" s="1">
        <f>HYPERLINK("https://lsnyc.legalserver.org/matter/dynamic-profile/view/1874415","18-1874415")</f>
        <v>0</v>
      </c>
      <c r="B2823" t="s">
        <v>173</v>
      </c>
      <c r="C2823" t="s">
        <v>246</v>
      </c>
      <c r="D2823" t="s">
        <v>876</v>
      </c>
      <c r="F2823" t="s">
        <v>2265</v>
      </c>
      <c r="G2823" t="s">
        <v>4076</v>
      </c>
      <c r="H2823" t="s">
        <v>5715</v>
      </c>
      <c r="I2823" t="s">
        <v>6662</v>
      </c>
      <c r="J2823" t="s">
        <v>7170</v>
      </c>
      <c r="K2823">
        <v>10452</v>
      </c>
      <c r="N2823" t="s">
        <v>7237</v>
      </c>
      <c r="O2823" t="s">
        <v>7515</v>
      </c>
      <c r="P2823">
        <v>1</v>
      </c>
      <c r="Q2823">
        <v>4</v>
      </c>
      <c r="R2823">
        <v>84.95999999999999</v>
      </c>
      <c r="U2823">
        <v>24996</v>
      </c>
      <c r="W2823">
        <v>17.9</v>
      </c>
      <c r="X2823" t="s">
        <v>553</v>
      </c>
      <c r="Y2823" t="s">
        <v>10903</v>
      </c>
      <c r="AA2823" t="s">
        <v>10974</v>
      </c>
      <c r="AB2823" t="s">
        <v>506</v>
      </c>
      <c r="AD2823" t="s">
        <v>11082</v>
      </c>
      <c r="AF2823" t="s">
        <v>11118</v>
      </c>
      <c r="AH2823" t="s">
        <v>10975</v>
      </c>
      <c r="AJ2823" t="s">
        <v>11129</v>
      </c>
      <c r="AK2823" t="s">
        <v>7225</v>
      </c>
      <c r="AM2823">
        <v>1285</v>
      </c>
      <c r="AO2823">
        <v>71</v>
      </c>
      <c r="AQ2823" t="s">
        <v>11157</v>
      </c>
      <c r="AS2823" t="s">
        <v>11173</v>
      </c>
      <c r="AU2823">
        <v>15</v>
      </c>
      <c r="AW2823" t="s">
        <v>11209</v>
      </c>
      <c r="AY2823" t="s">
        <v>11213</v>
      </c>
      <c r="AZ2823" t="s">
        <v>11221</v>
      </c>
      <c r="BE2823" t="s">
        <v>13305</v>
      </c>
      <c r="BG2823" t="s">
        <v>15062</v>
      </c>
      <c r="BM2823" t="s">
        <v>15650</v>
      </c>
    </row>
    <row r="2824" spans="1:67">
      <c r="A2824" s="1">
        <f>HYPERLINK("https://lsnyc.legalserver.org/matter/dynamic-profile/view/1872141","18-1872141")</f>
        <v>0</v>
      </c>
      <c r="B2824" t="s">
        <v>173</v>
      </c>
      <c r="C2824" t="s">
        <v>246</v>
      </c>
      <c r="D2824" t="s">
        <v>618</v>
      </c>
      <c r="F2824" t="s">
        <v>1372</v>
      </c>
      <c r="G2824" t="s">
        <v>2877</v>
      </c>
      <c r="H2824" t="s">
        <v>5722</v>
      </c>
      <c r="I2824" t="s">
        <v>6442</v>
      </c>
      <c r="J2824" t="s">
        <v>7170</v>
      </c>
      <c r="K2824">
        <v>10452</v>
      </c>
      <c r="N2824" t="s">
        <v>7237</v>
      </c>
      <c r="O2824" t="s">
        <v>7693</v>
      </c>
      <c r="P2824">
        <v>4</v>
      </c>
      <c r="Q2824">
        <v>0</v>
      </c>
      <c r="R2824">
        <v>90.84</v>
      </c>
      <c r="U2824">
        <v>22800</v>
      </c>
      <c r="V2824" t="s">
        <v>10520</v>
      </c>
      <c r="W2824">
        <v>0</v>
      </c>
      <c r="Y2824" t="s">
        <v>10865</v>
      </c>
      <c r="AA2824" t="s">
        <v>10974</v>
      </c>
      <c r="AB2824" t="s">
        <v>730</v>
      </c>
      <c r="AD2824" t="s">
        <v>11096</v>
      </c>
      <c r="AF2824" t="s">
        <v>11122</v>
      </c>
      <c r="AH2824" t="s">
        <v>10974</v>
      </c>
      <c r="AJ2824" t="s">
        <v>11141</v>
      </c>
      <c r="AK2824" t="s">
        <v>7225</v>
      </c>
      <c r="AM2824">
        <v>718.26</v>
      </c>
      <c r="AO2824">
        <v>70</v>
      </c>
      <c r="AQ2824" t="s">
        <v>11157</v>
      </c>
      <c r="AS2824" t="s">
        <v>11173</v>
      </c>
      <c r="AU2824">
        <v>37</v>
      </c>
      <c r="AW2824" t="s">
        <v>11189</v>
      </c>
      <c r="AZ2824" t="s">
        <v>11221</v>
      </c>
      <c r="BE2824" t="s">
        <v>13306</v>
      </c>
      <c r="BG2824" t="s">
        <v>15063</v>
      </c>
      <c r="BM2824" t="s">
        <v>15650</v>
      </c>
    </row>
    <row r="2825" spans="1:67">
      <c r="A2825" s="1">
        <f>HYPERLINK("https://lsnyc.legalserver.org/matter/dynamic-profile/view/0802559","16-0802559")</f>
        <v>0</v>
      </c>
      <c r="B2825" t="s">
        <v>173</v>
      </c>
      <c r="C2825" t="s">
        <v>246</v>
      </c>
      <c r="D2825" t="s">
        <v>932</v>
      </c>
      <c r="F2825" t="s">
        <v>2266</v>
      </c>
      <c r="G2825" t="s">
        <v>4077</v>
      </c>
      <c r="H2825" t="s">
        <v>5722</v>
      </c>
      <c r="I2825" t="s">
        <v>6452</v>
      </c>
      <c r="J2825" t="s">
        <v>7170</v>
      </c>
      <c r="K2825">
        <v>10452</v>
      </c>
      <c r="N2825" t="s">
        <v>7237</v>
      </c>
      <c r="O2825" t="s">
        <v>8847</v>
      </c>
      <c r="P2825">
        <v>2</v>
      </c>
      <c r="Q2825">
        <v>0</v>
      </c>
      <c r="R2825">
        <v>148.29</v>
      </c>
      <c r="U2825">
        <v>23756</v>
      </c>
      <c r="W2825">
        <v>0.1</v>
      </c>
      <c r="X2825" t="s">
        <v>932</v>
      </c>
      <c r="Y2825" t="s">
        <v>138</v>
      </c>
      <c r="AA2825" t="s">
        <v>10974</v>
      </c>
      <c r="AB2825" t="s">
        <v>930</v>
      </c>
      <c r="AD2825" t="s">
        <v>11107</v>
      </c>
      <c r="AF2825" t="s">
        <v>11118</v>
      </c>
      <c r="AH2825" t="s">
        <v>10974</v>
      </c>
      <c r="AJ2825" t="s">
        <v>11141</v>
      </c>
      <c r="AK2825" t="s">
        <v>7225</v>
      </c>
      <c r="AM2825">
        <v>520</v>
      </c>
      <c r="AN2825" t="s">
        <v>11151</v>
      </c>
      <c r="AO2825" t="s">
        <v>11153</v>
      </c>
      <c r="AP2825" t="s">
        <v>11155</v>
      </c>
      <c r="AR2825" t="s">
        <v>11172</v>
      </c>
      <c r="AU2825">
        <v>28</v>
      </c>
      <c r="AW2825" t="s">
        <v>11187</v>
      </c>
      <c r="AZ2825" t="s">
        <v>11221</v>
      </c>
      <c r="BE2825" t="s">
        <v>13307</v>
      </c>
      <c r="BF2825" t="s">
        <v>14364</v>
      </c>
      <c r="BM2825" t="s">
        <v>15650</v>
      </c>
    </row>
    <row r="2826" spans="1:67">
      <c r="A2826" s="1">
        <f>HYPERLINK("https://lsnyc.legalserver.org/matter/dynamic-profile/view/1851302","17-1851302")</f>
        <v>0</v>
      </c>
      <c r="B2826" t="s">
        <v>173</v>
      </c>
      <c r="C2826" t="s">
        <v>246</v>
      </c>
      <c r="D2826" t="s">
        <v>755</v>
      </c>
      <c r="F2826" t="s">
        <v>2260</v>
      </c>
      <c r="G2826" t="s">
        <v>4070</v>
      </c>
      <c r="H2826" t="s">
        <v>5717</v>
      </c>
      <c r="I2826" t="s">
        <v>6450</v>
      </c>
      <c r="J2826" t="s">
        <v>7170</v>
      </c>
      <c r="K2826">
        <v>10452</v>
      </c>
      <c r="N2826" t="s">
        <v>7237</v>
      </c>
      <c r="O2826" t="s">
        <v>9063</v>
      </c>
      <c r="P2826">
        <v>1</v>
      </c>
      <c r="Q2826">
        <v>0</v>
      </c>
      <c r="R2826">
        <v>284.58</v>
      </c>
      <c r="U2826">
        <v>34320</v>
      </c>
      <c r="W2826">
        <v>197.3</v>
      </c>
      <c r="X2826" t="s">
        <v>449</v>
      </c>
      <c r="Y2826" t="s">
        <v>173</v>
      </c>
      <c r="AA2826" t="s">
        <v>10974</v>
      </c>
      <c r="AB2826" t="s">
        <v>485</v>
      </c>
      <c r="AD2826" t="s">
        <v>11083</v>
      </c>
      <c r="AF2826" t="s">
        <v>11118</v>
      </c>
      <c r="AH2826" t="s">
        <v>10975</v>
      </c>
      <c r="AJ2826" t="s">
        <v>11129</v>
      </c>
      <c r="AK2826" t="s">
        <v>7225</v>
      </c>
      <c r="AM2826">
        <v>853.4400000000001</v>
      </c>
      <c r="AO2826">
        <v>71</v>
      </c>
      <c r="AQ2826" t="s">
        <v>11157</v>
      </c>
      <c r="AS2826" t="s">
        <v>11173</v>
      </c>
      <c r="AU2826">
        <v>14</v>
      </c>
      <c r="AW2826" t="s">
        <v>11187</v>
      </c>
      <c r="AZ2826" t="s">
        <v>11221</v>
      </c>
      <c r="BE2826" t="s">
        <v>13296</v>
      </c>
      <c r="BG2826" t="s">
        <v>15064</v>
      </c>
      <c r="BM2826" t="s">
        <v>15650</v>
      </c>
    </row>
    <row r="2827" spans="1:67">
      <c r="A2827" s="1">
        <f>HYPERLINK("https://lsnyc.legalserver.org/matter/dynamic-profile/view/1885304","18-1885304")</f>
        <v>0</v>
      </c>
      <c r="B2827" t="s">
        <v>173</v>
      </c>
      <c r="C2827" t="s">
        <v>246</v>
      </c>
      <c r="D2827" t="s">
        <v>566</v>
      </c>
      <c r="F2827" t="s">
        <v>2207</v>
      </c>
      <c r="G2827" t="s">
        <v>4078</v>
      </c>
      <c r="H2827" t="s">
        <v>5720</v>
      </c>
      <c r="I2827" t="s">
        <v>6609</v>
      </c>
      <c r="J2827" t="s">
        <v>7170</v>
      </c>
      <c r="K2827">
        <v>10463</v>
      </c>
      <c r="N2827" t="s">
        <v>7237</v>
      </c>
      <c r="O2827" t="s">
        <v>9073</v>
      </c>
      <c r="P2827">
        <v>2</v>
      </c>
      <c r="Q2827">
        <v>1</v>
      </c>
      <c r="R2827">
        <v>70.28</v>
      </c>
      <c r="U2827">
        <v>14604</v>
      </c>
      <c r="V2827" t="s">
        <v>10521</v>
      </c>
      <c r="W2827">
        <v>0</v>
      </c>
      <c r="Y2827" t="s">
        <v>10897</v>
      </c>
      <c r="AA2827" t="s">
        <v>10974</v>
      </c>
      <c r="AB2827" t="s">
        <v>597</v>
      </c>
      <c r="AD2827" t="s">
        <v>11101</v>
      </c>
      <c r="AF2827" t="s">
        <v>11118</v>
      </c>
      <c r="AH2827" t="s">
        <v>10974</v>
      </c>
      <c r="AJ2827" t="s">
        <v>11141</v>
      </c>
      <c r="AK2827" t="s">
        <v>7225</v>
      </c>
      <c r="AM2827">
        <v>1144.47</v>
      </c>
      <c r="AO2827">
        <v>55</v>
      </c>
      <c r="AQ2827" t="s">
        <v>11157</v>
      </c>
      <c r="AS2827" t="s">
        <v>11180</v>
      </c>
      <c r="AU2827">
        <v>13</v>
      </c>
      <c r="AW2827" t="s">
        <v>11187</v>
      </c>
      <c r="AZ2827" t="s">
        <v>11221</v>
      </c>
      <c r="BB2827" t="s">
        <v>11224</v>
      </c>
      <c r="BC2827">
        <v>54522717</v>
      </c>
      <c r="BD2827" t="s">
        <v>11667</v>
      </c>
      <c r="BG2827" t="s">
        <v>15058</v>
      </c>
      <c r="BM2827" t="s">
        <v>15650</v>
      </c>
    </row>
    <row r="2828" spans="1:67">
      <c r="A2828" s="1">
        <f>HYPERLINK("https://lsnyc.legalserver.org/matter/dynamic-profile/view/1863518","18-1863518")</f>
        <v>0</v>
      </c>
      <c r="B2828" t="s">
        <v>173</v>
      </c>
      <c r="C2828" t="s">
        <v>246</v>
      </c>
      <c r="D2828" t="s">
        <v>381</v>
      </c>
      <c r="F2828" t="s">
        <v>1372</v>
      </c>
      <c r="G2828" t="s">
        <v>2877</v>
      </c>
      <c r="H2828" t="s">
        <v>5722</v>
      </c>
      <c r="I2828" t="s">
        <v>6442</v>
      </c>
      <c r="J2828" t="s">
        <v>7170</v>
      </c>
      <c r="K2828">
        <v>10452</v>
      </c>
      <c r="N2828" t="s">
        <v>7237</v>
      </c>
      <c r="O2828" t="s">
        <v>7693</v>
      </c>
      <c r="P2828">
        <v>4</v>
      </c>
      <c r="Q2828">
        <v>0</v>
      </c>
      <c r="R2828">
        <v>90.84</v>
      </c>
      <c r="U2828">
        <v>38400</v>
      </c>
      <c r="W2828">
        <v>0</v>
      </c>
      <c r="Y2828" t="s">
        <v>10897</v>
      </c>
      <c r="AA2828" t="s">
        <v>10974</v>
      </c>
      <c r="AB2828" t="s">
        <v>11007</v>
      </c>
      <c r="AD2828" t="s">
        <v>11096</v>
      </c>
      <c r="AF2828" t="s">
        <v>11122</v>
      </c>
      <c r="AH2828" t="s">
        <v>10974</v>
      </c>
      <c r="AJ2828" t="s">
        <v>11141</v>
      </c>
      <c r="AK2828" t="s">
        <v>7225</v>
      </c>
      <c r="AM2828">
        <v>718.26</v>
      </c>
      <c r="AN2828" t="s">
        <v>11151</v>
      </c>
      <c r="AO2828" t="s">
        <v>11153</v>
      </c>
      <c r="AQ2828" t="s">
        <v>11157</v>
      </c>
      <c r="AS2828" t="s">
        <v>11173</v>
      </c>
      <c r="AU2828">
        <v>37</v>
      </c>
      <c r="AW2828" t="s">
        <v>11189</v>
      </c>
      <c r="AZ2828" t="s">
        <v>11221</v>
      </c>
      <c r="BE2828" t="s">
        <v>13306</v>
      </c>
      <c r="BG2828" t="s">
        <v>15063</v>
      </c>
      <c r="BM2828" t="s">
        <v>15650</v>
      </c>
    </row>
    <row r="2829" spans="1:67">
      <c r="A2829" s="1">
        <f>HYPERLINK("https://lsnyc.legalserver.org/matter/dynamic-profile/view/0815687","16-0815687")</f>
        <v>0</v>
      </c>
      <c r="B2829" t="s">
        <v>173</v>
      </c>
      <c r="C2829" t="s">
        <v>246</v>
      </c>
      <c r="D2829" t="s">
        <v>934</v>
      </c>
      <c r="F2829" t="s">
        <v>1915</v>
      </c>
      <c r="G2829" t="s">
        <v>3236</v>
      </c>
      <c r="H2829" t="s">
        <v>5259</v>
      </c>
      <c r="I2829" t="s">
        <v>6609</v>
      </c>
      <c r="J2829" t="s">
        <v>7170</v>
      </c>
      <c r="K2829">
        <v>10453</v>
      </c>
      <c r="N2829" t="s">
        <v>7241</v>
      </c>
      <c r="O2829" t="s">
        <v>9062</v>
      </c>
      <c r="P2829">
        <v>1</v>
      </c>
      <c r="Q2829">
        <v>0</v>
      </c>
      <c r="R2829">
        <v>80.81</v>
      </c>
      <c r="U2829">
        <v>9600</v>
      </c>
      <c r="W2829">
        <v>203.65</v>
      </c>
      <c r="X2829" t="s">
        <v>693</v>
      </c>
      <c r="Y2829" t="s">
        <v>173</v>
      </c>
      <c r="AA2829" t="s">
        <v>10974</v>
      </c>
      <c r="AB2829" t="s">
        <v>934</v>
      </c>
      <c r="AD2829" t="s">
        <v>11095</v>
      </c>
      <c r="AF2829" t="s">
        <v>11120</v>
      </c>
      <c r="AH2829" t="s">
        <v>10975</v>
      </c>
      <c r="AJ2829" t="s">
        <v>11136</v>
      </c>
      <c r="AK2829" t="s">
        <v>7225</v>
      </c>
      <c r="AM2829">
        <v>237</v>
      </c>
      <c r="AO2829">
        <v>101</v>
      </c>
      <c r="AQ2829" t="s">
        <v>11157</v>
      </c>
      <c r="AS2829" t="s">
        <v>11174</v>
      </c>
      <c r="AU2829">
        <v>17</v>
      </c>
      <c r="AW2829" t="s">
        <v>11187</v>
      </c>
      <c r="AZ2829" t="s">
        <v>11221</v>
      </c>
      <c r="BE2829" t="s">
        <v>13295</v>
      </c>
      <c r="BF2829" t="s">
        <v>14364</v>
      </c>
      <c r="BM2829" t="s">
        <v>15650</v>
      </c>
    </row>
    <row r="2830" spans="1:67">
      <c r="A2830" s="1">
        <f>HYPERLINK("https://lsnyc.legalserver.org/matter/dynamic-profile/view/0803493","16-0803493")</f>
        <v>0</v>
      </c>
      <c r="B2830" t="s">
        <v>173</v>
      </c>
      <c r="C2830" t="s">
        <v>246</v>
      </c>
      <c r="D2830" t="s">
        <v>935</v>
      </c>
      <c r="F2830" t="s">
        <v>1280</v>
      </c>
      <c r="G2830" t="s">
        <v>4079</v>
      </c>
      <c r="H2830" t="s">
        <v>5717</v>
      </c>
      <c r="I2830" t="s">
        <v>6915</v>
      </c>
      <c r="J2830" t="s">
        <v>7170</v>
      </c>
      <c r="K2830">
        <v>10452</v>
      </c>
      <c r="N2830" t="s">
        <v>7237</v>
      </c>
      <c r="O2830" t="s">
        <v>9074</v>
      </c>
      <c r="P2830">
        <v>1</v>
      </c>
      <c r="Q2830">
        <v>0</v>
      </c>
      <c r="R2830">
        <v>80.81</v>
      </c>
      <c r="U2830">
        <v>9600</v>
      </c>
      <c r="W2830">
        <v>0.35</v>
      </c>
      <c r="X2830" t="s">
        <v>645</v>
      </c>
      <c r="Y2830" t="s">
        <v>138</v>
      </c>
      <c r="AA2830" t="s">
        <v>10974</v>
      </c>
      <c r="AB2830" t="s">
        <v>930</v>
      </c>
      <c r="AD2830" t="s">
        <v>11107</v>
      </c>
      <c r="AF2830" t="s">
        <v>11118</v>
      </c>
      <c r="AH2830" t="s">
        <v>10974</v>
      </c>
      <c r="AJ2830" t="s">
        <v>11141</v>
      </c>
      <c r="AK2830" t="s">
        <v>7225</v>
      </c>
      <c r="AM2830">
        <v>199.76</v>
      </c>
      <c r="AN2830" t="s">
        <v>11151</v>
      </c>
      <c r="AO2830" t="s">
        <v>11153</v>
      </c>
      <c r="AQ2830" t="s">
        <v>11157</v>
      </c>
      <c r="AR2830" t="s">
        <v>11172</v>
      </c>
      <c r="AU2830">
        <v>40</v>
      </c>
      <c r="AW2830" t="s">
        <v>11189</v>
      </c>
      <c r="AZ2830" t="s">
        <v>11221</v>
      </c>
      <c r="BE2830" t="s">
        <v>13308</v>
      </c>
      <c r="BF2830" t="s">
        <v>14364</v>
      </c>
      <c r="BM2830" t="s">
        <v>15650</v>
      </c>
    </row>
    <row r="2831" spans="1:67">
      <c r="A2831" s="1">
        <f>HYPERLINK("https://lsnyc.legalserver.org/matter/dynamic-profile/view/1885402","18-1885402")</f>
        <v>0</v>
      </c>
      <c r="B2831" t="s">
        <v>173</v>
      </c>
      <c r="C2831" t="s">
        <v>246</v>
      </c>
      <c r="D2831" t="s">
        <v>672</v>
      </c>
      <c r="F2831" t="s">
        <v>1121</v>
      </c>
      <c r="G2831" t="s">
        <v>2877</v>
      </c>
      <c r="H2831" t="s">
        <v>5720</v>
      </c>
      <c r="I2831" t="s">
        <v>6414</v>
      </c>
      <c r="J2831" t="s">
        <v>7170</v>
      </c>
      <c r="K2831">
        <v>10463</v>
      </c>
      <c r="N2831" t="s">
        <v>7237</v>
      </c>
      <c r="O2831" t="s">
        <v>9075</v>
      </c>
      <c r="P2831">
        <v>1</v>
      </c>
      <c r="Q2831">
        <v>0</v>
      </c>
      <c r="R2831">
        <v>81.55</v>
      </c>
      <c r="U2831">
        <v>9900</v>
      </c>
      <c r="W2831">
        <v>0</v>
      </c>
      <c r="Y2831" t="s">
        <v>10897</v>
      </c>
      <c r="AA2831" t="s">
        <v>10974</v>
      </c>
      <c r="AB2831" t="s">
        <v>597</v>
      </c>
      <c r="AD2831" t="s">
        <v>11101</v>
      </c>
      <c r="AF2831" t="s">
        <v>11118</v>
      </c>
      <c r="AH2831" t="s">
        <v>10974</v>
      </c>
      <c r="AJ2831" t="s">
        <v>11141</v>
      </c>
      <c r="AK2831" t="s">
        <v>7225</v>
      </c>
      <c r="AM2831">
        <v>644</v>
      </c>
      <c r="AO2831">
        <v>55</v>
      </c>
      <c r="AQ2831" t="s">
        <v>11160</v>
      </c>
      <c r="AS2831" t="s">
        <v>11175</v>
      </c>
      <c r="AU2831">
        <v>23</v>
      </c>
      <c r="AW2831" t="s">
        <v>11189</v>
      </c>
      <c r="AZ2831" t="s">
        <v>11221</v>
      </c>
      <c r="BE2831" t="s">
        <v>13309</v>
      </c>
      <c r="BG2831" t="s">
        <v>15065</v>
      </c>
      <c r="BM2831" t="s">
        <v>15650</v>
      </c>
    </row>
    <row r="2832" spans="1:67">
      <c r="A2832" s="1">
        <f>HYPERLINK("https://lsnyc.legalserver.org/matter/dynamic-profile/view/1835851","17-1835851")</f>
        <v>0</v>
      </c>
      <c r="B2832" t="s">
        <v>173</v>
      </c>
      <c r="C2832" t="s">
        <v>246</v>
      </c>
      <c r="D2832" t="s">
        <v>848</v>
      </c>
      <c r="F2832" t="s">
        <v>1239</v>
      </c>
      <c r="G2832" t="s">
        <v>3168</v>
      </c>
      <c r="H2832" t="s">
        <v>5726</v>
      </c>
      <c r="I2832" t="s">
        <v>6436</v>
      </c>
      <c r="J2832" t="s">
        <v>7170</v>
      </c>
      <c r="K2832">
        <v>10452</v>
      </c>
      <c r="N2832" t="s">
        <v>7237</v>
      </c>
      <c r="O2832" t="s">
        <v>9076</v>
      </c>
      <c r="P2832">
        <v>1</v>
      </c>
      <c r="Q2832">
        <v>0</v>
      </c>
      <c r="R2832">
        <v>81.59</v>
      </c>
      <c r="U2832">
        <v>9840</v>
      </c>
      <c r="W2832">
        <v>36.55</v>
      </c>
      <c r="X2832" t="s">
        <v>419</v>
      </c>
      <c r="Y2832" t="s">
        <v>10873</v>
      </c>
      <c r="AA2832" t="s">
        <v>10974</v>
      </c>
      <c r="AB2832" t="s">
        <v>10848</v>
      </c>
      <c r="AD2832" t="s">
        <v>11083</v>
      </c>
      <c r="AF2832" t="s">
        <v>11118</v>
      </c>
      <c r="AH2832" t="s">
        <v>10975</v>
      </c>
      <c r="AJ2832" t="s">
        <v>11147</v>
      </c>
      <c r="AK2832" t="s">
        <v>7225</v>
      </c>
      <c r="AM2832">
        <v>1000</v>
      </c>
      <c r="AO2832">
        <v>60</v>
      </c>
      <c r="AQ2832" t="s">
        <v>11157</v>
      </c>
      <c r="AS2832" t="s">
        <v>11174</v>
      </c>
      <c r="AU2832">
        <v>15</v>
      </c>
      <c r="AW2832" t="s">
        <v>11189</v>
      </c>
      <c r="AZ2832" t="s">
        <v>11221</v>
      </c>
      <c r="BE2832" t="s">
        <v>13310</v>
      </c>
      <c r="BG2832" t="s">
        <v>15066</v>
      </c>
      <c r="BM2832" t="s">
        <v>15650</v>
      </c>
      <c r="BO2832" t="s">
        <v>15656</v>
      </c>
    </row>
    <row r="2833" spans="1:67">
      <c r="A2833" s="1">
        <f>HYPERLINK("https://lsnyc.legalserver.org/matter/dynamic-profile/view/1882115","18-1882115")</f>
        <v>0</v>
      </c>
      <c r="B2833" t="s">
        <v>173</v>
      </c>
      <c r="C2833" t="s">
        <v>246</v>
      </c>
      <c r="D2833" t="s">
        <v>569</v>
      </c>
      <c r="F2833" t="s">
        <v>2267</v>
      </c>
      <c r="G2833" t="s">
        <v>4080</v>
      </c>
      <c r="H2833" t="s">
        <v>5727</v>
      </c>
      <c r="I2833" t="s">
        <v>6916</v>
      </c>
      <c r="J2833" t="s">
        <v>7170</v>
      </c>
      <c r="K2833">
        <v>10453</v>
      </c>
      <c r="N2833" t="s">
        <v>7237</v>
      </c>
      <c r="O2833" t="s">
        <v>9077</v>
      </c>
      <c r="P2833">
        <v>2</v>
      </c>
      <c r="Q2833">
        <v>4</v>
      </c>
      <c r="R2833">
        <v>40.9</v>
      </c>
      <c r="U2833">
        <v>13800</v>
      </c>
      <c r="W2833">
        <v>21.8</v>
      </c>
      <c r="X2833" t="s">
        <v>275</v>
      </c>
      <c r="Y2833" t="s">
        <v>10865</v>
      </c>
      <c r="AA2833" t="s">
        <v>10974</v>
      </c>
      <c r="AB2833" t="s">
        <v>569</v>
      </c>
      <c r="AD2833" t="s">
        <v>11101</v>
      </c>
      <c r="AF2833" t="s">
        <v>11118</v>
      </c>
      <c r="AH2833" t="s">
        <v>10975</v>
      </c>
      <c r="AJ2833" t="s">
        <v>11129</v>
      </c>
      <c r="AK2833" t="s">
        <v>7225</v>
      </c>
      <c r="AM2833">
        <v>1931</v>
      </c>
      <c r="AO2833">
        <v>1654</v>
      </c>
      <c r="AQ2833" t="s">
        <v>11161</v>
      </c>
      <c r="AS2833" t="s">
        <v>11174</v>
      </c>
      <c r="AU2833">
        <v>9</v>
      </c>
      <c r="AW2833" t="s">
        <v>11187</v>
      </c>
      <c r="AZ2833" t="s">
        <v>11221</v>
      </c>
      <c r="BB2833" t="s">
        <v>11224</v>
      </c>
      <c r="BC2833">
        <v>32013902</v>
      </c>
      <c r="BE2833" t="s">
        <v>13311</v>
      </c>
      <c r="BF2833" t="s">
        <v>14364</v>
      </c>
      <c r="BM2833" t="s">
        <v>15650</v>
      </c>
    </row>
    <row r="2834" spans="1:67">
      <c r="A2834" s="1">
        <f>HYPERLINK("https://lsnyc.legalserver.org/matter/dynamic-profile/view/1899049","19-1899049")</f>
        <v>0</v>
      </c>
      <c r="B2834" t="s">
        <v>173</v>
      </c>
      <c r="C2834" t="s">
        <v>246</v>
      </c>
      <c r="D2834" t="s">
        <v>880</v>
      </c>
      <c r="F2834" t="s">
        <v>1119</v>
      </c>
      <c r="G2834" t="s">
        <v>4081</v>
      </c>
      <c r="H2834" t="s">
        <v>5728</v>
      </c>
      <c r="I2834" t="s">
        <v>6433</v>
      </c>
      <c r="J2834" t="s">
        <v>7170</v>
      </c>
      <c r="K2834">
        <v>10451</v>
      </c>
      <c r="N2834" t="s">
        <v>7237</v>
      </c>
      <c r="O2834" t="s">
        <v>9078</v>
      </c>
      <c r="P2834">
        <v>2</v>
      </c>
      <c r="Q2834">
        <v>0</v>
      </c>
      <c r="R2834">
        <v>20.44</v>
      </c>
      <c r="U2834">
        <v>3456</v>
      </c>
      <c r="W2834">
        <v>0</v>
      </c>
      <c r="Y2834" t="s">
        <v>10865</v>
      </c>
      <c r="AA2834" t="s">
        <v>10974</v>
      </c>
      <c r="AB2834" t="s">
        <v>10979</v>
      </c>
      <c r="AD2834" t="s">
        <v>11082</v>
      </c>
      <c r="AF2834" t="s">
        <v>11119</v>
      </c>
      <c r="AH2834" t="s">
        <v>10975</v>
      </c>
      <c r="AJ2834" t="s">
        <v>11141</v>
      </c>
      <c r="AK2834" t="s">
        <v>7225</v>
      </c>
      <c r="AM2834">
        <v>975</v>
      </c>
      <c r="AO2834">
        <v>84</v>
      </c>
      <c r="AQ2834" t="s">
        <v>11160</v>
      </c>
      <c r="AS2834" t="s">
        <v>11175</v>
      </c>
      <c r="AU2834">
        <v>7</v>
      </c>
      <c r="AV2834" t="s">
        <v>11186</v>
      </c>
      <c r="AY2834" t="s">
        <v>11214</v>
      </c>
      <c r="BA2834" t="s">
        <v>11222</v>
      </c>
      <c r="BE2834" t="s">
        <v>13312</v>
      </c>
      <c r="BF2834" t="s">
        <v>14364</v>
      </c>
      <c r="BM2834" t="s">
        <v>15650</v>
      </c>
    </row>
    <row r="2835" spans="1:67">
      <c r="A2835" s="1">
        <f>HYPERLINK("https://lsnyc.legalserver.org/matter/dynamic-profile/view/1889777","19-1889777")</f>
        <v>0</v>
      </c>
      <c r="B2835" t="s">
        <v>173</v>
      </c>
      <c r="C2835" t="s">
        <v>246</v>
      </c>
      <c r="D2835" t="s">
        <v>478</v>
      </c>
      <c r="F2835" t="s">
        <v>1210</v>
      </c>
      <c r="G2835" t="s">
        <v>4082</v>
      </c>
      <c r="H2835" t="s">
        <v>5729</v>
      </c>
      <c r="I2835" t="s">
        <v>6433</v>
      </c>
      <c r="J2835" t="s">
        <v>7170</v>
      </c>
      <c r="K2835">
        <v>10457</v>
      </c>
      <c r="N2835" t="s">
        <v>7237</v>
      </c>
      <c r="O2835" t="s">
        <v>9079</v>
      </c>
      <c r="P2835">
        <v>3</v>
      </c>
      <c r="Q2835">
        <v>0</v>
      </c>
      <c r="R2835">
        <v>146.27</v>
      </c>
      <c r="U2835">
        <v>31200</v>
      </c>
      <c r="W2835">
        <v>0.5</v>
      </c>
      <c r="X2835" t="s">
        <v>604</v>
      </c>
      <c r="Y2835" t="s">
        <v>10865</v>
      </c>
      <c r="AA2835" t="s">
        <v>10974</v>
      </c>
      <c r="AB2835" t="s">
        <v>379</v>
      </c>
      <c r="AD2835" t="s">
        <v>11090</v>
      </c>
      <c r="AF2835" t="s">
        <v>10384</v>
      </c>
      <c r="AH2835" t="s">
        <v>10975</v>
      </c>
      <c r="AJ2835" t="s">
        <v>11141</v>
      </c>
      <c r="AK2835" t="s">
        <v>7225</v>
      </c>
      <c r="AM2835">
        <v>300</v>
      </c>
      <c r="AO2835">
        <v>8</v>
      </c>
      <c r="AQ2835" t="s">
        <v>11157</v>
      </c>
      <c r="AS2835" t="s">
        <v>11174</v>
      </c>
      <c r="AU2835">
        <v>2</v>
      </c>
      <c r="AW2835" t="s">
        <v>11189</v>
      </c>
      <c r="AZ2835" t="s">
        <v>11221</v>
      </c>
      <c r="BE2835" t="s">
        <v>13313</v>
      </c>
      <c r="BF2835" t="s">
        <v>14364</v>
      </c>
      <c r="BM2835" t="s">
        <v>15650</v>
      </c>
    </row>
    <row r="2836" spans="1:67">
      <c r="A2836" s="1">
        <f>HYPERLINK("https://lsnyc.legalserver.org/matter/dynamic-profile/view/1891880","19-1891880")</f>
        <v>0</v>
      </c>
      <c r="B2836" t="s">
        <v>173</v>
      </c>
      <c r="C2836" t="s">
        <v>246</v>
      </c>
      <c r="D2836" t="s">
        <v>425</v>
      </c>
      <c r="F2836" t="s">
        <v>1394</v>
      </c>
      <c r="G2836" t="s">
        <v>3164</v>
      </c>
      <c r="H2836" t="s">
        <v>4989</v>
      </c>
      <c r="I2836" t="s">
        <v>6576</v>
      </c>
      <c r="J2836" t="s">
        <v>7170</v>
      </c>
      <c r="K2836">
        <v>10453</v>
      </c>
      <c r="N2836" t="s">
        <v>7237</v>
      </c>
      <c r="O2836" t="s">
        <v>7617</v>
      </c>
      <c r="P2836">
        <v>3</v>
      </c>
      <c r="Q2836">
        <v>2</v>
      </c>
      <c r="R2836">
        <v>149.15</v>
      </c>
      <c r="U2836">
        <v>45000</v>
      </c>
      <c r="W2836">
        <v>39.8</v>
      </c>
      <c r="X2836" t="s">
        <v>437</v>
      </c>
      <c r="Y2836" t="s">
        <v>10865</v>
      </c>
      <c r="AA2836" t="s">
        <v>10974</v>
      </c>
      <c r="AB2836" t="s">
        <v>425</v>
      </c>
      <c r="AD2836" t="s">
        <v>11083</v>
      </c>
      <c r="AF2836" t="s">
        <v>11118</v>
      </c>
      <c r="AH2836" t="s">
        <v>10975</v>
      </c>
      <c r="AJ2836" t="s">
        <v>11141</v>
      </c>
      <c r="AK2836" t="s">
        <v>7225</v>
      </c>
      <c r="AM2836">
        <v>985</v>
      </c>
      <c r="AO2836">
        <v>167</v>
      </c>
      <c r="AQ2836" t="s">
        <v>11157</v>
      </c>
      <c r="AS2836" t="s">
        <v>11173</v>
      </c>
      <c r="AU2836">
        <v>17</v>
      </c>
      <c r="AW2836" t="s">
        <v>11187</v>
      </c>
      <c r="AZ2836" t="s">
        <v>11221</v>
      </c>
      <c r="BD2836" t="s">
        <v>11667</v>
      </c>
      <c r="BG2836" t="s">
        <v>15067</v>
      </c>
      <c r="BM2836" t="s">
        <v>15650</v>
      </c>
    </row>
    <row r="2837" spans="1:67">
      <c r="A2837" s="1">
        <f>HYPERLINK("https://lsnyc.legalserver.org/matter/dynamic-profile/view/1859560","18-1859560")</f>
        <v>0</v>
      </c>
      <c r="B2837" t="s">
        <v>173</v>
      </c>
      <c r="C2837" t="s">
        <v>246</v>
      </c>
      <c r="D2837" t="s">
        <v>936</v>
      </c>
      <c r="F2837" t="s">
        <v>1722</v>
      </c>
      <c r="G2837" t="s">
        <v>3168</v>
      </c>
      <c r="H2837" t="s">
        <v>5730</v>
      </c>
      <c r="I2837">
        <v>44</v>
      </c>
      <c r="J2837" t="s">
        <v>7170</v>
      </c>
      <c r="K2837">
        <v>10452</v>
      </c>
      <c r="N2837" t="s">
        <v>7237</v>
      </c>
      <c r="O2837" t="s">
        <v>9080</v>
      </c>
      <c r="P2837">
        <v>2</v>
      </c>
      <c r="Q2837">
        <v>2</v>
      </c>
      <c r="R2837">
        <v>141.63</v>
      </c>
      <c r="U2837">
        <v>34840</v>
      </c>
      <c r="W2837">
        <v>16.61</v>
      </c>
      <c r="X2837" t="s">
        <v>824</v>
      </c>
      <c r="Y2837" t="s">
        <v>10875</v>
      </c>
      <c r="AA2837" t="s">
        <v>10974</v>
      </c>
      <c r="AB2837" t="s">
        <v>825</v>
      </c>
      <c r="AD2837" t="s">
        <v>11082</v>
      </c>
      <c r="AF2837" t="s">
        <v>11118</v>
      </c>
      <c r="AH2837" t="s">
        <v>10975</v>
      </c>
      <c r="AJ2837" t="s">
        <v>11136</v>
      </c>
      <c r="AK2837" t="s">
        <v>7225</v>
      </c>
      <c r="AM2837">
        <v>1120</v>
      </c>
      <c r="AO2837">
        <v>64</v>
      </c>
      <c r="AQ2837" t="s">
        <v>11157</v>
      </c>
      <c r="AS2837" t="s">
        <v>11173</v>
      </c>
      <c r="AU2837">
        <v>5</v>
      </c>
      <c r="AW2837" t="s">
        <v>11189</v>
      </c>
      <c r="AZ2837" t="s">
        <v>11221</v>
      </c>
      <c r="BC2837" t="s">
        <v>11458</v>
      </c>
      <c r="BE2837" t="s">
        <v>13314</v>
      </c>
      <c r="BG2837" t="s">
        <v>15068</v>
      </c>
      <c r="BM2837" t="s">
        <v>15650</v>
      </c>
      <c r="BO2837" t="s">
        <v>15656</v>
      </c>
    </row>
    <row r="2838" spans="1:67">
      <c r="A2838" s="1">
        <f>HYPERLINK("https://lsnyc.legalserver.org/matter/dynamic-profile/view/1868495","18-1868495")</f>
        <v>0</v>
      </c>
      <c r="B2838" t="s">
        <v>173</v>
      </c>
      <c r="C2838" t="s">
        <v>246</v>
      </c>
      <c r="D2838" t="s">
        <v>937</v>
      </c>
      <c r="F2838" t="s">
        <v>1140</v>
      </c>
      <c r="G2838" t="s">
        <v>3504</v>
      </c>
      <c r="H2838" t="s">
        <v>5296</v>
      </c>
      <c r="I2838" t="s">
        <v>6917</v>
      </c>
      <c r="J2838" t="s">
        <v>7170</v>
      </c>
      <c r="K2838">
        <v>10453</v>
      </c>
      <c r="N2838" t="s">
        <v>7237</v>
      </c>
      <c r="O2838" t="s">
        <v>9081</v>
      </c>
      <c r="P2838">
        <v>2</v>
      </c>
      <c r="Q2838">
        <v>2</v>
      </c>
      <c r="R2838">
        <v>23.65</v>
      </c>
      <c r="U2838">
        <v>5936</v>
      </c>
      <c r="W2838">
        <v>80.45</v>
      </c>
      <c r="X2838" t="s">
        <v>430</v>
      </c>
      <c r="Y2838" t="s">
        <v>173</v>
      </c>
      <c r="AA2838" t="s">
        <v>10974</v>
      </c>
      <c r="AB2838" t="s">
        <v>939</v>
      </c>
      <c r="AD2838" t="s">
        <v>11082</v>
      </c>
      <c r="AF2838" t="s">
        <v>11118</v>
      </c>
      <c r="AH2838" t="s">
        <v>10975</v>
      </c>
      <c r="AJ2838" t="s">
        <v>11138</v>
      </c>
      <c r="AK2838" t="s">
        <v>7225</v>
      </c>
      <c r="AM2838">
        <v>1613.9</v>
      </c>
      <c r="AO2838">
        <v>40</v>
      </c>
      <c r="AQ2838" t="s">
        <v>11157</v>
      </c>
      <c r="AS2838" t="s">
        <v>11178</v>
      </c>
      <c r="AU2838">
        <v>3</v>
      </c>
      <c r="AW2838" t="s">
        <v>11187</v>
      </c>
      <c r="AZ2838" t="s">
        <v>11221</v>
      </c>
      <c r="BC2838" t="s">
        <v>11459</v>
      </c>
      <c r="BD2838" t="s">
        <v>11667</v>
      </c>
      <c r="BG2838" t="s">
        <v>15069</v>
      </c>
      <c r="BM2838" t="s">
        <v>15650</v>
      </c>
    </row>
    <row r="2839" spans="1:67">
      <c r="A2839" s="1">
        <f>HYPERLINK("https://lsnyc.legalserver.org/matter/dynamic-profile/view/1845386","17-1845386")</f>
        <v>0</v>
      </c>
      <c r="B2839" t="s">
        <v>173</v>
      </c>
      <c r="C2839" t="s">
        <v>246</v>
      </c>
      <c r="D2839" t="s">
        <v>883</v>
      </c>
      <c r="F2839" t="s">
        <v>2268</v>
      </c>
      <c r="G2839" t="s">
        <v>2962</v>
      </c>
      <c r="H2839" t="s">
        <v>5731</v>
      </c>
      <c r="I2839" t="s">
        <v>6462</v>
      </c>
      <c r="J2839" t="s">
        <v>7170</v>
      </c>
      <c r="K2839">
        <v>10456</v>
      </c>
      <c r="N2839" t="s">
        <v>7237</v>
      </c>
      <c r="O2839" t="s">
        <v>9082</v>
      </c>
      <c r="P2839">
        <v>1</v>
      </c>
      <c r="Q2839">
        <v>0</v>
      </c>
      <c r="R2839">
        <v>157.55</v>
      </c>
      <c r="U2839">
        <v>19000</v>
      </c>
      <c r="V2839" t="s">
        <v>10522</v>
      </c>
      <c r="W2839">
        <v>0.1</v>
      </c>
      <c r="X2839" t="s">
        <v>993</v>
      </c>
      <c r="Y2839" t="s">
        <v>10897</v>
      </c>
      <c r="AA2839" t="s">
        <v>10974</v>
      </c>
      <c r="AB2839" t="s">
        <v>691</v>
      </c>
      <c r="AD2839" t="s">
        <v>11086</v>
      </c>
      <c r="AF2839" t="s">
        <v>10384</v>
      </c>
      <c r="AH2839" t="s">
        <v>10974</v>
      </c>
      <c r="AJ2839" t="s">
        <v>11141</v>
      </c>
      <c r="AK2839" t="s">
        <v>7225</v>
      </c>
      <c r="AM2839">
        <v>686.79</v>
      </c>
      <c r="AO2839">
        <v>107</v>
      </c>
      <c r="AQ2839" t="s">
        <v>11160</v>
      </c>
      <c r="AS2839" t="s">
        <v>11173</v>
      </c>
      <c r="AU2839">
        <v>34</v>
      </c>
      <c r="AW2839" t="s">
        <v>11189</v>
      </c>
      <c r="AZ2839" t="s">
        <v>11221</v>
      </c>
      <c r="BE2839" t="s">
        <v>13315</v>
      </c>
      <c r="BF2839" t="s">
        <v>14364</v>
      </c>
      <c r="BM2839" t="s">
        <v>15650</v>
      </c>
    </row>
    <row r="2840" spans="1:67">
      <c r="A2840" s="1">
        <f>HYPERLINK("https://lsnyc.legalserver.org/matter/dynamic-profile/view/1866379","18-1866379")</f>
        <v>0</v>
      </c>
      <c r="B2840" t="s">
        <v>173</v>
      </c>
      <c r="C2840" t="s">
        <v>246</v>
      </c>
      <c r="D2840" t="s">
        <v>677</v>
      </c>
      <c r="F2840" t="s">
        <v>1140</v>
      </c>
      <c r="G2840" t="s">
        <v>4083</v>
      </c>
      <c r="H2840" t="s">
        <v>5732</v>
      </c>
      <c r="I2840" t="s">
        <v>6491</v>
      </c>
      <c r="J2840" t="s">
        <v>7170</v>
      </c>
      <c r="K2840">
        <v>10467</v>
      </c>
      <c r="N2840" t="s">
        <v>7241</v>
      </c>
      <c r="O2840" t="s">
        <v>9083</v>
      </c>
      <c r="P2840">
        <v>3</v>
      </c>
      <c r="Q2840">
        <v>0</v>
      </c>
      <c r="R2840">
        <v>202.12</v>
      </c>
      <c r="S2840" t="s">
        <v>10255</v>
      </c>
      <c r="U2840">
        <v>42000</v>
      </c>
      <c r="V2840" t="s">
        <v>10523</v>
      </c>
      <c r="W2840">
        <v>17.5</v>
      </c>
      <c r="X2840" t="s">
        <v>291</v>
      </c>
      <c r="Y2840" t="s">
        <v>10866</v>
      </c>
      <c r="AA2840" t="s">
        <v>10974</v>
      </c>
      <c r="AB2840" t="s">
        <v>261</v>
      </c>
      <c r="AD2840" t="s">
        <v>11094</v>
      </c>
      <c r="AF2840" t="s">
        <v>11120</v>
      </c>
      <c r="AH2840" t="s">
        <v>10975</v>
      </c>
      <c r="AJ2840" t="s">
        <v>11136</v>
      </c>
      <c r="AK2840" t="s">
        <v>7225</v>
      </c>
      <c r="AM2840">
        <v>1800</v>
      </c>
      <c r="AO2840">
        <v>32</v>
      </c>
      <c r="AQ2840" t="s">
        <v>11157</v>
      </c>
      <c r="AS2840" t="s">
        <v>11174</v>
      </c>
      <c r="AU2840">
        <v>3</v>
      </c>
      <c r="AW2840" t="s">
        <v>11189</v>
      </c>
      <c r="AZ2840" t="s">
        <v>11221</v>
      </c>
      <c r="BC2840" t="s">
        <v>11460</v>
      </c>
      <c r="BE2840" t="s">
        <v>13316</v>
      </c>
      <c r="BF2840" t="s">
        <v>14364</v>
      </c>
      <c r="BM2840" t="s">
        <v>15650</v>
      </c>
    </row>
    <row r="2841" spans="1:67">
      <c r="A2841" s="1">
        <f>HYPERLINK("https://lsnyc.legalserver.org/matter/dynamic-profile/view/0802602","16-0802602")</f>
        <v>0</v>
      </c>
      <c r="B2841" t="s">
        <v>173</v>
      </c>
      <c r="C2841" t="s">
        <v>246</v>
      </c>
      <c r="D2841" t="s">
        <v>756</v>
      </c>
      <c r="F2841" t="s">
        <v>2269</v>
      </c>
      <c r="G2841" t="s">
        <v>4084</v>
      </c>
      <c r="H2841" t="s">
        <v>5722</v>
      </c>
      <c r="I2841" t="s">
        <v>6629</v>
      </c>
      <c r="J2841" t="s">
        <v>7170</v>
      </c>
      <c r="K2841">
        <v>10452</v>
      </c>
      <c r="N2841" t="s">
        <v>7237</v>
      </c>
      <c r="O2841" t="s">
        <v>9084</v>
      </c>
      <c r="P2841">
        <v>2</v>
      </c>
      <c r="Q2841">
        <v>2</v>
      </c>
      <c r="R2841">
        <v>73.65000000000001</v>
      </c>
      <c r="U2841">
        <v>17896</v>
      </c>
      <c r="W2841">
        <v>0.2</v>
      </c>
      <c r="X2841" t="s">
        <v>645</v>
      </c>
      <c r="Y2841" t="s">
        <v>138</v>
      </c>
      <c r="AA2841" t="s">
        <v>10974</v>
      </c>
      <c r="AB2841" t="s">
        <v>930</v>
      </c>
      <c r="AD2841" t="s">
        <v>11107</v>
      </c>
      <c r="AF2841" t="s">
        <v>11118</v>
      </c>
      <c r="AH2841" t="s">
        <v>10974</v>
      </c>
      <c r="AJ2841" t="s">
        <v>11141</v>
      </c>
      <c r="AK2841" t="s">
        <v>7225</v>
      </c>
      <c r="AM2841">
        <v>1514</v>
      </c>
      <c r="AN2841" t="s">
        <v>11151</v>
      </c>
      <c r="AO2841" t="s">
        <v>11153</v>
      </c>
      <c r="AQ2841" t="s">
        <v>11157</v>
      </c>
      <c r="AS2841" t="s">
        <v>11174</v>
      </c>
      <c r="AU2841">
        <v>2</v>
      </c>
      <c r="AW2841" t="s">
        <v>11187</v>
      </c>
      <c r="AZ2841" t="s">
        <v>11221</v>
      </c>
      <c r="BB2841" t="s">
        <v>11224</v>
      </c>
      <c r="BC2841">
        <v>77672051</v>
      </c>
      <c r="BE2841" t="s">
        <v>13317</v>
      </c>
      <c r="BF2841" t="s">
        <v>14364</v>
      </c>
      <c r="BM2841" t="s">
        <v>15650</v>
      </c>
    </row>
    <row r="2842" spans="1:67">
      <c r="A2842" s="1">
        <f>HYPERLINK("https://lsnyc.legalserver.org/matter/dynamic-profile/view/1909847","19-1909847")</f>
        <v>0</v>
      </c>
      <c r="B2842" t="s">
        <v>173</v>
      </c>
      <c r="C2842" t="s">
        <v>246</v>
      </c>
      <c r="D2842" t="s">
        <v>627</v>
      </c>
      <c r="F2842" t="s">
        <v>2270</v>
      </c>
      <c r="G2842" t="s">
        <v>4085</v>
      </c>
      <c r="H2842" t="s">
        <v>5717</v>
      </c>
      <c r="I2842" t="s">
        <v>6810</v>
      </c>
      <c r="J2842" t="s">
        <v>7170</v>
      </c>
      <c r="K2842">
        <v>10452</v>
      </c>
      <c r="N2842" t="s">
        <v>7237</v>
      </c>
      <c r="O2842" t="s">
        <v>9085</v>
      </c>
      <c r="P2842">
        <v>3</v>
      </c>
      <c r="Q2842">
        <v>0</v>
      </c>
      <c r="R2842">
        <v>84.39</v>
      </c>
      <c r="U2842">
        <v>18000</v>
      </c>
      <c r="W2842">
        <v>11.9</v>
      </c>
      <c r="X2842" t="s">
        <v>443</v>
      </c>
      <c r="Y2842" t="s">
        <v>173</v>
      </c>
      <c r="AA2842" t="s">
        <v>10974</v>
      </c>
      <c r="AD2842" t="s">
        <v>11087</v>
      </c>
      <c r="AF2842" t="s">
        <v>11122</v>
      </c>
      <c r="AH2842" t="s">
        <v>10974</v>
      </c>
      <c r="AJ2842" t="s">
        <v>11130</v>
      </c>
      <c r="AK2842" t="s">
        <v>7225</v>
      </c>
      <c r="AL2842" t="s">
        <v>11150</v>
      </c>
      <c r="AM2842">
        <v>0</v>
      </c>
      <c r="AO2842">
        <v>70</v>
      </c>
      <c r="AQ2842" t="s">
        <v>11157</v>
      </c>
      <c r="AR2842" t="s">
        <v>11172</v>
      </c>
      <c r="AT2842" t="s">
        <v>11184</v>
      </c>
      <c r="AU2842">
        <v>0</v>
      </c>
      <c r="AW2842" t="s">
        <v>11164</v>
      </c>
      <c r="AX2842" t="s">
        <v>11212</v>
      </c>
      <c r="AZ2842" t="s">
        <v>11221</v>
      </c>
      <c r="BD2842" t="s">
        <v>11667</v>
      </c>
      <c r="BG2842" t="s">
        <v>15070</v>
      </c>
      <c r="BM2842" t="s">
        <v>15650</v>
      </c>
    </row>
    <row r="2843" spans="1:67">
      <c r="A2843" s="1">
        <f>HYPERLINK("https://lsnyc.legalserver.org/matter/dynamic-profile/view/1885321","18-1885321")</f>
        <v>0</v>
      </c>
      <c r="B2843" t="s">
        <v>173</v>
      </c>
      <c r="C2843" t="s">
        <v>246</v>
      </c>
      <c r="D2843" t="s">
        <v>566</v>
      </c>
      <c r="F2843" t="s">
        <v>2271</v>
      </c>
      <c r="G2843" t="s">
        <v>3021</v>
      </c>
      <c r="H2843" t="s">
        <v>5720</v>
      </c>
      <c r="I2843" t="s">
        <v>6628</v>
      </c>
      <c r="J2843" t="s">
        <v>7170</v>
      </c>
      <c r="K2843">
        <v>10463</v>
      </c>
      <c r="N2843" t="s">
        <v>7237</v>
      </c>
      <c r="O2843" t="s">
        <v>9086</v>
      </c>
      <c r="P2843">
        <v>2</v>
      </c>
      <c r="Q2843">
        <v>2</v>
      </c>
      <c r="R2843">
        <v>46.61</v>
      </c>
      <c r="U2843">
        <v>11700</v>
      </c>
      <c r="W2843">
        <v>0.5</v>
      </c>
      <c r="X2843" t="s">
        <v>685</v>
      </c>
      <c r="Y2843" t="s">
        <v>10897</v>
      </c>
      <c r="AA2843" t="s">
        <v>10974</v>
      </c>
      <c r="AB2843" t="s">
        <v>597</v>
      </c>
      <c r="AD2843" t="s">
        <v>11101</v>
      </c>
      <c r="AF2843" t="s">
        <v>11118</v>
      </c>
      <c r="AH2843" t="s">
        <v>10974</v>
      </c>
      <c r="AJ2843" t="s">
        <v>11141</v>
      </c>
      <c r="AK2843" t="s">
        <v>7225</v>
      </c>
      <c r="AM2843">
        <v>958.35</v>
      </c>
      <c r="AO2843">
        <v>55</v>
      </c>
      <c r="AQ2843" t="s">
        <v>11157</v>
      </c>
      <c r="AS2843" t="s">
        <v>11173</v>
      </c>
      <c r="AU2843">
        <v>14</v>
      </c>
      <c r="AW2843" t="s">
        <v>11189</v>
      </c>
      <c r="AZ2843" t="s">
        <v>11221</v>
      </c>
      <c r="BE2843" t="s">
        <v>13318</v>
      </c>
      <c r="BG2843" t="s">
        <v>15065</v>
      </c>
      <c r="BM2843" t="s">
        <v>15650</v>
      </c>
    </row>
    <row r="2844" spans="1:67">
      <c r="A2844" s="1">
        <f>HYPERLINK("https://lsnyc.legalserver.org/matter/dynamic-profile/view/1860579","18-1860579")</f>
        <v>0</v>
      </c>
      <c r="B2844" t="s">
        <v>173</v>
      </c>
      <c r="C2844" t="s">
        <v>246</v>
      </c>
      <c r="D2844" t="s">
        <v>717</v>
      </c>
      <c r="F2844" t="s">
        <v>2272</v>
      </c>
      <c r="G2844" t="s">
        <v>3040</v>
      </c>
      <c r="H2844" t="s">
        <v>5733</v>
      </c>
      <c r="I2844" t="s">
        <v>6909</v>
      </c>
      <c r="J2844" t="s">
        <v>7170</v>
      </c>
      <c r="K2844">
        <v>10459</v>
      </c>
      <c r="N2844" t="s">
        <v>7237</v>
      </c>
      <c r="O2844" t="s">
        <v>9087</v>
      </c>
      <c r="P2844">
        <v>2</v>
      </c>
      <c r="Q2844">
        <v>2</v>
      </c>
      <c r="R2844">
        <v>188.21</v>
      </c>
      <c r="U2844">
        <v>70240</v>
      </c>
      <c r="W2844">
        <v>17.5</v>
      </c>
      <c r="X2844" t="s">
        <v>375</v>
      </c>
      <c r="Y2844" t="s">
        <v>10865</v>
      </c>
      <c r="AA2844" t="s">
        <v>10974</v>
      </c>
      <c r="AB2844" t="s">
        <v>790</v>
      </c>
      <c r="AD2844" t="s">
        <v>11096</v>
      </c>
      <c r="AF2844" t="s">
        <v>11122</v>
      </c>
      <c r="AH2844" t="s">
        <v>10975</v>
      </c>
      <c r="AJ2844" t="s">
        <v>11129</v>
      </c>
      <c r="AK2844" t="s">
        <v>7225</v>
      </c>
      <c r="AM2844">
        <v>1584.51</v>
      </c>
      <c r="AO2844">
        <v>19</v>
      </c>
      <c r="AQ2844" t="s">
        <v>11157</v>
      </c>
      <c r="AS2844" t="s">
        <v>11173</v>
      </c>
      <c r="AU2844">
        <v>22</v>
      </c>
      <c r="AW2844" t="s">
        <v>11187</v>
      </c>
      <c r="AZ2844" t="s">
        <v>11221</v>
      </c>
      <c r="BC2844" t="s">
        <v>11461</v>
      </c>
      <c r="BE2844" t="s">
        <v>13319</v>
      </c>
      <c r="BG2844" t="s">
        <v>15071</v>
      </c>
      <c r="BM2844" t="s">
        <v>15650</v>
      </c>
    </row>
    <row r="2845" spans="1:67">
      <c r="A2845" s="1">
        <f>HYPERLINK("https://lsnyc.legalserver.org/matter/dynamic-profile/view/0821825","16-0821825")</f>
        <v>0</v>
      </c>
      <c r="B2845" t="s">
        <v>173</v>
      </c>
      <c r="C2845" t="s">
        <v>246</v>
      </c>
      <c r="D2845" t="s">
        <v>938</v>
      </c>
      <c r="F2845" t="s">
        <v>1650</v>
      </c>
      <c r="G2845" t="s">
        <v>4075</v>
      </c>
      <c r="H2845" t="s">
        <v>5725</v>
      </c>
      <c r="I2845" t="s">
        <v>6914</v>
      </c>
      <c r="J2845" t="s">
        <v>7170</v>
      </c>
      <c r="K2845">
        <v>10452</v>
      </c>
      <c r="N2845" t="s">
        <v>7241</v>
      </c>
      <c r="O2845" t="s">
        <v>9072</v>
      </c>
      <c r="P2845">
        <v>1</v>
      </c>
      <c r="Q2845">
        <v>0</v>
      </c>
      <c r="R2845">
        <v>76.06</v>
      </c>
      <c r="U2845">
        <v>9036</v>
      </c>
      <c r="W2845">
        <v>51.5</v>
      </c>
      <c r="X2845" t="s">
        <v>422</v>
      </c>
      <c r="Y2845" t="s">
        <v>10900</v>
      </c>
      <c r="AA2845" t="s">
        <v>10974</v>
      </c>
      <c r="AB2845" t="s">
        <v>938</v>
      </c>
      <c r="AD2845" t="s">
        <v>11094</v>
      </c>
      <c r="AF2845" t="s">
        <v>11120</v>
      </c>
      <c r="AH2845" t="s">
        <v>10975</v>
      </c>
      <c r="AJ2845" t="s">
        <v>11136</v>
      </c>
      <c r="AK2845" t="s">
        <v>7225</v>
      </c>
      <c r="AM2845">
        <v>1005</v>
      </c>
      <c r="AO2845">
        <v>54</v>
      </c>
      <c r="AQ2845" t="s">
        <v>11157</v>
      </c>
      <c r="AS2845" t="s">
        <v>11174</v>
      </c>
      <c r="AU2845">
        <v>15</v>
      </c>
      <c r="AW2845" t="s">
        <v>11189</v>
      </c>
      <c r="AZ2845" t="s">
        <v>11221</v>
      </c>
      <c r="BC2845" t="s">
        <v>11462</v>
      </c>
      <c r="BE2845" t="s">
        <v>13304</v>
      </c>
      <c r="BF2845" t="s">
        <v>14364</v>
      </c>
      <c r="BM2845" t="s">
        <v>15650</v>
      </c>
    </row>
    <row r="2846" spans="1:67">
      <c r="A2846" s="1">
        <f>HYPERLINK("https://lsnyc.legalserver.org/matter/dynamic-profile/view/1872015","18-1872015")</f>
        <v>0</v>
      </c>
      <c r="B2846" t="s">
        <v>173</v>
      </c>
      <c r="C2846" t="s">
        <v>246</v>
      </c>
      <c r="D2846" t="s">
        <v>657</v>
      </c>
      <c r="F2846" t="s">
        <v>2273</v>
      </c>
      <c r="G2846" t="s">
        <v>4086</v>
      </c>
      <c r="H2846" t="s">
        <v>5734</v>
      </c>
      <c r="I2846">
        <v>315</v>
      </c>
      <c r="J2846" t="s">
        <v>7170</v>
      </c>
      <c r="K2846">
        <v>10459</v>
      </c>
      <c r="N2846" t="s">
        <v>7237</v>
      </c>
      <c r="O2846" t="s">
        <v>9088</v>
      </c>
      <c r="P2846">
        <v>2</v>
      </c>
      <c r="Q2846">
        <v>0</v>
      </c>
      <c r="R2846">
        <v>2.92</v>
      </c>
      <c r="U2846">
        <v>480</v>
      </c>
      <c r="V2846" t="s">
        <v>10306</v>
      </c>
      <c r="W2846">
        <v>43.2</v>
      </c>
      <c r="X2846" t="s">
        <v>531</v>
      </c>
      <c r="Y2846" t="s">
        <v>10877</v>
      </c>
      <c r="AA2846" t="s">
        <v>10974</v>
      </c>
      <c r="AB2846" t="s">
        <v>657</v>
      </c>
      <c r="AD2846" t="s">
        <v>11083</v>
      </c>
      <c r="AF2846" t="s">
        <v>11118</v>
      </c>
      <c r="AH2846" t="s">
        <v>10975</v>
      </c>
      <c r="AJ2846" t="s">
        <v>11136</v>
      </c>
      <c r="AK2846" t="s">
        <v>7225</v>
      </c>
      <c r="AM2846">
        <v>1640.18</v>
      </c>
      <c r="AO2846">
        <v>123</v>
      </c>
      <c r="AQ2846" t="s">
        <v>11157</v>
      </c>
      <c r="AS2846" t="s">
        <v>11173</v>
      </c>
      <c r="AU2846">
        <v>11</v>
      </c>
      <c r="AW2846" t="s">
        <v>11187</v>
      </c>
      <c r="AY2846" t="s">
        <v>11213</v>
      </c>
      <c r="AZ2846" t="s">
        <v>11221</v>
      </c>
      <c r="BE2846" t="s">
        <v>13320</v>
      </c>
      <c r="BG2846" t="s">
        <v>15072</v>
      </c>
      <c r="BM2846" t="s">
        <v>15650</v>
      </c>
    </row>
    <row r="2847" spans="1:67">
      <c r="A2847" s="1">
        <f>HYPERLINK("https://lsnyc.legalserver.org/matter/dynamic-profile/view/1872785","18-1872785")</f>
        <v>0</v>
      </c>
      <c r="B2847" t="s">
        <v>173</v>
      </c>
      <c r="C2847" t="s">
        <v>246</v>
      </c>
      <c r="D2847" t="s">
        <v>939</v>
      </c>
      <c r="F2847" t="s">
        <v>1291</v>
      </c>
      <c r="G2847" t="s">
        <v>3162</v>
      </c>
      <c r="H2847" t="s">
        <v>5722</v>
      </c>
      <c r="I2847" t="s">
        <v>6918</v>
      </c>
      <c r="J2847" t="s">
        <v>7170</v>
      </c>
      <c r="K2847">
        <v>10452</v>
      </c>
      <c r="N2847" t="s">
        <v>7237</v>
      </c>
      <c r="O2847" t="s">
        <v>7516</v>
      </c>
      <c r="P2847">
        <v>1</v>
      </c>
      <c r="Q2847">
        <v>5</v>
      </c>
      <c r="R2847">
        <v>43.15</v>
      </c>
      <c r="U2847">
        <v>14560</v>
      </c>
      <c r="W2847">
        <v>0.5</v>
      </c>
      <c r="X2847" t="s">
        <v>1038</v>
      </c>
      <c r="Y2847" t="s">
        <v>10865</v>
      </c>
      <c r="AA2847" t="s">
        <v>10974</v>
      </c>
      <c r="AB2847" t="s">
        <v>939</v>
      </c>
      <c r="AD2847" t="s">
        <v>11096</v>
      </c>
      <c r="AF2847" t="s">
        <v>11122</v>
      </c>
      <c r="AH2847" t="s">
        <v>10974</v>
      </c>
      <c r="AJ2847" t="s">
        <v>11141</v>
      </c>
      <c r="AK2847" t="s">
        <v>7225</v>
      </c>
      <c r="AM2847">
        <v>1714.94</v>
      </c>
      <c r="AN2847" t="s">
        <v>11151</v>
      </c>
      <c r="AO2847" t="s">
        <v>11153</v>
      </c>
      <c r="AQ2847" t="s">
        <v>11157</v>
      </c>
      <c r="AS2847" t="s">
        <v>11173</v>
      </c>
      <c r="AU2847">
        <v>8</v>
      </c>
      <c r="AW2847" t="s">
        <v>11187</v>
      </c>
      <c r="AZ2847" t="s">
        <v>11221</v>
      </c>
      <c r="BE2847" t="s">
        <v>13321</v>
      </c>
      <c r="BF2847" t="s">
        <v>14364</v>
      </c>
      <c r="BM2847" t="s">
        <v>15650</v>
      </c>
    </row>
    <row r="2848" spans="1:67">
      <c r="A2848" s="1">
        <f>HYPERLINK("https://lsnyc.legalserver.org/matter/dynamic-profile/view/1846958","17-1846958")</f>
        <v>0</v>
      </c>
      <c r="B2848" t="s">
        <v>173</v>
      </c>
      <c r="C2848" t="s">
        <v>246</v>
      </c>
      <c r="D2848" t="s">
        <v>940</v>
      </c>
      <c r="F2848" t="s">
        <v>1732</v>
      </c>
      <c r="G2848" t="s">
        <v>3247</v>
      </c>
      <c r="H2848" t="s">
        <v>5735</v>
      </c>
      <c r="I2848" t="s">
        <v>6919</v>
      </c>
      <c r="J2848" t="s">
        <v>7170</v>
      </c>
      <c r="K2848">
        <v>10469</v>
      </c>
      <c r="N2848" t="s">
        <v>7237</v>
      </c>
      <c r="O2848" t="s">
        <v>9089</v>
      </c>
      <c r="P2848">
        <v>1</v>
      </c>
      <c r="Q2848">
        <v>0</v>
      </c>
      <c r="R2848">
        <v>265.34</v>
      </c>
      <c r="S2848" t="s">
        <v>10254</v>
      </c>
      <c r="T2848" t="s">
        <v>10275</v>
      </c>
      <c r="U2848">
        <v>32000</v>
      </c>
      <c r="W2848">
        <v>187.05</v>
      </c>
      <c r="X2848" t="s">
        <v>822</v>
      </c>
      <c r="Y2848" t="s">
        <v>10908</v>
      </c>
      <c r="AA2848" t="s">
        <v>10974</v>
      </c>
      <c r="AB2848" t="s">
        <v>11048</v>
      </c>
      <c r="AD2848" t="s">
        <v>11083</v>
      </c>
      <c r="AF2848" t="s">
        <v>11118</v>
      </c>
      <c r="AH2848" t="s">
        <v>10975</v>
      </c>
      <c r="AJ2848" t="s">
        <v>11133</v>
      </c>
      <c r="AK2848" t="s">
        <v>11149</v>
      </c>
      <c r="AM2848">
        <v>0.01</v>
      </c>
      <c r="AO2848">
        <v>4</v>
      </c>
      <c r="AQ2848" t="s">
        <v>11156</v>
      </c>
      <c r="AS2848" t="s">
        <v>11173</v>
      </c>
      <c r="AU2848">
        <v>2</v>
      </c>
      <c r="AW2848" t="s">
        <v>11187</v>
      </c>
      <c r="AY2848" t="s">
        <v>11213</v>
      </c>
      <c r="AZ2848" t="s">
        <v>11221</v>
      </c>
      <c r="BE2848" t="s">
        <v>13322</v>
      </c>
      <c r="BG2848" t="s">
        <v>15073</v>
      </c>
      <c r="BM2848" t="s">
        <v>15650</v>
      </c>
    </row>
    <row r="2849" spans="1:67">
      <c r="A2849" s="1">
        <f>HYPERLINK("https://lsnyc.legalserver.org/matter/dynamic-profile/view/1872188","18-1872188")</f>
        <v>0</v>
      </c>
      <c r="B2849" t="s">
        <v>173</v>
      </c>
      <c r="C2849" t="s">
        <v>246</v>
      </c>
      <c r="D2849" t="s">
        <v>939</v>
      </c>
      <c r="F2849" t="s">
        <v>1094</v>
      </c>
      <c r="G2849" t="s">
        <v>2956</v>
      </c>
      <c r="H2849" t="s">
        <v>5715</v>
      </c>
      <c r="I2849" t="s">
        <v>6920</v>
      </c>
      <c r="J2849" t="s">
        <v>7170</v>
      </c>
      <c r="K2849">
        <v>10452</v>
      </c>
      <c r="N2849" t="s">
        <v>7237</v>
      </c>
      <c r="O2849" t="s">
        <v>9090</v>
      </c>
      <c r="P2849">
        <v>3</v>
      </c>
      <c r="Q2849">
        <v>0</v>
      </c>
      <c r="R2849">
        <v>240.62</v>
      </c>
      <c r="U2849">
        <v>50000</v>
      </c>
      <c r="W2849">
        <v>0</v>
      </c>
      <c r="Y2849" t="s">
        <v>10865</v>
      </c>
      <c r="AA2849" t="s">
        <v>10974</v>
      </c>
      <c r="AB2849" t="s">
        <v>939</v>
      </c>
      <c r="AD2849" t="s">
        <v>11096</v>
      </c>
      <c r="AF2849" t="s">
        <v>11122</v>
      </c>
      <c r="AH2849" t="s">
        <v>10974</v>
      </c>
      <c r="AJ2849" t="s">
        <v>11141</v>
      </c>
      <c r="AK2849" t="s">
        <v>7225</v>
      </c>
      <c r="AM2849">
        <v>843</v>
      </c>
      <c r="AN2849" t="s">
        <v>11151</v>
      </c>
      <c r="AO2849" t="s">
        <v>11153</v>
      </c>
      <c r="AQ2849" t="s">
        <v>11157</v>
      </c>
      <c r="AS2849" t="s">
        <v>11173</v>
      </c>
      <c r="AU2849">
        <v>24</v>
      </c>
      <c r="AW2849" t="s">
        <v>11189</v>
      </c>
      <c r="AZ2849" t="s">
        <v>11221</v>
      </c>
      <c r="BE2849" t="s">
        <v>13323</v>
      </c>
      <c r="BF2849" t="s">
        <v>14364</v>
      </c>
      <c r="BM2849" t="s">
        <v>15650</v>
      </c>
    </row>
    <row r="2850" spans="1:67">
      <c r="A2850" s="1">
        <f>HYPERLINK("https://lsnyc.legalserver.org/matter/dynamic-profile/view/1872780","18-1872780")</f>
        <v>0</v>
      </c>
      <c r="B2850" t="s">
        <v>173</v>
      </c>
      <c r="C2850" t="s">
        <v>246</v>
      </c>
      <c r="D2850" t="s">
        <v>936</v>
      </c>
      <c r="F2850" t="s">
        <v>1291</v>
      </c>
      <c r="G2850" t="s">
        <v>3162</v>
      </c>
      <c r="H2850" t="s">
        <v>5722</v>
      </c>
      <c r="I2850" t="s">
        <v>6918</v>
      </c>
      <c r="J2850" t="s">
        <v>7170</v>
      </c>
      <c r="K2850">
        <v>10452</v>
      </c>
      <c r="N2850" t="s">
        <v>7237</v>
      </c>
      <c r="O2850" t="s">
        <v>7516</v>
      </c>
      <c r="P2850">
        <v>1</v>
      </c>
      <c r="Q2850">
        <v>5</v>
      </c>
      <c r="R2850">
        <v>43.15</v>
      </c>
      <c r="U2850">
        <v>14560</v>
      </c>
      <c r="W2850">
        <v>0.25</v>
      </c>
      <c r="X2850" t="s">
        <v>1038</v>
      </c>
      <c r="Y2850" t="s">
        <v>10865</v>
      </c>
      <c r="AA2850" t="s">
        <v>10974</v>
      </c>
      <c r="AB2850" t="s">
        <v>936</v>
      </c>
      <c r="AD2850" t="s">
        <v>11096</v>
      </c>
      <c r="AF2850" t="s">
        <v>11122</v>
      </c>
      <c r="AH2850" t="s">
        <v>10974</v>
      </c>
      <c r="AJ2850" t="s">
        <v>11141</v>
      </c>
      <c r="AK2850" t="s">
        <v>7225</v>
      </c>
      <c r="AM2850">
        <v>1714.94</v>
      </c>
      <c r="AN2850" t="s">
        <v>11151</v>
      </c>
      <c r="AO2850" t="s">
        <v>11153</v>
      </c>
      <c r="AQ2850" t="s">
        <v>11157</v>
      </c>
      <c r="AS2850" t="s">
        <v>11173</v>
      </c>
      <c r="AU2850">
        <v>8</v>
      </c>
      <c r="AW2850" t="s">
        <v>11187</v>
      </c>
      <c r="AZ2850" t="s">
        <v>11221</v>
      </c>
      <c r="BE2850" t="s">
        <v>13321</v>
      </c>
      <c r="BG2850" t="s">
        <v>15063</v>
      </c>
      <c r="BM2850" t="s">
        <v>15650</v>
      </c>
    </row>
    <row r="2851" spans="1:67">
      <c r="A2851" s="1">
        <f>HYPERLINK("https://lsnyc.legalserver.org/matter/dynamic-profile/view/0811704","16-0811704")</f>
        <v>0</v>
      </c>
      <c r="B2851" t="s">
        <v>173</v>
      </c>
      <c r="C2851" t="s">
        <v>246</v>
      </c>
      <c r="D2851" t="s">
        <v>941</v>
      </c>
      <c r="F2851" t="s">
        <v>2274</v>
      </c>
      <c r="G2851" t="s">
        <v>4087</v>
      </c>
      <c r="H2851" t="s">
        <v>5736</v>
      </c>
      <c r="I2851" t="s">
        <v>6921</v>
      </c>
      <c r="J2851" t="s">
        <v>7170</v>
      </c>
      <c r="K2851">
        <v>10453</v>
      </c>
      <c r="N2851" t="s">
        <v>7237</v>
      </c>
      <c r="O2851" t="s">
        <v>9091</v>
      </c>
      <c r="P2851">
        <v>1</v>
      </c>
      <c r="Q2851">
        <v>1</v>
      </c>
      <c r="R2851">
        <v>17.53</v>
      </c>
      <c r="U2851">
        <v>2808</v>
      </c>
      <c r="W2851">
        <v>192.35</v>
      </c>
      <c r="X2851" t="s">
        <v>572</v>
      </c>
      <c r="Y2851" t="s">
        <v>10888</v>
      </c>
      <c r="AA2851" t="s">
        <v>10974</v>
      </c>
      <c r="AB2851" t="s">
        <v>10993</v>
      </c>
      <c r="AD2851" t="s">
        <v>11082</v>
      </c>
      <c r="AF2851" t="s">
        <v>11118</v>
      </c>
      <c r="AH2851" t="s">
        <v>10975</v>
      </c>
      <c r="AJ2851" t="s">
        <v>11140</v>
      </c>
      <c r="AK2851" t="s">
        <v>7225</v>
      </c>
      <c r="AM2851">
        <v>1465</v>
      </c>
      <c r="AO2851">
        <v>101</v>
      </c>
      <c r="AQ2851" t="s">
        <v>11157</v>
      </c>
      <c r="AS2851" t="s">
        <v>11173</v>
      </c>
      <c r="AU2851">
        <v>10</v>
      </c>
      <c r="AW2851" t="s">
        <v>11187</v>
      </c>
      <c r="AZ2851" t="s">
        <v>11221</v>
      </c>
      <c r="BB2851" t="s">
        <v>11224</v>
      </c>
      <c r="BC2851" t="s">
        <v>11463</v>
      </c>
      <c r="BE2851" t="s">
        <v>13324</v>
      </c>
      <c r="BG2851" t="s">
        <v>15074</v>
      </c>
      <c r="BM2851" t="s">
        <v>15650</v>
      </c>
      <c r="BO2851" t="s">
        <v>15656</v>
      </c>
    </row>
    <row r="2852" spans="1:67">
      <c r="A2852" s="1">
        <f>HYPERLINK("https://lsnyc.legalserver.org/matter/dynamic-profile/view/1872180","18-1872180")</f>
        <v>0</v>
      </c>
      <c r="B2852" t="s">
        <v>173</v>
      </c>
      <c r="C2852" t="s">
        <v>246</v>
      </c>
      <c r="D2852" t="s">
        <v>618</v>
      </c>
      <c r="F2852" t="s">
        <v>1302</v>
      </c>
      <c r="G2852" t="s">
        <v>3960</v>
      </c>
      <c r="H2852" t="s">
        <v>5722</v>
      </c>
      <c r="I2852" t="s">
        <v>6447</v>
      </c>
      <c r="J2852" t="s">
        <v>7170</v>
      </c>
      <c r="K2852">
        <v>10452</v>
      </c>
      <c r="N2852" t="s">
        <v>7237</v>
      </c>
      <c r="O2852" t="s">
        <v>9092</v>
      </c>
      <c r="P2852">
        <v>1</v>
      </c>
      <c r="Q2852">
        <v>0</v>
      </c>
      <c r="R2852">
        <v>74.14</v>
      </c>
      <c r="U2852">
        <v>9000</v>
      </c>
      <c r="V2852" t="s">
        <v>10524</v>
      </c>
      <c r="W2852">
        <v>0</v>
      </c>
      <c r="Y2852" t="s">
        <v>10865</v>
      </c>
      <c r="AA2852" t="s">
        <v>10974</v>
      </c>
      <c r="AB2852" t="s">
        <v>730</v>
      </c>
      <c r="AD2852" t="s">
        <v>11096</v>
      </c>
      <c r="AF2852" t="s">
        <v>11122</v>
      </c>
      <c r="AH2852" t="s">
        <v>10974</v>
      </c>
      <c r="AJ2852" t="s">
        <v>11141</v>
      </c>
      <c r="AK2852" t="s">
        <v>7225</v>
      </c>
      <c r="AM2852">
        <v>789</v>
      </c>
      <c r="AO2852">
        <v>70</v>
      </c>
      <c r="AQ2852" t="s">
        <v>11157</v>
      </c>
      <c r="AR2852" t="s">
        <v>11172</v>
      </c>
      <c r="AU2852">
        <v>40</v>
      </c>
      <c r="AW2852" t="s">
        <v>11187</v>
      </c>
      <c r="AZ2852" t="s">
        <v>11221</v>
      </c>
      <c r="BC2852" t="s">
        <v>11464</v>
      </c>
      <c r="BE2852" t="s">
        <v>13325</v>
      </c>
      <c r="BG2852" t="s">
        <v>15063</v>
      </c>
      <c r="BM2852" t="s">
        <v>15650</v>
      </c>
    </row>
    <row r="2853" spans="1:67">
      <c r="A2853" s="1">
        <f>HYPERLINK("https://lsnyc.legalserver.org/matter/dynamic-profile/view/0803299","16-0803299")</f>
        <v>0</v>
      </c>
      <c r="B2853" t="s">
        <v>173</v>
      </c>
      <c r="C2853" t="s">
        <v>246</v>
      </c>
      <c r="D2853" t="s">
        <v>942</v>
      </c>
      <c r="F2853" t="s">
        <v>1094</v>
      </c>
      <c r="G2853" t="s">
        <v>2956</v>
      </c>
      <c r="H2853" t="s">
        <v>5715</v>
      </c>
      <c r="I2853" t="s">
        <v>6920</v>
      </c>
      <c r="J2853" t="s">
        <v>7170</v>
      </c>
      <c r="K2853">
        <v>10452</v>
      </c>
      <c r="N2853" t="s">
        <v>7237</v>
      </c>
      <c r="O2853" t="s">
        <v>9090</v>
      </c>
      <c r="P2853">
        <v>3</v>
      </c>
      <c r="Q2853">
        <v>0</v>
      </c>
      <c r="R2853">
        <v>248.02</v>
      </c>
      <c r="U2853">
        <v>50000</v>
      </c>
      <c r="W2853">
        <v>1.5</v>
      </c>
      <c r="X2853" t="s">
        <v>876</v>
      </c>
      <c r="Y2853" t="s">
        <v>138</v>
      </c>
      <c r="AA2853" t="s">
        <v>10974</v>
      </c>
      <c r="AB2853" t="s">
        <v>930</v>
      </c>
      <c r="AD2853" t="s">
        <v>11107</v>
      </c>
      <c r="AF2853" t="s">
        <v>11118</v>
      </c>
      <c r="AH2853" t="s">
        <v>10974</v>
      </c>
      <c r="AJ2853" t="s">
        <v>11141</v>
      </c>
      <c r="AK2853" t="s">
        <v>7225</v>
      </c>
      <c r="AM2853">
        <v>843</v>
      </c>
      <c r="AN2853" t="s">
        <v>11151</v>
      </c>
      <c r="AO2853" t="s">
        <v>11153</v>
      </c>
      <c r="AQ2853" t="s">
        <v>11157</v>
      </c>
      <c r="AR2853" t="s">
        <v>11172</v>
      </c>
      <c r="AU2853">
        <v>24</v>
      </c>
      <c r="AW2853" t="s">
        <v>11189</v>
      </c>
      <c r="AZ2853" t="s">
        <v>11221</v>
      </c>
      <c r="BE2853" t="s">
        <v>13323</v>
      </c>
      <c r="BF2853" t="s">
        <v>14364</v>
      </c>
      <c r="BM2853" t="s">
        <v>15650</v>
      </c>
    </row>
    <row r="2854" spans="1:67">
      <c r="A2854" s="1">
        <f>HYPERLINK("https://lsnyc.legalserver.org/matter/dynamic-profile/view/1890266","19-1890266")</f>
        <v>0</v>
      </c>
      <c r="B2854" t="s">
        <v>173</v>
      </c>
      <c r="C2854" t="s">
        <v>246</v>
      </c>
      <c r="D2854" t="s">
        <v>424</v>
      </c>
      <c r="F2854" t="s">
        <v>1280</v>
      </c>
      <c r="G2854" t="s">
        <v>3504</v>
      </c>
      <c r="H2854" t="s">
        <v>5245</v>
      </c>
      <c r="I2854" t="s">
        <v>6448</v>
      </c>
      <c r="J2854" t="s">
        <v>7170</v>
      </c>
      <c r="K2854">
        <v>10452</v>
      </c>
      <c r="N2854" t="s">
        <v>7237</v>
      </c>
      <c r="O2854" t="s">
        <v>8114</v>
      </c>
      <c r="P2854">
        <v>1</v>
      </c>
      <c r="Q2854">
        <v>2</v>
      </c>
      <c r="R2854">
        <v>43.65</v>
      </c>
      <c r="U2854">
        <v>9310.799999999999</v>
      </c>
      <c r="W2854">
        <v>9.6</v>
      </c>
      <c r="X2854" t="s">
        <v>872</v>
      </c>
      <c r="Y2854" t="s">
        <v>10865</v>
      </c>
      <c r="AA2854" t="s">
        <v>10974</v>
      </c>
      <c r="AB2854" t="s">
        <v>435</v>
      </c>
      <c r="AD2854" t="s">
        <v>11082</v>
      </c>
      <c r="AF2854" t="s">
        <v>11118</v>
      </c>
      <c r="AH2854" t="s">
        <v>10975</v>
      </c>
      <c r="AJ2854" t="s">
        <v>11141</v>
      </c>
      <c r="AK2854" t="s">
        <v>7225</v>
      </c>
      <c r="AM2854">
        <v>811.24</v>
      </c>
      <c r="AO2854">
        <v>53</v>
      </c>
      <c r="AQ2854" t="s">
        <v>11157</v>
      </c>
      <c r="AS2854" t="s">
        <v>11176</v>
      </c>
      <c r="AU2854">
        <v>34</v>
      </c>
      <c r="AW2854" t="s">
        <v>11189</v>
      </c>
      <c r="AZ2854" t="s">
        <v>11221</v>
      </c>
      <c r="BB2854" t="s">
        <v>11224</v>
      </c>
      <c r="BC2854" t="s">
        <v>11348</v>
      </c>
      <c r="BE2854" t="s">
        <v>12425</v>
      </c>
      <c r="BG2854" t="s">
        <v>14697</v>
      </c>
      <c r="BM2854" t="s">
        <v>15650</v>
      </c>
    </row>
    <row r="2855" spans="1:67">
      <c r="A2855" s="1">
        <f>HYPERLINK("https://lsnyc.legalserver.org/matter/dynamic-profile/view/1870444","18-1870444")</f>
        <v>0</v>
      </c>
      <c r="B2855" t="s">
        <v>173</v>
      </c>
      <c r="C2855" t="s">
        <v>246</v>
      </c>
      <c r="D2855" t="s">
        <v>641</v>
      </c>
      <c r="F2855" t="s">
        <v>2274</v>
      </c>
      <c r="G2855" t="s">
        <v>4087</v>
      </c>
      <c r="H2855" t="s">
        <v>5736</v>
      </c>
      <c r="I2855" t="s">
        <v>6921</v>
      </c>
      <c r="J2855" t="s">
        <v>7170</v>
      </c>
      <c r="K2855">
        <v>10453</v>
      </c>
      <c r="N2855" t="s">
        <v>7237</v>
      </c>
      <c r="O2855" t="s">
        <v>9091</v>
      </c>
      <c r="P2855">
        <v>1</v>
      </c>
      <c r="Q2855">
        <v>1</v>
      </c>
      <c r="R2855">
        <v>17.06</v>
      </c>
      <c r="U2855">
        <v>2808</v>
      </c>
      <c r="W2855">
        <v>19.1</v>
      </c>
      <c r="X2855" t="s">
        <v>473</v>
      </c>
      <c r="Y2855" t="s">
        <v>10865</v>
      </c>
      <c r="AA2855" t="s">
        <v>10974</v>
      </c>
      <c r="AB2855" t="s">
        <v>939</v>
      </c>
      <c r="AD2855" t="s">
        <v>11082</v>
      </c>
      <c r="AF2855" t="s">
        <v>11118</v>
      </c>
      <c r="AH2855" t="s">
        <v>10975</v>
      </c>
      <c r="AJ2855" t="s">
        <v>11129</v>
      </c>
      <c r="AK2855" t="s">
        <v>7225</v>
      </c>
      <c r="AM2855">
        <v>1379.06</v>
      </c>
      <c r="AO2855">
        <v>101</v>
      </c>
      <c r="AQ2855" t="s">
        <v>11157</v>
      </c>
      <c r="AS2855" t="s">
        <v>11173</v>
      </c>
      <c r="AU2855">
        <v>11</v>
      </c>
      <c r="AW2855" t="s">
        <v>11187</v>
      </c>
      <c r="AZ2855" t="s">
        <v>11221</v>
      </c>
      <c r="BC2855" t="s">
        <v>11465</v>
      </c>
      <c r="BE2855" t="s">
        <v>13324</v>
      </c>
      <c r="BG2855" t="s">
        <v>15075</v>
      </c>
      <c r="BM2855" t="s">
        <v>15650</v>
      </c>
    </row>
    <row r="2856" spans="1:67">
      <c r="A2856" s="1">
        <f>HYPERLINK("https://lsnyc.legalserver.org/matter/dynamic-profile/view/1868343","18-1868343")</f>
        <v>0</v>
      </c>
      <c r="B2856" t="s">
        <v>173</v>
      </c>
      <c r="C2856" t="s">
        <v>246</v>
      </c>
      <c r="D2856" t="s">
        <v>943</v>
      </c>
      <c r="F2856" t="s">
        <v>2261</v>
      </c>
      <c r="G2856" t="s">
        <v>4071</v>
      </c>
      <c r="H2856" t="s">
        <v>5718</v>
      </c>
      <c r="I2856" t="s">
        <v>6911</v>
      </c>
      <c r="J2856" t="s">
        <v>7170</v>
      </c>
      <c r="K2856">
        <v>10453</v>
      </c>
      <c r="N2856" t="s">
        <v>7237</v>
      </c>
      <c r="O2856" t="s">
        <v>9064</v>
      </c>
      <c r="P2856">
        <v>1</v>
      </c>
      <c r="Q2856">
        <v>0</v>
      </c>
      <c r="R2856">
        <v>79.08</v>
      </c>
      <c r="U2856">
        <v>9600</v>
      </c>
      <c r="W2856">
        <v>23.8</v>
      </c>
      <c r="X2856" t="s">
        <v>527</v>
      </c>
      <c r="Y2856" t="s">
        <v>10865</v>
      </c>
      <c r="AA2856" t="s">
        <v>10974</v>
      </c>
      <c r="AB2856" t="s">
        <v>939</v>
      </c>
      <c r="AD2856" t="s">
        <v>11082</v>
      </c>
      <c r="AF2856" t="s">
        <v>11118</v>
      </c>
      <c r="AH2856" t="s">
        <v>10975</v>
      </c>
      <c r="AJ2856" t="s">
        <v>11129</v>
      </c>
      <c r="AK2856" t="s">
        <v>7225</v>
      </c>
      <c r="AM2856">
        <v>1130.25</v>
      </c>
      <c r="AO2856">
        <v>46</v>
      </c>
      <c r="AQ2856" t="s">
        <v>11157</v>
      </c>
      <c r="AS2856" t="s">
        <v>11177</v>
      </c>
      <c r="AU2856">
        <v>5</v>
      </c>
      <c r="AW2856" t="s">
        <v>11187</v>
      </c>
      <c r="AZ2856" t="s">
        <v>11221</v>
      </c>
      <c r="BE2856" t="s">
        <v>13297</v>
      </c>
      <c r="BF2856" t="s">
        <v>14364</v>
      </c>
      <c r="BG2856" t="s">
        <v>15076</v>
      </c>
      <c r="BI2856" t="s">
        <v>15606</v>
      </c>
      <c r="BK2856" t="s">
        <v>15618</v>
      </c>
      <c r="BM2856" t="s">
        <v>15650</v>
      </c>
      <c r="BN2856" t="s">
        <v>15652</v>
      </c>
      <c r="BO2856" t="s">
        <v>15716</v>
      </c>
    </row>
    <row r="2857" spans="1:67">
      <c r="A2857" s="1">
        <f>HYPERLINK("https://lsnyc.legalserver.org/matter/dynamic-profile/view/1903495","19-1903495")</f>
        <v>0</v>
      </c>
      <c r="B2857" t="s">
        <v>173</v>
      </c>
      <c r="C2857" t="s">
        <v>246</v>
      </c>
      <c r="D2857" t="s">
        <v>310</v>
      </c>
      <c r="F2857" t="s">
        <v>1382</v>
      </c>
      <c r="G2857" t="s">
        <v>4072</v>
      </c>
      <c r="H2857" t="s">
        <v>5719</v>
      </c>
      <c r="I2857">
        <v>1</v>
      </c>
      <c r="J2857" t="s">
        <v>7170</v>
      </c>
      <c r="K2857">
        <v>10456</v>
      </c>
      <c r="N2857" t="s">
        <v>7237</v>
      </c>
      <c r="O2857" t="s">
        <v>9065</v>
      </c>
      <c r="P2857">
        <v>3</v>
      </c>
      <c r="Q2857">
        <v>1</v>
      </c>
      <c r="R2857">
        <v>96.51000000000001</v>
      </c>
      <c r="U2857">
        <v>24852</v>
      </c>
      <c r="W2857">
        <v>78.5</v>
      </c>
      <c r="X2857" t="s">
        <v>305</v>
      </c>
      <c r="Y2857" t="s">
        <v>173</v>
      </c>
      <c r="AA2857" t="s">
        <v>10974</v>
      </c>
      <c r="AB2857" t="s">
        <v>10979</v>
      </c>
      <c r="AD2857" t="s">
        <v>11101</v>
      </c>
      <c r="AF2857" t="s">
        <v>11118</v>
      </c>
      <c r="AH2857" t="s">
        <v>10975</v>
      </c>
      <c r="AJ2857" t="s">
        <v>11141</v>
      </c>
      <c r="AK2857" t="s">
        <v>7225</v>
      </c>
      <c r="AL2857" t="s">
        <v>11150</v>
      </c>
      <c r="AM2857">
        <v>0</v>
      </c>
      <c r="AO2857">
        <v>2</v>
      </c>
      <c r="AQ2857" t="s">
        <v>11164</v>
      </c>
      <c r="AS2857" t="s">
        <v>11174</v>
      </c>
      <c r="AU2857">
        <v>20</v>
      </c>
      <c r="AW2857" t="s">
        <v>11187</v>
      </c>
      <c r="AY2857" t="s">
        <v>11213</v>
      </c>
      <c r="BA2857" t="s">
        <v>11222</v>
      </c>
      <c r="BE2857" t="s">
        <v>13298</v>
      </c>
      <c r="BG2857" t="s">
        <v>15077</v>
      </c>
      <c r="BM2857" t="s">
        <v>15650</v>
      </c>
    </row>
    <row r="2858" spans="1:67">
      <c r="A2858" s="1">
        <f>HYPERLINK("https://lsnyc.legalserver.org/matter/dynamic-profile/view/1904971","19-1904971")</f>
        <v>0</v>
      </c>
      <c r="B2858" t="s">
        <v>173</v>
      </c>
      <c r="C2858" t="s">
        <v>246</v>
      </c>
      <c r="D2858" t="s">
        <v>328</v>
      </c>
      <c r="F2858" t="s">
        <v>1122</v>
      </c>
      <c r="G2858" t="s">
        <v>3021</v>
      </c>
      <c r="H2858" t="s">
        <v>5737</v>
      </c>
      <c r="I2858" t="s">
        <v>6903</v>
      </c>
      <c r="J2858" t="s">
        <v>7170</v>
      </c>
      <c r="K2858">
        <v>10457</v>
      </c>
      <c r="N2858" t="s">
        <v>7241</v>
      </c>
      <c r="O2858" t="s">
        <v>9093</v>
      </c>
      <c r="P2858">
        <v>1</v>
      </c>
      <c r="Q2858">
        <v>0</v>
      </c>
      <c r="R2858">
        <v>74.08</v>
      </c>
      <c r="U2858">
        <v>9252</v>
      </c>
      <c r="W2858">
        <v>6.1</v>
      </c>
      <c r="X2858" t="s">
        <v>305</v>
      </c>
      <c r="Y2858" t="s">
        <v>10872</v>
      </c>
      <c r="Z2858" t="s">
        <v>10972</v>
      </c>
      <c r="AA2858" t="s">
        <v>10976</v>
      </c>
      <c r="AD2858" t="s">
        <v>11094</v>
      </c>
      <c r="AF2858" t="s">
        <v>11120</v>
      </c>
      <c r="AH2858" t="s">
        <v>10975</v>
      </c>
      <c r="AJ2858" t="s">
        <v>11130</v>
      </c>
      <c r="AK2858" t="s">
        <v>7225</v>
      </c>
      <c r="AL2858" t="s">
        <v>11150</v>
      </c>
      <c r="AM2858">
        <v>0</v>
      </c>
      <c r="AO2858">
        <v>71</v>
      </c>
      <c r="AQ2858" t="s">
        <v>11157</v>
      </c>
      <c r="AS2858" t="s">
        <v>11174</v>
      </c>
      <c r="AU2858">
        <v>39</v>
      </c>
      <c r="AW2858" t="s">
        <v>11189</v>
      </c>
      <c r="AX2858" t="s">
        <v>11212</v>
      </c>
      <c r="BA2858" t="s">
        <v>11223</v>
      </c>
      <c r="BC2858" t="s">
        <v>11466</v>
      </c>
      <c r="BE2858" t="s">
        <v>13326</v>
      </c>
      <c r="BF2858" t="s">
        <v>14364</v>
      </c>
      <c r="BM2858" t="s">
        <v>15650</v>
      </c>
    </row>
    <row r="2859" spans="1:67">
      <c r="A2859" s="1">
        <f>HYPERLINK("https://lsnyc.legalserver.org/matter/dynamic-profile/view/1892727","19-1892727")</f>
        <v>0</v>
      </c>
      <c r="B2859" t="s">
        <v>173</v>
      </c>
      <c r="C2859" t="s">
        <v>246</v>
      </c>
      <c r="D2859" t="s">
        <v>729</v>
      </c>
      <c r="F2859" t="s">
        <v>1394</v>
      </c>
      <c r="G2859" t="s">
        <v>3164</v>
      </c>
      <c r="H2859" t="s">
        <v>4989</v>
      </c>
      <c r="I2859" t="s">
        <v>6576</v>
      </c>
      <c r="J2859" t="s">
        <v>7170</v>
      </c>
      <c r="K2859">
        <v>10453</v>
      </c>
      <c r="N2859" t="s">
        <v>7237</v>
      </c>
      <c r="O2859" t="s">
        <v>7617</v>
      </c>
      <c r="P2859">
        <v>3</v>
      </c>
      <c r="Q2859">
        <v>2</v>
      </c>
      <c r="R2859">
        <v>149.15</v>
      </c>
      <c r="U2859">
        <v>45000</v>
      </c>
      <c r="W2859">
        <v>0</v>
      </c>
      <c r="Y2859" t="s">
        <v>93</v>
      </c>
      <c r="AA2859" t="s">
        <v>10974</v>
      </c>
      <c r="AB2859" t="s">
        <v>729</v>
      </c>
      <c r="AD2859" t="s">
        <v>11083</v>
      </c>
      <c r="AF2859" t="s">
        <v>11118</v>
      </c>
      <c r="AH2859" t="s">
        <v>10975</v>
      </c>
      <c r="AJ2859" t="s">
        <v>11141</v>
      </c>
      <c r="AK2859" t="s">
        <v>7225</v>
      </c>
      <c r="AM2859">
        <v>985</v>
      </c>
      <c r="AO2859">
        <v>167</v>
      </c>
      <c r="AQ2859" t="s">
        <v>11157</v>
      </c>
      <c r="AS2859" t="s">
        <v>11173</v>
      </c>
      <c r="AU2859">
        <v>17</v>
      </c>
      <c r="AW2859" t="s">
        <v>11187</v>
      </c>
      <c r="AZ2859" t="s">
        <v>11221</v>
      </c>
      <c r="BD2859" t="s">
        <v>11667</v>
      </c>
      <c r="BG2859" t="s">
        <v>15067</v>
      </c>
      <c r="BM2859" t="s">
        <v>15650</v>
      </c>
    </row>
    <row r="2860" spans="1:67">
      <c r="A2860" s="1">
        <f>HYPERLINK("https://lsnyc.legalserver.org/matter/dynamic-profile/view/1872146","18-1872146")</f>
        <v>0</v>
      </c>
      <c r="B2860" t="s">
        <v>173</v>
      </c>
      <c r="C2860" t="s">
        <v>246</v>
      </c>
      <c r="D2860" t="s">
        <v>618</v>
      </c>
      <c r="F2860" t="s">
        <v>2275</v>
      </c>
      <c r="G2860" t="s">
        <v>2913</v>
      </c>
      <c r="H2860" t="s">
        <v>5722</v>
      </c>
      <c r="I2860" t="s">
        <v>6922</v>
      </c>
      <c r="J2860" t="s">
        <v>7170</v>
      </c>
      <c r="K2860">
        <v>10452</v>
      </c>
      <c r="N2860" t="s">
        <v>7237</v>
      </c>
      <c r="O2860" t="s">
        <v>9094</v>
      </c>
      <c r="P2860">
        <v>1</v>
      </c>
      <c r="Q2860">
        <v>3</v>
      </c>
      <c r="R2860">
        <v>19.12</v>
      </c>
      <c r="U2860">
        <v>4800</v>
      </c>
      <c r="W2860">
        <v>0</v>
      </c>
      <c r="Y2860" t="s">
        <v>10865</v>
      </c>
      <c r="AA2860" t="s">
        <v>10974</v>
      </c>
      <c r="AB2860" t="s">
        <v>730</v>
      </c>
      <c r="AD2860" t="s">
        <v>11096</v>
      </c>
      <c r="AF2860" t="s">
        <v>11122</v>
      </c>
      <c r="AH2860" t="s">
        <v>10974</v>
      </c>
      <c r="AJ2860" t="s">
        <v>11141</v>
      </c>
      <c r="AK2860" t="s">
        <v>7225</v>
      </c>
      <c r="AM2860">
        <v>1004.86</v>
      </c>
      <c r="AO2860">
        <v>70</v>
      </c>
      <c r="AQ2860" t="s">
        <v>11157</v>
      </c>
      <c r="AS2860" t="s">
        <v>11176</v>
      </c>
      <c r="AU2860">
        <v>10</v>
      </c>
      <c r="AW2860" t="s">
        <v>11187</v>
      </c>
      <c r="AY2860" t="s">
        <v>11213</v>
      </c>
      <c r="AZ2860" t="s">
        <v>11221</v>
      </c>
      <c r="BC2860" t="s">
        <v>11467</v>
      </c>
      <c r="BE2860" t="s">
        <v>13327</v>
      </c>
      <c r="BG2860" t="s">
        <v>15063</v>
      </c>
      <c r="BM2860" t="s">
        <v>15650</v>
      </c>
    </row>
    <row r="2861" spans="1:67">
      <c r="A2861" s="1">
        <f>HYPERLINK("https://lsnyc.legalserver.org/matter/dynamic-profile/view/1865145","18-1865145")</f>
        <v>0</v>
      </c>
      <c r="B2861" t="s">
        <v>173</v>
      </c>
      <c r="C2861" t="s">
        <v>246</v>
      </c>
      <c r="D2861" t="s">
        <v>836</v>
      </c>
      <c r="F2861" t="s">
        <v>1650</v>
      </c>
      <c r="G2861" t="s">
        <v>4075</v>
      </c>
      <c r="H2861" t="s">
        <v>5725</v>
      </c>
      <c r="I2861" t="s">
        <v>6914</v>
      </c>
      <c r="J2861" t="s">
        <v>7170</v>
      </c>
      <c r="K2861">
        <v>10452</v>
      </c>
      <c r="N2861" t="s">
        <v>7237</v>
      </c>
      <c r="O2861" t="s">
        <v>9072</v>
      </c>
      <c r="P2861">
        <v>1</v>
      </c>
      <c r="Q2861">
        <v>0</v>
      </c>
      <c r="R2861">
        <v>74.43000000000001</v>
      </c>
      <c r="U2861">
        <v>9036</v>
      </c>
      <c r="W2861">
        <v>35.4</v>
      </c>
      <c r="X2861" t="s">
        <v>1030</v>
      </c>
      <c r="Y2861" t="s">
        <v>10865</v>
      </c>
      <c r="AA2861" t="s">
        <v>10974</v>
      </c>
      <c r="AB2861" t="s">
        <v>11007</v>
      </c>
      <c r="AD2861" t="s">
        <v>11083</v>
      </c>
      <c r="AF2861" t="s">
        <v>11118</v>
      </c>
      <c r="AH2861" t="s">
        <v>10975</v>
      </c>
      <c r="AJ2861" t="s">
        <v>11129</v>
      </c>
      <c r="AK2861" t="s">
        <v>7225</v>
      </c>
      <c r="AM2861">
        <v>1005.05</v>
      </c>
      <c r="AO2861">
        <v>54</v>
      </c>
      <c r="AQ2861" t="s">
        <v>11157</v>
      </c>
      <c r="AS2861" t="s">
        <v>11174</v>
      </c>
      <c r="AU2861">
        <v>15</v>
      </c>
      <c r="AW2861" t="s">
        <v>11189</v>
      </c>
      <c r="AZ2861" t="s">
        <v>11221</v>
      </c>
      <c r="BC2861" t="s">
        <v>11462</v>
      </c>
      <c r="BE2861" t="s">
        <v>13304</v>
      </c>
      <c r="BG2861" t="s">
        <v>15078</v>
      </c>
      <c r="BM2861" t="s">
        <v>15650</v>
      </c>
    </row>
    <row r="2862" spans="1:67">
      <c r="A2862" s="1">
        <f>HYPERLINK("https://lsnyc.legalserver.org/matter/dynamic-profile/view/1872189","18-1872189")</f>
        <v>0</v>
      </c>
      <c r="B2862" t="s">
        <v>173</v>
      </c>
      <c r="C2862" t="s">
        <v>246</v>
      </c>
      <c r="D2862" t="s">
        <v>939</v>
      </c>
      <c r="F2862" t="s">
        <v>1459</v>
      </c>
      <c r="G2862" t="s">
        <v>4088</v>
      </c>
      <c r="H2862" t="s">
        <v>5722</v>
      </c>
      <c r="I2862" t="s">
        <v>6923</v>
      </c>
      <c r="J2862" t="s">
        <v>7170</v>
      </c>
      <c r="K2862">
        <v>10452</v>
      </c>
      <c r="N2862" t="s">
        <v>7237</v>
      </c>
      <c r="O2862" t="s">
        <v>9095</v>
      </c>
      <c r="P2862">
        <v>2</v>
      </c>
      <c r="Q2862">
        <v>0</v>
      </c>
      <c r="R2862">
        <v>42.65</v>
      </c>
      <c r="U2862">
        <v>7020</v>
      </c>
      <c r="V2862" t="s">
        <v>10525</v>
      </c>
      <c r="W2862">
        <v>0</v>
      </c>
      <c r="Y2862" t="s">
        <v>10865</v>
      </c>
      <c r="AA2862" t="s">
        <v>10974</v>
      </c>
      <c r="AB2862" t="s">
        <v>939</v>
      </c>
      <c r="AD2862" t="s">
        <v>11096</v>
      </c>
      <c r="AF2862" t="s">
        <v>11122</v>
      </c>
      <c r="AH2862" t="s">
        <v>10974</v>
      </c>
      <c r="AJ2862" t="s">
        <v>11129</v>
      </c>
      <c r="AK2862" t="s">
        <v>7225</v>
      </c>
      <c r="AM2862">
        <v>668.39</v>
      </c>
      <c r="AO2862">
        <v>70</v>
      </c>
      <c r="AP2862" t="s">
        <v>11155</v>
      </c>
      <c r="AR2862" t="s">
        <v>11172</v>
      </c>
      <c r="AU2862">
        <v>38</v>
      </c>
      <c r="AW2862" t="s">
        <v>11187</v>
      </c>
      <c r="AZ2862" t="s">
        <v>11221</v>
      </c>
      <c r="BE2862" t="s">
        <v>13328</v>
      </c>
      <c r="BF2862" t="s">
        <v>14364</v>
      </c>
      <c r="BM2862" t="s">
        <v>15650</v>
      </c>
    </row>
    <row r="2863" spans="1:67">
      <c r="A2863" s="1">
        <f>HYPERLINK("https://lsnyc.legalserver.org/matter/dynamic-profile/view/1868346","18-1868346")</f>
        <v>0</v>
      </c>
      <c r="B2863" t="s">
        <v>173</v>
      </c>
      <c r="C2863" t="s">
        <v>246</v>
      </c>
      <c r="D2863" t="s">
        <v>943</v>
      </c>
      <c r="F2863" t="s">
        <v>1459</v>
      </c>
      <c r="G2863" t="s">
        <v>4088</v>
      </c>
      <c r="H2863" t="s">
        <v>5722</v>
      </c>
      <c r="I2863" t="s">
        <v>6923</v>
      </c>
      <c r="J2863" t="s">
        <v>7170</v>
      </c>
      <c r="K2863">
        <v>10452</v>
      </c>
      <c r="N2863" t="s">
        <v>7237</v>
      </c>
      <c r="O2863" t="s">
        <v>9095</v>
      </c>
      <c r="P2863">
        <v>2</v>
      </c>
      <c r="Q2863">
        <v>0</v>
      </c>
      <c r="R2863">
        <v>42.65</v>
      </c>
      <c r="U2863">
        <v>7020</v>
      </c>
      <c r="V2863" t="s">
        <v>10526</v>
      </c>
      <c r="W2863">
        <v>17.6</v>
      </c>
      <c r="X2863" t="s">
        <v>897</v>
      </c>
      <c r="Y2863" t="s">
        <v>10865</v>
      </c>
      <c r="AA2863" t="s">
        <v>10974</v>
      </c>
      <c r="AB2863" t="s">
        <v>936</v>
      </c>
      <c r="AD2863" t="s">
        <v>11096</v>
      </c>
      <c r="AF2863" t="s">
        <v>11122</v>
      </c>
      <c r="AH2863" t="s">
        <v>10974</v>
      </c>
      <c r="AJ2863" t="s">
        <v>11129</v>
      </c>
      <c r="AK2863" t="s">
        <v>7225</v>
      </c>
      <c r="AM2863">
        <v>668.39</v>
      </c>
      <c r="AO2863">
        <v>70</v>
      </c>
      <c r="AQ2863" t="s">
        <v>11157</v>
      </c>
      <c r="AS2863" t="s">
        <v>11173</v>
      </c>
      <c r="AU2863">
        <v>38</v>
      </c>
      <c r="AW2863" t="s">
        <v>11187</v>
      </c>
      <c r="AZ2863" t="s">
        <v>11221</v>
      </c>
      <c r="BE2863" t="s">
        <v>13328</v>
      </c>
      <c r="BG2863" t="s">
        <v>15063</v>
      </c>
      <c r="BM2863" t="s">
        <v>15650</v>
      </c>
    </row>
    <row r="2864" spans="1:67">
      <c r="A2864" s="1">
        <f>HYPERLINK("https://lsnyc.legalserver.org/matter/dynamic-profile/view/1865325","18-1865325")</f>
        <v>0</v>
      </c>
      <c r="B2864" t="s">
        <v>173</v>
      </c>
      <c r="C2864" t="s">
        <v>246</v>
      </c>
      <c r="D2864" t="s">
        <v>674</v>
      </c>
      <c r="F2864" t="s">
        <v>1302</v>
      </c>
      <c r="G2864" t="s">
        <v>3960</v>
      </c>
      <c r="H2864" t="s">
        <v>5722</v>
      </c>
      <c r="I2864" t="s">
        <v>6447</v>
      </c>
      <c r="J2864" t="s">
        <v>7170</v>
      </c>
      <c r="K2864">
        <v>10452</v>
      </c>
      <c r="N2864" t="s">
        <v>7237</v>
      </c>
      <c r="O2864" t="s">
        <v>9092</v>
      </c>
      <c r="P2864">
        <v>1</v>
      </c>
      <c r="Q2864">
        <v>0</v>
      </c>
      <c r="R2864">
        <v>74.14</v>
      </c>
      <c r="U2864">
        <v>17400</v>
      </c>
      <c r="W2864">
        <v>0</v>
      </c>
      <c r="Y2864" t="s">
        <v>10897</v>
      </c>
      <c r="Z2864" t="s">
        <v>10973</v>
      </c>
      <c r="AA2864" t="s">
        <v>10975</v>
      </c>
      <c r="AB2864" t="s">
        <v>11007</v>
      </c>
      <c r="AD2864" t="s">
        <v>11096</v>
      </c>
      <c r="AF2864" t="s">
        <v>11122</v>
      </c>
      <c r="AH2864" t="s">
        <v>10974</v>
      </c>
      <c r="AJ2864" t="s">
        <v>11141</v>
      </c>
      <c r="AK2864" t="s">
        <v>7225</v>
      </c>
      <c r="AL2864" t="s">
        <v>11150</v>
      </c>
      <c r="AM2864">
        <v>0</v>
      </c>
      <c r="AN2864" t="s">
        <v>11151</v>
      </c>
      <c r="AO2864" t="s">
        <v>11153</v>
      </c>
      <c r="AQ2864" t="s">
        <v>11157</v>
      </c>
      <c r="AR2864" t="s">
        <v>11172</v>
      </c>
      <c r="AU2864">
        <v>40</v>
      </c>
      <c r="AW2864" t="s">
        <v>11187</v>
      </c>
      <c r="AZ2864" t="s">
        <v>11221</v>
      </c>
      <c r="BC2864" t="s">
        <v>11464</v>
      </c>
      <c r="BE2864" t="s">
        <v>13325</v>
      </c>
      <c r="BG2864" t="s">
        <v>15063</v>
      </c>
      <c r="BM2864" t="s">
        <v>15650</v>
      </c>
    </row>
    <row r="2865" spans="1:65">
      <c r="A2865" s="1">
        <f>HYPERLINK("https://lsnyc.legalserver.org/matter/dynamic-profile/view/1863527","18-1863527")</f>
        <v>0</v>
      </c>
      <c r="B2865" t="s">
        <v>173</v>
      </c>
      <c r="C2865" t="s">
        <v>246</v>
      </c>
      <c r="D2865" t="s">
        <v>381</v>
      </c>
      <c r="F2865" t="s">
        <v>2275</v>
      </c>
      <c r="G2865" t="s">
        <v>2913</v>
      </c>
      <c r="H2865" t="s">
        <v>5722</v>
      </c>
      <c r="I2865" t="s">
        <v>6922</v>
      </c>
      <c r="J2865" t="s">
        <v>7170</v>
      </c>
      <c r="K2865">
        <v>10452</v>
      </c>
      <c r="N2865" t="s">
        <v>7237</v>
      </c>
      <c r="O2865" t="s">
        <v>9094</v>
      </c>
      <c r="P2865">
        <v>1</v>
      </c>
      <c r="Q2865">
        <v>3</v>
      </c>
      <c r="R2865">
        <v>19.12</v>
      </c>
      <c r="U2865">
        <v>4800</v>
      </c>
      <c r="W2865">
        <v>0</v>
      </c>
      <c r="Y2865" t="s">
        <v>10897</v>
      </c>
      <c r="AA2865" t="s">
        <v>10974</v>
      </c>
      <c r="AB2865" t="s">
        <v>11007</v>
      </c>
      <c r="AD2865" t="s">
        <v>11096</v>
      </c>
      <c r="AF2865" t="s">
        <v>11122</v>
      </c>
      <c r="AH2865" t="s">
        <v>10974</v>
      </c>
      <c r="AJ2865" t="s">
        <v>11141</v>
      </c>
      <c r="AK2865" t="s">
        <v>7225</v>
      </c>
      <c r="AM2865">
        <v>1004.86</v>
      </c>
      <c r="AN2865" t="s">
        <v>11151</v>
      </c>
      <c r="AO2865" t="s">
        <v>11153</v>
      </c>
      <c r="AQ2865" t="s">
        <v>11157</v>
      </c>
      <c r="AS2865" t="s">
        <v>11176</v>
      </c>
      <c r="AU2865">
        <v>10</v>
      </c>
      <c r="AW2865" t="s">
        <v>11187</v>
      </c>
      <c r="AZ2865" t="s">
        <v>11221</v>
      </c>
      <c r="BC2865" t="s">
        <v>11467</v>
      </c>
      <c r="BE2865" t="s">
        <v>13327</v>
      </c>
      <c r="BG2865" t="s">
        <v>15063</v>
      </c>
      <c r="BM2865" t="s">
        <v>15650</v>
      </c>
    </row>
    <row r="2866" spans="1:65">
      <c r="A2866" s="1">
        <f>HYPERLINK("https://lsnyc.legalserver.org/matter/dynamic-profile/view/1888329","19-1888329")</f>
        <v>0</v>
      </c>
      <c r="B2866" t="s">
        <v>173</v>
      </c>
      <c r="C2866" t="s">
        <v>246</v>
      </c>
      <c r="D2866" t="s">
        <v>484</v>
      </c>
      <c r="F2866" t="s">
        <v>2267</v>
      </c>
      <c r="G2866" t="s">
        <v>4080</v>
      </c>
      <c r="H2866" t="s">
        <v>5727</v>
      </c>
      <c r="I2866" t="s">
        <v>6916</v>
      </c>
      <c r="J2866" t="s">
        <v>7170</v>
      </c>
      <c r="K2866">
        <v>10453</v>
      </c>
      <c r="N2866" t="s">
        <v>7237</v>
      </c>
      <c r="O2866" t="s">
        <v>9077</v>
      </c>
      <c r="P2866">
        <v>2</v>
      </c>
      <c r="Q2866">
        <v>4</v>
      </c>
      <c r="R2866">
        <v>40.9</v>
      </c>
      <c r="U2866">
        <v>13800</v>
      </c>
      <c r="V2866" t="s">
        <v>10527</v>
      </c>
      <c r="W2866">
        <v>3.3</v>
      </c>
      <c r="X2866" t="s">
        <v>497</v>
      </c>
      <c r="Y2866" t="s">
        <v>216</v>
      </c>
      <c r="AA2866" t="s">
        <v>10974</v>
      </c>
      <c r="AB2866" t="s">
        <v>10979</v>
      </c>
      <c r="AD2866" t="s">
        <v>11082</v>
      </c>
      <c r="AF2866" t="s">
        <v>11119</v>
      </c>
      <c r="AH2866" t="s">
        <v>10975</v>
      </c>
      <c r="AJ2866" t="s">
        <v>11129</v>
      </c>
      <c r="AK2866" t="s">
        <v>7225</v>
      </c>
      <c r="AM2866">
        <v>1931</v>
      </c>
      <c r="AO2866">
        <v>1654</v>
      </c>
      <c r="AQ2866" t="s">
        <v>11161</v>
      </c>
      <c r="AS2866" t="s">
        <v>11174</v>
      </c>
      <c r="AU2866">
        <v>9</v>
      </c>
      <c r="AW2866" t="s">
        <v>11187</v>
      </c>
      <c r="AY2866" t="s">
        <v>11213</v>
      </c>
      <c r="AZ2866" t="s">
        <v>11221</v>
      </c>
      <c r="BB2866" t="s">
        <v>11224</v>
      </c>
      <c r="BC2866">
        <v>32013902</v>
      </c>
      <c r="BE2866" t="s">
        <v>13311</v>
      </c>
      <c r="BG2866" t="s">
        <v>15079</v>
      </c>
      <c r="BM2866" t="s">
        <v>15650</v>
      </c>
    </row>
    <row r="2867" spans="1:65">
      <c r="A2867" s="1">
        <f>HYPERLINK("https://lsnyc.legalserver.org/matter/dynamic-profile/view/1885042","18-1885042")</f>
        <v>0</v>
      </c>
      <c r="B2867" t="s">
        <v>173</v>
      </c>
      <c r="C2867" t="s">
        <v>246</v>
      </c>
      <c r="D2867" t="s">
        <v>542</v>
      </c>
      <c r="F2867" t="s">
        <v>1177</v>
      </c>
      <c r="G2867" t="s">
        <v>4089</v>
      </c>
      <c r="H2867" t="s">
        <v>5715</v>
      </c>
      <c r="I2867" t="s">
        <v>6924</v>
      </c>
      <c r="J2867" t="s">
        <v>7170</v>
      </c>
      <c r="K2867">
        <v>10452</v>
      </c>
      <c r="N2867" t="s">
        <v>7237</v>
      </c>
      <c r="O2867" t="s">
        <v>9096</v>
      </c>
      <c r="P2867">
        <v>2</v>
      </c>
      <c r="Q2867">
        <v>0</v>
      </c>
      <c r="R2867">
        <v>105.71</v>
      </c>
      <c r="U2867">
        <v>17400</v>
      </c>
      <c r="W2867">
        <v>0</v>
      </c>
      <c r="Y2867" t="s">
        <v>10865</v>
      </c>
      <c r="AA2867" t="s">
        <v>10974</v>
      </c>
      <c r="AB2867" t="s">
        <v>597</v>
      </c>
      <c r="AD2867" t="s">
        <v>11085</v>
      </c>
      <c r="AF2867" t="s">
        <v>11118</v>
      </c>
      <c r="AH2867" t="s">
        <v>10974</v>
      </c>
      <c r="AJ2867" t="s">
        <v>11141</v>
      </c>
      <c r="AK2867" t="s">
        <v>7225</v>
      </c>
      <c r="AM2867">
        <v>996</v>
      </c>
      <c r="AO2867">
        <v>71</v>
      </c>
      <c r="AQ2867" t="s">
        <v>11157</v>
      </c>
      <c r="AS2867" t="s">
        <v>11173</v>
      </c>
      <c r="AU2867">
        <v>5</v>
      </c>
      <c r="AW2867" t="s">
        <v>11187</v>
      </c>
      <c r="AZ2867" t="s">
        <v>11221</v>
      </c>
      <c r="BE2867" t="s">
        <v>13329</v>
      </c>
      <c r="BG2867" t="s">
        <v>15080</v>
      </c>
      <c r="BM2867" t="s">
        <v>15650</v>
      </c>
    </row>
    <row r="2868" spans="1:65">
      <c r="A2868" s="1">
        <f>HYPERLINK("https://lsnyc.legalserver.org/matter/dynamic-profile/view/1881190","18-1881190")</f>
        <v>0</v>
      </c>
      <c r="B2868" t="s">
        <v>173</v>
      </c>
      <c r="C2868" t="s">
        <v>246</v>
      </c>
      <c r="D2868" t="s">
        <v>892</v>
      </c>
      <c r="F2868" t="s">
        <v>2273</v>
      </c>
      <c r="G2868" t="s">
        <v>4086</v>
      </c>
      <c r="H2868" t="s">
        <v>5734</v>
      </c>
      <c r="I2868">
        <v>315</v>
      </c>
      <c r="J2868" t="s">
        <v>7170</v>
      </c>
      <c r="K2868">
        <v>10459</v>
      </c>
      <c r="N2868" t="s">
        <v>7237</v>
      </c>
      <c r="O2868" t="s">
        <v>9088</v>
      </c>
      <c r="P2868">
        <v>2</v>
      </c>
      <c r="Q2868">
        <v>0</v>
      </c>
      <c r="R2868">
        <v>29.16</v>
      </c>
      <c r="U2868">
        <v>4800</v>
      </c>
      <c r="W2868">
        <v>84.09999999999999</v>
      </c>
      <c r="X2868" t="s">
        <v>420</v>
      </c>
      <c r="Y2868" t="s">
        <v>10865</v>
      </c>
      <c r="AA2868" t="s">
        <v>10974</v>
      </c>
      <c r="AB2868" t="s">
        <v>892</v>
      </c>
      <c r="AD2868" t="s">
        <v>11082</v>
      </c>
      <c r="AF2868" t="s">
        <v>11118</v>
      </c>
      <c r="AH2868" t="s">
        <v>10975</v>
      </c>
      <c r="AJ2868" t="s">
        <v>11129</v>
      </c>
      <c r="AK2868" t="s">
        <v>7225</v>
      </c>
      <c r="AM2868">
        <v>1640.18</v>
      </c>
      <c r="AO2868">
        <v>123</v>
      </c>
      <c r="AQ2868" t="s">
        <v>11157</v>
      </c>
      <c r="AS2868" t="s">
        <v>11173</v>
      </c>
      <c r="AU2868">
        <v>11</v>
      </c>
      <c r="AW2868" t="s">
        <v>11187</v>
      </c>
      <c r="AY2868" t="s">
        <v>11213</v>
      </c>
      <c r="AZ2868" t="s">
        <v>11221</v>
      </c>
      <c r="BE2868" t="s">
        <v>13320</v>
      </c>
      <c r="BG2868" t="s">
        <v>15081</v>
      </c>
      <c r="BM2868" t="s">
        <v>15650</v>
      </c>
    </row>
    <row r="2869" spans="1:65">
      <c r="A2869" s="1">
        <f>HYPERLINK("https://lsnyc.legalserver.org/matter/dynamic-profile/view/1860927","18-1860927")</f>
        <v>0</v>
      </c>
      <c r="B2869" t="s">
        <v>173</v>
      </c>
      <c r="C2869" t="s">
        <v>246</v>
      </c>
      <c r="D2869" t="s">
        <v>944</v>
      </c>
      <c r="F2869" t="s">
        <v>1260</v>
      </c>
      <c r="G2869" t="s">
        <v>4090</v>
      </c>
      <c r="H2869" t="s">
        <v>5738</v>
      </c>
      <c r="I2869" t="s">
        <v>6424</v>
      </c>
      <c r="J2869" t="s">
        <v>7170</v>
      </c>
      <c r="K2869">
        <v>10453</v>
      </c>
      <c r="N2869" t="s">
        <v>7243</v>
      </c>
      <c r="O2869" t="s">
        <v>9097</v>
      </c>
      <c r="P2869">
        <v>1</v>
      </c>
      <c r="Q2869">
        <v>3</v>
      </c>
      <c r="R2869">
        <v>66.5</v>
      </c>
      <c r="U2869">
        <v>25488</v>
      </c>
      <c r="W2869">
        <v>18.9</v>
      </c>
      <c r="X2869" t="s">
        <v>959</v>
      </c>
      <c r="Y2869" t="s">
        <v>10865</v>
      </c>
      <c r="AA2869" t="s">
        <v>10974</v>
      </c>
      <c r="AB2869" t="s">
        <v>790</v>
      </c>
      <c r="AD2869" t="s">
        <v>11099</v>
      </c>
      <c r="AF2869" t="s">
        <v>11120</v>
      </c>
      <c r="AG2869" t="s">
        <v>11124</v>
      </c>
      <c r="AI2869" t="s">
        <v>11126</v>
      </c>
      <c r="AK2869" t="s">
        <v>7225</v>
      </c>
      <c r="AL2869" t="s">
        <v>11150</v>
      </c>
      <c r="AM2869">
        <v>0</v>
      </c>
      <c r="AN2869" t="s">
        <v>11151</v>
      </c>
      <c r="AO2869" t="s">
        <v>11153</v>
      </c>
      <c r="AQ2869" t="s">
        <v>11157</v>
      </c>
      <c r="AR2869" t="s">
        <v>11172</v>
      </c>
      <c r="AU2869">
        <v>15</v>
      </c>
      <c r="AW2869" t="s">
        <v>11187</v>
      </c>
      <c r="AZ2869" t="s">
        <v>11221</v>
      </c>
      <c r="BB2869" t="s">
        <v>11224</v>
      </c>
      <c r="BC2869" t="s">
        <v>11468</v>
      </c>
      <c r="BD2869" t="s">
        <v>11667</v>
      </c>
      <c r="BF2869" t="s">
        <v>14364</v>
      </c>
      <c r="BM2869" t="s">
        <v>15650</v>
      </c>
    </row>
    <row r="2870" spans="1:65">
      <c r="A2870" s="1">
        <f>HYPERLINK("https://lsnyc.legalserver.org/matter/dynamic-profile/view/1860899","18-1860899")</f>
        <v>0</v>
      </c>
      <c r="B2870" t="s">
        <v>173</v>
      </c>
      <c r="C2870" t="s">
        <v>246</v>
      </c>
      <c r="D2870" t="s">
        <v>944</v>
      </c>
      <c r="F2870" t="s">
        <v>1260</v>
      </c>
      <c r="G2870" t="s">
        <v>4090</v>
      </c>
      <c r="H2870" t="s">
        <v>5738</v>
      </c>
      <c r="I2870" t="s">
        <v>6424</v>
      </c>
      <c r="J2870" t="s">
        <v>7170</v>
      </c>
      <c r="K2870">
        <v>10453</v>
      </c>
      <c r="N2870" t="s">
        <v>7237</v>
      </c>
      <c r="O2870" t="s">
        <v>9097</v>
      </c>
      <c r="P2870">
        <v>1</v>
      </c>
      <c r="Q2870">
        <v>3</v>
      </c>
      <c r="R2870">
        <v>66.5</v>
      </c>
      <c r="U2870">
        <v>25488</v>
      </c>
      <c r="W2870">
        <v>137.85</v>
      </c>
      <c r="X2870" t="s">
        <v>594</v>
      </c>
      <c r="Y2870" t="s">
        <v>10865</v>
      </c>
      <c r="AA2870" t="s">
        <v>10974</v>
      </c>
      <c r="AB2870" t="s">
        <v>253</v>
      </c>
      <c r="AD2870" t="s">
        <v>11082</v>
      </c>
      <c r="AF2870" t="s">
        <v>11118</v>
      </c>
      <c r="AH2870" t="s">
        <v>10975</v>
      </c>
      <c r="AJ2870" t="s">
        <v>11129</v>
      </c>
      <c r="AK2870" t="s">
        <v>7225</v>
      </c>
      <c r="AM2870">
        <v>1437.99</v>
      </c>
      <c r="AO2870">
        <v>101</v>
      </c>
      <c r="AQ2870" t="s">
        <v>11157</v>
      </c>
      <c r="AS2870" t="s">
        <v>11174</v>
      </c>
      <c r="AU2870">
        <v>13</v>
      </c>
      <c r="AW2870" t="s">
        <v>11187</v>
      </c>
      <c r="AZ2870" t="s">
        <v>11221</v>
      </c>
      <c r="BB2870" t="s">
        <v>11224</v>
      </c>
      <c r="BC2870" t="s">
        <v>11468</v>
      </c>
      <c r="BD2870" t="s">
        <v>11667</v>
      </c>
      <c r="BG2870" t="s">
        <v>15082</v>
      </c>
      <c r="BM2870" t="s">
        <v>15650</v>
      </c>
    </row>
    <row r="2871" spans="1:65">
      <c r="A2871" s="1">
        <f>HYPERLINK("https://lsnyc.legalserver.org/matter/dynamic-profile/view/1881209","18-1881209")</f>
        <v>0</v>
      </c>
      <c r="B2871" t="s">
        <v>173</v>
      </c>
      <c r="C2871" t="s">
        <v>246</v>
      </c>
      <c r="D2871" t="s">
        <v>892</v>
      </c>
      <c r="F2871" t="s">
        <v>2273</v>
      </c>
      <c r="G2871" t="s">
        <v>4086</v>
      </c>
      <c r="H2871" t="s">
        <v>5734</v>
      </c>
      <c r="I2871">
        <v>315</v>
      </c>
      <c r="J2871" t="s">
        <v>7170</v>
      </c>
      <c r="K2871">
        <v>10459</v>
      </c>
      <c r="N2871" t="s">
        <v>7241</v>
      </c>
      <c r="O2871" t="s">
        <v>9088</v>
      </c>
      <c r="P2871">
        <v>2</v>
      </c>
      <c r="Q2871">
        <v>0</v>
      </c>
      <c r="R2871">
        <v>29.16</v>
      </c>
      <c r="U2871">
        <v>4800</v>
      </c>
      <c r="W2871">
        <v>180</v>
      </c>
      <c r="X2871" t="s">
        <v>925</v>
      </c>
      <c r="Y2871" t="s">
        <v>10865</v>
      </c>
      <c r="AA2871" t="s">
        <v>10974</v>
      </c>
      <c r="AB2871" t="s">
        <v>892</v>
      </c>
      <c r="AD2871" t="s">
        <v>11109</v>
      </c>
      <c r="AF2871" t="s">
        <v>11123</v>
      </c>
      <c r="AH2871" t="s">
        <v>10975</v>
      </c>
      <c r="AJ2871" t="s">
        <v>11129</v>
      </c>
      <c r="AK2871" t="s">
        <v>7225</v>
      </c>
      <c r="AM2871">
        <v>1640.18</v>
      </c>
      <c r="AO2871">
        <v>123</v>
      </c>
      <c r="AQ2871" t="s">
        <v>11157</v>
      </c>
      <c r="AS2871" t="s">
        <v>11173</v>
      </c>
      <c r="AU2871">
        <v>11</v>
      </c>
      <c r="AW2871" t="s">
        <v>11187</v>
      </c>
      <c r="AZ2871" t="s">
        <v>11221</v>
      </c>
      <c r="BE2871" t="s">
        <v>13320</v>
      </c>
      <c r="BF2871" t="s">
        <v>14364</v>
      </c>
      <c r="BM2871" t="s">
        <v>15650</v>
      </c>
    </row>
    <row r="2872" spans="1:65">
      <c r="A2872" s="1">
        <f>HYPERLINK("https://lsnyc.legalserver.org/matter/dynamic-profile/view/1903259","19-1903259")</f>
        <v>0</v>
      </c>
      <c r="B2872" t="s">
        <v>173</v>
      </c>
      <c r="C2872" t="s">
        <v>246</v>
      </c>
      <c r="D2872" t="s">
        <v>571</v>
      </c>
      <c r="F2872" t="s">
        <v>2276</v>
      </c>
      <c r="G2872" t="s">
        <v>2911</v>
      </c>
      <c r="H2872" t="s">
        <v>5739</v>
      </c>
      <c r="I2872" t="s">
        <v>6405</v>
      </c>
      <c r="J2872" t="s">
        <v>7170</v>
      </c>
      <c r="K2872">
        <v>10462</v>
      </c>
      <c r="N2872" t="s">
        <v>7237</v>
      </c>
      <c r="O2872" t="s">
        <v>9098</v>
      </c>
      <c r="P2872">
        <v>1</v>
      </c>
      <c r="Q2872">
        <v>1</v>
      </c>
      <c r="R2872">
        <v>0</v>
      </c>
      <c r="S2872" t="s">
        <v>10254</v>
      </c>
      <c r="T2872" t="s">
        <v>10275</v>
      </c>
      <c r="U2872">
        <v>0</v>
      </c>
      <c r="W2872">
        <v>1.1</v>
      </c>
      <c r="X2872" t="s">
        <v>571</v>
      </c>
      <c r="Y2872" t="s">
        <v>93</v>
      </c>
      <c r="AA2872" t="s">
        <v>10974</v>
      </c>
      <c r="AD2872" t="s">
        <v>11082</v>
      </c>
      <c r="AF2872" t="s">
        <v>11121</v>
      </c>
      <c r="AH2872" t="s">
        <v>10975</v>
      </c>
      <c r="AI2872" t="s">
        <v>11127</v>
      </c>
      <c r="AJ2872" t="s">
        <v>11135</v>
      </c>
      <c r="AK2872" t="s">
        <v>11149</v>
      </c>
      <c r="AM2872">
        <v>1700</v>
      </c>
      <c r="AO2872">
        <v>4</v>
      </c>
      <c r="AQ2872" t="s">
        <v>11164</v>
      </c>
      <c r="AS2872" t="s">
        <v>11173</v>
      </c>
      <c r="AU2872">
        <v>3</v>
      </c>
      <c r="AW2872" t="s">
        <v>11189</v>
      </c>
      <c r="AY2872" t="s">
        <v>11213</v>
      </c>
      <c r="BA2872" t="s">
        <v>11223</v>
      </c>
      <c r="BB2872" t="s">
        <v>11224</v>
      </c>
      <c r="BC2872" t="s">
        <v>11469</v>
      </c>
      <c r="BE2872" t="s">
        <v>13330</v>
      </c>
      <c r="BG2872" t="s">
        <v>15083</v>
      </c>
      <c r="BM2872" t="s">
        <v>15650</v>
      </c>
    </row>
    <row r="2873" spans="1:65">
      <c r="A2873" s="1">
        <f>HYPERLINK("https://lsnyc.legalserver.org/matter/dynamic-profile/view/1884481","18-1884481")</f>
        <v>0</v>
      </c>
      <c r="B2873" t="s">
        <v>173</v>
      </c>
      <c r="C2873" t="s">
        <v>246</v>
      </c>
      <c r="D2873" t="s">
        <v>259</v>
      </c>
      <c r="F2873" t="s">
        <v>1440</v>
      </c>
      <c r="G2873" t="s">
        <v>4091</v>
      </c>
      <c r="H2873" t="s">
        <v>5724</v>
      </c>
      <c r="I2873" t="s">
        <v>6925</v>
      </c>
      <c r="J2873" t="s">
        <v>7170</v>
      </c>
      <c r="K2873">
        <v>10452</v>
      </c>
      <c r="N2873" t="s">
        <v>7237</v>
      </c>
      <c r="O2873" t="s">
        <v>9099</v>
      </c>
      <c r="P2873">
        <v>2</v>
      </c>
      <c r="Q2873">
        <v>2</v>
      </c>
      <c r="R2873">
        <v>119.52</v>
      </c>
      <c r="U2873">
        <v>30000</v>
      </c>
      <c r="W2873">
        <v>2.3</v>
      </c>
      <c r="X2873" t="s">
        <v>678</v>
      </c>
      <c r="Y2873" t="s">
        <v>236</v>
      </c>
      <c r="AA2873" t="s">
        <v>10974</v>
      </c>
      <c r="AB2873" t="s">
        <v>896</v>
      </c>
      <c r="AD2873" t="s">
        <v>11090</v>
      </c>
      <c r="AF2873" t="s">
        <v>11119</v>
      </c>
      <c r="AH2873" t="s">
        <v>10975</v>
      </c>
      <c r="AJ2873" t="s">
        <v>11141</v>
      </c>
      <c r="AK2873" t="s">
        <v>7225</v>
      </c>
      <c r="AM2873">
        <v>1300.04</v>
      </c>
      <c r="AN2873" t="s">
        <v>11151</v>
      </c>
      <c r="AO2873" t="s">
        <v>11153</v>
      </c>
      <c r="AQ2873" t="s">
        <v>11157</v>
      </c>
      <c r="AR2873" t="s">
        <v>11172</v>
      </c>
      <c r="AT2873" t="s">
        <v>11184</v>
      </c>
      <c r="AU2873">
        <v>0</v>
      </c>
      <c r="AW2873" t="s">
        <v>11187</v>
      </c>
      <c r="BA2873" t="s">
        <v>11222</v>
      </c>
      <c r="BE2873" t="s">
        <v>13331</v>
      </c>
      <c r="BF2873" t="s">
        <v>14364</v>
      </c>
      <c r="BM2873" t="s">
        <v>15650</v>
      </c>
    </row>
    <row r="2874" spans="1:65">
      <c r="A2874" s="1">
        <f>HYPERLINK("https://lsnyc.legalserver.org/matter/dynamic-profile/view/1842703","17-1842703")</f>
        <v>0</v>
      </c>
      <c r="B2874" t="s">
        <v>173</v>
      </c>
      <c r="C2874" t="s">
        <v>246</v>
      </c>
      <c r="D2874" t="s">
        <v>252</v>
      </c>
      <c r="F2874" t="s">
        <v>2277</v>
      </c>
      <c r="G2874" t="s">
        <v>3288</v>
      </c>
      <c r="H2874" t="s">
        <v>5740</v>
      </c>
      <c r="I2874" t="s">
        <v>6724</v>
      </c>
      <c r="J2874" t="s">
        <v>7170</v>
      </c>
      <c r="K2874">
        <v>10453</v>
      </c>
      <c r="N2874" t="s">
        <v>7241</v>
      </c>
      <c r="O2874" t="s">
        <v>9100</v>
      </c>
      <c r="P2874">
        <v>2</v>
      </c>
      <c r="Q2874">
        <v>2</v>
      </c>
      <c r="R2874">
        <v>162.6</v>
      </c>
      <c r="U2874">
        <v>40000</v>
      </c>
      <c r="W2874">
        <v>2.9</v>
      </c>
      <c r="X2874" t="s">
        <v>723</v>
      </c>
      <c r="Y2874" t="s">
        <v>10882</v>
      </c>
      <c r="AA2874" t="s">
        <v>10974</v>
      </c>
      <c r="AB2874" t="s">
        <v>1047</v>
      </c>
      <c r="AD2874" t="s">
        <v>11086</v>
      </c>
      <c r="AF2874" t="s">
        <v>11119</v>
      </c>
      <c r="AH2874" t="s">
        <v>10974</v>
      </c>
      <c r="AJ2874" t="s">
        <v>11104</v>
      </c>
      <c r="AK2874" t="s">
        <v>7225</v>
      </c>
      <c r="AM2874">
        <v>466.98</v>
      </c>
      <c r="AO2874">
        <v>50</v>
      </c>
      <c r="AQ2874" t="s">
        <v>11157</v>
      </c>
      <c r="AS2874" t="s">
        <v>11173</v>
      </c>
      <c r="AU2874">
        <v>5</v>
      </c>
      <c r="AW2874" t="s">
        <v>11187</v>
      </c>
      <c r="AZ2874" t="s">
        <v>11221</v>
      </c>
      <c r="BE2874" t="s">
        <v>13332</v>
      </c>
      <c r="BF2874" t="s">
        <v>14364</v>
      </c>
      <c r="BM2874" t="s">
        <v>15650</v>
      </c>
    </row>
    <row r="2875" spans="1:65">
      <c r="A2875" s="1">
        <f>HYPERLINK("https://lsnyc.legalserver.org/matter/dynamic-profile/view/0802576","16-0802576")</f>
        <v>0</v>
      </c>
      <c r="B2875" t="s">
        <v>173</v>
      </c>
      <c r="C2875" t="s">
        <v>246</v>
      </c>
      <c r="D2875" t="s">
        <v>932</v>
      </c>
      <c r="F2875" t="s">
        <v>1614</v>
      </c>
      <c r="G2875" t="s">
        <v>3042</v>
      </c>
      <c r="H2875" t="s">
        <v>5722</v>
      </c>
      <c r="I2875" t="s">
        <v>6810</v>
      </c>
      <c r="J2875" t="s">
        <v>7170</v>
      </c>
      <c r="K2875">
        <v>10452</v>
      </c>
      <c r="N2875" t="s">
        <v>7237</v>
      </c>
      <c r="O2875" t="s">
        <v>9101</v>
      </c>
      <c r="P2875">
        <v>2</v>
      </c>
      <c r="Q2875">
        <v>2</v>
      </c>
      <c r="R2875">
        <v>107</v>
      </c>
      <c r="U2875">
        <v>26000</v>
      </c>
      <c r="W2875">
        <v>0.2</v>
      </c>
      <c r="X2875" t="s">
        <v>645</v>
      </c>
      <c r="Y2875" t="s">
        <v>138</v>
      </c>
      <c r="AA2875" t="s">
        <v>10974</v>
      </c>
      <c r="AB2875" t="s">
        <v>930</v>
      </c>
      <c r="AD2875" t="s">
        <v>11107</v>
      </c>
      <c r="AF2875" t="s">
        <v>11118</v>
      </c>
      <c r="AH2875" t="s">
        <v>10974</v>
      </c>
      <c r="AJ2875" t="s">
        <v>11141</v>
      </c>
      <c r="AK2875" t="s">
        <v>7225</v>
      </c>
      <c r="AM2875">
        <v>1025</v>
      </c>
      <c r="AN2875" t="s">
        <v>11151</v>
      </c>
      <c r="AO2875" t="s">
        <v>11153</v>
      </c>
      <c r="AQ2875" t="s">
        <v>11157</v>
      </c>
      <c r="AR2875" t="s">
        <v>11172</v>
      </c>
      <c r="AU2875">
        <v>5</v>
      </c>
      <c r="AW2875" t="s">
        <v>11189</v>
      </c>
      <c r="AZ2875" t="s">
        <v>11221</v>
      </c>
      <c r="BE2875" t="s">
        <v>13333</v>
      </c>
      <c r="BF2875" t="s">
        <v>14364</v>
      </c>
      <c r="BM2875" t="s">
        <v>15650</v>
      </c>
    </row>
    <row r="2876" spans="1:65">
      <c r="A2876" s="1">
        <f>HYPERLINK("https://lsnyc.legalserver.org/matter/dynamic-profile/view/1889772","19-1889772")</f>
        <v>0</v>
      </c>
      <c r="B2876" t="s">
        <v>173</v>
      </c>
      <c r="C2876" t="s">
        <v>246</v>
      </c>
      <c r="D2876" t="s">
        <v>334</v>
      </c>
      <c r="F2876" t="s">
        <v>2278</v>
      </c>
      <c r="G2876" t="s">
        <v>4092</v>
      </c>
      <c r="H2876" t="s">
        <v>5741</v>
      </c>
      <c r="I2876" t="s">
        <v>6628</v>
      </c>
      <c r="J2876" t="s">
        <v>7170</v>
      </c>
      <c r="K2876">
        <v>10452</v>
      </c>
      <c r="N2876" t="s">
        <v>7237</v>
      </c>
      <c r="O2876" t="s">
        <v>9102</v>
      </c>
      <c r="P2876">
        <v>1</v>
      </c>
      <c r="Q2876">
        <v>0</v>
      </c>
      <c r="R2876">
        <v>337.07</v>
      </c>
      <c r="U2876">
        <v>42100</v>
      </c>
      <c r="V2876" t="s">
        <v>10528</v>
      </c>
      <c r="W2876">
        <v>23.2</v>
      </c>
      <c r="X2876" t="s">
        <v>272</v>
      </c>
      <c r="Y2876" t="s">
        <v>10865</v>
      </c>
      <c r="AA2876" t="s">
        <v>10974</v>
      </c>
      <c r="AB2876" t="s">
        <v>10979</v>
      </c>
      <c r="AD2876" t="s">
        <v>11083</v>
      </c>
      <c r="AF2876" t="s">
        <v>10384</v>
      </c>
      <c r="AH2876" t="s">
        <v>10975</v>
      </c>
      <c r="AJ2876" t="s">
        <v>11141</v>
      </c>
      <c r="AK2876" t="s">
        <v>7225</v>
      </c>
      <c r="AM2876">
        <v>1181.64</v>
      </c>
      <c r="AO2876">
        <v>52</v>
      </c>
      <c r="AQ2876" t="s">
        <v>11157</v>
      </c>
      <c r="AS2876" t="s">
        <v>11173</v>
      </c>
      <c r="AU2876">
        <v>4</v>
      </c>
      <c r="AW2876" t="s">
        <v>11187</v>
      </c>
      <c r="BA2876" t="s">
        <v>11222</v>
      </c>
      <c r="BD2876" t="s">
        <v>11667</v>
      </c>
      <c r="BF2876" t="s">
        <v>14364</v>
      </c>
      <c r="BM2876" t="s">
        <v>15650</v>
      </c>
    </row>
    <row r="2877" spans="1:65">
      <c r="A2877" s="1">
        <f>HYPERLINK("https://lsnyc.legalserver.org/matter/dynamic-profile/view/1859708","18-1859708")</f>
        <v>0</v>
      </c>
      <c r="B2877" t="s">
        <v>173</v>
      </c>
      <c r="C2877" t="s">
        <v>246</v>
      </c>
      <c r="D2877" t="s">
        <v>936</v>
      </c>
      <c r="F2877" t="s">
        <v>2279</v>
      </c>
      <c r="G2877" t="s">
        <v>4093</v>
      </c>
      <c r="H2877" t="s">
        <v>5742</v>
      </c>
      <c r="I2877" t="s">
        <v>6926</v>
      </c>
      <c r="J2877" t="s">
        <v>7170</v>
      </c>
      <c r="K2877">
        <v>10451</v>
      </c>
      <c r="N2877" t="s">
        <v>7239</v>
      </c>
      <c r="O2877" t="s">
        <v>9103</v>
      </c>
      <c r="P2877">
        <v>1</v>
      </c>
      <c r="Q2877">
        <v>2</v>
      </c>
      <c r="R2877">
        <v>29.09</v>
      </c>
      <c r="S2877" t="s">
        <v>10254</v>
      </c>
      <c r="T2877" t="s">
        <v>10275</v>
      </c>
      <c r="U2877">
        <v>5940</v>
      </c>
      <c r="W2877">
        <v>35.95</v>
      </c>
      <c r="X2877" t="s">
        <v>449</v>
      </c>
      <c r="Y2877" t="s">
        <v>10908</v>
      </c>
      <c r="AA2877" t="s">
        <v>10974</v>
      </c>
      <c r="AB2877" t="s">
        <v>825</v>
      </c>
      <c r="AD2877" t="s">
        <v>11089</v>
      </c>
      <c r="AF2877" t="s">
        <v>11122</v>
      </c>
      <c r="AH2877" t="s">
        <v>10975</v>
      </c>
      <c r="AJ2877" t="s">
        <v>11133</v>
      </c>
      <c r="AK2877" t="s">
        <v>11149</v>
      </c>
      <c r="AM2877">
        <v>122</v>
      </c>
      <c r="AO2877">
        <v>1023</v>
      </c>
      <c r="AQ2877" t="s">
        <v>11166</v>
      </c>
      <c r="AS2877" t="s">
        <v>11173</v>
      </c>
      <c r="AU2877">
        <v>1</v>
      </c>
      <c r="AW2877" t="s">
        <v>11187</v>
      </c>
      <c r="AZ2877" t="s">
        <v>11221</v>
      </c>
      <c r="BC2877" t="s">
        <v>11470</v>
      </c>
      <c r="BE2877" t="s">
        <v>13334</v>
      </c>
      <c r="BF2877" t="s">
        <v>14364</v>
      </c>
      <c r="BG2877">
        <v>884266</v>
      </c>
      <c r="BM2877" t="s">
        <v>15650</v>
      </c>
    </row>
    <row r="2878" spans="1:65">
      <c r="A2878" s="1">
        <f>HYPERLINK("https://lsnyc.legalserver.org/matter/dynamic-profile/view/1894220","19-1894220")</f>
        <v>0</v>
      </c>
      <c r="B2878" t="s">
        <v>173</v>
      </c>
      <c r="C2878" t="s">
        <v>246</v>
      </c>
      <c r="D2878" t="s">
        <v>920</v>
      </c>
      <c r="F2878" t="s">
        <v>1224</v>
      </c>
      <c r="G2878" t="s">
        <v>3173</v>
      </c>
      <c r="H2878" t="s">
        <v>4989</v>
      </c>
      <c r="I2878" t="s">
        <v>6479</v>
      </c>
      <c r="J2878" t="s">
        <v>7170</v>
      </c>
      <c r="K2878">
        <v>10453</v>
      </c>
      <c r="N2878" t="s">
        <v>7237</v>
      </c>
      <c r="O2878" t="s">
        <v>7628</v>
      </c>
      <c r="P2878">
        <v>2</v>
      </c>
      <c r="Q2878">
        <v>4</v>
      </c>
      <c r="R2878">
        <v>58.98</v>
      </c>
      <c r="U2878">
        <v>20400</v>
      </c>
      <c r="W2878">
        <v>2</v>
      </c>
      <c r="X2878" t="s">
        <v>295</v>
      </c>
      <c r="Y2878" t="s">
        <v>10865</v>
      </c>
      <c r="AA2878" t="s">
        <v>10974</v>
      </c>
      <c r="AB2878" t="s">
        <v>920</v>
      </c>
      <c r="AD2878" t="s">
        <v>11082</v>
      </c>
      <c r="AF2878" t="s">
        <v>11118</v>
      </c>
      <c r="AH2878" t="s">
        <v>10975</v>
      </c>
      <c r="AJ2878" t="s">
        <v>11129</v>
      </c>
      <c r="AK2878" t="s">
        <v>7225</v>
      </c>
      <c r="AM2878">
        <v>506</v>
      </c>
      <c r="AO2878">
        <v>170</v>
      </c>
      <c r="AQ2878" t="s">
        <v>11161</v>
      </c>
      <c r="AS2878" t="s">
        <v>11174</v>
      </c>
      <c r="AU2878">
        <v>10</v>
      </c>
      <c r="AW2878" t="s">
        <v>11189</v>
      </c>
      <c r="AZ2878" t="s">
        <v>11221</v>
      </c>
      <c r="BE2878" t="s">
        <v>11998</v>
      </c>
      <c r="BG2878" t="s">
        <v>15084</v>
      </c>
      <c r="BM2878" t="s">
        <v>15650</v>
      </c>
    </row>
    <row r="2879" spans="1:65">
      <c r="A2879" s="1">
        <f>HYPERLINK("https://lsnyc.legalserver.org/matter/dynamic-profile/view/1872135","18-1872135")</f>
        <v>0</v>
      </c>
      <c r="B2879" t="s">
        <v>173</v>
      </c>
      <c r="C2879" t="s">
        <v>246</v>
      </c>
      <c r="D2879" t="s">
        <v>939</v>
      </c>
      <c r="F2879" t="s">
        <v>2260</v>
      </c>
      <c r="G2879" t="s">
        <v>4070</v>
      </c>
      <c r="H2879" t="s">
        <v>5717</v>
      </c>
      <c r="I2879" t="s">
        <v>6450</v>
      </c>
      <c r="J2879" t="s">
        <v>7170</v>
      </c>
      <c r="K2879">
        <v>10452</v>
      </c>
      <c r="N2879" t="s">
        <v>7237</v>
      </c>
      <c r="O2879" t="s">
        <v>9063</v>
      </c>
      <c r="P2879">
        <v>2</v>
      </c>
      <c r="Q2879">
        <v>0</v>
      </c>
      <c r="R2879">
        <v>208.51</v>
      </c>
      <c r="U2879">
        <v>34320</v>
      </c>
      <c r="W2879">
        <v>3.75</v>
      </c>
      <c r="X2879" t="s">
        <v>276</v>
      </c>
      <c r="Y2879" t="s">
        <v>10865</v>
      </c>
      <c r="Z2879" t="s">
        <v>10973</v>
      </c>
      <c r="AA2879" t="s">
        <v>10975</v>
      </c>
      <c r="AB2879" t="s">
        <v>939</v>
      </c>
      <c r="AD2879" t="s">
        <v>11096</v>
      </c>
      <c r="AF2879" t="s">
        <v>11122</v>
      </c>
      <c r="AH2879" t="s">
        <v>10974</v>
      </c>
      <c r="AJ2879" t="s">
        <v>11129</v>
      </c>
      <c r="AK2879" t="s">
        <v>7225</v>
      </c>
      <c r="AM2879">
        <v>853.4400000000001</v>
      </c>
      <c r="AN2879" t="s">
        <v>11151</v>
      </c>
      <c r="AO2879" t="s">
        <v>11153</v>
      </c>
      <c r="AQ2879" t="s">
        <v>11157</v>
      </c>
      <c r="AS2879" t="s">
        <v>11173</v>
      </c>
      <c r="AU2879">
        <v>14</v>
      </c>
      <c r="AW2879" t="s">
        <v>11187</v>
      </c>
      <c r="AZ2879" t="s">
        <v>11221</v>
      </c>
      <c r="BC2879" t="s">
        <v>11471</v>
      </c>
      <c r="BE2879" t="s">
        <v>13296</v>
      </c>
      <c r="BF2879" t="s">
        <v>14364</v>
      </c>
      <c r="BM2879" t="s">
        <v>15650</v>
      </c>
    </row>
    <row r="2880" spans="1:65">
      <c r="A2880" s="1">
        <f>HYPERLINK("https://lsnyc.legalserver.org/matter/dynamic-profile/view/1897943","19-1897943")</f>
        <v>0</v>
      </c>
      <c r="B2880" t="s">
        <v>173</v>
      </c>
      <c r="C2880" t="s">
        <v>246</v>
      </c>
      <c r="D2880" t="s">
        <v>594</v>
      </c>
      <c r="F2880" t="s">
        <v>2280</v>
      </c>
      <c r="G2880" t="s">
        <v>3395</v>
      </c>
      <c r="H2880" t="s">
        <v>5743</v>
      </c>
      <c r="I2880" t="s">
        <v>6495</v>
      </c>
      <c r="J2880" t="s">
        <v>7170</v>
      </c>
      <c r="K2880">
        <v>10453</v>
      </c>
      <c r="N2880" t="s">
        <v>7237</v>
      </c>
      <c r="O2880" t="s">
        <v>9104</v>
      </c>
      <c r="P2880">
        <v>1</v>
      </c>
      <c r="Q2880">
        <v>1</v>
      </c>
      <c r="R2880">
        <v>60.86</v>
      </c>
      <c r="U2880">
        <v>10292</v>
      </c>
      <c r="W2880">
        <v>1.2</v>
      </c>
      <c r="X2880" t="s">
        <v>314</v>
      </c>
      <c r="Y2880" t="s">
        <v>10865</v>
      </c>
      <c r="AA2880" t="s">
        <v>10974</v>
      </c>
      <c r="AB2880" t="s">
        <v>276</v>
      </c>
      <c r="AC2880" t="s">
        <v>11081</v>
      </c>
      <c r="AF2880" t="s">
        <v>11119</v>
      </c>
      <c r="AH2880" t="s">
        <v>10975</v>
      </c>
      <c r="AJ2880" t="s">
        <v>11141</v>
      </c>
      <c r="AK2880" t="s">
        <v>7225</v>
      </c>
      <c r="AM2880">
        <v>178</v>
      </c>
      <c r="AO2880">
        <v>56</v>
      </c>
      <c r="AQ2880" t="s">
        <v>11166</v>
      </c>
      <c r="AS2880" t="s">
        <v>11104</v>
      </c>
      <c r="AU2880">
        <v>20</v>
      </c>
      <c r="AW2880" t="s">
        <v>11187</v>
      </c>
      <c r="BA2880" t="s">
        <v>11222</v>
      </c>
      <c r="BD2880" t="s">
        <v>11667</v>
      </c>
      <c r="BF2880" t="s">
        <v>14364</v>
      </c>
      <c r="BM2880" t="s">
        <v>15650</v>
      </c>
    </row>
    <row r="2881" spans="1:67">
      <c r="A2881" s="1">
        <f>HYPERLINK("https://lsnyc.legalserver.org/matter/dynamic-profile/view/1845394","17-1845394")</f>
        <v>0</v>
      </c>
      <c r="B2881" t="s">
        <v>173</v>
      </c>
      <c r="C2881" t="s">
        <v>246</v>
      </c>
      <c r="D2881" t="s">
        <v>883</v>
      </c>
      <c r="F2881" t="s">
        <v>2178</v>
      </c>
      <c r="G2881" t="s">
        <v>4094</v>
      </c>
      <c r="H2881" t="s">
        <v>5744</v>
      </c>
      <c r="I2881" t="s">
        <v>6407</v>
      </c>
      <c r="J2881" t="s">
        <v>7170</v>
      </c>
      <c r="K2881">
        <v>10453</v>
      </c>
      <c r="N2881" t="s">
        <v>7237</v>
      </c>
      <c r="O2881" t="s">
        <v>9105</v>
      </c>
      <c r="P2881">
        <v>1</v>
      </c>
      <c r="Q2881">
        <v>0</v>
      </c>
      <c r="R2881">
        <v>229.04</v>
      </c>
      <c r="S2881" t="s">
        <v>10255</v>
      </c>
      <c r="U2881">
        <v>27622</v>
      </c>
      <c r="W2881">
        <v>1.5</v>
      </c>
      <c r="X2881" t="s">
        <v>673</v>
      </c>
      <c r="Y2881" t="s">
        <v>10897</v>
      </c>
      <c r="AA2881" t="s">
        <v>10974</v>
      </c>
      <c r="AB2881" t="s">
        <v>691</v>
      </c>
      <c r="AD2881" t="s">
        <v>11086</v>
      </c>
      <c r="AF2881" t="s">
        <v>10384</v>
      </c>
      <c r="AH2881" t="s">
        <v>10974</v>
      </c>
      <c r="AJ2881" t="s">
        <v>11141</v>
      </c>
      <c r="AK2881" t="s">
        <v>7225</v>
      </c>
      <c r="AM2881">
        <v>478.96</v>
      </c>
      <c r="AO2881">
        <v>57</v>
      </c>
      <c r="AQ2881" t="s">
        <v>11164</v>
      </c>
      <c r="AS2881" t="s">
        <v>11173</v>
      </c>
      <c r="AU2881">
        <v>31</v>
      </c>
      <c r="AW2881" t="s">
        <v>11189</v>
      </c>
      <c r="AZ2881" t="s">
        <v>11221</v>
      </c>
      <c r="BE2881" t="s">
        <v>13335</v>
      </c>
      <c r="BF2881" t="s">
        <v>14364</v>
      </c>
      <c r="BM2881" t="s">
        <v>15650</v>
      </c>
    </row>
    <row r="2882" spans="1:67">
      <c r="A2882" s="1">
        <f>HYPERLINK("https://lsnyc.legalserver.org/matter/dynamic-profile/view/1885359","18-1885359")</f>
        <v>0</v>
      </c>
      <c r="B2882" t="s">
        <v>173</v>
      </c>
      <c r="C2882" t="s">
        <v>246</v>
      </c>
      <c r="D2882" t="s">
        <v>672</v>
      </c>
      <c r="F2882" t="s">
        <v>1472</v>
      </c>
      <c r="G2882" t="s">
        <v>4095</v>
      </c>
      <c r="H2882" t="s">
        <v>5720</v>
      </c>
      <c r="I2882" t="s">
        <v>6449</v>
      </c>
      <c r="J2882" t="s">
        <v>7170</v>
      </c>
      <c r="K2882">
        <v>10463</v>
      </c>
      <c r="N2882" t="s">
        <v>7237</v>
      </c>
      <c r="O2882" t="s">
        <v>7308</v>
      </c>
      <c r="P2882">
        <v>1</v>
      </c>
      <c r="Q2882">
        <v>0</v>
      </c>
      <c r="R2882">
        <v>342.77</v>
      </c>
      <c r="U2882">
        <v>41611.74</v>
      </c>
      <c r="V2882" t="s">
        <v>10521</v>
      </c>
      <c r="W2882">
        <v>0</v>
      </c>
      <c r="Y2882" t="s">
        <v>10897</v>
      </c>
      <c r="AA2882" t="s">
        <v>10974</v>
      </c>
      <c r="AB2882" t="s">
        <v>597</v>
      </c>
      <c r="AD2882" t="s">
        <v>11101</v>
      </c>
      <c r="AF2882" t="s">
        <v>11118</v>
      </c>
      <c r="AH2882" t="s">
        <v>10974</v>
      </c>
      <c r="AJ2882" t="s">
        <v>11141</v>
      </c>
      <c r="AK2882" t="s">
        <v>7225</v>
      </c>
      <c r="AM2882">
        <v>1047.38</v>
      </c>
      <c r="AO2882">
        <v>55</v>
      </c>
      <c r="AQ2882" t="s">
        <v>11157</v>
      </c>
      <c r="AS2882" t="s">
        <v>11173</v>
      </c>
      <c r="AU2882">
        <v>4</v>
      </c>
      <c r="AW2882" t="s">
        <v>11187</v>
      </c>
      <c r="AZ2882" t="s">
        <v>11221</v>
      </c>
      <c r="BD2882" t="s">
        <v>11667</v>
      </c>
      <c r="BG2882" t="s">
        <v>15058</v>
      </c>
      <c r="BM2882" t="s">
        <v>15650</v>
      </c>
    </row>
    <row r="2883" spans="1:67">
      <c r="A2883" s="1">
        <f>HYPERLINK("https://lsnyc.legalserver.org/matter/dynamic-profile/view/0804230","16-0804230")</f>
        <v>0</v>
      </c>
      <c r="B2883" t="s">
        <v>173</v>
      </c>
      <c r="C2883" t="s">
        <v>246</v>
      </c>
      <c r="D2883" t="s">
        <v>945</v>
      </c>
      <c r="F2883" t="s">
        <v>2281</v>
      </c>
      <c r="G2883" t="s">
        <v>4096</v>
      </c>
      <c r="H2883" t="s">
        <v>5715</v>
      </c>
      <c r="I2883" t="s">
        <v>6810</v>
      </c>
      <c r="J2883" t="s">
        <v>7170</v>
      </c>
      <c r="K2883">
        <v>10452</v>
      </c>
      <c r="N2883" t="s">
        <v>7237</v>
      </c>
      <c r="O2883" t="s">
        <v>9106</v>
      </c>
      <c r="P2883">
        <v>2</v>
      </c>
      <c r="Q2883">
        <v>0</v>
      </c>
      <c r="R2883">
        <v>192.26</v>
      </c>
      <c r="U2883">
        <v>30800</v>
      </c>
      <c r="W2883">
        <v>0.8</v>
      </c>
      <c r="X2883" t="s">
        <v>314</v>
      </c>
      <c r="Y2883" t="s">
        <v>138</v>
      </c>
      <c r="AA2883" t="s">
        <v>10974</v>
      </c>
      <c r="AB2883" t="s">
        <v>510</v>
      </c>
      <c r="AD2883" t="s">
        <v>11107</v>
      </c>
      <c r="AF2883" t="s">
        <v>11118</v>
      </c>
      <c r="AH2883" t="s">
        <v>10974</v>
      </c>
      <c r="AJ2883" t="s">
        <v>11141</v>
      </c>
      <c r="AK2883" t="s">
        <v>7225</v>
      </c>
      <c r="AM2883">
        <v>950</v>
      </c>
      <c r="AN2883" t="s">
        <v>11151</v>
      </c>
      <c r="AO2883" t="s">
        <v>11153</v>
      </c>
      <c r="AQ2883" t="s">
        <v>11157</v>
      </c>
      <c r="AR2883" t="s">
        <v>11172</v>
      </c>
      <c r="AU2883">
        <v>4</v>
      </c>
      <c r="AW2883" t="s">
        <v>11189</v>
      </c>
      <c r="AZ2883" t="s">
        <v>11221</v>
      </c>
      <c r="BE2883" t="s">
        <v>13336</v>
      </c>
      <c r="BF2883" t="s">
        <v>14364</v>
      </c>
      <c r="BM2883" t="s">
        <v>15650</v>
      </c>
    </row>
    <row r="2884" spans="1:67">
      <c r="A2884" s="1">
        <f>HYPERLINK("https://lsnyc.legalserver.org/matter/dynamic-profile/view/1863504","18-1863504")</f>
        <v>0</v>
      </c>
      <c r="B2884" t="s">
        <v>173</v>
      </c>
      <c r="C2884" t="s">
        <v>246</v>
      </c>
      <c r="D2884" t="s">
        <v>381</v>
      </c>
      <c r="F2884" t="s">
        <v>1601</v>
      </c>
      <c r="G2884" t="s">
        <v>1149</v>
      </c>
      <c r="H2884" t="s">
        <v>5722</v>
      </c>
      <c r="I2884" t="s">
        <v>6450</v>
      </c>
      <c r="J2884" t="s">
        <v>7170</v>
      </c>
      <c r="K2884">
        <v>10452</v>
      </c>
      <c r="N2884" t="s">
        <v>7237</v>
      </c>
      <c r="O2884" t="s">
        <v>9107</v>
      </c>
      <c r="P2884">
        <v>2</v>
      </c>
      <c r="Q2884">
        <v>0</v>
      </c>
      <c r="R2884">
        <v>113.73</v>
      </c>
      <c r="U2884">
        <v>28080</v>
      </c>
      <c r="V2884" t="s">
        <v>10529</v>
      </c>
      <c r="W2884">
        <v>0</v>
      </c>
      <c r="Y2884" t="s">
        <v>10897</v>
      </c>
      <c r="AA2884" t="s">
        <v>10974</v>
      </c>
      <c r="AB2884" t="s">
        <v>936</v>
      </c>
      <c r="AD2884" t="s">
        <v>11096</v>
      </c>
      <c r="AF2884" t="s">
        <v>11122</v>
      </c>
      <c r="AH2884" t="s">
        <v>10974</v>
      </c>
      <c r="AJ2884" t="s">
        <v>11141</v>
      </c>
      <c r="AK2884" t="s">
        <v>7225</v>
      </c>
      <c r="AM2884">
        <v>840</v>
      </c>
      <c r="AO2884">
        <v>70</v>
      </c>
      <c r="AQ2884" t="s">
        <v>11157</v>
      </c>
      <c r="AS2884" t="s">
        <v>11173</v>
      </c>
      <c r="AU2884">
        <v>19</v>
      </c>
      <c r="AW2884" t="s">
        <v>11187</v>
      </c>
      <c r="AZ2884" t="s">
        <v>11221</v>
      </c>
      <c r="BE2884" t="s">
        <v>13337</v>
      </c>
      <c r="BG2884" t="s">
        <v>15063</v>
      </c>
      <c r="BM2884" t="s">
        <v>15650</v>
      </c>
    </row>
    <row r="2885" spans="1:67">
      <c r="A2885" s="1">
        <f>HYPERLINK("https://lsnyc.legalserver.org/matter/dynamic-profile/view/1840732","17-1840732")</f>
        <v>0</v>
      </c>
      <c r="B2885" t="s">
        <v>173</v>
      </c>
      <c r="C2885" t="s">
        <v>246</v>
      </c>
      <c r="D2885" t="s">
        <v>799</v>
      </c>
      <c r="F2885" t="s">
        <v>2282</v>
      </c>
      <c r="G2885" t="s">
        <v>3172</v>
      </c>
      <c r="H2885" t="s">
        <v>5745</v>
      </c>
      <c r="J2885" t="s">
        <v>7170</v>
      </c>
      <c r="K2885">
        <v>10460</v>
      </c>
      <c r="N2885" t="s">
        <v>7237</v>
      </c>
      <c r="O2885" t="s">
        <v>9108</v>
      </c>
      <c r="P2885">
        <v>1</v>
      </c>
      <c r="Q2885">
        <v>0</v>
      </c>
      <c r="R2885">
        <v>107.79</v>
      </c>
      <c r="S2885" t="s">
        <v>10254</v>
      </c>
      <c r="T2885" t="s">
        <v>10275</v>
      </c>
      <c r="U2885">
        <v>13000</v>
      </c>
      <c r="V2885" t="s">
        <v>10530</v>
      </c>
      <c r="W2885">
        <v>78.7</v>
      </c>
      <c r="X2885" t="s">
        <v>1034</v>
      </c>
      <c r="Y2885" t="s">
        <v>10887</v>
      </c>
      <c r="AA2885" t="s">
        <v>10974</v>
      </c>
      <c r="AB2885" t="s">
        <v>485</v>
      </c>
      <c r="AD2885" t="s">
        <v>11082</v>
      </c>
      <c r="AF2885" t="s">
        <v>11118</v>
      </c>
      <c r="AH2885" t="s">
        <v>10975</v>
      </c>
      <c r="AJ2885" t="s">
        <v>11133</v>
      </c>
      <c r="AK2885" t="s">
        <v>11149</v>
      </c>
      <c r="AM2885">
        <v>1450</v>
      </c>
      <c r="AO2885">
        <v>50</v>
      </c>
      <c r="AQ2885" t="s">
        <v>11157</v>
      </c>
      <c r="AS2885" t="s">
        <v>11173</v>
      </c>
      <c r="AU2885">
        <v>1</v>
      </c>
      <c r="AW2885" t="s">
        <v>11187</v>
      </c>
      <c r="AZ2885" t="s">
        <v>11221</v>
      </c>
      <c r="BE2885" t="s">
        <v>13338</v>
      </c>
      <c r="BG2885" t="s">
        <v>15085</v>
      </c>
      <c r="BM2885" t="s">
        <v>15650</v>
      </c>
      <c r="BO2885" t="s">
        <v>15656</v>
      </c>
    </row>
    <row r="2886" spans="1:67">
      <c r="A2886" s="1">
        <f>HYPERLINK("https://lsnyc.legalserver.org/matter/dynamic-profile/view/1875217","18-1875217")</f>
        <v>0</v>
      </c>
      <c r="B2886" t="s">
        <v>173</v>
      </c>
      <c r="C2886" t="s">
        <v>246</v>
      </c>
      <c r="D2886" t="s">
        <v>844</v>
      </c>
      <c r="F2886" t="s">
        <v>1671</v>
      </c>
      <c r="G2886" t="s">
        <v>1187</v>
      </c>
      <c r="H2886" t="s">
        <v>5746</v>
      </c>
      <c r="I2886" t="s">
        <v>6403</v>
      </c>
      <c r="J2886" t="s">
        <v>7170</v>
      </c>
      <c r="K2886">
        <v>10460</v>
      </c>
      <c r="N2886" t="s">
        <v>7237</v>
      </c>
      <c r="O2886" t="s">
        <v>9109</v>
      </c>
      <c r="P2886">
        <v>1</v>
      </c>
      <c r="Q2886">
        <v>4</v>
      </c>
      <c r="R2886">
        <v>52.66</v>
      </c>
      <c r="U2886">
        <v>15492</v>
      </c>
      <c r="W2886">
        <v>48.1</v>
      </c>
      <c r="X2886" t="s">
        <v>675</v>
      </c>
      <c r="Y2886" t="s">
        <v>10897</v>
      </c>
      <c r="AA2886" t="s">
        <v>10974</v>
      </c>
      <c r="AB2886" t="s">
        <v>754</v>
      </c>
      <c r="AD2886" t="s">
        <v>11082</v>
      </c>
      <c r="AF2886" t="s">
        <v>11118</v>
      </c>
      <c r="AH2886" t="s">
        <v>10975</v>
      </c>
      <c r="AJ2886" t="s">
        <v>11135</v>
      </c>
      <c r="AK2886" t="s">
        <v>7225</v>
      </c>
      <c r="AM2886">
        <v>1042</v>
      </c>
      <c r="AO2886">
        <v>84</v>
      </c>
      <c r="AQ2886" t="s">
        <v>11157</v>
      </c>
      <c r="AS2886" t="s">
        <v>11173</v>
      </c>
      <c r="AU2886">
        <v>3</v>
      </c>
      <c r="AW2886" t="s">
        <v>11187</v>
      </c>
      <c r="AY2886" t="s">
        <v>11216</v>
      </c>
      <c r="AZ2886" t="s">
        <v>11221</v>
      </c>
      <c r="BC2886" t="s">
        <v>11472</v>
      </c>
      <c r="BE2886" t="s">
        <v>13339</v>
      </c>
      <c r="BG2886" t="s">
        <v>15086</v>
      </c>
      <c r="BM2886" t="s">
        <v>15650</v>
      </c>
    </row>
    <row r="2887" spans="1:67">
      <c r="A2887" s="1">
        <f>HYPERLINK("https://lsnyc.legalserver.org/matter/dynamic-profile/view/1885387","18-1885387")</f>
        <v>0</v>
      </c>
      <c r="B2887" t="s">
        <v>173</v>
      </c>
      <c r="C2887" t="s">
        <v>246</v>
      </c>
      <c r="D2887" t="s">
        <v>672</v>
      </c>
      <c r="F2887" t="s">
        <v>1159</v>
      </c>
      <c r="G2887" t="s">
        <v>3529</v>
      </c>
      <c r="H2887" t="s">
        <v>5720</v>
      </c>
      <c r="I2887" t="s">
        <v>6468</v>
      </c>
      <c r="J2887" t="s">
        <v>7170</v>
      </c>
      <c r="K2887">
        <v>10463</v>
      </c>
      <c r="N2887" t="s">
        <v>7237</v>
      </c>
      <c r="O2887" t="s">
        <v>9110</v>
      </c>
      <c r="P2887">
        <v>3</v>
      </c>
      <c r="Q2887">
        <v>1</v>
      </c>
      <c r="R2887">
        <v>219.12</v>
      </c>
      <c r="U2887">
        <v>55000</v>
      </c>
      <c r="W2887">
        <v>0</v>
      </c>
      <c r="Y2887" t="s">
        <v>10897</v>
      </c>
      <c r="AA2887" t="s">
        <v>10974</v>
      </c>
      <c r="AB2887" t="s">
        <v>597</v>
      </c>
      <c r="AD2887" t="s">
        <v>11101</v>
      </c>
      <c r="AF2887" t="s">
        <v>11118</v>
      </c>
      <c r="AH2887" t="s">
        <v>10974</v>
      </c>
      <c r="AJ2887" t="s">
        <v>11141</v>
      </c>
      <c r="AK2887" t="s">
        <v>7225</v>
      </c>
      <c r="AM2887">
        <v>1000</v>
      </c>
      <c r="AO2887">
        <v>55</v>
      </c>
      <c r="AQ2887" t="s">
        <v>11157</v>
      </c>
      <c r="AS2887" t="s">
        <v>11173</v>
      </c>
      <c r="AU2887">
        <v>9</v>
      </c>
      <c r="AW2887" t="s">
        <v>11189</v>
      </c>
      <c r="AZ2887" t="s">
        <v>11221</v>
      </c>
      <c r="BE2887" t="s">
        <v>13340</v>
      </c>
      <c r="BG2887" t="s">
        <v>15058</v>
      </c>
      <c r="BM2887" t="s">
        <v>15650</v>
      </c>
    </row>
    <row r="2888" spans="1:67">
      <c r="A2888" s="1">
        <f>HYPERLINK("https://lsnyc.legalserver.org/matter/dynamic-profile/view/1885512","18-1885512")</f>
        <v>0</v>
      </c>
      <c r="B2888" t="s">
        <v>173</v>
      </c>
      <c r="C2888" t="s">
        <v>246</v>
      </c>
      <c r="D2888" t="s">
        <v>946</v>
      </c>
      <c r="F2888" t="s">
        <v>2283</v>
      </c>
      <c r="G2888" t="s">
        <v>2536</v>
      </c>
      <c r="H2888" t="s">
        <v>5720</v>
      </c>
      <c r="I2888" t="s">
        <v>6731</v>
      </c>
      <c r="J2888" t="s">
        <v>7170</v>
      </c>
      <c r="K2888">
        <v>10463</v>
      </c>
      <c r="N2888" t="s">
        <v>7237</v>
      </c>
      <c r="O2888" t="s">
        <v>9111</v>
      </c>
      <c r="P2888">
        <v>2</v>
      </c>
      <c r="Q2888">
        <v>2</v>
      </c>
      <c r="R2888">
        <v>135.46</v>
      </c>
      <c r="U2888">
        <v>34000</v>
      </c>
      <c r="V2888" t="s">
        <v>10521</v>
      </c>
      <c r="W2888">
        <v>0</v>
      </c>
      <c r="Y2888" t="s">
        <v>10897</v>
      </c>
      <c r="AA2888" t="s">
        <v>10974</v>
      </c>
      <c r="AB2888" t="s">
        <v>597</v>
      </c>
      <c r="AD2888" t="s">
        <v>11101</v>
      </c>
      <c r="AF2888" t="s">
        <v>11118</v>
      </c>
      <c r="AH2888" t="s">
        <v>10974</v>
      </c>
      <c r="AJ2888" t="s">
        <v>11141</v>
      </c>
      <c r="AK2888" t="s">
        <v>7225</v>
      </c>
      <c r="AM2888">
        <v>1074</v>
      </c>
      <c r="AO2888">
        <v>55</v>
      </c>
      <c r="AQ2888" t="s">
        <v>11157</v>
      </c>
      <c r="AS2888" t="s">
        <v>11173</v>
      </c>
      <c r="AU2888">
        <v>7</v>
      </c>
      <c r="AW2888" t="s">
        <v>11189</v>
      </c>
      <c r="AZ2888" t="s">
        <v>11221</v>
      </c>
      <c r="BD2888" t="s">
        <v>11667</v>
      </c>
      <c r="BG2888" t="s">
        <v>15058</v>
      </c>
      <c r="BM2888" t="s">
        <v>15650</v>
      </c>
    </row>
    <row r="2889" spans="1:67">
      <c r="A2889" s="1">
        <f>HYPERLINK("https://lsnyc.legalserver.org/matter/dynamic-profile/view/1869632","18-1869632")</f>
        <v>0</v>
      </c>
      <c r="B2889" t="s">
        <v>173</v>
      </c>
      <c r="C2889" t="s">
        <v>246</v>
      </c>
      <c r="D2889" t="s">
        <v>947</v>
      </c>
      <c r="F2889" t="s">
        <v>2284</v>
      </c>
      <c r="G2889" t="s">
        <v>4097</v>
      </c>
      <c r="H2889" t="s">
        <v>5747</v>
      </c>
      <c r="I2889" t="s">
        <v>6927</v>
      </c>
      <c r="J2889" t="s">
        <v>7170</v>
      </c>
      <c r="K2889">
        <v>10453</v>
      </c>
      <c r="N2889" t="s">
        <v>7237</v>
      </c>
      <c r="O2889" t="s">
        <v>9112</v>
      </c>
      <c r="P2889">
        <v>1</v>
      </c>
      <c r="Q2889">
        <v>0</v>
      </c>
      <c r="R2889">
        <v>129.36</v>
      </c>
      <c r="U2889">
        <v>15704</v>
      </c>
      <c r="W2889">
        <v>29.15</v>
      </c>
      <c r="X2889" t="s">
        <v>319</v>
      </c>
      <c r="Y2889" t="s">
        <v>10875</v>
      </c>
      <c r="AA2889" t="s">
        <v>10974</v>
      </c>
      <c r="AB2889" t="s">
        <v>702</v>
      </c>
      <c r="AD2889" t="s">
        <v>11082</v>
      </c>
      <c r="AF2889" t="s">
        <v>11118</v>
      </c>
      <c r="AH2889" t="s">
        <v>10975</v>
      </c>
      <c r="AJ2889" t="s">
        <v>11136</v>
      </c>
      <c r="AK2889" t="s">
        <v>7225</v>
      </c>
      <c r="AM2889">
        <v>1081.66</v>
      </c>
      <c r="AO2889">
        <v>20</v>
      </c>
      <c r="AQ2889" t="s">
        <v>11157</v>
      </c>
      <c r="AS2889" t="s">
        <v>11173</v>
      </c>
      <c r="AU2889">
        <v>16</v>
      </c>
      <c r="AW2889" t="s">
        <v>11189</v>
      </c>
      <c r="AZ2889" t="s">
        <v>11221</v>
      </c>
      <c r="BE2889" t="s">
        <v>13341</v>
      </c>
      <c r="BG2889" t="s">
        <v>15087</v>
      </c>
      <c r="BM2889" t="s">
        <v>15650</v>
      </c>
    </row>
    <row r="2890" spans="1:67">
      <c r="A2890" s="1">
        <f>HYPERLINK("https://lsnyc.legalserver.org/matter/dynamic-profile/view/1872194","18-1872194")</f>
        <v>0</v>
      </c>
      <c r="B2890" t="s">
        <v>173</v>
      </c>
      <c r="C2890" t="s">
        <v>246</v>
      </c>
      <c r="D2890" t="s">
        <v>939</v>
      </c>
      <c r="F2890" t="s">
        <v>1601</v>
      </c>
      <c r="G2890" t="s">
        <v>1149</v>
      </c>
      <c r="H2890" t="s">
        <v>5722</v>
      </c>
      <c r="I2890" t="s">
        <v>6450</v>
      </c>
      <c r="J2890" t="s">
        <v>7170</v>
      </c>
      <c r="K2890">
        <v>10452</v>
      </c>
      <c r="N2890" t="s">
        <v>7237</v>
      </c>
      <c r="O2890" t="s">
        <v>9107</v>
      </c>
      <c r="P2890">
        <v>2</v>
      </c>
      <c r="Q2890">
        <v>0</v>
      </c>
      <c r="R2890">
        <v>113.73</v>
      </c>
      <c r="U2890">
        <v>18720</v>
      </c>
      <c r="V2890" t="s">
        <v>10531</v>
      </c>
      <c r="W2890">
        <v>0</v>
      </c>
      <c r="Y2890" t="s">
        <v>10865</v>
      </c>
      <c r="AA2890" t="s">
        <v>10974</v>
      </c>
      <c r="AB2890" t="s">
        <v>939</v>
      </c>
      <c r="AD2890" t="s">
        <v>11096</v>
      </c>
      <c r="AF2890" t="s">
        <v>11122</v>
      </c>
      <c r="AH2890" t="s">
        <v>10974</v>
      </c>
      <c r="AJ2890" t="s">
        <v>11129</v>
      </c>
      <c r="AK2890" t="s">
        <v>7225</v>
      </c>
      <c r="AM2890">
        <v>840</v>
      </c>
      <c r="AN2890" t="s">
        <v>11151</v>
      </c>
      <c r="AO2890" t="s">
        <v>11153</v>
      </c>
      <c r="AQ2890" t="s">
        <v>11157</v>
      </c>
      <c r="AR2890" t="s">
        <v>11172</v>
      </c>
      <c r="AU2890">
        <v>19</v>
      </c>
      <c r="AW2890" t="s">
        <v>11187</v>
      </c>
      <c r="AZ2890" t="s">
        <v>11221</v>
      </c>
      <c r="BE2890" t="s">
        <v>13337</v>
      </c>
      <c r="BF2890" t="s">
        <v>14364</v>
      </c>
      <c r="BM2890" t="s">
        <v>15650</v>
      </c>
    </row>
    <row r="2891" spans="1:67">
      <c r="A2891" s="1">
        <f>HYPERLINK("https://lsnyc.legalserver.org/matter/dynamic-profile/view/1861638","18-1861638")</f>
        <v>0</v>
      </c>
      <c r="B2891" t="s">
        <v>173</v>
      </c>
      <c r="C2891" t="s">
        <v>246</v>
      </c>
      <c r="D2891" t="s">
        <v>873</v>
      </c>
      <c r="F2891" t="s">
        <v>2285</v>
      </c>
      <c r="G2891" t="s">
        <v>4098</v>
      </c>
      <c r="H2891" t="s">
        <v>5748</v>
      </c>
      <c r="I2891" t="s">
        <v>6491</v>
      </c>
      <c r="J2891" t="s">
        <v>7170</v>
      </c>
      <c r="K2891">
        <v>10453</v>
      </c>
      <c r="N2891" t="s">
        <v>7237</v>
      </c>
      <c r="O2891" t="s">
        <v>9113</v>
      </c>
      <c r="P2891">
        <v>2</v>
      </c>
      <c r="Q2891">
        <v>2</v>
      </c>
      <c r="R2891">
        <v>129.08</v>
      </c>
      <c r="U2891">
        <v>32400</v>
      </c>
      <c r="W2891">
        <v>17.05</v>
      </c>
      <c r="X2891" t="s">
        <v>1034</v>
      </c>
      <c r="Y2891" t="s">
        <v>10876</v>
      </c>
      <c r="AA2891" t="s">
        <v>10974</v>
      </c>
      <c r="AB2891" t="s">
        <v>1047</v>
      </c>
      <c r="AD2891" t="s">
        <v>11082</v>
      </c>
      <c r="AF2891" t="s">
        <v>11118</v>
      </c>
      <c r="AH2891" t="s">
        <v>10975</v>
      </c>
      <c r="AJ2891" t="s">
        <v>11144</v>
      </c>
      <c r="AK2891" t="s">
        <v>7225</v>
      </c>
      <c r="AM2891">
        <v>1515</v>
      </c>
      <c r="AO2891">
        <v>48</v>
      </c>
      <c r="AQ2891" t="s">
        <v>11157</v>
      </c>
      <c r="AS2891" t="s">
        <v>11178</v>
      </c>
      <c r="AU2891">
        <v>2</v>
      </c>
      <c r="AW2891" t="s">
        <v>11187</v>
      </c>
      <c r="AZ2891" t="s">
        <v>11221</v>
      </c>
      <c r="BB2891" t="s">
        <v>11224</v>
      </c>
      <c r="BC2891" t="s">
        <v>11473</v>
      </c>
      <c r="BE2891" t="s">
        <v>13342</v>
      </c>
      <c r="BG2891" t="s">
        <v>15088</v>
      </c>
      <c r="BM2891" t="s">
        <v>15650</v>
      </c>
      <c r="BO2891" t="s">
        <v>15656</v>
      </c>
    </row>
    <row r="2892" spans="1:67">
      <c r="A2892" s="1">
        <f>HYPERLINK("https://lsnyc.legalserver.org/matter/dynamic-profile/view/1866057","18-1866057")</f>
        <v>0</v>
      </c>
      <c r="B2892" t="s">
        <v>173</v>
      </c>
      <c r="C2892" t="s">
        <v>246</v>
      </c>
      <c r="D2892" t="s">
        <v>849</v>
      </c>
      <c r="F2892" t="s">
        <v>2286</v>
      </c>
      <c r="G2892" t="s">
        <v>4090</v>
      </c>
      <c r="H2892" t="s">
        <v>5259</v>
      </c>
      <c r="I2892" t="s">
        <v>6424</v>
      </c>
      <c r="J2892" t="s">
        <v>7170</v>
      </c>
      <c r="K2892">
        <v>10453</v>
      </c>
      <c r="N2892" t="s">
        <v>7237</v>
      </c>
      <c r="O2892" t="s">
        <v>9114</v>
      </c>
      <c r="P2892">
        <v>3</v>
      </c>
      <c r="Q2892">
        <v>6</v>
      </c>
      <c r="R2892">
        <v>36.33</v>
      </c>
      <c r="U2892">
        <v>16968</v>
      </c>
      <c r="W2892">
        <v>58.8</v>
      </c>
      <c r="X2892" t="s">
        <v>1020</v>
      </c>
      <c r="Y2892" t="s">
        <v>173</v>
      </c>
      <c r="AA2892" t="s">
        <v>10974</v>
      </c>
      <c r="AB2892" t="s">
        <v>939</v>
      </c>
      <c r="AD2892" t="s">
        <v>11101</v>
      </c>
      <c r="AF2892" t="s">
        <v>11118</v>
      </c>
      <c r="AH2892" t="s">
        <v>10975</v>
      </c>
      <c r="AJ2892" t="s">
        <v>11129</v>
      </c>
      <c r="AK2892" t="s">
        <v>7225</v>
      </c>
      <c r="AM2892">
        <v>1437.99</v>
      </c>
      <c r="AO2892">
        <v>101</v>
      </c>
      <c r="AQ2892" t="s">
        <v>11157</v>
      </c>
      <c r="AS2892" t="s">
        <v>11174</v>
      </c>
      <c r="AU2892">
        <v>15</v>
      </c>
      <c r="AW2892" t="s">
        <v>11187</v>
      </c>
      <c r="AZ2892" t="s">
        <v>11221</v>
      </c>
      <c r="BD2892" t="s">
        <v>11667</v>
      </c>
      <c r="BF2892" t="s">
        <v>14364</v>
      </c>
      <c r="BG2892" t="s">
        <v>15089</v>
      </c>
      <c r="BM2892" t="s">
        <v>15650</v>
      </c>
    </row>
    <row r="2893" spans="1:67">
      <c r="A2893" s="1">
        <f>HYPERLINK("https://lsnyc.legalserver.org/matter/dynamic-profile/view/1872758","18-1872758")</f>
        <v>0</v>
      </c>
      <c r="B2893" t="s">
        <v>173</v>
      </c>
      <c r="C2893" t="s">
        <v>246</v>
      </c>
      <c r="D2893" t="s">
        <v>936</v>
      </c>
      <c r="F2893" t="s">
        <v>2287</v>
      </c>
      <c r="G2893" t="s">
        <v>2308</v>
      </c>
      <c r="H2893" t="s">
        <v>5717</v>
      </c>
      <c r="I2893" t="s">
        <v>6757</v>
      </c>
      <c r="J2893" t="s">
        <v>7170</v>
      </c>
      <c r="K2893">
        <v>10452</v>
      </c>
      <c r="N2893" t="s">
        <v>7237</v>
      </c>
      <c r="O2893" t="s">
        <v>9115</v>
      </c>
      <c r="P2893">
        <v>2</v>
      </c>
      <c r="Q2893">
        <v>0</v>
      </c>
      <c r="R2893">
        <v>170.11</v>
      </c>
      <c r="U2893">
        <v>28000</v>
      </c>
      <c r="W2893">
        <v>0.25</v>
      </c>
      <c r="X2893" t="s">
        <v>1038</v>
      </c>
      <c r="Y2893" t="s">
        <v>10865</v>
      </c>
      <c r="AA2893" t="s">
        <v>10974</v>
      </c>
      <c r="AB2893" t="s">
        <v>936</v>
      </c>
      <c r="AD2893" t="s">
        <v>11096</v>
      </c>
      <c r="AF2893" t="s">
        <v>11122</v>
      </c>
      <c r="AH2893" t="s">
        <v>10974</v>
      </c>
      <c r="AJ2893" t="s">
        <v>11141</v>
      </c>
      <c r="AK2893" t="s">
        <v>7225</v>
      </c>
      <c r="AM2893">
        <v>922.02</v>
      </c>
      <c r="AN2893" t="s">
        <v>11151</v>
      </c>
      <c r="AO2893" t="s">
        <v>11153</v>
      </c>
      <c r="AQ2893" t="s">
        <v>11157</v>
      </c>
      <c r="AS2893" t="s">
        <v>11173</v>
      </c>
      <c r="AU2893">
        <v>12</v>
      </c>
      <c r="AW2893" t="s">
        <v>11189</v>
      </c>
      <c r="AZ2893" t="s">
        <v>11221</v>
      </c>
      <c r="BE2893" t="s">
        <v>13343</v>
      </c>
      <c r="BG2893" t="s">
        <v>15063</v>
      </c>
      <c r="BM2893" t="s">
        <v>15650</v>
      </c>
    </row>
    <row r="2894" spans="1:67">
      <c r="A2894" s="1">
        <f>HYPERLINK("https://lsnyc.legalserver.org/matter/dynamic-profile/view/0802735","16-0802735")</f>
        <v>0</v>
      </c>
      <c r="B2894" t="s">
        <v>173</v>
      </c>
      <c r="C2894" t="s">
        <v>246</v>
      </c>
      <c r="D2894" t="s">
        <v>948</v>
      </c>
      <c r="F2894" t="s">
        <v>1302</v>
      </c>
      <c r="G2894" t="s">
        <v>3960</v>
      </c>
      <c r="H2894" t="s">
        <v>5722</v>
      </c>
      <c r="I2894" t="s">
        <v>6447</v>
      </c>
      <c r="J2894" t="s">
        <v>7170</v>
      </c>
      <c r="K2894">
        <v>10452</v>
      </c>
      <c r="N2894" t="s">
        <v>7237</v>
      </c>
      <c r="O2894" t="s">
        <v>9092</v>
      </c>
      <c r="P2894">
        <v>2</v>
      </c>
      <c r="Q2894">
        <v>0</v>
      </c>
      <c r="R2894">
        <v>109.06</v>
      </c>
      <c r="U2894">
        <v>17472</v>
      </c>
      <c r="W2894">
        <v>0.5</v>
      </c>
      <c r="X2894" t="s">
        <v>10840</v>
      </c>
      <c r="Y2894" t="s">
        <v>138</v>
      </c>
      <c r="AA2894" t="s">
        <v>10974</v>
      </c>
      <c r="AB2894" t="s">
        <v>510</v>
      </c>
      <c r="AD2894" t="s">
        <v>11107</v>
      </c>
      <c r="AF2894" t="s">
        <v>11118</v>
      </c>
      <c r="AH2894" t="s">
        <v>10974</v>
      </c>
      <c r="AJ2894" t="s">
        <v>11141</v>
      </c>
      <c r="AK2894" t="s">
        <v>7225</v>
      </c>
      <c r="AM2894">
        <v>789</v>
      </c>
      <c r="AN2894" t="s">
        <v>11151</v>
      </c>
      <c r="AO2894" t="s">
        <v>11153</v>
      </c>
      <c r="AQ2894" t="s">
        <v>11157</v>
      </c>
      <c r="AR2894" t="s">
        <v>11172</v>
      </c>
      <c r="AU2894">
        <v>40</v>
      </c>
      <c r="AW2894" t="s">
        <v>11187</v>
      </c>
      <c r="AZ2894" t="s">
        <v>11221</v>
      </c>
      <c r="BE2894" t="s">
        <v>13325</v>
      </c>
      <c r="BF2894" t="s">
        <v>14364</v>
      </c>
      <c r="BM2894" t="s">
        <v>15650</v>
      </c>
    </row>
    <row r="2895" spans="1:67">
      <c r="A2895" s="1">
        <f>HYPERLINK("https://lsnyc.legalserver.org/matter/dynamic-profile/view/0802598","16-0802598")</f>
        <v>0</v>
      </c>
      <c r="B2895" t="s">
        <v>173</v>
      </c>
      <c r="C2895" t="s">
        <v>246</v>
      </c>
      <c r="D2895" t="s">
        <v>756</v>
      </c>
      <c r="F2895" t="s">
        <v>1601</v>
      </c>
      <c r="G2895" t="s">
        <v>1149</v>
      </c>
      <c r="H2895" t="s">
        <v>5722</v>
      </c>
      <c r="I2895" t="s">
        <v>6450</v>
      </c>
      <c r="J2895" t="s">
        <v>7170</v>
      </c>
      <c r="K2895">
        <v>10452</v>
      </c>
      <c r="N2895" t="s">
        <v>7237</v>
      </c>
      <c r="O2895" t="s">
        <v>9107</v>
      </c>
      <c r="P2895">
        <v>2</v>
      </c>
      <c r="Q2895">
        <v>0</v>
      </c>
      <c r="R2895">
        <v>116.85</v>
      </c>
      <c r="U2895">
        <v>18720</v>
      </c>
      <c r="W2895">
        <v>0.2</v>
      </c>
      <c r="X2895" t="s">
        <v>645</v>
      </c>
      <c r="Y2895" t="s">
        <v>138</v>
      </c>
      <c r="AA2895" t="s">
        <v>10974</v>
      </c>
      <c r="AB2895" t="s">
        <v>930</v>
      </c>
      <c r="AD2895" t="s">
        <v>11085</v>
      </c>
      <c r="AF2895" t="s">
        <v>11118</v>
      </c>
      <c r="AH2895" t="s">
        <v>10974</v>
      </c>
      <c r="AJ2895" t="s">
        <v>11141</v>
      </c>
      <c r="AK2895" t="s">
        <v>7225</v>
      </c>
      <c r="AM2895">
        <v>840</v>
      </c>
      <c r="AN2895" t="s">
        <v>11151</v>
      </c>
      <c r="AO2895" t="s">
        <v>11153</v>
      </c>
      <c r="AQ2895" t="s">
        <v>11157</v>
      </c>
      <c r="AR2895" t="s">
        <v>11172</v>
      </c>
      <c r="AU2895">
        <v>18</v>
      </c>
      <c r="AW2895" t="s">
        <v>11187</v>
      </c>
      <c r="AZ2895" t="s">
        <v>11221</v>
      </c>
      <c r="BE2895" t="s">
        <v>13337</v>
      </c>
      <c r="BF2895" t="s">
        <v>14364</v>
      </c>
      <c r="BM2895" t="s">
        <v>15650</v>
      </c>
    </row>
    <row r="2896" spans="1:67">
      <c r="A2896" s="1">
        <f>HYPERLINK("https://lsnyc.legalserver.org/matter/dynamic-profile/view/0802610","16-0802610")</f>
        <v>0</v>
      </c>
      <c r="B2896" t="s">
        <v>173</v>
      </c>
      <c r="C2896" t="s">
        <v>246</v>
      </c>
      <c r="D2896" t="s">
        <v>756</v>
      </c>
      <c r="F2896" t="s">
        <v>2288</v>
      </c>
      <c r="G2896" t="s">
        <v>4089</v>
      </c>
      <c r="H2896" t="s">
        <v>5715</v>
      </c>
      <c r="I2896" t="s">
        <v>6924</v>
      </c>
      <c r="J2896" t="s">
        <v>7170</v>
      </c>
      <c r="K2896">
        <v>10452</v>
      </c>
      <c r="N2896" t="s">
        <v>7237</v>
      </c>
      <c r="O2896" t="s">
        <v>9096</v>
      </c>
      <c r="P2896">
        <v>2</v>
      </c>
      <c r="Q2896">
        <v>0</v>
      </c>
      <c r="R2896">
        <v>108.61</v>
      </c>
      <c r="U2896">
        <v>17400</v>
      </c>
      <c r="W2896">
        <v>265.85</v>
      </c>
      <c r="X2896" t="s">
        <v>614</v>
      </c>
      <c r="Y2896" t="s">
        <v>138</v>
      </c>
      <c r="AA2896" t="s">
        <v>10974</v>
      </c>
      <c r="AB2896" t="s">
        <v>930</v>
      </c>
      <c r="AD2896" t="s">
        <v>11107</v>
      </c>
      <c r="AF2896" t="s">
        <v>11118</v>
      </c>
      <c r="AH2896" t="s">
        <v>10974</v>
      </c>
      <c r="AJ2896" t="s">
        <v>11141</v>
      </c>
      <c r="AK2896" t="s">
        <v>7225</v>
      </c>
      <c r="AM2896">
        <v>996</v>
      </c>
      <c r="AN2896" t="s">
        <v>11151</v>
      </c>
      <c r="AO2896" t="s">
        <v>11153</v>
      </c>
      <c r="AQ2896" t="s">
        <v>11157</v>
      </c>
      <c r="AR2896" t="s">
        <v>11172</v>
      </c>
      <c r="AU2896">
        <v>3</v>
      </c>
      <c r="AW2896" t="s">
        <v>11187</v>
      </c>
      <c r="AZ2896" t="s">
        <v>11221</v>
      </c>
      <c r="BE2896" t="s">
        <v>13329</v>
      </c>
      <c r="BF2896" t="s">
        <v>14364</v>
      </c>
      <c r="BG2896" t="s">
        <v>15090</v>
      </c>
      <c r="BM2896" t="s">
        <v>15650</v>
      </c>
    </row>
    <row r="2897" spans="1:67">
      <c r="A2897" s="1">
        <f>HYPERLINK("https://lsnyc.legalserver.org/matter/dynamic-profile/view/1885045","18-1885045")</f>
        <v>0</v>
      </c>
      <c r="B2897" t="s">
        <v>173</v>
      </c>
      <c r="C2897" t="s">
        <v>246</v>
      </c>
      <c r="D2897" t="s">
        <v>542</v>
      </c>
      <c r="F2897" t="s">
        <v>1177</v>
      </c>
      <c r="G2897" t="s">
        <v>4089</v>
      </c>
      <c r="H2897" t="s">
        <v>5715</v>
      </c>
      <c r="I2897" t="s">
        <v>6924</v>
      </c>
      <c r="J2897" t="s">
        <v>7170</v>
      </c>
      <c r="K2897">
        <v>10452</v>
      </c>
      <c r="N2897" t="s">
        <v>7237</v>
      </c>
      <c r="O2897" t="s">
        <v>9096</v>
      </c>
      <c r="P2897">
        <v>2</v>
      </c>
      <c r="Q2897">
        <v>0</v>
      </c>
      <c r="R2897">
        <v>105.71</v>
      </c>
      <c r="U2897">
        <v>17400</v>
      </c>
      <c r="W2897">
        <v>12.8</v>
      </c>
      <c r="X2897" t="s">
        <v>551</v>
      </c>
      <c r="Y2897" t="s">
        <v>10865</v>
      </c>
      <c r="AA2897" t="s">
        <v>10974</v>
      </c>
      <c r="AB2897" t="s">
        <v>11056</v>
      </c>
      <c r="AD2897" t="s">
        <v>11082</v>
      </c>
      <c r="AF2897" t="s">
        <v>11118</v>
      </c>
      <c r="AH2897" t="s">
        <v>10975</v>
      </c>
      <c r="AJ2897" t="s">
        <v>11129</v>
      </c>
      <c r="AK2897" t="s">
        <v>7225</v>
      </c>
      <c r="AM2897">
        <v>996</v>
      </c>
      <c r="AO2897">
        <v>71</v>
      </c>
      <c r="AQ2897" t="s">
        <v>11157</v>
      </c>
      <c r="AS2897" t="s">
        <v>11173</v>
      </c>
      <c r="AU2897">
        <v>5</v>
      </c>
      <c r="AW2897" t="s">
        <v>11187</v>
      </c>
      <c r="AZ2897" t="s">
        <v>11221</v>
      </c>
      <c r="BE2897" t="s">
        <v>13329</v>
      </c>
      <c r="BG2897" t="s">
        <v>15091</v>
      </c>
      <c r="BM2897" t="s">
        <v>15650</v>
      </c>
    </row>
    <row r="2898" spans="1:67">
      <c r="A2898" s="1">
        <f>HYPERLINK("https://lsnyc.legalserver.org/matter/dynamic-profile/view/1872761","18-1872761")</f>
        <v>0</v>
      </c>
      <c r="B2898" t="s">
        <v>173</v>
      </c>
      <c r="C2898" t="s">
        <v>246</v>
      </c>
      <c r="D2898" t="s">
        <v>939</v>
      </c>
      <c r="F2898" t="s">
        <v>2287</v>
      </c>
      <c r="G2898" t="s">
        <v>2308</v>
      </c>
      <c r="H2898" t="s">
        <v>5717</v>
      </c>
      <c r="I2898" t="s">
        <v>6757</v>
      </c>
      <c r="J2898" t="s">
        <v>7170</v>
      </c>
      <c r="K2898">
        <v>10452</v>
      </c>
      <c r="N2898" t="s">
        <v>7237</v>
      </c>
      <c r="O2898" t="s">
        <v>9115</v>
      </c>
      <c r="P2898">
        <v>2</v>
      </c>
      <c r="Q2898">
        <v>0</v>
      </c>
      <c r="R2898">
        <v>170.11</v>
      </c>
      <c r="U2898">
        <v>28000</v>
      </c>
      <c r="W2898">
        <v>0.25</v>
      </c>
      <c r="X2898" t="s">
        <v>1038</v>
      </c>
      <c r="Y2898" t="s">
        <v>10865</v>
      </c>
      <c r="AA2898" t="s">
        <v>10974</v>
      </c>
      <c r="AB2898" t="s">
        <v>939</v>
      </c>
      <c r="AD2898" t="s">
        <v>11096</v>
      </c>
      <c r="AF2898" t="s">
        <v>11122</v>
      </c>
      <c r="AH2898" t="s">
        <v>10974</v>
      </c>
      <c r="AJ2898" t="s">
        <v>11141</v>
      </c>
      <c r="AK2898" t="s">
        <v>7225</v>
      </c>
      <c r="AM2898">
        <v>922.02</v>
      </c>
      <c r="AN2898" t="s">
        <v>11151</v>
      </c>
      <c r="AO2898" t="s">
        <v>11153</v>
      </c>
      <c r="AQ2898" t="s">
        <v>11157</v>
      </c>
      <c r="AS2898" t="s">
        <v>11173</v>
      </c>
      <c r="AU2898">
        <v>12</v>
      </c>
      <c r="AW2898" t="s">
        <v>11189</v>
      </c>
      <c r="AZ2898" t="s">
        <v>11221</v>
      </c>
      <c r="BE2898" t="s">
        <v>13343</v>
      </c>
      <c r="BF2898" t="s">
        <v>14364</v>
      </c>
      <c r="BM2898" t="s">
        <v>15650</v>
      </c>
    </row>
    <row r="2899" spans="1:67">
      <c r="A2899" s="1">
        <f>HYPERLINK("https://lsnyc.legalserver.org/matter/dynamic-profile/view/1865230","18-1865230")</f>
        <v>0</v>
      </c>
      <c r="B2899" t="s">
        <v>173</v>
      </c>
      <c r="C2899" t="s">
        <v>246</v>
      </c>
      <c r="D2899" t="s">
        <v>836</v>
      </c>
      <c r="F2899" t="s">
        <v>2265</v>
      </c>
      <c r="G2899" t="s">
        <v>4076</v>
      </c>
      <c r="H2899" t="s">
        <v>5715</v>
      </c>
      <c r="I2899" t="s">
        <v>6662</v>
      </c>
      <c r="J2899" t="s">
        <v>7170</v>
      </c>
      <c r="K2899">
        <v>10452</v>
      </c>
      <c r="N2899" t="s">
        <v>7237</v>
      </c>
      <c r="O2899" t="s">
        <v>7515</v>
      </c>
      <c r="P2899">
        <v>1</v>
      </c>
      <c r="Q2899">
        <v>4</v>
      </c>
      <c r="R2899">
        <v>36.38</v>
      </c>
      <c r="U2899">
        <v>10704</v>
      </c>
      <c r="W2899">
        <v>0</v>
      </c>
      <c r="Y2899" t="s">
        <v>10897</v>
      </c>
      <c r="AA2899" t="s">
        <v>10974</v>
      </c>
      <c r="AB2899" t="s">
        <v>936</v>
      </c>
      <c r="AD2899" t="s">
        <v>11096</v>
      </c>
      <c r="AF2899" t="s">
        <v>11122</v>
      </c>
      <c r="AH2899" t="s">
        <v>10974</v>
      </c>
      <c r="AJ2899" t="s">
        <v>11129</v>
      </c>
      <c r="AK2899" t="s">
        <v>7225</v>
      </c>
      <c r="AM2899">
        <v>1285</v>
      </c>
      <c r="AO2899">
        <v>71</v>
      </c>
      <c r="AQ2899" t="s">
        <v>11157</v>
      </c>
      <c r="AS2899" t="s">
        <v>11173</v>
      </c>
      <c r="AU2899">
        <v>15</v>
      </c>
      <c r="AW2899" t="s">
        <v>11209</v>
      </c>
      <c r="AZ2899" t="s">
        <v>11221</v>
      </c>
      <c r="BC2899" t="s">
        <v>11474</v>
      </c>
      <c r="BE2899" t="s">
        <v>13305</v>
      </c>
      <c r="BG2899" t="s">
        <v>15063</v>
      </c>
      <c r="BM2899" t="s">
        <v>15650</v>
      </c>
    </row>
    <row r="2900" spans="1:67">
      <c r="A2900" s="1">
        <f>HYPERLINK("https://lsnyc.legalserver.org/matter/dynamic-profile/view/1879141","18-1879141")</f>
        <v>0</v>
      </c>
      <c r="B2900" t="s">
        <v>173</v>
      </c>
      <c r="C2900" t="s">
        <v>246</v>
      </c>
      <c r="D2900" t="s">
        <v>609</v>
      </c>
      <c r="F2900" t="s">
        <v>1122</v>
      </c>
      <c r="G2900" t="s">
        <v>2902</v>
      </c>
      <c r="H2900" t="s">
        <v>5749</v>
      </c>
      <c r="I2900" t="s">
        <v>6928</v>
      </c>
      <c r="J2900" t="s">
        <v>7170</v>
      </c>
      <c r="K2900">
        <v>10452</v>
      </c>
      <c r="N2900" t="s">
        <v>7237</v>
      </c>
      <c r="O2900" t="s">
        <v>9116</v>
      </c>
      <c r="P2900">
        <v>1</v>
      </c>
      <c r="Q2900">
        <v>1</v>
      </c>
      <c r="R2900">
        <v>63.18</v>
      </c>
      <c r="U2900">
        <v>10400</v>
      </c>
      <c r="V2900" t="s">
        <v>10532</v>
      </c>
      <c r="W2900">
        <v>0.5</v>
      </c>
      <c r="X2900" t="s">
        <v>609</v>
      </c>
      <c r="Y2900" t="s">
        <v>10892</v>
      </c>
      <c r="AA2900" t="s">
        <v>10974</v>
      </c>
      <c r="AB2900" t="s">
        <v>531</v>
      </c>
      <c r="AD2900" t="s">
        <v>11082</v>
      </c>
      <c r="AF2900" t="s">
        <v>11119</v>
      </c>
      <c r="AH2900" t="s">
        <v>10975</v>
      </c>
      <c r="AI2900" t="s">
        <v>11126</v>
      </c>
      <c r="AK2900" t="s">
        <v>7225</v>
      </c>
      <c r="AM2900">
        <v>1225</v>
      </c>
      <c r="AO2900">
        <v>109</v>
      </c>
      <c r="AQ2900" t="s">
        <v>11157</v>
      </c>
      <c r="AS2900" t="s">
        <v>11173</v>
      </c>
      <c r="AU2900">
        <v>2</v>
      </c>
      <c r="AW2900" t="s">
        <v>11189</v>
      </c>
      <c r="AZ2900" t="s">
        <v>11221</v>
      </c>
      <c r="BE2900" t="s">
        <v>13344</v>
      </c>
      <c r="BF2900" t="s">
        <v>14364</v>
      </c>
      <c r="BM2900" t="s">
        <v>15650</v>
      </c>
    </row>
    <row r="2901" spans="1:67">
      <c r="A2901" s="1">
        <f>HYPERLINK("https://lsnyc.legalserver.org/matter/dynamic-profile/view/1870023","18-1870023")</f>
        <v>0</v>
      </c>
      <c r="B2901" t="s">
        <v>173</v>
      </c>
      <c r="C2901" t="s">
        <v>246</v>
      </c>
      <c r="D2901" t="s">
        <v>522</v>
      </c>
      <c r="F2901" t="s">
        <v>1459</v>
      </c>
      <c r="G2901" t="s">
        <v>2960</v>
      </c>
      <c r="H2901" t="s">
        <v>5750</v>
      </c>
      <c r="I2901" t="s">
        <v>6929</v>
      </c>
      <c r="J2901" t="s">
        <v>7170</v>
      </c>
      <c r="K2901">
        <v>10467</v>
      </c>
      <c r="N2901" t="s">
        <v>7237</v>
      </c>
      <c r="O2901" t="s">
        <v>8989</v>
      </c>
      <c r="P2901">
        <v>1</v>
      </c>
      <c r="Q2901">
        <v>1</v>
      </c>
      <c r="R2901">
        <v>168.07</v>
      </c>
      <c r="U2901">
        <v>27664</v>
      </c>
      <c r="V2901" t="s">
        <v>10306</v>
      </c>
      <c r="W2901">
        <v>9.4</v>
      </c>
      <c r="X2901" t="s">
        <v>773</v>
      </c>
      <c r="Y2901" t="s">
        <v>10866</v>
      </c>
      <c r="AA2901" t="s">
        <v>10974</v>
      </c>
      <c r="AB2901" t="s">
        <v>522</v>
      </c>
      <c r="AD2901" t="s">
        <v>11082</v>
      </c>
      <c r="AF2901" t="s">
        <v>11118</v>
      </c>
      <c r="AG2901" t="s">
        <v>11124</v>
      </c>
      <c r="AJ2901" t="s">
        <v>11136</v>
      </c>
      <c r="AK2901" t="s">
        <v>7225</v>
      </c>
      <c r="AM2901">
        <v>972.48</v>
      </c>
      <c r="AN2901" t="s">
        <v>11151</v>
      </c>
      <c r="AO2901" t="s">
        <v>11153</v>
      </c>
      <c r="AQ2901" t="s">
        <v>11157</v>
      </c>
      <c r="AS2901" t="s">
        <v>11173</v>
      </c>
      <c r="AU2901">
        <v>21</v>
      </c>
      <c r="AV2901" t="s">
        <v>11186</v>
      </c>
      <c r="AZ2901" t="s">
        <v>11221</v>
      </c>
      <c r="BC2901" t="s">
        <v>11475</v>
      </c>
      <c r="BE2901" t="s">
        <v>13345</v>
      </c>
      <c r="BG2901" t="s">
        <v>15092</v>
      </c>
      <c r="BI2901" t="s">
        <v>15606</v>
      </c>
      <c r="BK2901" t="s">
        <v>15618</v>
      </c>
      <c r="BM2901" t="s">
        <v>15650</v>
      </c>
      <c r="BN2901" t="s">
        <v>15652</v>
      </c>
      <c r="BO2901" t="s">
        <v>15717</v>
      </c>
    </row>
    <row r="2902" spans="1:67">
      <c r="A2902" s="1">
        <f>HYPERLINK("https://lsnyc.legalserver.org/matter/dynamic-profile/view/0802595","16-0802595")</f>
        <v>0</v>
      </c>
      <c r="B2902" t="s">
        <v>173</v>
      </c>
      <c r="C2902" t="s">
        <v>246</v>
      </c>
      <c r="D2902" t="s">
        <v>756</v>
      </c>
      <c r="F2902" t="s">
        <v>2275</v>
      </c>
      <c r="G2902" t="s">
        <v>2913</v>
      </c>
      <c r="H2902" t="s">
        <v>5722</v>
      </c>
      <c r="J2902" t="s">
        <v>7170</v>
      </c>
      <c r="K2902">
        <v>10452</v>
      </c>
      <c r="N2902" t="s">
        <v>7237</v>
      </c>
      <c r="O2902" t="s">
        <v>9094</v>
      </c>
      <c r="P2902">
        <v>1</v>
      </c>
      <c r="Q2902">
        <v>3</v>
      </c>
      <c r="R2902">
        <v>29.63</v>
      </c>
      <c r="U2902">
        <v>7200</v>
      </c>
      <c r="W2902">
        <v>1.8</v>
      </c>
      <c r="X2902" t="s">
        <v>999</v>
      </c>
      <c r="Y2902" t="s">
        <v>138</v>
      </c>
      <c r="AA2902" t="s">
        <v>10974</v>
      </c>
      <c r="AB2902" t="s">
        <v>930</v>
      </c>
      <c r="AD2902" t="s">
        <v>11107</v>
      </c>
      <c r="AF2902" t="s">
        <v>11118</v>
      </c>
      <c r="AH2902" t="s">
        <v>10974</v>
      </c>
      <c r="AJ2902" t="s">
        <v>11141</v>
      </c>
      <c r="AK2902" t="s">
        <v>7225</v>
      </c>
      <c r="AM2902">
        <v>1004.86</v>
      </c>
      <c r="AN2902" t="s">
        <v>11151</v>
      </c>
      <c r="AO2902" t="s">
        <v>11153</v>
      </c>
      <c r="AQ2902" t="s">
        <v>11157</v>
      </c>
      <c r="AS2902" t="s">
        <v>11176</v>
      </c>
      <c r="AU2902">
        <v>8</v>
      </c>
      <c r="AW2902" t="s">
        <v>11189</v>
      </c>
      <c r="AZ2902" t="s">
        <v>11221</v>
      </c>
      <c r="BB2902" t="s">
        <v>11224</v>
      </c>
      <c r="BC2902">
        <v>3868587</v>
      </c>
      <c r="BE2902" t="s">
        <v>13327</v>
      </c>
      <c r="BF2902" t="s">
        <v>14364</v>
      </c>
      <c r="BM2902" t="s">
        <v>15650</v>
      </c>
    </row>
    <row r="2903" spans="1:67">
      <c r="A2903" s="1">
        <f>HYPERLINK("https://lsnyc.legalserver.org/matter/dynamic-profile/view/1904774","19-1904774")</f>
        <v>0</v>
      </c>
      <c r="B2903" t="s">
        <v>173</v>
      </c>
      <c r="C2903" t="s">
        <v>246</v>
      </c>
      <c r="D2903" t="s">
        <v>923</v>
      </c>
      <c r="F2903" t="s">
        <v>2289</v>
      </c>
      <c r="G2903" t="s">
        <v>4099</v>
      </c>
      <c r="H2903" t="s">
        <v>5402</v>
      </c>
      <c r="I2903" t="s">
        <v>6407</v>
      </c>
      <c r="J2903" t="s">
        <v>7170</v>
      </c>
      <c r="K2903">
        <v>10456</v>
      </c>
      <c r="N2903" t="s">
        <v>7237</v>
      </c>
      <c r="O2903" t="s">
        <v>9117</v>
      </c>
      <c r="P2903">
        <v>2</v>
      </c>
      <c r="Q2903">
        <v>0</v>
      </c>
      <c r="R2903">
        <v>454.17</v>
      </c>
      <c r="U2903">
        <v>76800</v>
      </c>
      <c r="W2903">
        <v>1.4</v>
      </c>
      <c r="X2903" t="s">
        <v>437</v>
      </c>
      <c r="Y2903" t="s">
        <v>10865</v>
      </c>
      <c r="AA2903" t="s">
        <v>10974</v>
      </c>
      <c r="AB2903" t="s">
        <v>10988</v>
      </c>
      <c r="AC2903" t="s">
        <v>11081</v>
      </c>
      <c r="AF2903" t="s">
        <v>10384</v>
      </c>
      <c r="AH2903" t="s">
        <v>10975</v>
      </c>
      <c r="AJ2903" t="s">
        <v>11141</v>
      </c>
      <c r="AK2903" t="s">
        <v>7225</v>
      </c>
      <c r="AM2903">
        <v>982.92</v>
      </c>
      <c r="AO2903">
        <v>56</v>
      </c>
      <c r="AP2903" t="s">
        <v>11155</v>
      </c>
      <c r="AS2903" t="s">
        <v>11173</v>
      </c>
      <c r="AU2903">
        <v>48</v>
      </c>
      <c r="AV2903" t="s">
        <v>11186</v>
      </c>
      <c r="BA2903" t="s">
        <v>11222</v>
      </c>
      <c r="BE2903" t="s">
        <v>13346</v>
      </c>
      <c r="BF2903" t="s">
        <v>14364</v>
      </c>
      <c r="BM2903" t="s">
        <v>15650</v>
      </c>
    </row>
    <row r="2904" spans="1:67">
      <c r="A2904" s="1">
        <f>HYPERLINK("https://lsnyc.legalserver.org/matter/dynamic-profile/view/1843611","17-1843611")</f>
        <v>0</v>
      </c>
      <c r="B2904" t="s">
        <v>173</v>
      </c>
      <c r="C2904" t="s">
        <v>246</v>
      </c>
      <c r="D2904" t="s">
        <v>851</v>
      </c>
      <c r="F2904" t="s">
        <v>2290</v>
      </c>
      <c r="G2904" t="s">
        <v>3079</v>
      </c>
      <c r="H2904" t="s">
        <v>5723</v>
      </c>
      <c r="I2904" t="s">
        <v>6930</v>
      </c>
      <c r="J2904" t="s">
        <v>7170</v>
      </c>
      <c r="K2904">
        <v>10451</v>
      </c>
      <c r="N2904" t="s">
        <v>7237</v>
      </c>
      <c r="O2904" t="s">
        <v>9118</v>
      </c>
      <c r="P2904">
        <v>1</v>
      </c>
      <c r="Q2904">
        <v>0</v>
      </c>
      <c r="R2904">
        <v>132.44</v>
      </c>
      <c r="S2904" t="s">
        <v>10270</v>
      </c>
      <c r="U2904">
        <v>15972</v>
      </c>
      <c r="W2904">
        <v>15.2</v>
      </c>
      <c r="X2904" t="s">
        <v>593</v>
      </c>
      <c r="Y2904" t="s">
        <v>10899</v>
      </c>
      <c r="AA2904" t="s">
        <v>10974</v>
      </c>
      <c r="AB2904" t="s">
        <v>458</v>
      </c>
      <c r="AD2904" t="s">
        <v>11104</v>
      </c>
      <c r="AF2904" t="s">
        <v>11120</v>
      </c>
      <c r="AH2904" t="s">
        <v>10974</v>
      </c>
      <c r="AJ2904" t="s">
        <v>11141</v>
      </c>
      <c r="AK2904" t="s">
        <v>7225</v>
      </c>
      <c r="AM2904">
        <v>993.78</v>
      </c>
      <c r="AO2904">
        <v>936</v>
      </c>
      <c r="AQ2904" t="s">
        <v>11158</v>
      </c>
      <c r="AS2904" t="s">
        <v>11173</v>
      </c>
      <c r="AU2904">
        <v>20</v>
      </c>
      <c r="AW2904" t="s">
        <v>11187</v>
      </c>
      <c r="AZ2904" t="s">
        <v>11221</v>
      </c>
      <c r="BD2904" t="s">
        <v>11667</v>
      </c>
      <c r="BF2904" t="s">
        <v>14364</v>
      </c>
      <c r="BG2904" t="s">
        <v>14411</v>
      </c>
      <c r="BM2904" t="s">
        <v>15650</v>
      </c>
    </row>
    <row r="2905" spans="1:67">
      <c r="A2905" s="1">
        <f>HYPERLINK("https://lsnyc.legalserver.org/matter/dynamic-profile/view/0803193","16-0803193")</f>
        <v>0</v>
      </c>
      <c r="B2905" t="s">
        <v>173</v>
      </c>
      <c r="C2905" t="s">
        <v>246</v>
      </c>
      <c r="D2905" t="s">
        <v>930</v>
      </c>
      <c r="F2905" t="s">
        <v>2287</v>
      </c>
      <c r="G2905" t="s">
        <v>2308</v>
      </c>
      <c r="H2905" t="s">
        <v>5717</v>
      </c>
      <c r="I2905" t="s">
        <v>6757</v>
      </c>
      <c r="J2905" t="s">
        <v>7170</v>
      </c>
      <c r="K2905">
        <v>10452</v>
      </c>
      <c r="N2905" t="s">
        <v>7237</v>
      </c>
      <c r="O2905" t="s">
        <v>9115</v>
      </c>
      <c r="P2905">
        <v>2</v>
      </c>
      <c r="Q2905">
        <v>0</v>
      </c>
      <c r="R2905">
        <v>111.34</v>
      </c>
      <c r="U2905">
        <v>17836</v>
      </c>
      <c r="W2905">
        <v>0.35</v>
      </c>
      <c r="X2905" t="s">
        <v>283</v>
      </c>
      <c r="Y2905" t="s">
        <v>138</v>
      </c>
      <c r="AA2905" t="s">
        <v>10974</v>
      </c>
      <c r="AB2905" t="s">
        <v>930</v>
      </c>
      <c r="AD2905" t="s">
        <v>11107</v>
      </c>
      <c r="AF2905" t="s">
        <v>11118</v>
      </c>
      <c r="AH2905" t="s">
        <v>10974</v>
      </c>
      <c r="AJ2905" t="s">
        <v>11141</v>
      </c>
      <c r="AK2905" t="s">
        <v>7225</v>
      </c>
      <c r="AM2905">
        <v>924.48</v>
      </c>
      <c r="AN2905" t="s">
        <v>11151</v>
      </c>
      <c r="AO2905" t="s">
        <v>11153</v>
      </c>
      <c r="AQ2905" t="s">
        <v>11157</v>
      </c>
      <c r="AR2905" t="s">
        <v>11172</v>
      </c>
      <c r="AU2905">
        <v>27</v>
      </c>
      <c r="AW2905" t="s">
        <v>11189</v>
      </c>
      <c r="AZ2905" t="s">
        <v>11221</v>
      </c>
      <c r="BE2905" t="s">
        <v>13343</v>
      </c>
      <c r="BF2905" t="s">
        <v>14364</v>
      </c>
      <c r="BM2905" t="s">
        <v>15650</v>
      </c>
    </row>
    <row r="2906" spans="1:67">
      <c r="A2906" s="1">
        <f>HYPERLINK("https://lsnyc.legalserver.org/matter/dynamic-profile/view/0816888","16-0816888")</f>
        <v>0</v>
      </c>
      <c r="B2906" t="s">
        <v>173</v>
      </c>
      <c r="C2906" t="s">
        <v>246</v>
      </c>
      <c r="D2906" t="s">
        <v>494</v>
      </c>
      <c r="F2906" t="s">
        <v>2207</v>
      </c>
      <c r="G2906" t="s">
        <v>2982</v>
      </c>
      <c r="H2906" t="s">
        <v>4785</v>
      </c>
      <c r="I2906" t="s">
        <v>6413</v>
      </c>
      <c r="J2906" t="s">
        <v>7170</v>
      </c>
      <c r="K2906">
        <v>10453</v>
      </c>
      <c r="N2906" t="s">
        <v>7237</v>
      </c>
      <c r="O2906" t="s">
        <v>9119</v>
      </c>
      <c r="P2906">
        <v>1</v>
      </c>
      <c r="Q2906">
        <v>0</v>
      </c>
      <c r="R2906">
        <v>34.63</v>
      </c>
      <c r="U2906">
        <v>4114</v>
      </c>
      <c r="V2906" t="s">
        <v>10533</v>
      </c>
      <c r="W2906">
        <v>30.85</v>
      </c>
      <c r="X2906" t="s">
        <v>324</v>
      </c>
      <c r="Y2906" t="s">
        <v>10953</v>
      </c>
      <c r="AA2906" t="s">
        <v>10974</v>
      </c>
      <c r="AB2906" t="s">
        <v>11034</v>
      </c>
      <c r="AD2906" t="s">
        <v>11100</v>
      </c>
      <c r="AF2906" t="s">
        <v>11120</v>
      </c>
      <c r="AH2906" t="s">
        <v>10975</v>
      </c>
      <c r="AJ2906" t="s">
        <v>11140</v>
      </c>
      <c r="AK2906" t="s">
        <v>7225</v>
      </c>
      <c r="AM2906">
        <v>906</v>
      </c>
      <c r="AO2906">
        <v>30</v>
      </c>
      <c r="AQ2906" t="s">
        <v>11157</v>
      </c>
      <c r="AS2906" t="s">
        <v>11173</v>
      </c>
      <c r="AU2906">
        <v>7</v>
      </c>
      <c r="AW2906" t="s">
        <v>11187</v>
      </c>
      <c r="AZ2906" t="s">
        <v>11221</v>
      </c>
      <c r="BE2906" t="s">
        <v>13347</v>
      </c>
      <c r="BF2906" t="s">
        <v>14364</v>
      </c>
      <c r="BM2906" t="s">
        <v>15650</v>
      </c>
    </row>
    <row r="2907" spans="1:67">
      <c r="A2907" s="1">
        <f>HYPERLINK("https://lsnyc.legalserver.org/matter/dynamic-profile/view/0803381","16-0803381")</f>
        <v>0</v>
      </c>
      <c r="B2907" t="s">
        <v>173</v>
      </c>
      <c r="C2907" t="s">
        <v>246</v>
      </c>
      <c r="D2907" t="s">
        <v>949</v>
      </c>
      <c r="F2907" t="s">
        <v>2265</v>
      </c>
      <c r="G2907" t="s">
        <v>4076</v>
      </c>
      <c r="H2907" t="s">
        <v>5715</v>
      </c>
      <c r="I2907" t="s">
        <v>6662</v>
      </c>
      <c r="J2907" t="s">
        <v>7170</v>
      </c>
      <c r="K2907">
        <v>10452</v>
      </c>
      <c r="N2907" t="s">
        <v>7237</v>
      </c>
      <c r="O2907" t="s">
        <v>7515</v>
      </c>
      <c r="P2907">
        <v>1</v>
      </c>
      <c r="Q2907">
        <v>4</v>
      </c>
      <c r="R2907">
        <v>37.64</v>
      </c>
      <c r="U2907">
        <v>10704</v>
      </c>
      <c r="W2907">
        <v>0.3</v>
      </c>
      <c r="X2907" t="s">
        <v>645</v>
      </c>
      <c r="Y2907" t="s">
        <v>138</v>
      </c>
      <c r="AA2907" t="s">
        <v>10974</v>
      </c>
      <c r="AB2907" t="s">
        <v>930</v>
      </c>
      <c r="AD2907" t="s">
        <v>11107</v>
      </c>
      <c r="AF2907" t="s">
        <v>11118</v>
      </c>
      <c r="AH2907" t="s">
        <v>10974</v>
      </c>
      <c r="AJ2907" t="s">
        <v>11141</v>
      </c>
      <c r="AK2907" t="s">
        <v>7225</v>
      </c>
      <c r="AM2907">
        <v>1285</v>
      </c>
      <c r="AN2907" t="s">
        <v>11151</v>
      </c>
      <c r="AO2907" t="s">
        <v>11153</v>
      </c>
      <c r="AQ2907" t="s">
        <v>11157</v>
      </c>
      <c r="AR2907" t="s">
        <v>11172</v>
      </c>
      <c r="AU2907">
        <v>14</v>
      </c>
      <c r="AW2907" t="s">
        <v>11209</v>
      </c>
      <c r="AZ2907" t="s">
        <v>11221</v>
      </c>
      <c r="BE2907" t="s">
        <v>13305</v>
      </c>
      <c r="BF2907" t="s">
        <v>14364</v>
      </c>
      <c r="BM2907" t="s">
        <v>15650</v>
      </c>
    </row>
    <row r="2908" spans="1:67">
      <c r="A2908" s="1">
        <f>HYPERLINK("https://lsnyc.legalserver.org/matter/dynamic-profile/view/1883059","18-1883059")</f>
        <v>0</v>
      </c>
      <c r="B2908" t="s">
        <v>173</v>
      </c>
      <c r="C2908" t="s">
        <v>246</v>
      </c>
      <c r="D2908" t="s">
        <v>400</v>
      </c>
      <c r="F2908" t="s">
        <v>1464</v>
      </c>
      <c r="G2908" t="s">
        <v>1192</v>
      </c>
      <c r="H2908" t="s">
        <v>5751</v>
      </c>
      <c r="I2908">
        <v>2</v>
      </c>
      <c r="J2908" t="s">
        <v>7170</v>
      </c>
      <c r="K2908">
        <v>10462</v>
      </c>
      <c r="N2908" t="s">
        <v>7241</v>
      </c>
      <c r="O2908" t="s">
        <v>9120</v>
      </c>
      <c r="P2908">
        <v>1</v>
      </c>
      <c r="Q2908">
        <v>3</v>
      </c>
      <c r="R2908">
        <v>49.4</v>
      </c>
      <c r="U2908">
        <v>12400</v>
      </c>
      <c r="W2908">
        <v>10</v>
      </c>
      <c r="X2908" t="s">
        <v>529</v>
      </c>
      <c r="Y2908" t="s">
        <v>10865</v>
      </c>
      <c r="AA2908" t="s">
        <v>10974</v>
      </c>
      <c r="AB2908" t="s">
        <v>484</v>
      </c>
      <c r="AD2908" t="s">
        <v>11086</v>
      </c>
      <c r="AF2908" t="s">
        <v>11122</v>
      </c>
      <c r="AH2908" t="s">
        <v>10975</v>
      </c>
      <c r="AI2908" t="s">
        <v>11126</v>
      </c>
      <c r="AK2908" t="s">
        <v>7225</v>
      </c>
      <c r="AM2908">
        <v>2000</v>
      </c>
      <c r="AO2908">
        <v>3</v>
      </c>
      <c r="AQ2908" t="s">
        <v>11156</v>
      </c>
      <c r="AS2908" t="s">
        <v>11174</v>
      </c>
      <c r="AT2908" t="s">
        <v>11184</v>
      </c>
      <c r="AU2908">
        <v>0</v>
      </c>
      <c r="AW2908" t="s">
        <v>11187</v>
      </c>
      <c r="AZ2908" t="s">
        <v>11221</v>
      </c>
      <c r="BE2908" t="s">
        <v>13348</v>
      </c>
      <c r="BF2908" t="s">
        <v>14364</v>
      </c>
      <c r="BM2908" t="s">
        <v>15650</v>
      </c>
    </row>
    <row r="2909" spans="1:67">
      <c r="A2909" s="1">
        <f>HYPERLINK("https://lsnyc.legalserver.org/matter/dynamic-profile/view/1865285","18-1865285")</f>
        <v>0</v>
      </c>
      <c r="B2909" t="s">
        <v>173</v>
      </c>
      <c r="C2909" t="s">
        <v>246</v>
      </c>
      <c r="D2909" t="s">
        <v>674</v>
      </c>
      <c r="F2909" t="s">
        <v>1094</v>
      </c>
      <c r="G2909" t="s">
        <v>2956</v>
      </c>
      <c r="H2909" t="s">
        <v>5717</v>
      </c>
      <c r="I2909" t="s">
        <v>6931</v>
      </c>
      <c r="J2909" t="s">
        <v>7170</v>
      </c>
      <c r="K2909">
        <v>10452</v>
      </c>
      <c r="N2909" t="s">
        <v>7237</v>
      </c>
      <c r="O2909" t="s">
        <v>9090</v>
      </c>
      <c r="P2909">
        <v>3</v>
      </c>
      <c r="Q2909">
        <v>0</v>
      </c>
      <c r="R2909">
        <v>356.75</v>
      </c>
      <c r="U2909">
        <v>74132.92</v>
      </c>
      <c r="W2909">
        <v>0</v>
      </c>
      <c r="Y2909" t="s">
        <v>10897</v>
      </c>
      <c r="AA2909" t="s">
        <v>10974</v>
      </c>
      <c r="AB2909" t="s">
        <v>936</v>
      </c>
      <c r="AD2909" t="s">
        <v>11096</v>
      </c>
      <c r="AF2909" t="s">
        <v>11122</v>
      </c>
      <c r="AH2909" t="s">
        <v>10974</v>
      </c>
      <c r="AJ2909" t="s">
        <v>11141</v>
      </c>
      <c r="AK2909" t="s">
        <v>7225</v>
      </c>
      <c r="AM2909">
        <v>843.21</v>
      </c>
      <c r="AO2909">
        <v>70</v>
      </c>
      <c r="AQ2909" t="s">
        <v>11157</v>
      </c>
      <c r="AR2909" t="s">
        <v>11172</v>
      </c>
      <c r="AU2909">
        <v>28</v>
      </c>
      <c r="AW2909" t="s">
        <v>11189</v>
      </c>
      <c r="AZ2909" t="s">
        <v>11221</v>
      </c>
      <c r="BE2909" t="s">
        <v>13323</v>
      </c>
      <c r="BG2909" t="s">
        <v>15063</v>
      </c>
      <c r="BM2909" t="s">
        <v>15650</v>
      </c>
    </row>
    <row r="2910" spans="1:67">
      <c r="A2910" s="1">
        <f>HYPERLINK("https://lsnyc.legalserver.org/matter/dynamic-profile/view/1885636","18-1885636")</f>
        <v>0</v>
      </c>
      <c r="B2910" t="s">
        <v>173</v>
      </c>
      <c r="C2910" t="s">
        <v>246</v>
      </c>
      <c r="D2910" t="s">
        <v>610</v>
      </c>
      <c r="F2910" t="s">
        <v>2291</v>
      </c>
      <c r="G2910" t="s">
        <v>4100</v>
      </c>
      <c r="H2910" t="s">
        <v>5720</v>
      </c>
      <c r="I2910" t="s">
        <v>6525</v>
      </c>
      <c r="J2910" t="s">
        <v>7170</v>
      </c>
      <c r="K2910">
        <v>10463</v>
      </c>
      <c r="N2910" t="s">
        <v>7237</v>
      </c>
      <c r="O2910" t="s">
        <v>9121</v>
      </c>
      <c r="P2910">
        <v>2</v>
      </c>
      <c r="Q2910">
        <v>1</v>
      </c>
      <c r="R2910">
        <v>322.43</v>
      </c>
      <c r="U2910">
        <v>67000</v>
      </c>
      <c r="V2910" t="s">
        <v>10521</v>
      </c>
      <c r="W2910">
        <v>0</v>
      </c>
      <c r="Y2910" t="s">
        <v>10897</v>
      </c>
      <c r="AA2910" t="s">
        <v>10974</v>
      </c>
      <c r="AB2910" t="s">
        <v>597</v>
      </c>
      <c r="AD2910" t="s">
        <v>11101</v>
      </c>
      <c r="AF2910" t="s">
        <v>11119</v>
      </c>
      <c r="AH2910" t="s">
        <v>10974</v>
      </c>
      <c r="AJ2910" t="s">
        <v>11141</v>
      </c>
      <c r="AK2910" t="s">
        <v>7225</v>
      </c>
      <c r="AM2910">
        <v>1300</v>
      </c>
      <c r="AO2910">
        <v>55</v>
      </c>
      <c r="AQ2910" t="s">
        <v>11157</v>
      </c>
      <c r="AS2910" t="s">
        <v>11173</v>
      </c>
      <c r="AU2910">
        <v>3</v>
      </c>
      <c r="AW2910" t="s">
        <v>11187</v>
      </c>
      <c r="AZ2910" t="s">
        <v>11221</v>
      </c>
      <c r="BD2910" t="s">
        <v>11667</v>
      </c>
      <c r="BF2910" t="s">
        <v>14364</v>
      </c>
      <c r="BM2910" t="s">
        <v>15650</v>
      </c>
    </row>
    <row r="2911" spans="1:67">
      <c r="A2911" s="1">
        <f>HYPERLINK("https://lsnyc.legalserver.org/matter/dynamic-profile/view/1854347","17-1854347")</f>
        <v>0</v>
      </c>
      <c r="B2911" t="s">
        <v>173</v>
      </c>
      <c r="C2911" t="s">
        <v>246</v>
      </c>
      <c r="D2911" t="s">
        <v>902</v>
      </c>
      <c r="F2911" t="s">
        <v>2260</v>
      </c>
      <c r="G2911" t="s">
        <v>4070</v>
      </c>
      <c r="H2911" t="s">
        <v>5717</v>
      </c>
      <c r="I2911" t="s">
        <v>6450</v>
      </c>
      <c r="J2911" t="s">
        <v>7170</v>
      </c>
      <c r="K2911">
        <v>10452</v>
      </c>
      <c r="N2911" t="s">
        <v>7237</v>
      </c>
      <c r="O2911" t="s">
        <v>9063</v>
      </c>
      <c r="P2911">
        <v>2</v>
      </c>
      <c r="Q2911">
        <v>0</v>
      </c>
      <c r="R2911">
        <v>115.27</v>
      </c>
      <c r="U2911">
        <v>34320</v>
      </c>
      <c r="W2911">
        <v>48.75</v>
      </c>
      <c r="X2911" t="s">
        <v>491</v>
      </c>
      <c r="Y2911" t="s">
        <v>10865</v>
      </c>
      <c r="AA2911" t="s">
        <v>10974</v>
      </c>
      <c r="AB2911" t="s">
        <v>936</v>
      </c>
      <c r="AD2911" t="s">
        <v>11096</v>
      </c>
      <c r="AF2911" t="s">
        <v>11122</v>
      </c>
      <c r="AH2911" t="s">
        <v>10974</v>
      </c>
      <c r="AJ2911" t="s">
        <v>11129</v>
      </c>
      <c r="AK2911" t="s">
        <v>7225</v>
      </c>
      <c r="AM2911">
        <v>853.4400000000001</v>
      </c>
      <c r="AO2911">
        <v>70</v>
      </c>
      <c r="AQ2911" t="s">
        <v>11157</v>
      </c>
      <c r="AS2911" t="s">
        <v>11173</v>
      </c>
      <c r="AU2911">
        <v>14</v>
      </c>
      <c r="AW2911" t="s">
        <v>11187</v>
      </c>
      <c r="AZ2911" t="s">
        <v>11221</v>
      </c>
      <c r="BE2911" t="s">
        <v>13296</v>
      </c>
      <c r="BG2911" t="s">
        <v>15063</v>
      </c>
      <c r="BM2911" t="s">
        <v>15650</v>
      </c>
    </row>
    <row r="2912" spans="1:67">
      <c r="A2912" s="1">
        <f>HYPERLINK("https://lsnyc.legalserver.org/matter/dynamic-profile/view/0804634","16-0804634")</f>
        <v>0</v>
      </c>
      <c r="B2912" t="s">
        <v>173</v>
      </c>
      <c r="C2912" t="s">
        <v>246</v>
      </c>
      <c r="D2912" t="s">
        <v>950</v>
      </c>
      <c r="F2912" t="s">
        <v>2292</v>
      </c>
      <c r="G2912" t="s">
        <v>3231</v>
      </c>
      <c r="H2912" t="s">
        <v>5722</v>
      </c>
      <c r="I2912" t="s">
        <v>6924</v>
      </c>
      <c r="J2912" t="s">
        <v>7170</v>
      </c>
      <c r="K2912">
        <v>10452</v>
      </c>
      <c r="N2912" t="s">
        <v>7237</v>
      </c>
      <c r="O2912" t="s">
        <v>9122</v>
      </c>
      <c r="P2912">
        <v>4</v>
      </c>
      <c r="Q2912">
        <v>1</v>
      </c>
      <c r="R2912">
        <v>102.39</v>
      </c>
      <c r="U2912">
        <v>29120</v>
      </c>
      <c r="W2912">
        <v>0.6</v>
      </c>
      <c r="X2912" t="s">
        <v>10841</v>
      </c>
      <c r="Y2912" t="s">
        <v>138</v>
      </c>
      <c r="AA2912" t="s">
        <v>10974</v>
      </c>
      <c r="AB2912" t="s">
        <v>930</v>
      </c>
      <c r="AD2912" t="s">
        <v>11085</v>
      </c>
      <c r="AF2912" t="s">
        <v>11118</v>
      </c>
      <c r="AH2912" t="s">
        <v>10974</v>
      </c>
      <c r="AJ2912" t="s">
        <v>11141</v>
      </c>
      <c r="AK2912" t="s">
        <v>7225</v>
      </c>
      <c r="AM2912">
        <v>1923</v>
      </c>
      <c r="AN2912" t="s">
        <v>11151</v>
      </c>
      <c r="AO2912" t="s">
        <v>11153</v>
      </c>
      <c r="AQ2912" t="s">
        <v>11157</v>
      </c>
      <c r="AR2912" t="s">
        <v>11172</v>
      </c>
      <c r="AU2912">
        <v>-1</v>
      </c>
      <c r="AW2912" t="s">
        <v>11189</v>
      </c>
      <c r="AZ2912" t="s">
        <v>11221</v>
      </c>
      <c r="BE2912" t="s">
        <v>13349</v>
      </c>
      <c r="BF2912" t="s">
        <v>14364</v>
      </c>
      <c r="BM2912" t="s">
        <v>15650</v>
      </c>
    </row>
    <row r="2913" spans="1:67">
      <c r="A2913" s="1">
        <f>HYPERLINK("https://lsnyc.legalserver.org/matter/dynamic-profile/view/0816037","16-0816037")</f>
        <v>0</v>
      </c>
      <c r="B2913" t="s">
        <v>173</v>
      </c>
      <c r="C2913" t="s">
        <v>246</v>
      </c>
      <c r="D2913" t="s">
        <v>951</v>
      </c>
      <c r="F2913" t="s">
        <v>1260</v>
      </c>
      <c r="G2913" t="s">
        <v>4090</v>
      </c>
      <c r="H2913" t="s">
        <v>5738</v>
      </c>
      <c r="I2913" t="s">
        <v>6424</v>
      </c>
      <c r="J2913" t="s">
        <v>7170</v>
      </c>
      <c r="K2913">
        <v>10453</v>
      </c>
      <c r="N2913" t="s">
        <v>7237</v>
      </c>
      <c r="O2913" t="s">
        <v>9097</v>
      </c>
      <c r="P2913">
        <v>1</v>
      </c>
      <c r="Q2913">
        <v>3</v>
      </c>
      <c r="R2913">
        <v>68.69</v>
      </c>
      <c r="U2913">
        <v>25488</v>
      </c>
      <c r="W2913">
        <v>39.75</v>
      </c>
      <c r="X2913" t="s">
        <v>893</v>
      </c>
      <c r="Y2913" t="s">
        <v>173</v>
      </c>
      <c r="AA2913" t="s">
        <v>10974</v>
      </c>
      <c r="AB2913" t="s">
        <v>1024</v>
      </c>
      <c r="AD2913" t="s">
        <v>11082</v>
      </c>
      <c r="AF2913" t="s">
        <v>11118</v>
      </c>
      <c r="AG2913" t="s">
        <v>11124</v>
      </c>
      <c r="AJ2913" t="s">
        <v>11131</v>
      </c>
      <c r="AK2913" t="s">
        <v>7225</v>
      </c>
      <c r="AM2913">
        <v>1437.99</v>
      </c>
      <c r="AO2913">
        <v>101</v>
      </c>
      <c r="AQ2913" t="s">
        <v>11157</v>
      </c>
      <c r="AS2913" t="s">
        <v>11174</v>
      </c>
      <c r="AU2913">
        <v>13</v>
      </c>
      <c r="AW2913" t="s">
        <v>11187</v>
      </c>
      <c r="AZ2913" t="s">
        <v>11221</v>
      </c>
      <c r="BB2913" t="s">
        <v>11224</v>
      </c>
      <c r="BC2913" t="s">
        <v>11468</v>
      </c>
      <c r="BD2913" t="s">
        <v>11667</v>
      </c>
      <c r="BG2913" t="s">
        <v>15093</v>
      </c>
      <c r="BM2913" t="s">
        <v>15650</v>
      </c>
      <c r="BO2913" t="s">
        <v>15656</v>
      </c>
    </row>
    <row r="2914" spans="1:67">
      <c r="A2914" s="1">
        <f>HYPERLINK("https://lsnyc.legalserver.org/matter/dynamic-profile/view/1863492","18-1863492")</f>
        <v>0</v>
      </c>
      <c r="B2914" t="s">
        <v>173</v>
      </c>
      <c r="C2914" t="s">
        <v>246</v>
      </c>
      <c r="D2914" t="s">
        <v>952</v>
      </c>
      <c r="F2914" t="s">
        <v>2269</v>
      </c>
      <c r="G2914" t="s">
        <v>4084</v>
      </c>
      <c r="H2914" t="s">
        <v>5722</v>
      </c>
      <c r="I2914" t="s">
        <v>6629</v>
      </c>
      <c r="J2914" t="s">
        <v>7170</v>
      </c>
      <c r="K2914">
        <v>10452</v>
      </c>
      <c r="N2914" t="s">
        <v>7237</v>
      </c>
      <c r="O2914" t="s">
        <v>9084</v>
      </c>
      <c r="P2914">
        <v>2</v>
      </c>
      <c r="Q2914">
        <v>2</v>
      </c>
      <c r="R2914">
        <v>69.94</v>
      </c>
      <c r="U2914">
        <v>31032</v>
      </c>
      <c r="W2914">
        <v>0</v>
      </c>
      <c r="Y2914" t="s">
        <v>10897</v>
      </c>
      <c r="AA2914" t="s">
        <v>10974</v>
      </c>
      <c r="AB2914" t="s">
        <v>936</v>
      </c>
      <c r="AD2914" t="s">
        <v>11096</v>
      </c>
      <c r="AF2914" t="s">
        <v>11122</v>
      </c>
      <c r="AH2914" t="s">
        <v>10974</v>
      </c>
      <c r="AJ2914" t="s">
        <v>11141</v>
      </c>
      <c r="AK2914" t="s">
        <v>7225</v>
      </c>
      <c r="AM2914">
        <v>1514</v>
      </c>
      <c r="AO2914">
        <v>70</v>
      </c>
      <c r="AQ2914" t="s">
        <v>11157</v>
      </c>
      <c r="AS2914" t="s">
        <v>11174</v>
      </c>
      <c r="AU2914">
        <v>4</v>
      </c>
      <c r="AW2914" t="s">
        <v>11187</v>
      </c>
      <c r="AZ2914" t="s">
        <v>11221</v>
      </c>
      <c r="BC2914" t="s">
        <v>11476</v>
      </c>
      <c r="BE2914" t="s">
        <v>13317</v>
      </c>
      <c r="BG2914" t="s">
        <v>15063</v>
      </c>
      <c r="BM2914" t="s">
        <v>15650</v>
      </c>
    </row>
    <row r="2915" spans="1:67">
      <c r="A2915" s="1">
        <f>HYPERLINK("https://lsnyc.legalserver.org/matter/dynamic-profile/view/1872151","18-1872151")</f>
        <v>0</v>
      </c>
      <c r="B2915" t="s">
        <v>173</v>
      </c>
      <c r="C2915" t="s">
        <v>246</v>
      </c>
      <c r="D2915" t="s">
        <v>939</v>
      </c>
      <c r="F2915" t="s">
        <v>2265</v>
      </c>
      <c r="G2915" t="s">
        <v>4076</v>
      </c>
      <c r="H2915" t="s">
        <v>5715</v>
      </c>
      <c r="I2915" t="s">
        <v>6662</v>
      </c>
      <c r="J2915" t="s">
        <v>7170</v>
      </c>
      <c r="K2915">
        <v>10452</v>
      </c>
      <c r="N2915" t="s">
        <v>7237</v>
      </c>
      <c r="O2915" t="s">
        <v>7515</v>
      </c>
      <c r="P2915">
        <v>1</v>
      </c>
      <c r="Q2915">
        <v>4</v>
      </c>
      <c r="R2915">
        <v>36.38</v>
      </c>
      <c r="U2915">
        <v>10704</v>
      </c>
      <c r="V2915" t="s">
        <v>10534</v>
      </c>
      <c r="W2915">
        <v>0</v>
      </c>
      <c r="Y2915" t="s">
        <v>10865</v>
      </c>
      <c r="AA2915" t="s">
        <v>10974</v>
      </c>
      <c r="AB2915" t="s">
        <v>939</v>
      </c>
      <c r="AD2915" t="s">
        <v>11096</v>
      </c>
      <c r="AF2915" t="s">
        <v>11122</v>
      </c>
      <c r="AH2915" t="s">
        <v>10974</v>
      </c>
      <c r="AJ2915" t="s">
        <v>11129</v>
      </c>
      <c r="AK2915" t="s">
        <v>7225</v>
      </c>
      <c r="AM2915">
        <v>1285</v>
      </c>
      <c r="AO2915">
        <v>71</v>
      </c>
      <c r="AQ2915" t="s">
        <v>11157</v>
      </c>
      <c r="AS2915" t="s">
        <v>11173</v>
      </c>
      <c r="AU2915">
        <v>15</v>
      </c>
      <c r="AW2915" t="s">
        <v>11209</v>
      </c>
      <c r="AZ2915" t="s">
        <v>11221</v>
      </c>
      <c r="BC2915" t="s">
        <v>11474</v>
      </c>
      <c r="BE2915" t="s">
        <v>13305</v>
      </c>
      <c r="BF2915" t="s">
        <v>14364</v>
      </c>
      <c r="BM2915" t="s">
        <v>15650</v>
      </c>
    </row>
    <row r="2916" spans="1:67">
      <c r="A2916" s="1">
        <f>HYPERLINK("https://lsnyc.legalserver.org/matter/dynamic-profile/view/1868183","18-1868183")</f>
        <v>0</v>
      </c>
      <c r="B2916" t="s">
        <v>173</v>
      </c>
      <c r="C2916" t="s">
        <v>246</v>
      </c>
      <c r="D2916" t="s">
        <v>452</v>
      </c>
      <c r="F2916" t="s">
        <v>2293</v>
      </c>
      <c r="G2916" t="s">
        <v>3162</v>
      </c>
      <c r="H2916" t="s">
        <v>5720</v>
      </c>
      <c r="I2916" t="s">
        <v>6502</v>
      </c>
      <c r="J2916" t="s">
        <v>7170</v>
      </c>
      <c r="K2916">
        <v>10463</v>
      </c>
      <c r="N2916" t="s">
        <v>7237</v>
      </c>
      <c r="O2916" t="s">
        <v>9123</v>
      </c>
      <c r="P2916">
        <v>1</v>
      </c>
      <c r="Q2916">
        <v>0</v>
      </c>
      <c r="R2916">
        <v>214.17</v>
      </c>
      <c r="S2916" t="s">
        <v>465</v>
      </c>
      <c r="T2916" t="s">
        <v>10276</v>
      </c>
      <c r="U2916">
        <v>26000</v>
      </c>
      <c r="V2916" t="s">
        <v>10535</v>
      </c>
      <c r="W2916">
        <v>161.9</v>
      </c>
      <c r="X2916" t="s">
        <v>262</v>
      </c>
      <c r="Y2916" t="s">
        <v>10897</v>
      </c>
      <c r="AA2916" t="s">
        <v>10974</v>
      </c>
      <c r="AB2916" t="s">
        <v>802</v>
      </c>
      <c r="AD2916" t="s">
        <v>11090</v>
      </c>
      <c r="AF2916" t="s">
        <v>11118</v>
      </c>
      <c r="AH2916" t="s">
        <v>10975</v>
      </c>
      <c r="AJ2916" t="s">
        <v>11141</v>
      </c>
      <c r="AK2916" t="s">
        <v>7225</v>
      </c>
      <c r="AM2916">
        <v>948</v>
      </c>
      <c r="AO2916">
        <v>55</v>
      </c>
      <c r="AQ2916" t="s">
        <v>11157</v>
      </c>
      <c r="AS2916" t="s">
        <v>11173</v>
      </c>
      <c r="AU2916">
        <v>10</v>
      </c>
      <c r="AW2916" t="s">
        <v>11189</v>
      </c>
      <c r="AZ2916" t="s">
        <v>11221</v>
      </c>
      <c r="BE2916" t="s">
        <v>13350</v>
      </c>
      <c r="BG2916" t="s">
        <v>15058</v>
      </c>
      <c r="BM2916" t="s">
        <v>15650</v>
      </c>
    </row>
    <row r="2917" spans="1:67">
      <c r="A2917" s="1">
        <f>HYPERLINK("https://lsnyc.legalserver.org/matter/dynamic-profile/view/1885967","18-1885967")</f>
        <v>0</v>
      </c>
      <c r="B2917" t="s">
        <v>173</v>
      </c>
      <c r="C2917" t="s">
        <v>246</v>
      </c>
      <c r="D2917" t="s">
        <v>559</v>
      </c>
      <c r="F2917" t="s">
        <v>2294</v>
      </c>
      <c r="G2917" t="s">
        <v>3035</v>
      </c>
      <c r="H2917" t="s">
        <v>5720</v>
      </c>
      <c r="I2917" t="s">
        <v>6417</v>
      </c>
      <c r="J2917" t="s">
        <v>7170</v>
      </c>
      <c r="K2917">
        <v>10463</v>
      </c>
      <c r="N2917" t="s">
        <v>7237</v>
      </c>
      <c r="O2917" t="s">
        <v>9124</v>
      </c>
      <c r="P2917">
        <v>2</v>
      </c>
      <c r="Q2917">
        <v>1</v>
      </c>
      <c r="R2917">
        <v>52.94</v>
      </c>
      <c r="U2917">
        <v>11000</v>
      </c>
      <c r="W2917">
        <v>4.4</v>
      </c>
      <c r="X2917" t="s">
        <v>1075</v>
      </c>
      <c r="Y2917" t="s">
        <v>10897</v>
      </c>
      <c r="AA2917" t="s">
        <v>10974</v>
      </c>
      <c r="AB2917" t="s">
        <v>310</v>
      </c>
      <c r="AD2917" t="s">
        <v>11101</v>
      </c>
      <c r="AF2917" t="s">
        <v>11118</v>
      </c>
      <c r="AH2917" t="s">
        <v>10974</v>
      </c>
      <c r="AJ2917" t="s">
        <v>11141</v>
      </c>
      <c r="AK2917" t="s">
        <v>7225</v>
      </c>
      <c r="AM2917">
        <v>1428</v>
      </c>
      <c r="AN2917" t="s">
        <v>11151</v>
      </c>
      <c r="AO2917" t="s">
        <v>11153</v>
      </c>
      <c r="AQ2917" t="s">
        <v>11157</v>
      </c>
      <c r="AS2917" t="s">
        <v>11176</v>
      </c>
      <c r="AU2917">
        <v>3</v>
      </c>
      <c r="AW2917" t="s">
        <v>11189</v>
      </c>
      <c r="AZ2917" t="s">
        <v>11221</v>
      </c>
      <c r="BE2917" t="s">
        <v>13351</v>
      </c>
      <c r="BG2917" t="s">
        <v>15058</v>
      </c>
      <c r="BM2917" t="s">
        <v>15650</v>
      </c>
    </row>
    <row r="2918" spans="1:67">
      <c r="A2918" s="1">
        <f>HYPERLINK("https://lsnyc.legalserver.org/matter/dynamic-profile/view/1879855","18-1879855")</f>
        <v>0</v>
      </c>
      <c r="B2918" t="s">
        <v>173</v>
      </c>
      <c r="C2918" t="s">
        <v>246</v>
      </c>
      <c r="D2918" t="s">
        <v>595</v>
      </c>
      <c r="F2918" t="s">
        <v>2295</v>
      </c>
      <c r="G2918" t="s">
        <v>3822</v>
      </c>
      <c r="H2918" t="s">
        <v>5752</v>
      </c>
      <c r="I2918" t="s">
        <v>6468</v>
      </c>
      <c r="J2918" t="s">
        <v>7170</v>
      </c>
      <c r="K2918">
        <v>10459</v>
      </c>
      <c r="N2918" t="s">
        <v>7237</v>
      </c>
      <c r="O2918" t="s">
        <v>7991</v>
      </c>
      <c r="P2918">
        <v>3</v>
      </c>
      <c r="Q2918">
        <v>0</v>
      </c>
      <c r="R2918">
        <v>136.63</v>
      </c>
      <c r="U2918">
        <v>28392</v>
      </c>
      <c r="W2918">
        <v>82.5</v>
      </c>
      <c r="X2918" t="s">
        <v>449</v>
      </c>
      <c r="Y2918" t="s">
        <v>10875</v>
      </c>
      <c r="AA2918" t="s">
        <v>10974</v>
      </c>
      <c r="AB2918" t="s">
        <v>595</v>
      </c>
      <c r="AD2918" t="s">
        <v>11083</v>
      </c>
      <c r="AF2918" t="s">
        <v>11118</v>
      </c>
      <c r="AH2918" t="s">
        <v>10975</v>
      </c>
      <c r="AJ2918" t="s">
        <v>11135</v>
      </c>
      <c r="AK2918" t="s">
        <v>7225</v>
      </c>
      <c r="AM2918">
        <v>1477</v>
      </c>
      <c r="AO2918">
        <v>26</v>
      </c>
      <c r="AQ2918" t="s">
        <v>11157</v>
      </c>
      <c r="AS2918" t="s">
        <v>11174</v>
      </c>
      <c r="AU2918">
        <v>33</v>
      </c>
      <c r="AW2918" t="s">
        <v>11189</v>
      </c>
      <c r="AY2918" t="s">
        <v>11213</v>
      </c>
      <c r="AZ2918" t="s">
        <v>11221</v>
      </c>
      <c r="BE2918" t="s">
        <v>13352</v>
      </c>
      <c r="BG2918" t="s">
        <v>15094</v>
      </c>
      <c r="BM2918" t="s">
        <v>15650</v>
      </c>
    </row>
    <row r="2919" spans="1:67">
      <c r="A2919" s="1">
        <f>HYPERLINK("https://lsnyc.legalserver.org/matter/dynamic-profile/view/1902959","19-1902959")</f>
        <v>0</v>
      </c>
      <c r="B2919" t="s">
        <v>173</v>
      </c>
      <c r="C2919" t="s">
        <v>246</v>
      </c>
      <c r="D2919" t="s">
        <v>611</v>
      </c>
      <c r="F2919" t="s">
        <v>2296</v>
      </c>
      <c r="G2919" t="s">
        <v>2179</v>
      </c>
      <c r="H2919" t="s">
        <v>5753</v>
      </c>
      <c r="I2919" t="s">
        <v>6862</v>
      </c>
      <c r="J2919" t="s">
        <v>7170</v>
      </c>
      <c r="K2919">
        <v>10459</v>
      </c>
      <c r="N2919" t="s">
        <v>7237</v>
      </c>
      <c r="O2919" t="s">
        <v>9125</v>
      </c>
      <c r="P2919">
        <v>1</v>
      </c>
      <c r="Q2919">
        <v>2</v>
      </c>
      <c r="R2919">
        <v>104.59</v>
      </c>
      <c r="U2919">
        <v>22308</v>
      </c>
      <c r="W2919">
        <v>41.65</v>
      </c>
      <c r="X2919" t="s">
        <v>305</v>
      </c>
      <c r="Y2919" t="s">
        <v>10865</v>
      </c>
      <c r="AA2919" t="s">
        <v>10974</v>
      </c>
      <c r="AB2919" t="s">
        <v>10979</v>
      </c>
      <c r="AD2919" t="s">
        <v>11082</v>
      </c>
      <c r="AF2919" t="s">
        <v>11118</v>
      </c>
      <c r="AH2919" t="s">
        <v>10975</v>
      </c>
      <c r="AJ2919" t="s">
        <v>11138</v>
      </c>
      <c r="AK2919" t="s">
        <v>7225</v>
      </c>
      <c r="AM2919">
        <v>1166</v>
      </c>
      <c r="AO2919">
        <v>56</v>
      </c>
      <c r="AQ2919" t="s">
        <v>11157</v>
      </c>
      <c r="AS2919" t="s">
        <v>11180</v>
      </c>
      <c r="AU2919">
        <v>1</v>
      </c>
      <c r="AW2919" t="s">
        <v>11187</v>
      </c>
      <c r="AY2919" t="s">
        <v>11213</v>
      </c>
      <c r="BA2919" t="s">
        <v>11222</v>
      </c>
      <c r="BB2919" t="s">
        <v>11224</v>
      </c>
      <c r="BC2919" t="s">
        <v>11477</v>
      </c>
      <c r="BE2919" t="s">
        <v>13353</v>
      </c>
      <c r="BG2919" t="s">
        <v>15095</v>
      </c>
      <c r="BM2919" t="s">
        <v>15650</v>
      </c>
    </row>
    <row r="2920" spans="1:67">
      <c r="A2920" s="1">
        <f>HYPERLINK("https://lsnyc.legalserver.org/matter/dynamic-profile/view/1908590","19-1908590")</f>
        <v>0</v>
      </c>
      <c r="B2920" t="s">
        <v>173</v>
      </c>
      <c r="C2920" t="s">
        <v>246</v>
      </c>
      <c r="D2920" t="s">
        <v>302</v>
      </c>
      <c r="F2920" t="s">
        <v>1302</v>
      </c>
      <c r="G2920" t="s">
        <v>4101</v>
      </c>
      <c r="H2920" t="s">
        <v>5754</v>
      </c>
      <c r="I2920">
        <v>205</v>
      </c>
      <c r="J2920" t="s">
        <v>7170</v>
      </c>
      <c r="K2920">
        <v>10453</v>
      </c>
      <c r="N2920" t="s">
        <v>7237</v>
      </c>
      <c r="O2920" t="s">
        <v>7627</v>
      </c>
      <c r="P2920">
        <v>2</v>
      </c>
      <c r="Q2920">
        <v>3</v>
      </c>
      <c r="R2920">
        <v>115.62</v>
      </c>
      <c r="U2920">
        <v>34882</v>
      </c>
      <c r="W2920">
        <v>6.9</v>
      </c>
      <c r="X2920" t="s">
        <v>306</v>
      </c>
      <c r="Y2920" t="s">
        <v>10865</v>
      </c>
      <c r="Z2920" t="s">
        <v>10972</v>
      </c>
      <c r="AA2920" t="s">
        <v>10975</v>
      </c>
      <c r="AD2920" t="s">
        <v>11082</v>
      </c>
      <c r="AF2920" t="s">
        <v>11118</v>
      </c>
      <c r="AH2920" t="s">
        <v>10975</v>
      </c>
      <c r="AJ2920" t="s">
        <v>11138</v>
      </c>
      <c r="AK2920" t="s">
        <v>7225</v>
      </c>
      <c r="AM2920">
        <v>1165</v>
      </c>
      <c r="AO2920">
        <v>55</v>
      </c>
      <c r="AQ2920" t="s">
        <v>11157</v>
      </c>
      <c r="AS2920" t="s">
        <v>11180</v>
      </c>
      <c r="AU2920">
        <v>2</v>
      </c>
      <c r="AV2920" t="s">
        <v>11186</v>
      </c>
      <c r="AY2920" t="s">
        <v>11215</v>
      </c>
      <c r="BA2920" t="s">
        <v>11223</v>
      </c>
      <c r="BC2920" t="s">
        <v>11478</v>
      </c>
      <c r="BE2920" t="s">
        <v>13354</v>
      </c>
      <c r="BG2920" t="s">
        <v>15096</v>
      </c>
      <c r="BM2920" t="s">
        <v>15650</v>
      </c>
    </row>
    <row r="2921" spans="1:67">
      <c r="A2921" s="1">
        <f>HYPERLINK("https://lsnyc.legalserver.org/matter/dynamic-profile/view/1870205","18-1870205")</f>
        <v>0</v>
      </c>
      <c r="B2921" t="s">
        <v>173</v>
      </c>
      <c r="C2921" t="s">
        <v>246</v>
      </c>
      <c r="D2921" t="s">
        <v>953</v>
      </c>
      <c r="F2921" t="s">
        <v>1310</v>
      </c>
      <c r="G2921" t="s">
        <v>3521</v>
      </c>
      <c r="H2921" t="s">
        <v>5755</v>
      </c>
      <c r="I2921">
        <v>5</v>
      </c>
      <c r="J2921" t="s">
        <v>7170</v>
      </c>
      <c r="K2921">
        <v>10452</v>
      </c>
      <c r="N2921" t="s">
        <v>7237</v>
      </c>
      <c r="O2921" t="s">
        <v>9126</v>
      </c>
      <c r="P2921">
        <v>1</v>
      </c>
      <c r="Q2921">
        <v>1</v>
      </c>
      <c r="R2921">
        <v>66.93000000000001</v>
      </c>
      <c r="U2921">
        <v>11016</v>
      </c>
      <c r="W2921">
        <v>12.9</v>
      </c>
      <c r="X2921" t="s">
        <v>479</v>
      </c>
      <c r="Y2921" t="s">
        <v>10882</v>
      </c>
      <c r="AA2921" t="s">
        <v>10974</v>
      </c>
      <c r="AB2921" t="s">
        <v>609</v>
      </c>
      <c r="AD2921" t="s">
        <v>11094</v>
      </c>
      <c r="AF2921" t="s">
        <v>11122</v>
      </c>
      <c r="AH2921" t="s">
        <v>10975</v>
      </c>
      <c r="AJ2921" t="s">
        <v>11129</v>
      </c>
      <c r="AK2921" t="s">
        <v>7225</v>
      </c>
      <c r="AM2921">
        <v>1396.61</v>
      </c>
      <c r="AO2921">
        <v>35</v>
      </c>
      <c r="AQ2921" t="s">
        <v>11164</v>
      </c>
      <c r="AS2921" t="s">
        <v>11174</v>
      </c>
      <c r="AU2921">
        <v>18</v>
      </c>
      <c r="AW2921" t="s">
        <v>11187</v>
      </c>
      <c r="AY2921" t="s">
        <v>11213</v>
      </c>
      <c r="AZ2921" t="s">
        <v>11221</v>
      </c>
      <c r="BC2921" t="s">
        <v>11479</v>
      </c>
      <c r="BE2921" t="s">
        <v>13355</v>
      </c>
      <c r="BF2921" t="s">
        <v>14364</v>
      </c>
      <c r="BG2921" t="s">
        <v>15097</v>
      </c>
      <c r="BM2921" t="s">
        <v>15650</v>
      </c>
    </row>
    <row r="2922" spans="1:67">
      <c r="A2922" s="1">
        <f>HYPERLINK("https://lsnyc.legalserver.org/matter/dynamic-profile/view/1894024","19-1894024")</f>
        <v>0</v>
      </c>
      <c r="B2922" t="s">
        <v>173</v>
      </c>
      <c r="C2922" t="s">
        <v>246</v>
      </c>
      <c r="D2922" t="s">
        <v>334</v>
      </c>
      <c r="F2922" t="s">
        <v>2297</v>
      </c>
      <c r="G2922" t="s">
        <v>4102</v>
      </c>
      <c r="H2922" t="s">
        <v>5756</v>
      </c>
      <c r="I2922" t="s">
        <v>6550</v>
      </c>
      <c r="J2922" t="s">
        <v>7170</v>
      </c>
      <c r="K2922">
        <v>10452</v>
      </c>
      <c r="N2922" t="s">
        <v>7237</v>
      </c>
      <c r="O2922" t="s">
        <v>9127</v>
      </c>
      <c r="P2922">
        <v>2</v>
      </c>
      <c r="Q2922">
        <v>0</v>
      </c>
      <c r="R2922">
        <v>0</v>
      </c>
      <c r="U2922">
        <v>0</v>
      </c>
      <c r="W2922">
        <v>2.5</v>
      </c>
      <c r="X2922" t="s">
        <v>420</v>
      </c>
      <c r="Y2922" t="s">
        <v>82</v>
      </c>
      <c r="AA2922" t="s">
        <v>10974</v>
      </c>
      <c r="AB2922" t="s">
        <v>334</v>
      </c>
      <c r="AD2922" t="s">
        <v>11086</v>
      </c>
      <c r="AF2922" t="s">
        <v>11119</v>
      </c>
      <c r="AH2922" t="s">
        <v>10975</v>
      </c>
      <c r="AJ2922" t="s">
        <v>11141</v>
      </c>
      <c r="AK2922" t="s">
        <v>7225</v>
      </c>
      <c r="AM2922">
        <v>100</v>
      </c>
      <c r="AO2922">
        <v>92</v>
      </c>
      <c r="AQ2922" t="s">
        <v>11157</v>
      </c>
      <c r="AS2922" t="s">
        <v>11174</v>
      </c>
      <c r="AU2922">
        <v>9</v>
      </c>
      <c r="AW2922" t="s">
        <v>11187</v>
      </c>
      <c r="AZ2922" t="s">
        <v>11221</v>
      </c>
      <c r="BD2922" t="s">
        <v>11667</v>
      </c>
      <c r="BF2922" t="s">
        <v>14364</v>
      </c>
      <c r="BM2922" t="s">
        <v>15650</v>
      </c>
    </row>
    <row r="2923" spans="1:67">
      <c r="A2923" s="1">
        <f>HYPERLINK("https://lsnyc.legalserver.org/matter/dynamic-profile/view/1885656","18-1885656")</f>
        <v>0</v>
      </c>
      <c r="B2923" t="s">
        <v>173</v>
      </c>
      <c r="C2923" t="s">
        <v>246</v>
      </c>
      <c r="D2923" t="s">
        <v>610</v>
      </c>
      <c r="F2923" t="s">
        <v>1599</v>
      </c>
      <c r="G2923" t="s">
        <v>3002</v>
      </c>
      <c r="H2923" t="s">
        <v>5720</v>
      </c>
      <c r="I2923" t="s">
        <v>6407</v>
      </c>
      <c r="J2923" t="s">
        <v>7170</v>
      </c>
      <c r="K2923">
        <v>10463</v>
      </c>
      <c r="N2923" t="s">
        <v>7237</v>
      </c>
      <c r="O2923" t="s">
        <v>9128</v>
      </c>
      <c r="P2923">
        <v>1</v>
      </c>
      <c r="Q2923">
        <v>1</v>
      </c>
      <c r="R2923">
        <v>110.57</v>
      </c>
      <c r="U2923">
        <v>18200</v>
      </c>
      <c r="W2923">
        <v>0</v>
      </c>
      <c r="Y2923" t="s">
        <v>10897</v>
      </c>
      <c r="AA2923" t="s">
        <v>10974</v>
      </c>
      <c r="AB2923" t="s">
        <v>597</v>
      </c>
      <c r="AD2923" t="s">
        <v>11101</v>
      </c>
      <c r="AF2923" t="s">
        <v>11118</v>
      </c>
      <c r="AH2923" t="s">
        <v>10974</v>
      </c>
      <c r="AJ2923" t="s">
        <v>11141</v>
      </c>
      <c r="AK2923" t="s">
        <v>7225</v>
      </c>
      <c r="AM2923">
        <v>1250</v>
      </c>
      <c r="AO2923">
        <v>55</v>
      </c>
      <c r="AQ2923" t="s">
        <v>11157</v>
      </c>
      <c r="AS2923" t="s">
        <v>11173</v>
      </c>
      <c r="AU2923">
        <v>1</v>
      </c>
      <c r="AW2923" t="s">
        <v>11189</v>
      </c>
      <c r="AZ2923" t="s">
        <v>11221</v>
      </c>
      <c r="BE2923" t="s">
        <v>13356</v>
      </c>
      <c r="BG2923" t="s">
        <v>15058</v>
      </c>
      <c r="BM2923" t="s">
        <v>15650</v>
      </c>
    </row>
    <row r="2924" spans="1:67">
      <c r="A2924" s="1">
        <f>HYPERLINK("https://lsnyc.legalserver.org/matter/dynamic-profile/view/1909549","19-1909549")</f>
        <v>0</v>
      </c>
      <c r="B2924" t="s">
        <v>173</v>
      </c>
      <c r="C2924" t="s">
        <v>246</v>
      </c>
      <c r="D2924" t="s">
        <v>269</v>
      </c>
      <c r="F2924" t="s">
        <v>1177</v>
      </c>
      <c r="G2924" t="s">
        <v>4103</v>
      </c>
      <c r="H2924" t="s">
        <v>5553</v>
      </c>
      <c r="I2924" t="s">
        <v>6448</v>
      </c>
      <c r="J2924" t="s">
        <v>7170</v>
      </c>
      <c r="K2924">
        <v>10452</v>
      </c>
      <c r="N2924" t="s">
        <v>7237</v>
      </c>
      <c r="O2924" t="s">
        <v>9129</v>
      </c>
      <c r="P2924">
        <v>2</v>
      </c>
      <c r="Q2924">
        <v>2</v>
      </c>
      <c r="R2924">
        <v>121.17</v>
      </c>
      <c r="U2924">
        <v>31200</v>
      </c>
      <c r="W2924">
        <v>8.300000000000001</v>
      </c>
      <c r="X2924" t="s">
        <v>497</v>
      </c>
      <c r="Y2924" t="s">
        <v>10865</v>
      </c>
      <c r="Z2924" t="s">
        <v>10972</v>
      </c>
      <c r="AA2924" t="s">
        <v>10976</v>
      </c>
      <c r="AD2924" t="s">
        <v>11082</v>
      </c>
      <c r="AE2924" t="s">
        <v>11117</v>
      </c>
      <c r="AH2924" t="s">
        <v>10975</v>
      </c>
      <c r="AJ2924" t="s">
        <v>11129</v>
      </c>
      <c r="AK2924" t="s">
        <v>7225</v>
      </c>
      <c r="AM2924">
        <v>1839.53</v>
      </c>
      <c r="AO2924">
        <v>24</v>
      </c>
      <c r="AQ2924" t="s">
        <v>11157</v>
      </c>
      <c r="AS2924" t="s">
        <v>11174</v>
      </c>
      <c r="AU2924">
        <v>4</v>
      </c>
      <c r="AW2924" t="s">
        <v>11187</v>
      </c>
      <c r="AX2924" t="s">
        <v>11212</v>
      </c>
      <c r="AZ2924" t="s">
        <v>11221</v>
      </c>
      <c r="BE2924" t="s">
        <v>13357</v>
      </c>
      <c r="BG2924" t="s">
        <v>15098</v>
      </c>
      <c r="BM2924" t="s">
        <v>15650</v>
      </c>
    </row>
    <row r="2925" spans="1:67">
      <c r="A2925" s="1">
        <f>HYPERLINK("https://lsnyc.legalserver.org/matter/dynamic-profile/view/1894026","19-1894026")</f>
        <v>0</v>
      </c>
      <c r="B2925" t="s">
        <v>173</v>
      </c>
      <c r="C2925" t="s">
        <v>246</v>
      </c>
      <c r="D2925" t="s">
        <v>334</v>
      </c>
      <c r="F2925" t="s">
        <v>1698</v>
      </c>
      <c r="G2925" t="s">
        <v>3469</v>
      </c>
      <c r="H2925" t="s">
        <v>4976</v>
      </c>
      <c r="I2925" t="s">
        <v>6423</v>
      </c>
      <c r="J2925" t="s">
        <v>7170</v>
      </c>
      <c r="K2925">
        <v>10453</v>
      </c>
      <c r="N2925" t="s">
        <v>7237</v>
      </c>
      <c r="O2925" t="s">
        <v>8055</v>
      </c>
      <c r="P2925">
        <v>1</v>
      </c>
      <c r="Q2925">
        <v>0</v>
      </c>
      <c r="R2925">
        <v>0</v>
      </c>
      <c r="U2925">
        <v>0</v>
      </c>
      <c r="W2925">
        <v>29.7</v>
      </c>
      <c r="X2925" t="s">
        <v>264</v>
      </c>
      <c r="Y2925" t="s">
        <v>82</v>
      </c>
      <c r="AA2925" t="s">
        <v>10974</v>
      </c>
      <c r="AB2925" t="s">
        <v>334</v>
      </c>
      <c r="AD2925" t="s">
        <v>11082</v>
      </c>
      <c r="AF2925" t="s">
        <v>11118</v>
      </c>
      <c r="AH2925" t="s">
        <v>10975</v>
      </c>
      <c r="AJ2925" t="s">
        <v>11141</v>
      </c>
      <c r="AK2925" t="s">
        <v>7225</v>
      </c>
      <c r="AM2925">
        <v>169</v>
      </c>
      <c r="AO2925">
        <v>99</v>
      </c>
      <c r="AQ2925" t="s">
        <v>11157</v>
      </c>
      <c r="AS2925" t="s">
        <v>11174</v>
      </c>
      <c r="AU2925">
        <v>6</v>
      </c>
      <c r="AW2925" t="s">
        <v>11187</v>
      </c>
      <c r="AZ2925" t="s">
        <v>11221</v>
      </c>
      <c r="BD2925" t="s">
        <v>11667</v>
      </c>
      <c r="BG2925" t="s">
        <v>15099</v>
      </c>
      <c r="BM2925" t="s">
        <v>15650</v>
      </c>
    </row>
    <row r="2926" spans="1:67">
      <c r="A2926" s="1">
        <f>HYPERLINK("https://lsnyc.legalserver.org/matter/dynamic-profile/view/1872137","18-1872137")</f>
        <v>0</v>
      </c>
      <c r="B2926" t="s">
        <v>173</v>
      </c>
      <c r="C2926" t="s">
        <v>246</v>
      </c>
      <c r="D2926" t="s">
        <v>939</v>
      </c>
      <c r="F2926" t="s">
        <v>2269</v>
      </c>
      <c r="G2926" t="s">
        <v>4084</v>
      </c>
      <c r="H2926" t="s">
        <v>5722</v>
      </c>
      <c r="I2926" t="s">
        <v>6629</v>
      </c>
      <c r="J2926" t="s">
        <v>7170</v>
      </c>
      <c r="K2926">
        <v>10452</v>
      </c>
      <c r="N2926" t="s">
        <v>7237</v>
      </c>
      <c r="O2926" t="s">
        <v>9084</v>
      </c>
      <c r="P2926">
        <v>2</v>
      </c>
      <c r="Q2926">
        <v>2</v>
      </c>
      <c r="R2926">
        <v>123.63</v>
      </c>
      <c r="U2926">
        <v>31032</v>
      </c>
      <c r="V2926" t="s">
        <v>10536</v>
      </c>
      <c r="W2926">
        <v>0</v>
      </c>
      <c r="Y2926" t="s">
        <v>10865</v>
      </c>
      <c r="AA2926" t="s">
        <v>10974</v>
      </c>
      <c r="AB2926" t="s">
        <v>939</v>
      </c>
      <c r="AD2926" t="s">
        <v>11096</v>
      </c>
      <c r="AF2926" t="s">
        <v>11122</v>
      </c>
      <c r="AH2926" t="s">
        <v>10974</v>
      </c>
      <c r="AJ2926" t="s">
        <v>11129</v>
      </c>
      <c r="AK2926" t="s">
        <v>7225</v>
      </c>
      <c r="AL2926" t="s">
        <v>11150</v>
      </c>
      <c r="AM2926">
        <v>0</v>
      </c>
      <c r="AN2926" t="s">
        <v>11151</v>
      </c>
      <c r="AO2926" t="s">
        <v>11153</v>
      </c>
      <c r="AQ2926" t="s">
        <v>11157</v>
      </c>
      <c r="AR2926" t="s">
        <v>11172</v>
      </c>
      <c r="AU2926">
        <v>4</v>
      </c>
      <c r="AW2926" t="s">
        <v>11187</v>
      </c>
      <c r="AZ2926" t="s">
        <v>11221</v>
      </c>
      <c r="BE2926" t="s">
        <v>13317</v>
      </c>
      <c r="BF2926" t="s">
        <v>14364</v>
      </c>
      <c r="BM2926" t="s">
        <v>15650</v>
      </c>
    </row>
    <row r="2927" spans="1:67">
      <c r="A2927" s="1">
        <f>HYPERLINK("https://lsnyc.legalserver.org/matter/dynamic-profile/view/1866313","18-1866313")</f>
        <v>0</v>
      </c>
      <c r="B2927" t="s">
        <v>173</v>
      </c>
      <c r="C2927" t="s">
        <v>246</v>
      </c>
      <c r="D2927" t="s">
        <v>493</v>
      </c>
      <c r="F2927" t="s">
        <v>1459</v>
      </c>
      <c r="G2927" t="s">
        <v>3030</v>
      </c>
      <c r="H2927" t="s">
        <v>5757</v>
      </c>
      <c r="I2927" t="s">
        <v>6587</v>
      </c>
      <c r="J2927" t="s">
        <v>7170</v>
      </c>
      <c r="K2927">
        <v>10475</v>
      </c>
      <c r="N2927" t="s">
        <v>7237</v>
      </c>
      <c r="O2927" t="s">
        <v>9130</v>
      </c>
      <c r="P2927">
        <v>2</v>
      </c>
      <c r="Q2927">
        <v>0</v>
      </c>
      <c r="R2927">
        <v>171.39</v>
      </c>
      <c r="U2927">
        <v>28210</v>
      </c>
      <c r="W2927">
        <v>11.65</v>
      </c>
      <c r="X2927" t="s">
        <v>1049</v>
      </c>
      <c r="Y2927" t="s">
        <v>10865</v>
      </c>
      <c r="AA2927" t="s">
        <v>10974</v>
      </c>
      <c r="AB2927" t="s">
        <v>261</v>
      </c>
      <c r="AD2927" t="s">
        <v>11082</v>
      </c>
      <c r="AF2927" t="s">
        <v>11118</v>
      </c>
      <c r="AH2927" t="s">
        <v>10975</v>
      </c>
      <c r="AJ2927" t="s">
        <v>11130</v>
      </c>
      <c r="AK2927" t="s">
        <v>7225</v>
      </c>
      <c r="AM2927">
        <v>736.5</v>
      </c>
      <c r="AO2927">
        <v>384</v>
      </c>
      <c r="AQ2927" t="s">
        <v>11158</v>
      </c>
      <c r="AS2927" t="s">
        <v>11173</v>
      </c>
      <c r="AU2927">
        <v>33</v>
      </c>
      <c r="AW2927" t="s">
        <v>11187</v>
      </c>
      <c r="AZ2927" t="s">
        <v>11221</v>
      </c>
      <c r="BE2927" t="s">
        <v>13358</v>
      </c>
      <c r="BG2927" t="s">
        <v>15100</v>
      </c>
      <c r="BM2927" t="s">
        <v>15650</v>
      </c>
      <c r="BO2927" t="s">
        <v>15656</v>
      </c>
    </row>
    <row r="2928" spans="1:67">
      <c r="A2928" s="1">
        <f>HYPERLINK("https://lsnyc.legalserver.org/matter/dynamic-profile/view/1849579","17-1849579")</f>
        <v>0</v>
      </c>
      <c r="B2928" t="s">
        <v>173</v>
      </c>
      <c r="C2928" t="s">
        <v>246</v>
      </c>
      <c r="D2928" t="s">
        <v>954</v>
      </c>
      <c r="F2928" t="s">
        <v>2298</v>
      </c>
      <c r="G2928" t="s">
        <v>4104</v>
      </c>
      <c r="H2928" t="s">
        <v>5758</v>
      </c>
      <c r="I2928" t="s">
        <v>6482</v>
      </c>
      <c r="J2928" t="s">
        <v>7170</v>
      </c>
      <c r="K2928">
        <v>10451</v>
      </c>
      <c r="N2928" t="s">
        <v>7237</v>
      </c>
      <c r="O2928" t="s">
        <v>9131</v>
      </c>
      <c r="P2928">
        <v>2</v>
      </c>
      <c r="Q2928">
        <v>1</v>
      </c>
      <c r="R2928">
        <v>60.24</v>
      </c>
      <c r="S2928" t="s">
        <v>10254</v>
      </c>
      <c r="T2928" t="s">
        <v>10275</v>
      </c>
      <c r="U2928">
        <v>12300</v>
      </c>
      <c r="W2928">
        <v>35.15</v>
      </c>
      <c r="X2928" t="s">
        <v>493</v>
      </c>
      <c r="Y2928" t="s">
        <v>10908</v>
      </c>
      <c r="AA2928" t="s">
        <v>10974</v>
      </c>
      <c r="AB2928" t="s">
        <v>813</v>
      </c>
      <c r="AD2928" t="s">
        <v>11082</v>
      </c>
      <c r="AF2928" t="s">
        <v>11118</v>
      </c>
      <c r="AH2928" t="s">
        <v>10975</v>
      </c>
      <c r="AJ2928" t="s">
        <v>11133</v>
      </c>
      <c r="AK2928" t="s">
        <v>11149</v>
      </c>
      <c r="AM2928">
        <v>1104.48</v>
      </c>
      <c r="AO2928">
        <v>240</v>
      </c>
      <c r="AQ2928" t="s">
        <v>11158</v>
      </c>
      <c r="AS2928" t="s">
        <v>11173</v>
      </c>
      <c r="AU2928">
        <v>26</v>
      </c>
      <c r="AW2928" t="s">
        <v>11187</v>
      </c>
      <c r="AZ2928" t="s">
        <v>11221</v>
      </c>
      <c r="BC2928">
        <v>369055911</v>
      </c>
      <c r="BE2928" t="s">
        <v>13359</v>
      </c>
      <c r="BG2928" t="s">
        <v>15101</v>
      </c>
      <c r="BM2928" t="s">
        <v>15650</v>
      </c>
      <c r="BO2928" t="s">
        <v>15656</v>
      </c>
    </row>
    <row r="2929" spans="1:65">
      <c r="A2929" s="1">
        <f>HYPERLINK("https://lsnyc.legalserver.org/matter/dynamic-profile/view/1898611","19-1898611")</f>
        <v>0</v>
      </c>
      <c r="B2929" t="s">
        <v>174</v>
      </c>
      <c r="C2929" t="s">
        <v>248</v>
      </c>
      <c r="D2929" t="s">
        <v>427</v>
      </c>
      <c r="F2929" t="s">
        <v>2299</v>
      </c>
      <c r="G2929" t="s">
        <v>3837</v>
      </c>
      <c r="H2929" t="s">
        <v>5759</v>
      </c>
      <c r="I2929" t="s">
        <v>6932</v>
      </c>
      <c r="J2929" t="s">
        <v>7174</v>
      </c>
      <c r="K2929">
        <v>11233</v>
      </c>
      <c r="N2929" t="s">
        <v>7237</v>
      </c>
      <c r="O2929" t="s">
        <v>9132</v>
      </c>
      <c r="P2929">
        <v>2</v>
      </c>
      <c r="Q2929">
        <v>0</v>
      </c>
      <c r="R2929">
        <v>57.34</v>
      </c>
      <c r="U2929">
        <v>9696</v>
      </c>
      <c r="W2929">
        <v>7.6</v>
      </c>
      <c r="X2929" t="s">
        <v>380</v>
      </c>
      <c r="Y2929" t="s">
        <v>10917</v>
      </c>
      <c r="Z2929" t="s">
        <v>10972</v>
      </c>
      <c r="AA2929" t="s">
        <v>10976</v>
      </c>
      <c r="AC2929" t="s">
        <v>11081</v>
      </c>
      <c r="AF2929" t="s">
        <v>11118</v>
      </c>
      <c r="AG2929" t="s">
        <v>11124</v>
      </c>
      <c r="AJ2929" t="s">
        <v>11104</v>
      </c>
      <c r="AK2929" t="s">
        <v>7225</v>
      </c>
      <c r="AM2929">
        <v>1900</v>
      </c>
      <c r="AN2929" t="s">
        <v>11151</v>
      </c>
      <c r="AO2929" t="s">
        <v>11153</v>
      </c>
      <c r="AQ2929" t="s">
        <v>11164</v>
      </c>
      <c r="AS2929" t="s">
        <v>11177</v>
      </c>
      <c r="AT2929" t="s">
        <v>11184</v>
      </c>
      <c r="AU2929">
        <v>0</v>
      </c>
      <c r="AW2929" t="s">
        <v>11187</v>
      </c>
      <c r="AX2929" t="s">
        <v>11212</v>
      </c>
      <c r="AZ2929" t="s">
        <v>11221</v>
      </c>
      <c r="BE2929" t="s">
        <v>13360</v>
      </c>
      <c r="BF2929" t="s">
        <v>14364</v>
      </c>
      <c r="BM2929" t="s">
        <v>15650</v>
      </c>
    </row>
    <row r="2930" spans="1:65">
      <c r="A2930" s="1">
        <f>HYPERLINK("https://lsnyc.legalserver.org/matter/dynamic-profile/view/0814008","16-0814008")</f>
        <v>0</v>
      </c>
      <c r="B2930" t="s">
        <v>174</v>
      </c>
      <c r="C2930" t="s">
        <v>248</v>
      </c>
      <c r="D2930" t="s">
        <v>955</v>
      </c>
      <c r="F2930" t="s">
        <v>2300</v>
      </c>
      <c r="G2930" t="s">
        <v>3708</v>
      </c>
      <c r="H2930" t="s">
        <v>5760</v>
      </c>
      <c r="I2930" t="s">
        <v>6933</v>
      </c>
      <c r="J2930" t="s">
        <v>7174</v>
      </c>
      <c r="K2930">
        <v>11225</v>
      </c>
      <c r="M2930" t="s">
        <v>7226</v>
      </c>
      <c r="N2930" t="s">
        <v>7237</v>
      </c>
      <c r="O2930" t="s">
        <v>9133</v>
      </c>
      <c r="P2930">
        <v>1</v>
      </c>
      <c r="Q2930">
        <v>0</v>
      </c>
      <c r="R2930">
        <v>41.89</v>
      </c>
      <c r="U2930">
        <v>4976.4</v>
      </c>
      <c r="W2930">
        <v>49.67</v>
      </c>
      <c r="X2930" t="s">
        <v>301</v>
      </c>
      <c r="Y2930" t="s">
        <v>10918</v>
      </c>
      <c r="AA2930" t="s">
        <v>10974</v>
      </c>
      <c r="AB2930" t="s">
        <v>10990</v>
      </c>
      <c r="AD2930" t="s">
        <v>11096</v>
      </c>
      <c r="AF2930" t="s">
        <v>11122</v>
      </c>
      <c r="AG2930" t="s">
        <v>11124</v>
      </c>
      <c r="AI2930" t="s">
        <v>11126</v>
      </c>
      <c r="AK2930" t="s">
        <v>7225</v>
      </c>
      <c r="AL2930" t="s">
        <v>11150</v>
      </c>
      <c r="AM2930">
        <v>0</v>
      </c>
      <c r="AO2930">
        <v>12</v>
      </c>
      <c r="AP2930" t="s">
        <v>11155</v>
      </c>
      <c r="AR2930" t="s">
        <v>11172</v>
      </c>
      <c r="AT2930" t="s">
        <v>11184</v>
      </c>
      <c r="AU2930">
        <v>0</v>
      </c>
      <c r="AW2930" t="s">
        <v>11187</v>
      </c>
      <c r="AZ2930" t="s">
        <v>11221</v>
      </c>
      <c r="BE2930" t="s">
        <v>13361</v>
      </c>
      <c r="BF2930" t="s">
        <v>14364</v>
      </c>
      <c r="BM2930" t="s">
        <v>15650</v>
      </c>
    </row>
    <row r="2931" spans="1:65">
      <c r="A2931" s="1">
        <f>HYPERLINK("https://lsnyc.legalserver.org/matter/dynamic-profile/view/1878389","18-1878389")</f>
        <v>0</v>
      </c>
      <c r="B2931" t="s">
        <v>174</v>
      </c>
      <c r="C2931" t="s">
        <v>248</v>
      </c>
      <c r="D2931" t="s">
        <v>573</v>
      </c>
      <c r="F2931" t="s">
        <v>2301</v>
      </c>
      <c r="G2931" t="s">
        <v>4105</v>
      </c>
      <c r="H2931" t="s">
        <v>5761</v>
      </c>
      <c r="I2931">
        <v>1</v>
      </c>
      <c r="J2931" t="s">
        <v>7174</v>
      </c>
      <c r="K2931">
        <v>11233</v>
      </c>
      <c r="N2931" t="s">
        <v>7237</v>
      </c>
      <c r="O2931" t="s">
        <v>9134</v>
      </c>
      <c r="P2931">
        <v>1</v>
      </c>
      <c r="Q2931">
        <v>0</v>
      </c>
      <c r="R2931">
        <v>28.37</v>
      </c>
      <c r="U2931">
        <v>3444</v>
      </c>
      <c r="W2931">
        <v>17.95</v>
      </c>
      <c r="X2931" t="s">
        <v>267</v>
      </c>
      <c r="Y2931" t="s">
        <v>10917</v>
      </c>
      <c r="Z2931" t="s">
        <v>10972</v>
      </c>
      <c r="AA2931" t="s">
        <v>10976</v>
      </c>
      <c r="AC2931" t="s">
        <v>11081</v>
      </c>
      <c r="AE2931" t="s">
        <v>11117</v>
      </c>
      <c r="AG2931" t="s">
        <v>11124</v>
      </c>
      <c r="AI2931" t="s">
        <v>11126</v>
      </c>
      <c r="AK2931" t="s">
        <v>7225</v>
      </c>
      <c r="AL2931" t="s">
        <v>11150</v>
      </c>
      <c r="AM2931">
        <v>0</v>
      </c>
      <c r="AN2931" t="s">
        <v>11151</v>
      </c>
      <c r="AO2931" t="s">
        <v>11153</v>
      </c>
      <c r="AP2931" t="s">
        <v>11155</v>
      </c>
      <c r="AR2931" t="s">
        <v>11172</v>
      </c>
      <c r="AT2931" t="s">
        <v>11184</v>
      </c>
      <c r="AU2931">
        <v>0</v>
      </c>
      <c r="AW2931" t="s">
        <v>11187</v>
      </c>
      <c r="AX2931" t="s">
        <v>11212</v>
      </c>
      <c r="AZ2931" t="s">
        <v>11221</v>
      </c>
      <c r="BE2931" t="s">
        <v>13362</v>
      </c>
      <c r="BF2931" t="s">
        <v>14364</v>
      </c>
      <c r="BM2931" t="s">
        <v>15650</v>
      </c>
    </row>
    <row r="2932" spans="1:65">
      <c r="A2932" s="1">
        <f>HYPERLINK("https://lsnyc.legalserver.org/matter/dynamic-profile/view/1882910","18-1882910")</f>
        <v>0</v>
      </c>
      <c r="B2932" t="s">
        <v>174</v>
      </c>
      <c r="C2932" t="s">
        <v>248</v>
      </c>
      <c r="D2932" t="s">
        <v>609</v>
      </c>
      <c r="F2932" t="s">
        <v>1682</v>
      </c>
      <c r="G2932" t="s">
        <v>4106</v>
      </c>
      <c r="H2932" t="s">
        <v>5762</v>
      </c>
      <c r="I2932">
        <v>1</v>
      </c>
      <c r="J2932" t="s">
        <v>7174</v>
      </c>
      <c r="K2932">
        <v>11233</v>
      </c>
      <c r="N2932" t="s">
        <v>7237</v>
      </c>
      <c r="O2932" t="s">
        <v>9135</v>
      </c>
      <c r="P2932">
        <v>1</v>
      </c>
      <c r="Q2932">
        <v>0</v>
      </c>
      <c r="R2932">
        <v>222.41</v>
      </c>
      <c r="U2932">
        <v>27000</v>
      </c>
      <c r="W2932">
        <v>1.1</v>
      </c>
      <c r="X2932" t="s">
        <v>946</v>
      </c>
      <c r="Y2932" t="s">
        <v>10917</v>
      </c>
      <c r="Z2932" t="s">
        <v>10972</v>
      </c>
      <c r="AA2932" t="s">
        <v>10976</v>
      </c>
      <c r="AC2932" t="s">
        <v>11081</v>
      </c>
      <c r="AE2932" t="s">
        <v>11117</v>
      </c>
      <c r="AG2932" t="s">
        <v>11124</v>
      </c>
      <c r="AI2932" t="s">
        <v>11126</v>
      </c>
      <c r="AK2932" t="s">
        <v>7225</v>
      </c>
      <c r="AL2932" t="s">
        <v>11150</v>
      </c>
      <c r="AM2932">
        <v>0</v>
      </c>
      <c r="AN2932" t="s">
        <v>11151</v>
      </c>
      <c r="AO2932" t="s">
        <v>11153</v>
      </c>
      <c r="AP2932" t="s">
        <v>11155</v>
      </c>
      <c r="AR2932" t="s">
        <v>11172</v>
      </c>
      <c r="AT2932" t="s">
        <v>11184</v>
      </c>
      <c r="AU2932">
        <v>0</v>
      </c>
      <c r="AW2932" t="s">
        <v>11187</v>
      </c>
      <c r="AX2932" t="s">
        <v>11212</v>
      </c>
      <c r="AZ2932" t="s">
        <v>11221</v>
      </c>
      <c r="BE2932" t="s">
        <v>13363</v>
      </c>
      <c r="BF2932" t="s">
        <v>14364</v>
      </c>
      <c r="BM2932" t="s">
        <v>15650</v>
      </c>
    </row>
    <row r="2933" spans="1:65">
      <c r="A2933" s="1">
        <f>HYPERLINK("https://lsnyc.legalserver.org/matter/dynamic-profile/view/0787091","15-0787091")</f>
        <v>0</v>
      </c>
      <c r="B2933" t="s">
        <v>174</v>
      </c>
      <c r="C2933" t="s">
        <v>248</v>
      </c>
      <c r="D2933" t="s">
        <v>956</v>
      </c>
      <c r="F2933" t="s">
        <v>2302</v>
      </c>
      <c r="G2933" t="s">
        <v>4107</v>
      </c>
      <c r="H2933" t="s">
        <v>5763</v>
      </c>
      <c r="I2933" t="s">
        <v>6442</v>
      </c>
      <c r="J2933" t="s">
        <v>7174</v>
      </c>
      <c r="K2933">
        <v>11223</v>
      </c>
      <c r="M2933" t="s">
        <v>7226</v>
      </c>
      <c r="N2933" t="s">
        <v>7237</v>
      </c>
      <c r="O2933" t="s">
        <v>8640</v>
      </c>
      <c r="P2933">
        <v>2</v>
      </c>
      <c r="Q2933">
        <v>0</v>
      </c>
      <c r="R2933">
        <v>29.91</v>
      </c>
      <c r="U2933">
        <v>4764</v>
      </c>
      <c r="W2933">
        <v>50.5</v>
      </c>
      <c r="X2933" t="s">
        <v>263</v>
      </c>
      <c r="Y2933" t="s">
        <v>10917</v>
      </c>
      <c r="Z2933" t="s">
        <v>10972</v>
      </c>
      <c r="AA2933" t="s">
        <v>10975</v>
      </c>
      <c r="AC2933" t="s">
        <v>11081</v>
      </c>
      <c r="AF2933" t="s">
        <v>11118</v>
      </c>
      <c r="AG2933" t="s">
        <v>11124</v>
      </c>
      <c r="AI2933" t="s">
        <v>11126</v>
      </c>
      <c r="AK2933" t="s">
        <v>7225</v>
      </c>
      <c r="AL2933" t="s">
        <v>11150</v>
      </c>
      <c r="AM2933">
        <v>0</v>
      </c>
      <c r="AN2933" t="s">
        <v>11151</v>
      </c>
      <c r="AO2933" t="s">
        <v>11153</v>
      </c>
      <c r="AP2933" t="s">
        <v>11155</v>
      </c>
      <c r="AR2933" t="s">
        <v>11172</v>
      </c>
      <c r="AT2933" t="s">
        <v>11184</v>
      </c>
      <c r="AU2933">
        <v>0</v>
      </c>
      <c r="AW2933" t="s">
        <v>11187</v>
      </c>
      <c r="AX2933" t="s">
        <v>11212</v>
      </c>
      <c r="AZ2933" t="s">
        <v>11221</v>
      </c>
      <c r="BE2933" t="s">
        <v>13364</v>
      </c>
      <c r="BF2933" t="s">
        <v>14364</v>
      </c>
      <c r="BM2933" t="s">
        <v>15650</v>
      </c>
    </row>
    <row r="2934" spans="1:65">
      <c r="A2934" s="1">
        <f>HYPERLINK("https://lsnyc.legalserver.org/matter/dynamic-profile/view/0821956","16-0821956")</f>
        <v>0</v>
      </c>
      <c r="B2934" t="s">
        <v>175</v>
      </c>
      <c r="C2934" t="s">
        <v>247</v>
      </c>
      <c r="D2934" t="s">
        <v>481</v>
      </c>
      <c r="F2934" t="s">
        <v>1480</v>
      </c>
      <c r="G2934" t="s">
        <v>1893</v>
      </c>
      <c r="H2934" t="s">
        <v>5028</v>
      </c>
      <c r="I2934">
        <v>7</v>
      </c>
      <c r="J2934" t="s">
        <v>7182</v>
      </c>
      <c r="K2934">
        <v>11101</v>
      </c>
      <c r="N2934" t="s">
        <v>7237</v>
      </c>
      <c r="O2934" t="s">
        <v>7742</v>
      </c>
      <c r="P2934">
        <v>3</v>
      </c>
      <c r="Q2934">
        <v>2</v>
      </c>
      <c r="R2934">
        <v>91.42</v>
      </c>
      <c r="U2934">
        <v>42800</v>
      </c>
      <c r="W2934">
        <v>3.9</v>
      </c>
      <c r="X2934" t="s">
        <v>10819</v>
      </c>
      <c r="Y2934" t="s">
        <v>175</v>
      </c>
      <c r="Z2934" t="s">
        <v>10972</v>
      </c>
      <c r="AA2934" t="s">
        <v>10976</v>
      </c>
      <c r="AD2934" t="s">
        <v>11104</v>
      </c>
      <c r="AF2934" t="s">
        <v>11118</v>
      </c>
      <c r="AH2934" t="s">
        <v>10974</v>
      </c>
      <c r="AJ2934" t="s">
        <v>11140</v>
      </c>
      <c r="AK2934" t="s">
        <v>7225</v>
      </c>
      <c r="AM2934">
        <v>1694.41</v>
      </c>
      <c r="AO2934">
        <v>19</v>
      </c>
      <c r="AQ2934" t="s">
        <v>11157</v>
      </c>
      <c r="AS2934" t="s">
        <v>11173</v>
      </c>
      <c r="AU2934">
        <v>20</v>
      </c>
      <c r="AW2934" t="s">
        <v>11198</v>
      </c>
      <c r="AX2934" t="s">
        <v>11212</v>
      </c>
      <c r="AZ2934" t="s">
        <v>11221</v>
      </c>
      <c r="BC2934" t="s">
        <v>11480</v>
      </c>
      <c r="BE2934" t="s">
        <v>12098</v>
      </c>
      <c r="BG2934" t="s">
        <v>15102</v>
      </c>
      <c r="BM2934" t="s">
        <v>15650</v>
      </c>
    </row>
    <row r="2935" spans="1:65">
      <c r="A2935" s="1">
        <f>HYPERLINK("https://lsnyc.legalserver.org/matter/dynamic-profile/view/1855129","18-1855129")</f>
        <v>0</v>
      </c>
      <c r="B2935" t="s">
        <v>175</v>
      </c>
      <c r="C2935" t="s">
        <v>247</v>
      </c>
      <c r="D2935" t="s">
        <v>413</v>
      </c>
      <c r="F2935" t="s">
        <v>1137</v>
      </c>
      <c r="G2935" t="s">
        <v>3080</v>
      </c>
      <c r="H2935" t="s">
        <v>5764</v>
      </c>
      <c r="I2935" t="s">
        <v>6934</v>
      </c>
      <c r="J2935" t="s">
        <v>7172</v>
      </c>
      <c r="K2935">
        <v>11691</v>
      </c>
      <c r="N2935" t="s">
        <v>7237</v>
      </c>
      <c r="O2935" t="s">
        <v>9136</v>
      </c>
      <c r="P2935">
        <v>2</v>
      </c>
      <c r="Q2935">
        <v>0</v>
      </c>
      <c r="R2935">
        <v>0</v>
      </c>
      <c r="U2935">
        <v>0</v>
      </c>
      <c r="W2935">
        <v>34.73</v>
      </c>
      <c r="X2935" t="s">
        <v>876</v>
      </c>
      <c r="Y2935" t="s">
        <v>10870</v>
      </c>
      <c r="AA2935" t="s">
        <v>10974</v>
      </c>
      <c r="AB2935" t="s">
        <v>413</v>
      </c>
      <c r="AD2935" t="s">
        <v>11082</v>
      </c>
      <c r="AF2935" t="s">
        <v>11118</v>
      </c>
      <c r="AH2935" t="s">
        <v>10975</v>
      </c>
      <c r="AJ2935" t="s">
        <v>11130</v>
      </c>
      <c r="AK2935" t="s">
        <v>7225</v>
      </c>
      <c r="AM2935">
        <v>204</v>
      </c>
      <c r="AO2935">
        <v>149</v>
      </c>
      <c r="AQ2935" t="s">
        <v>11161</v>
      </c>
      <c r="AS2935" t="s">
        <v>11174</v>
      </c>
      <c r="AU2935">
        <v>21</v>
      </c>
      <c r="AW2935" t="s">
        <v>11187</v>
      </c>
      <c r="AZ2935" t="s">
        <v>11221</v>
      </c>
      <c r="BE2935" t="s">
        <v>13365</v>
      </c>
      <c r="BG2935" t="s">
        <v>15103</v>
      </c>
      <c r="BM2935" t="s">
        <v>15650</v>
      </c>
    </row>
    <row r="2936" spans="1:65">
      <c r="A2936" s="1">
        <f>HYPERLINK("https://lsnyc.legalserver.org/matter/dynamic-profile/view/1913154","19-1913154")</f>
        <v>0</v>
      </c>
      <c r="B2936" t="s">
        <v>176</v>
      </c>
      <c r="C2936" t="s">
        <v>248</v>
      </c>
      <c r="D2936" t="s">
        <v>801</v>
      </c>
      <c r="F2936" t="s">
        <v>1208</v>
      </c>
      <c r="G2936" t="s">
        <v>4108</v>
      </c>
      <c r="H2936" t="s">
        <v>4798</v>
      </c>
      <c r="I2936" t="s">
        <v>6935</v>
      </c>
      <c r="J2936" t="s">
        <v>7174</v>
      </c>
      <c r="K2936">
        <v>11233</v>
      </c>
      <c r="N2936" t="s">
        <v>7237</v>
      </c>
      <c r="O2936" t="s">
        <v>9137</v>
      </c>
      <c r="P2936">
        <v>1</v>
      </c>
      <c r="Q2936">
        <v>2</v>
      </c>
      <c r="R2936">
        <v>108.24</v>
      </c>
      <c r="U2936">
        <v>23088</v>
      </c>
      <c r="W2936">
        <v>6.8</v>
      </c>
      <c r="X2936" t="s">
        <v>801</v>
      </c>
      <c r="Y2936" t="s">
        <v>176</v>
      </c>
      <c r="AA2936" t="s">
        <v>10974</v>
      </c>
      <c r="AB2936" t="s">
        <v>626</v>
      </c>
      <c r="AD2936" t="s">
        <v>11086</v>
      </c>
      <c r="AF2936" t="s">
        <v>11120</v>
      </c>
      <c r="AH2936" t="s">
        <v>10975</v>
      </c>
      <c r="AJ2936" t="s">
        <v>11129</v>
      </c>
      <c r="AK2936" t="s">
        <v>7225</v>
      </c>
      <c r="AM2936">
        <v>967.78</v>
      </c>
      <c r="AO2936">
        <v>359</v>
      </c>
      <c r="AQ2936" t="s">
        <v>11157</v>
      </c>
      <c r="AR2936" t="s">
        <v>11172</v>
      </c>
      <c r="AT2936" t="s">
        <v>11184</v>
      </c>
      <c r="AU2936">
        <v>0</v>
      </c>
      <c r="AW2936" t="s">
        <v>11187</v>
      </c>
      <c r="BA2936" t="s">
        <v>11222</v>
      </c>
      <c r="BB2936" t="s">
        <v>11224</v>
      </c>
      <c r="BC2936" t="s">
        <v>11481</v>
      </c>
      <c r="BE2936" t="s">
        <v>13366</v>
      </c>
      <c r="BF2936" t="s">
        <v>14364</v>
      </c>
      <c r="BM2936" t="s">
        <v>15650</v>
      </c>
    </row>
    <row r="2937" spans="1:65">
      <c r="A2937" s="1">
        <f>HYPERLINK("https://lsnyc.legalserver.org/matter/dynamic-profile/view/1914793","19-1914793")</f>
        <v>0</v>
      </c>
      <c r="B2937" t="s">
        <v>176</v>
      </c>
      <c r="C2937" t="s">
        <v>248</v>
      </c>
      <c r="D2937" t="s">
        <v>614</v>
      </c>
      <c r="F2937" t="s">
        <v>1508</v>
      </c>
      <c r="G2937" t="s">
        <v>4109</v>
      </c>
      <c r="H2937" t="s">
        <v>5010</v>
      </c>
      <c r="I2937">
        <v>34</v>
      </c>
      <c r="J2937" t="s">
        <v>7174</v>
      </c>
      <c r="K2937">
        <v>11213</v>
      </c>
      <c r="N2937" t="s">
        <v>7237</v>
      </c>
      <c r="O2937" t="s">
        <v>9138</v>
      </c>
      <c r="P2937">
        <v>2</v>
      </c>
      <c r="Q2937">
        <v>2</v>
      </c>
      <c r="R2937">
        <v>124.75</v>
      </c>
      <c r="U2937">
        <v>32124</v>
      </c>
      <c r="W2937">
        <v>0</v>
      </c>
      <c r="Y2937" t="s">
        <v>225</v>
      </c>
      <c r="AA2937" t="s">
        <v>10974</v>
      </c>
      <c r="AB2937" t="s">
        <v>11003</v>
      </c>
      <c r="AD2937" t="s">
        <v>11085</v>
      </c>
      <c r="AF2937" t="s">
        <v>11118</v>
      </c>
      <c r="AH2937" t="s">
        <v>10974</v>
      </c>
      <c r="AJ2937" t="s">
        <v>11141</v>
      </c>
      <c r="AK2937" t="s">
        <v>7225</v>
      </c>
      <c r="AM2937">
        <v>881.67</v>
      </c>
      <c r="AO2937">
        <v>31</v>
      </c>
      <c r="AQ2937" t="s">
        <v>11157</v>
      </c>
      <c r="AS2937" t="s">
        <v>11173</v>
      </c>
      <c r="AU2937">
        <v>17</v>
      </c>
      <c r="AW2937" t="s">
        <v>11187</v>
      </c>
      <c r="AY2937" t="s">
        <v>11213</v>
      </c>
      <c r="BA2937" t="s">
        <v>11222</v>
      </c>
      <c r="BC2937" t="s">
        <v>11173</v>
      </c>
      <c r="BE2937" t="s">
        <v>13367</v>
      </c>
      <c r="BF2937" t="s">
        <v>14364</v>
      </c>
      <c r="BG2937" t="s">
        <v>14633</v>
      </c>
      <c r="BM2937" t="s">
        <v>15650</v>
      </c>
    </row>
    <row r="2938" spans="1:65">
      <c r="A2938" s="1">
        <f>HYPERLINK("https://lsnyc.legalserver.org/matter/dynamic-profile/view/1914892","19-1914892")</f>
        <v>0</v>
      </c>
      <c r="B2938" t="s">
        <v>176</v>
      </c>
      <c r="C2938" t="s">
        <v>248</v>
      </c>
      <c r="D2938" t="s">
        <v>262</v>
      </c>
      <c r="F2938" t="s">
        <v>2303</v>
      </c>
      <c r="G2938" t="s">
        <v>1234</v>
      </c>
      <c r="H2938" t="s">
        <v>5010</v>
      </c>
      <c r="I2938">
        <v>31</v>
      </c>
      <c r="J2938" t="s">
        <v>7174</v>
      </c>
      <c r="K2938">
        <v>11213</v>
      </c>
      <c r="N2938" t="s">
        <v>7237</v>
      </c>
      <c r="O2938" t="s">
        <v>9139</v>
      </c>
      <c r="P2938">
        <v>2</v>
      </c>
      <c r="Q2938">
        <v>0</v>
      </c>
      <c r="R2938">
        <v>786.52</v>
      </c>
      <c r="T2938" t="s">
        <v>10276</v>
      </c>
      <c r="U2938">
        <v>133000</v>
      </c>
      <c r="V2938" t="s">
        <v>10537</v>
      </c>
      <c r="W2938">
        <v>0</v>
      </c>
      <c r="Y2938" t="s">
        <v>225</v>
      </c>
      <c r="AA2938" t="s">
        <v>10974</v>
      </c>
      <c r="AD2938" t="s">
        <v>11085</v>
      </c>
      <c r="AF2938" t="s">
        <v>11118</v>
      </c>
      <c r="AH2938" t="s">
        <v>10974</v>
      </c>
      <c r="AJ2938" t="s">
        <v>11134</v>
      </c>
      <c r="AK2938" t="s">
        <v>7225</v>
      </c>
      <c r="AM2938">
        <v>944.38</v>
      </c>
      <c r="AO2938">
        <v>31</v>
      </c>
      <c r="AQ2938" t="s">
        <v>11157</v>
      </c>
      <c r="AS2938" t="s">
        <v>11173</v>
      </c>
      <c r="AU2938">
        <v>15</v>
      </c>
      <c r="AW2938" t="s">
        <v>11187</v>
      </c>
      <c r="AY2938" t="s">
        <v>11213</v>
      </c>
      <c r="BA2938" t="s">
        <v>11222</v>
      </c>
      <c r="BC2938" t="s">
        <v>11228</v>
      </c>
      <c r="BE2938" t="s">
        <v>13368</v>
      </c>
      <c r="BF2938" t="s">
        <v>14364</v>
      </c>
      <c r="BG2938" t="s">
        <v>14633</v>
      </c>
      <c r="BM2938" t="s">
        <v>15650</v>
      </c>
    </row>
    <row r="2939" spans="1:65">
      <c r="A2939" s="1">
        <f>HYPERLINK("https://lsnyc.legalserver.org/matter/dynamic-profile/view/1914921","19-1914921")</f>
        <v>0</v>
      </c>
      <c r="B2939" t="s">
        <v>176</v>
      </c>
      <c r="C2939" t="s">
        <v>248</v>
      </c>
      <c r="D2939" t="s">
        <v>262</v>
      </c>
      <c r="F2939" t="s">
        <v>1468</v>
      </c>
      <c r="G2939" t="s">
        <v>3243</v>
      </c>
      <c r="H2939" t="s">
        <v>5010</v>
      </c>
      <c r="I2939">
        <v>42</v>
      </c>
      <c r="J2939" t="s">
        <v>7174</v>
      </c>
      <c r="K2939">
        <v>11213</v>
      </c>
      <c r="N2939" t="s">
        <v>7237</v>
      </c>
      <c r="O2939" t="s">
        <v>7728</v>
      </c>
      <c r="P2939">
        <v>3</v>
      </c>
      <c r="Q2939">
        <v>1</v>
      </c>
      <c r="R2939">
        <v>100.97</v>
      </c>
      <c r="U2939">
        <v>26000</v>
      </c>
      <c r="W2939">
        <v>0</v>
      </c>
      <c r="Y2939" t="s">
        <v>225</v>
      </c>
      <c r="AA2939" t="s">
        <v>10974</v>
      </c>
      <c r="AB2939" t="s">
        <v>11003</v>
      </c>
      <c r="AD2939" t="s">
        <v>11085</v>
      </c>
      <c r="AF2939" t="s">
        <v>11118</v>
      </c>
      <c r="AH2939" t="s">
        <v>10974</v>
      </c>
      <c r="AJ2939" t="s">
        <v>11141</v>
      </c>
      <c r="AK2939" t="s">
        <v>7225</v>
      </c>
      <c r="AM2939">
        <v>950</v>
      </c>
      <c r="AO2939">
        <v>31</v>
      </c>
      <c r="AQ2939" t="s">
        <v>11157</v>
      </c>
      <c r="AS2939" t="s">
        <v>11173</v>
      </c>
      <c r="AU2939">
        <v>18</v>
      </c>
      <c r="AW2939" t="s">
        <v>11187</v>
      </c>
      <c r="AY2939" t="s">
        <v>11213</v>
      </c>
      <c r="BA2939" t="s">
        <v>11222</v>
      </c>
      <c r="BC2939" t="s">
        <v>11173</v>
      </c>
      <c r="BE2939" t="s">
        <v>12085</v>
      </c>
      <c r="BF2939" t="s">
        <v>14364</v>
      </c>
      <c r="BG2939" t="s">
        <v>14633</v>
      </c>
      <c r="BM2939" t="s">
        <v>15650</v>
      </c>
    </row>
    <row r="2940" spans="1:65">
      <c r="A2940" s="1">
        <f>HYPERLINK("https://lsnyc.legalserver.org/matter/dynamic-profile/view/1914905","19-1914905")</f>
        <v>0</v>
      </c>
      <c r="B2940" t="s">
        <v>176</v>
      </c>
      <c r="C2940" t="s">
        <v>248</v>
      </c>
      <c r="D2940" t="s">
        <v>262</v>
      </c>
      <c r="F2940" t="s">
        <v>2304</v>
      </c>
      <c r="G2940" t="s">
        <v>4110</v>
      </c>
      <c r="H2940" t="s">
        <v>5765</v>
      </c>
      <c r="I2940">
        <v>6</v>
      </c>
      <c r="J2940" t="s">
        <v>7174</v>
      </c>
      <c r="K2940">
        <v>11213</v>
      </c>
      <c r="N2940" t="s">
        <v>7237</v>
      </c>
      <c r="O2940" t="s">
        <v>9140</v>
      </c>
      <c r="P2940">
        <v>3</v>
      </c>
      <c r="Q2940">
        <v>0</v>
      </c>
      <c r="R2940">
        <v>173.28</v>
      </c>
      <c r="U2940">
        <v>36960</v>
      </c>
      <c r="W2940">
        <v>0</v>
      </c>
      <c r="Y2940" t="s">
        <v>225</v>
      </c>
      <c r="AA2940" t="s">
        <v>10974</v>
      </c>
      <c r="AB2940" t="s">
        <v>11003</v>
      </c>
      <c r="AD2940" t="s">
        <v>11085</v>
      </c>
      <c r="AF2940" t="s">
        <v>11118</v>
      </c>
      <c r="AH2940" t="s">
        <v>10974</v>
      </c>
      <c r="AJ2940" t="s">
        <v>11141</v>
      </c>
      <c r="AK2940" t="s">
        <v>7225</v>
      </c>
      <c r="AM2940">
        <v>998.03</v>
      </c>
      <c r="AO2940">
        <v>31</v>
      </c>
      <c r="AQ2940" t="s">
        <v>11157</v>
      </c>
      <c r="AS2940" t="s">
        <v>11173</v>
      </c>
      <c r="AU2940">
        <v>15</v>
      </c>
      <c r="AW2940" t="s">
        <v>3528</v>
      </c>
      <c r="AY2940" t="s">
        <v>11213</v>
      </c>
      <c r="BA2940" t="s">
        <v>11222</v>
      </c>
      <c r="BC2940" t="s">
        <v>11228</v>
      </c>
      <c r="BE2940" t="s">
        <v>13369</v>
      </c>
      <c r="BF2940" t="s">
        <v>14364</v>
      </c>
      <c r="BG2940" t="s">
        <v>14633</v>
      </c>
      <c r="BM2940" t="s">
        <v>15650</v>
      </c>
    </row>
    <row r="2941" spans="1:65">
      <c r="A2941" s="1">
        <f>HYPERLINK("https://lsnyc.legalserver.org/matter/dynamic-profile/view/1913104","19-1913104")</f>
        <v>0</v>
      </c>
      <c r="B2941" t="s">
        <v>176</v>
      </c>
      <c r="C2941" t="s">
        <v>248</v>
      </c>
      <c r="D2941" t="s">
        <v>801</v>
      </c>
      <c r="F2941" t="s">
        <v>2304</v>
      </c>
      <c r="G2941" t="s">
        <v>4110</v>
      </c>
      <c r="H2941" t="s">
        <v>5765</v>
      </c>
      <c r="I2941">
        <v>6</v>
      </c>
      <c r="J2941" t="s">
        <v>7174</v>
      </c>
      <c r="K2941">
        <v>11213</v>
      </c>
      <c r="N2941" t="s">
        <v>7237</v>
      </c>
      <c r="O2941" t="s">
        <v>9140</v>
      </c>
      <c r="P2941">
        <v>3</v>
      </c>
      <c r="Q2941">
        <v>0</v>
      </c>
      <c r="R2941">
        <v>173.28</v>
      </c>
      <c r="U2941">
        <v>36960</v>
      </c>
      <c r="W2941">
        <v>1.2</v>
      </c>
      <c r="X2941" t="s">
        <v>801</v>
      </c>
      <c r="Y2941" t="s">
        <v>101</v>
      </c>
      <c r="AA2941" t="s">
        <v>10974</v>
      </c>
      <c r="AB2941" t="s">
        <v>536</v>
      </c>
      <c r="AD2941" t="s">
        <v>11086</v>
      </c>
      <c r="AF2941" t="s">
        <v>10384</v>
      </c>
      <c r="AH2941" t="s">
        <v>10974</v>
      </c>
      <c r="AJ2941" t="s">
        <v>11141</v>
      </c>
      <c r="AK2941" t="s">
        <v>7225</v>
      </c>
      <c r="AM2941">
        <v>998.03</v>
      </c>
      <c r="AO2941">
        <v>31</v>
      </c>
      <c r="AQ2941" t="s">
        <v>11157</v>
      </c>
      <c r="AS2941" t="s">
        <v>11173</v>
      </c>
      <c r="AU2941">
        <v>15</v>
      </c>
      <c r="AW2941" t="s">
        <v>3528</v>
      </c>
      <c r="AY2941" t="s">
        <v>11213</v>
      </c>
      <c r="BA2941" t="s">
        <v>11222</v>
      </c>
      <c r="BE2941" t="s">
        <v>13369</v>
      </c>
      <c r="BF2941" t="s">
        <v>14364</v>
      </c>
      <c r="BG2941" t="s">
        <v>11086</v>
      </c>
      <c r="BM2941" t="s">
        <v>15650</v>
      </c>
    </row>
    <row r="2942" spans="1:65">
      <c r="A2942" s="1">
        <f>HYPERLINK("https://lsnyc.legalserver.org/matter/dynamic-profile/view/1914702","19-1914702")</f>
        <v>0</v>
      </c>
      <c r="B2942" t="s">
        <v>176</v>
      </c>
      <c r="C2942" t="s">
        <v>248</v>
      </c>
      <c r="D2942" t="s">
        <v>297</v>
      </c>
      <c r="F2942" t="s">
        <v>1471</v>
      </c>
      <c r="G2942" t="s">
        <v>2334</v>
      </c>
      <c r="H2942" t="s">
        <v>5010</v>
      </c>
      <c r="I2942">
        <v>41</v>
      </c>
      <c r="J2942" t="s">
        <v>7174</v>
      </c>
      <c r="K2942">
        <v>11213</v>
      </c>
      <c r="N2942" t="s">
        <v>7237</v>
      </c>
      <c r="O2942" t="s">
        <v>7732</v>
      </c>
      <c r="P2942">
        <v>2</v>
      </c>
      <c r="Q2942">
        <v>0</v>
      </c>
      <c r="R2942">
        <v>80.76000000000001</v>
      </c>
      <c r="U2942">
        <v>13656</v>
      </c>
      <c r="W2942">
        <v>0</v>
      </c>
      <c r="Y2942" t="s">
        <v>225</v>
      </c>
      <c r="AA2942" t="s">
        <v>10974</v>
      </c>
      <c r="AB2942" t="s">
        <v>11003</v>
      </c>
      <c r="AD2942" t="s">
        <v>11085</v>
      </c>
      <c r="AF2942" t="s">
        <v>11118</v>
      </c>
      <c r="AH2942" t="s">
        <v>10974</v>
      </c>
      <c r="AJ2942" t="s">
        <v>11134</v>
      </c>
      <c r="AK2942" t="s">
        <v>7225</v>
      </c>
      <c r="AM2942">
        <v>739.64</v>
      </c>
      <c r="AO2942">
        <v>31</v>
      </c>
      <c r="AQ2942" t="s">
        <v>11157</v>
      </c>
      <c r="AS2942" t="s">
        <v>11173</v>
      </c>
      <c r="AU2942">
        <v>35</v>
      </c>
      <c r="AW2942" t="s">
        <v>11187</v>
      </c>
      <c r="AY2942" t="s">
        <v>11213</v>
      </c>
      <c r="BA2942" t="s">
        <v>11222</v>
      </c>
      <c r="BC2942">
        <v>109154905</v>
      </c>
      <c r="BE2942" t="s">
        <v>12087</v>
      </c>
      <c r="BF2942" t="s">
        <v>14364</v>
      </c>
      <c r="BG2942" t="s">
        <v>14574</v>
      </c>
      <c r="BM2942" t="s">
        <v>15650</v>
      </c>
    </row>
    <row r="2943" spans="1:65">
      <c r="A2943" s="1">
        <f>HYPERLINK("https://lsnyc.legalserver.org/matter/dynamic-profile/view/1837027","17-1837027")</f>
        <v>0</v>
      </c>
      <c r="B2943" t="s">
        <v>176</v>
      </c>
      <c r="C2943" t="s">
        <v>248</v>
      </c>
      <c r="D2943" t="s">
        <v>809</v>
      </c>
      <c r="F2943" t="s">
        <v>1604</v>
      </c>
      <c r="G2943" t="s">
        <v>3372</v>
      </c>
      <c r="H2943" t="s">
        <v>5156</v>
      </c>
      <c r="I2943" t="s">
        <v>6424</v>
      </c>
      <c r="J2943" t="s">
        <v>7174</v>
      </c>
      <c r="K2943">
        <v>11212</v>
      </c>
      <c r="N2943" t="s">
        <v>7237</v>
      </c>
      <c r="O2943" t="s">
        <v>7921</v>
      </c>
      <c r="P2943">
        <v>1</v>
      </c>
      <c r="Q2943">
        <v>0</v>
      </c>
      <c r="R2943">
        <v>74.53</v>
      </c>
      <c r="U2943">
        <v>8988</v>
      </c>
      <c r="W2943">
        <v>8.949999999999999</v>
      </c>
      <c r="X2943" t="s">
        <v>735</v>
      </c>
      <c r="Y2943" t="s">
        <v>10888</v>
      </c>
      <c r="AA2943" t="s">
        <v>10974</v>
      </c>
      <c r="AB2943" t="s">
        <v>348</v>
      </c>
      <c r="AD2943" t="s">
        <v>11086</v>
      </c>
      <c r="AF2943" t="s">
        <v>11120</v>
      </c>
      <c r="AH2943" t="s">
        <v>10974</v>
      </c>
      <c r="AI2943" t="s">
        <v>11126</v>
      </c>
      <c r="AK2943" t="s">
        <v>7225</v>
      </c>
      <c r="AM2943">
        <v>1577</v>
      </c>
      <c r="AO2943">
        <v>6</v>
      </c>
      <c r="AQ2943" t="s">
        <v>11157</v>
      </c>
      <c r="AS2943" t="s">
        <v>11104</v>
      </c>
      <c r="AU2943">
        <v>18</v>
      </c>
      <c r="AW2943" t="s">
        <v>11187</v>
      </c>
      <c r="AZ2943" t="s">
        <v>11221</v>
      </c>
      <c r="BC2943" t="s">
        <v>11320</v>
      </c>
      <c r="BE2943" t="s">
        <v>12253</v>
      </c>
      <c r="BF2943" t="s">
        <v>14364</v>
      </c>
      <c r="BK2943" t="s">
        <v>15639</v>
      </c>
      <c r="BM2943" t="s">
        <v>15650</v>
      </c>
    </row>
    <row r="2944" spans="1:65">
      <c r="A2944" s="1">
        <f>HYPERLINK("https://lsnyc.legalserver.org/matter/dynamic-profile/view/1914790","19-1914790")</f>
        <v>0</v>
      </c>
      <c r="B2944" t="s">
        <v>176</v>
      </c>
      <c r="C2944" t="s">
        <v>248</v>
      </c>
      <c r="D2944" t="s">
        <v>614</v>
      </c>
      <c r="F2944" t="s">
        <v>1461</v>
      </c>
      <c r="G2944" t="s">
        <v>3235</v>
      </c>
      <c r="H2944" t="s">
        <v>5010</v>
      </c>
      <c r="I2944">
        <v>27</v>
      </c>
      <c r="J2944" t="s">
        <v>7174</v>
      </c>
      <c r="K2944">
        <v>11213</v>
      </c>
      <c r="N2944" t="s">
        <v>7237</v>
      </c>
      <c r="O2944" t="s">
        <v>7720</v>
      </c>
      <c r="P2944">
        <v>2</v>
      </c>
      <c r="Q2944">
        <v>0</v>
      </c>
      <c r="R2944">
        <v>359.55</v>
      </c>
      <c r="T2944" t="s">
        <v>10276</v>
      </c>
      <c r="U2944">
        <v>60800</v>
      </c>
      <c r="V2944" t="s">
        <v>10538</v>
      </c>
      <c r="W2944">
        <v>0</v>
      </c>
      <c r="Y2944" t="s">
        <v>225</v>
      </c>
      <c r="AA2944" t="s">
        <v>10974</v>
      </c>
      <c r="AB2944" t="s">
        <v>11003</v>
      </c>
      <c r="AD2944" t="s">
        <v>11085</v>
      </c>
      <c r="AF2944" t="s">
        <v>11118</v>
      </c>
      <c r="AH2944" t="s">
        <v>10974</v>
      </c>
      <c r="AJ2944" t="s">
        <v>11141</v>
      </c>
      <c r="AK2944" t="s">
        <v>7225</v>
      </c>
      <c r="AM2944">
        <v>861.2</v>
      </c>
      <c r="AO2944">
        <v>31</v>
      </c>
      <c r="AQ2944" t="s">
        <v>11157</v>
      </c>
      <c r="AS2944" t="s">
        <v>11173</v>
      </c>
      <c r="AU2944">
        <v>34</v>
      </c>
      <c r="AW2944" t="s">
        <v>11187</v>
      </c>
      <c r="AY2944" t="s">
        <v>11213</v>
      </c>
      <c r="BA2944" t="s">
        <v>11222</v>
      </c>
      <c r="BC2944" t="s">
        <v>11228</v>
      </c>
      <c r="BE2944" t="s">
        <v>12078</v>
      </c>
      <c r="BF2944" t="s">
        <v>14364</v>
      </c>
      <c r="BG2944" t="s">
        <v>14633</v>
      </c>
      <c r="BM2944" t="s">
        <v>15650</v>
      </c>
    </row>
    <row r="2945" spans="1:65">
      <c r="A2945" s="1">
        <f>HYPERLINK("https://lsnyc.legalserver.org/matter/dynamic-profile/view/1913581","19-1913581")</f>
        <v>0</v>
      </c>
      <c r="B2945" t="s">
        <v>176</v>
      </c>
      <c r="C2945" t="s">
        <v>248</v>
      </c>
      <c r="D2945" t="s">
        <v>293</v>
      </c>
      <c r="F2945" t="s">
        <v>2305</v>
      </c>
      <c r="G2945" t="s">
        <v>4111</v>
      </c>
      <c r="H2945" t="s">
        <v>5010</v>
      </c>
      <c r="I2945">
        <v>5</v>
      </c>
      <c r="J2945" t="s">
        <v>7174</v>
      </c>
      <c r="K2945">
        <v>11213</v>
      </c>
      <c r="N2945" t="s">
        <v>7237</v>
      </c>
      <c r="O2945" t="s">
        <v>9141</v>
      </c>
      <c r="P2945">
        <v>2</v>
      </c>
      <c r="Q2945">
        <v>1</v>
      </c>
      <c r="R2945">
        <v>67.51000000000001</v>
      </c>
      <c r="U2945">
        <v>14400</v>
      </c>
      <c r="W2945">
        <v>1.5</v>
      </c>
      <c r="X2945" t="s">
        <v>293</v>
      </c>
      <c r="Y2945" t="s">
        <v>176</v>
      </c>
      <c r="AA2945" t="s">
        <v>10974</v>
      </c>
      <c r="AB2945" t="s">
        <v>293</v>
      </c>
      <c r="AD2945" t="s">
        <v>11086</v>
      </c>
      <c r="AF2945" t="s">
        <v>10384</v>
      </c>
      <c r="AH2945" t="s">
        <v>10974</v>
      </c>
      <c r="AJ2945" t="s">
        <v>11134</v>
      </c>
      <c r="AK2945" t="s">
        <v>7225</v>
      </c>
      <c r="AM2945">
        <v>785.95</v>
      </c>
      <c r="AO2945">
        <v>31</v>
      </c>
      <c r="AQ2945" t="s">
        <v>11157</v>
      </c>
      <c r="AR2945" t="s">
        <v>11172</v>
      </c>
      <c r="AU2945">
        <v>23</v>
      </c>
      <c r="AW2945" t="s">
        <v>11187</v>
      </c>
      <c r="BA2945" t="s">
        <v>11222</v>
      </c>
      <c r="BE2945" t="s">
        <v>11236</v>
      </c>
      <c r="BF2945" t="s">
        <v>14364</v>
      </c>
      <c r="BG2945" t="s">
        <v>11173</v>
      </c>
      <c r="BM2945" t="s">
        <v>15650</v>
      </c>
    </row>
    <row r="2946" spans="1:65">
      <c r="A2946" s="1">
        <f>HYPERLINK("https://lsnyc.legalserver.org/matter/dynamic-profile/view/1913860","19-1913860")</f>
        <v>0</v>
      </c>
      <c r="B2946" t="s">
        <v>176</v>
      </c>
      <c r="C2946" t="s">
        <v>248</v>
      </c>
      <c r="D2946" t="s">
        <v>735</v>
      </c>
      <c r="F2946" t="s">
        <v>2190</v>
      </c>
      <c r="G2946" t="s">
        <v>4112</v>
      </c>
      <c r="H2946" t="s">
        <v>5010</v>
      </c>
      <c r="I2946">
        <v>37</v>
      </c>
      <c r="J2946" t="s">
        <v>7174</v>
      </c>
      <c r="K2946">
        <v>11213</v>
      </c>
      <c r="N2946" t="s">
        <v>7237</v>
      </c>
      <c r="O2946" t="s">
        <v>9142</v>
      </c>
      <c r="P2946">
        <v>2</v>
      </c>
      <c r="Q2946">
        <v>0</v>
      </c>
      <c r="R2946">
        <v>146.08</v>
      </c>
      <c r="U2946">
        <v>24702</v>
      </c>
      <c r="W2946">
        <v>0</v>
      </c>
      <c r="Y2946" t="s">
        <v>225</v>
      </c>
      <c r="AA2946" t="s">
        <v>10974</v>
      </c>
      <c r="AB2946" t="s">
        <v>735</v>
      </c>
      <c r="AD2946" t="s">
        <v>11086</v>
      </c>
      <c r="AF2946" t="s">
        <v>10384</v>
      </c>
      <c r="AH2946" t="s">
        <v>10974</v>
      </c>
      <c r="AJ2946" t="s">
        <v>11104</v>
      </c>
      <c r="AK2946" t="s">
        <v>7225</v>
      </c>
      <c r="AM2946">
        <v>798.41</v>
      </c>
      <c r="AO2946">
        <v>31</v>
      </c>
      <c r="AQ2946" t="s">
        <v>11157</v>
      </c>
      <c r="AS2946" t="s">
        <v>11175</v>
      </c>
      <c r="AU2946">
        <v>41</v>
      </c>
      <c r="AW2946" t="s">
        <v>11187</v>
      </c>
      <c r="AY2946" t="s">
        <v>11213</v>
      </c>
      <c r="BA2946" t="s">
        <v>11222</v>
      </c>
      <c r="BC2946" t="s">
        <v>11173</v>
      </c>
      <c r="BE2946" t="s">
        <v>13370</v>
      </c>
      <c r="BF2946" t="s">
        <v>14364</v>
      </c>
      <c r="BG2946" t="s">
        <v>14411</v>
      </c>
      <c r="BM2946" t="s">
        <v>15650</v>
      </c>
    </row>
    <row r="2947" spans="1:65">
      <c r="A2947" s="1">
        <f>HYPERLINK("https://lsnyc.legalserver.org/matter/dynamic-profile/view/1914786","19-1914786")</f>
        <v>0</v>
      </c>
      <c r="B2947" t="s">
        <v>176</v>
      </c>
      <c r="C2947" t="s">
        <v>248</v>
      </c>
      <c r="D2947" t="s">
        <v>614</v>
      </c>
      <c r="F2947" t="s">
        <v>2190</v>
      </c>
      <c r="G2947" t="s">
        <v>4112</v>
      </c>
      <c r="H2947" t="s">
        <v>5010</v>
      </c>
      <c r="I2947">
        <v>37</v>
      </c>
      <c r="J2947" t="s">
        <v>7174</v>
      </c>
      <c r="K2947">
        <v>11213</v>
      </c>
      <c r="N2947" t="s">
        <v>7237</v>
      </c>
      <c r="O2947" t="s">
        <v>9142</v>
      </c>
      <c r="P2947">
        <v>2</v>
      </c>
      <c r="Q2947">
        <v>0</v>
      </c>
      <c r="R2947">
        <v>146.08</v>
      </c>
      <c r="U2947">
        <v>24702</v>
      </c>
      <c r="W2947">
        <v>0</v>
      </c>
      <c r="Y2947" t="s">
        <v>225</v>
      </c>
      <c r="AA2947" t="s">
        <v>10974</v>
      </c>
      <c r="AB2947" t="s">
        <v>11003</v>
      </c>
      <c r="AD2947" t="s">
        <v>11085</v>
      </c>
      <c r="AF2947" t="s">
        <v>11118</v>
      </c>
      <c r="AH2947" t="s">
        <v>10974</v>
      </c>
      <c r="AJ2947" t="s">
        <v>11104</v>
      </c>
      <c r="AK2947" t="s">
        <v>7225</v>
      </c>
      <c r="AM2947">
        <v>798.41</v>
      </c>
      <c r="AO2947">
        <v>31</v>
      </c>
      <c r="AQ2947" t="s">
        <v>11157</v>
      </c>
      <c r="AS2947" t="s">
        <v>11175</v>
      </c>
      <c r="AU2947">
        <v>41</v>
      </c>
      <c r="AW2947" t="s">
        <v>11187</v>
      </c>
      <c r="AY2947" t="s">
        <v>11213</v>
      </c>
      <c r="BA2947" t="s">
        <v>11222</v>
      </c>
      <c r="BC2947" t="s">
        <v>11173</v>
      </c>
      <c r="BE2947" t="s">
        <v>13370</v>
      </c>
      <c r="BF2947" t="s">
        <v>14364</v>
      </c>
      <c r="BG2947" t="s">
        <v>14574</v>
      </c>
      <c r="BM2947" t="s">
        <v>15650</v>
      </c>
    </row>
    <row r="2948" spans="1:65">
      <c r="A2948" s="1">
        <f>HYPERLINK("https://lsnyc.legalserver.org/matter/dynamic-profile/view/1915832","19-1915832")</f>
        <v>0</v>
      </c>
      <c r="B2948" t="s">
        <v>176</v>
      </c>
      <c r="C2948" t="s">
        <v>248</v>
      </c>
      <c r="D2948" t="s">
        <v>539</v>
      </c>
      <c r="F2948" t="s">
        <v>2306</v>
      </c>
      <c r="G2948" t="s">
        <v>4113</v>
      </c>
      <c r="H2948" t="s">
        <v>5010</v>
      </c>
      <c r="I2948">
        <v>1</v>
      </c>
      <c r="J2948" t="s">
        <v>7174</v>
      </c>
      <c r="K2948">
        <v>11213</v>
      </c>
      <c r="N2948" t="s">
        <v>7237</v>
      </c>
      <c r="O2948" t="s">
        <v>9143</v>
      </c>
      <c r="P2948">
        <v>3</v>
      </c>
      <c r="Q2948">
        <v>2</v>
      </c>
      <c r="R2948">
        <v>0</v>
      </c>
      <c r="U2948">
        <v>0</v>
      </c>
      <c r="W2948">
        <v>2.5</v>
      </c>
      <c r="X2948" t="s">
        <v>539</v>
      </c>
      <c r="Y2948" t="s">
        <v>176</v>
      </c>
      <c r="AA2948" t="s">
        <v>10974</v>
      </c>
      <c r="AB2948" t="s">
        <v>539</v>
      </c>
      <c r="AD2948" t="s">
        <v>11086</v>
      </c>
      <c r="AF2948" t="s">
        <v>10384</v>
      </c>
      <c r="AH2948" t="s">
        <v>10974</v>
      </c>
      <c r="AJ2948" t="s">
        <v>11134</v>
      </c>
      <c r="AK2948" t="s">
        <v>7225</v>
      </c>
      <c r="AM2948">
        <v>1016.93</v>
      </c>
      <c r="AO2948">
        <v>31</v>
      </c>
      <c r="AQ2948" t="s">
        <v>11157</v>
      </c>
      <c r="AR2948" t="s">
        <v>11172</v>
      </c>
      <c r="AU2948">
        <v>15</v>
      </c>
      <c r="AW2948" t="s">
        <v>11187</v>
      </c>
      <c r="BA2948" t="s">
        <v>11222</v>
      </c>
      <c r="BE2948" t="s">
        <v>11236</v>
      </c>
      <c r="BF2948" t="s">
        <v>14364</v>
      </c>
      <c r="BM2948" t="s">
        <v>15650</v>
      </c>
    </row>
    <row r="2949" spans="1:65">
      <c r="A2949" s="1">
        <f>HYPERLINK("https://lsnyc.legalserver.org/matter/dynamic-profile/view/1914799","19-1914799")</f>
        <v>0</v>
      </c>
      <c r="B2949" t="s">
        <v>176</v>
      </c>
      <c r="C2949" t="s">
        <v>248</v>
      </c>
      <c r="D2949" t="s">
        <v>614</v>
      </c>
      <c r="F2949" t="s">
        <v>1469</v>
      </c>
      <c r="G2949" t="s">
        <v>2210</v>
      </c>
      <c r="H2949" t="s">
        <v>5010</v>
      </c>
      <c r="I2949">
        <v>7</v>
      </c>
      <c r="J2949" t="s">
        <v>7174</v>
      </c>
      <c r="K2949">
        <v>11213</v>
      </c>
      <c r="N2949" t="s">
        <v>7237</v>
      </c>
      <c r="O2949" t="s">
        <v>7729</v>
      </c>
      <c r="P2949">
        <v>2</v>
      </c>
      <c r="Q2949">
        <v>0</v>
      </c>
      <c r="R2949">
        <v>189.24</v>
      </c>
      <c r="U2949">
        <v>32000</v>
      </c>
      <c r="W2949">
        <v>0</v>
      </c>
      <c r="Y2949" t="s">
        <v>225</v>
      </c>
      <c r="AA2949" t="s">
        <v>10974</v>
      </c>
      <c r="AB2949" t="s">
        <v>11003</v>
      </c>
      <c r="AD2949" t="s">
        <v>11085</v>
      </c>
      <c r="AF2949" t="s">
        <v>11118</v>
      </c>
      <c r="AH2949" t="s">
        <v>10974</v>
      </c>
      <c r="AJ2949" t="s">
        <v>11141</v>
      </c>
      <c r="AK2949" t="s">
        <v>7225</v>
      </c>
      <c r="AM2949">
        <v>931.36</v>
      </c>
      <c r="AO2949">
        <v>31</v>
      </c>
      <c r="AQ2949" t="s">
        <v>11157</v>
      </c>
      <c r="AS2949" t="s">
        <v>11173</v>
      </c>
      <c r="AU2949">
        <v>35</v>
      </c>
      <c r="AW2949" t="s">
        <v>11187</v>
      </c>
      <c r="AY2949" t="s">
        <v>11213</v>
      </c>
      <c r="BA2949" t="s">
        <v>11222</v>
      </c>
      <c r="BC2949" t="s">
        <v>11173</v>
      </c>
      <c r="BD2949" t="s">
        <v>11667</v>
      </c>
      <c r="BF2949" t="s">
        <v>14364</v>
      </c>
      <c r="BG2949" t="s">
        <v>14633</v>
      </c>
      <c r="BM2949" t="s">
        <v>15650</v>
      </c>
    </row>
    <row r="2950" spans="1:65">
      <c r="A2950" s="1">
        <f>HYPERLINK("https://lsnyc.legalserver.org/matter/dynamic-profile/view/1915317","19-1915317")</f>
        <v>0</v>
      </c>
      <c r="B2950" t="s">
        <v>176</v>
      </c>
      <c r="C2950" t="s">
        <v>248</v>
      </c>
      <c r="D2950" t="s">
        <v>426</v>
      </c>
      <c r="F2950" t="s">
        <v>1940</v>
      </c>
      <c r="G2950" t="s">
        <v>1157</v>
      </c>
      <c r="H2950" t="s">
        <v>5010</v>
      </c>
      <c r="I2950">
        <v>38</v>
      </c>
      <c r="J2950" t="s">
        <v>7174</v>
      </c>
      <c r="K2950">
        <v>11213</v>
      </c>
      <c r="N2950" t="s">
        <v>7237</v>
      </c>
      <c r="O2950" t="s">
        <v>9144</v>
      </c>
      <c r="P2950">
        <v>2</v>
      </c>
      <c r="Q2950">
        <v>0</v>
      </c>
      <c r="R2950">
        <v>312.24</v>
      </c>
      <c r="U2950">
        <v>52800</v>
      </c>
      <c r="V2950" t="s">
        <v>10539</v>
      </c>
      <c r="W2950">
        <v>0</v>
      </c>
      <c r="Y2950" t="s">
        <v>225</v>
      </c>
      <c r="AA2950" t="s">
        <v>10974</v>
      </c>
      <c r="AB2950" t="s">
        <v>264</v>
      </c>
      <c r="AD2950" t="s">
        <v>11086</v>
      </c>
      <c r="AF2950" t="s">
        <v>10384</v>
      </c>
      <c r="AH2950" t="s">
        <v>10974</v>
      </c>
      <c r="AJ2950" t="s">
        <v>11134</v>
      </c>
      <c r="AK2950" t="s">
        <v>7225</v>
      </c>
      <c r="AM2950">
        <v>1161.8</v>
      </c>
      <c r="AO2950">
        <v>31</v>
      </c>
      <c r="AQ2950" t="s">
        <v>11157</v>
      </c>
      <c r="AS2950" t="s">
        <v>11173</v>
      </c>
      <c r="AU2950">
        <v>8</v>
      </c>
      <c r="AW2950" t="s">
        <v>11187</v>
      </c>
      <c r="AY2950" t="s">
        <v>11213</v>
      </c>
      <c r="BA2950" t="s">
        <v>11222</v>
      </c>
      <c r="BC2950" t="s">
        <v>11228</v>
      </c>
      <c r="BD2950" t="s">
        <v>11667</v>
      </c>
      <c r="BF2950" t="s">
        <v>14364</v>
      </c>
      <c r="BG2950" t="s">
        <v>11228</v>
      </c>
      <c r="BM2950" t="s">
        <v>15650</v>
      </c>
    </row>
    <row r="2951" spans="1:65">
      <c r="A2951" s="1">
        <f>HYPERLINK("https://lsnyc.legalserver.org/matter/dynamic-profile/view/1914809","19-1914809")</f>
        <v>0</v>
      </c>
      <c r="B2951" t="s">
        <v>176</v>
      </c>
      <c r="C2951" t="s">
        <v>248</v>
      </c>
      <c r="D2951" t="s">
        <v>614</v>
      </c>
      <c r="F2951" t="s">
        <v>1167</v>
      </c>
      <c r="G2951" t="s">
        <v>1137</v>
      </c>
      <c r="H2951" t="s">
        <v>5010</v>
      </c>
      <c r="I2951">
        <v>25</v>
      </c>
      <c r="J2951" t="s">
        <v>7174</v>
      </c>
      <c r="K2951">
        <v>11213</v>
      </c>
      <c r="N2951" t="s">
        <v>7237</v>
      </c>
      <c r="O2951" t="s">
        <v>9145</v>
      </c>
      <c r="P2951">
        <v>1</v>
      </c>
      <c r="Q2951">
        <v>0</v>
      </c>
      <c r="R2951">
        <v>230.58</v>
      </c>
      <c r="T2951" t="s">
        <v>10276</v>
      </c>
      <c r="U2951">
        <v>28800</v>
      </c>
      <c r="V2951" t="s">
        <v>10537</v>
      </c>
      <c r="W2951">
        <v>0</v>
      </c>
      <c r="Y2951" t="s">
        <v>225</v>
      </c>
      <c r="AA2951" t="s">
        <v>10974</v>
      </c>
      <c r="AB2951" t="s">
        <v>11003</v>
      </c>
      <c r="AD2951" t="s">
        <v>11085</v>
      </c>
      <c r="AF2951" t="s">
        <v>11118</v>
      </c>
      <c r="AH2951" t="s">
        <v>10974</v>
      </c>
      <c r="AJ2951" t="s">
        <v>11134</v>
      </c>
      <c r="AK2951" t="s">
        <v>7225</v>
      </c>
      <c r="AM2951">
        <v>1103.14</v>
      </c>
      <c r="AN2951" t="s">
        <v>11151</v>
      </c>
      <c r="AO2951" t="s">
        <v>11153</v>
      </c>
      <c r="AQ2951" t="s">
        <v>11157</v>
      </c>
      <c r="AS2951" t="s">
        <v>11173</v>
      </c>
      <c r="AU2951">
        <v>26</v>
      </c>
      <c r="AW2951" t="s">
        <v>11187</v>
      </c>
      <c r="AY2951" t="s">
        <v>11213</v>
      </c>
      <c r="BA2951" t="s">
        <v>11222</v>
      </c>
      <c r="BC2951" t="s">
        <v>11228</v>
      </c>
      <c r="BE2951" t="s">
        <v>13371</v>
      </c>
      <c r="BF2951" t="s">
        <v>14364</v>
      </c>
      <c r="BG2951" t="s">
        <v>14633</v>
      </c>
      <c r="BM2951" t="s">
        <v>15650</v>
      </c>
    </row>
    <row r="2952" spans="1:65">
      <c r="A2952" s="1">
        <f>HYPERLINK("https://lsnyc.legalserver.org/matter/dynamic-profile/view/1913097","19-1913097")</f>
        <v>0</v>
      </c>
      <c r="B2952" t="s">
        <v>176</v>
      </c>
      <c r="C2952" t="s">
        <v>248</v>
      </c>
      <c r="D2952" t="s">
        <v>336</v>
      </c>
      <c r="F2952" t="s">
        <v>2303</v>
      </c>
      <c r="G2952" t="s">
        <v>1234</v>
      </c>
      <c r="H2952" t="s">
        <v>5010</v>
      </c>
      <c r="I2952">
        <v>31</v>
      </c>
      <c r="J2952" t="s">
        <v>7174</v>
      </c>
      <c r="K2952">
        <v>11213</v>
      </c>
      <c r="N2952" t="s">
        <v>7237</v>
      </c>
      <c r="O2952" t="s">
        <v>9139</v>
      </c>
      <c r="P2952">
        <v>2</v>
      </c>
      <c r="Q2952">
        <v>0</v>
      </c>
      <c r="R2952">
        <v>786.52</v>
      </c>
      <c r="U2952">
        <v>133000</v>
      </c>
      <c r="W2952">
        <v>4.3</v>
      </c>
      <c r="X2952" t="s">
        <v>925</v>
      </c>
      <c r="Y2952" t="s">
        <v>176</v>
      </c>
      <c r="AA2952" t="s">
        <v>10974</v>
      </c>
      <c r="AB2952" t="s">
        <v>336</v>
      </c>
      <c r="AD2952" t="s">
        <v>11086</v>
      </c>
      <c r="AF2952" t="s">
        <v>10384</v>
      </c>
      <c r="AH2952" t="s">
        <v>10974</v>
      </c>
      <c r="AJ2952" t="s">
        <v>11134</v>
      </c>
      <c r="AK2952" t="s">
        <v>7225</v>
      </c>
      <c r="AM2952">
        <v>944.38</v>
      </c>
      <c r="AO2952">
        <v>31</v>
      </c>
      <c r="AQ2952" t="s">
        <v>11157</v>
      </c>
      <c r="AS2952" t="s">
        <v>11173</v>
      </c>
      <c r="AU2952">
        <v>15</v>
      </c>
      <c r="AW2952" t="s">
        <v>11187</v>
      </c>
      <c r="AY2952" t="s">
        <v>11213</v>
      </c>
      <c r="BA2952" t="s">
        <v>11222</v>
      </c>
      <c r="BE2952" t="s">
        <v>13368</v>
      </c>
      <c r="BF2952" t="s">
        <v>14364</v>
      </c>
      <c r="BG2952" t="s">
        <v>11173</v>
      </c>
      <c r="BM2952" t="s">
        <v>15650</v>
      </c>
    </row>
    <row r="2953" spans="1:65">
      <c r="A2953" s="1">
        <f>HYPERLINK("https://lsnyc.legalserver.org/matter/dynamic-profile/view/1913306","19-1913306")</f>
        <v>0</v>
      </c>
      <c r="B2953" t="s">
        <v>176</v>
      </c>
      <c r="C2953" t="s">
        <v>248</v>
      </c>
      <c r="D2953" t="s">
        <v>925</v>
      </c>
      <c r="F2953" t="s">
        <v>1144</v>
      </c>
      <c r="G2953" t="s">
        <v>4114</v>
      </c>
      <c r="H2953" t="s">
        <v>5010</v>
      </c>
      <c r="I2953">
        <v>47</v>
      </c>
      <c r="J2953" t="s">
        <v>7174</v>
      </c>
      <c r="K2953">
        <v>11213</v>
      </c>
      <c r="N2953" t="s">
        <v>7237</v>
      </c>
      <c r="O2953" t="s">
        <v>9146</v>
      </c>
      <c r="P2953">
        <v>2</v>
      </c>
      <c r="Q2953">
        <v>1</v>
      </c>
      <c r="R2953">
        <v>168.78</v>
      </c>
      <c r="U2953">
        <v>36000</v>
      </c>
      <c r="W2953">
        <v>1.5</v>
      </c>
      <c r="X2953" t="s">
        <v>925</v>
      </c>
      <c r="Y2953" t="s">
        <v>176</v>
      </c>
      <c r="AA2953" t="s">
        <v>10974</v>
      </c>
      <c r="AB2953" t="s">
        <v>925</v>
      </c>
      <c r="AD2953" t="s">
        <v>11086</v>
      </c>
      <c r="AF2953" t="s">
        <v>10384</v>
      </c>
      <c r="AH2953" t="s">
        <v>10974</v>
      </c>
      <c r="AJ2953" t="s">
        <v>11134</v>
      </c>
      <c r="AK2953" t="s">
        <v>7225</v>
      </c>
      <c r="AM2953">
        <v>1017.21</v>
      </c>
      <c r="AO2953">
        <v>31</v>
      </c>
      <c r="AQ2953" t="s">
        <v>11157</v>
      </c>
      <c r="AS2953" t="s">
        <v>11173</v>
      </c>
      <c r="AU2953">
        <v>22</v>
      </c>
      <c r="AW2953" t="s">
        <v>11187</v>
      </c>
      <c r="BA2953" t="s">
        <v>11222</v>
      </c>
      <c r="BE2953" t="s">
        <v>13372</v>
      </c>
      <c r="BF2953" t="s">
        <v>14364</v>
      </c>
      <c r="BG2953" t="s">
        <v>11173</v>
      </c>
      <c r="BM2953" t="s">
        <v>15650</v>
      </c>
    </row>
    <row r="2954" spans="1:65">
      <c r="A2954" s="1">
        <f>HYPERLINK("https://lsnyc.legalserver.org/matter/dynamic-profile/view/1914898","19-1914898")</f>
        <v>0</v>
      </c>
      <c r="B2954" t="s">
        <v>176</v>
      </c>
      <c r="C2954" t="s">
        <v>248</v>
      </c>
      <c r="D2954" t="s">
        <v>262</v>
      </c>
      <c r="F2954" t="s">
        <v>2307</v>
      </c>
      <c r="G2954" t="s">
        <v>1234</v>
      </c>
      <c r="H2954" t="s">
        <v>5010</v>
      </c>
      <c r="I2954">
        <v>4</v>
      </c>
      <c r="J2954" t="s">
        <v>7174</v>
      </c>
      <c r="K2954">
        <v>11213</v>
      </c>
      <c r="N2954" t="s">
        <v>7237</v>
      </c>
      <c r="O2954" t="s">
        <v>9147</v>
      </c>
      <c r="P2954">
        <v>3</v>
      </c>
      <c r="Q2954">
        <v>0</v>
      </c>
      <c r="R2954">
        <v>267.23</v>
      </c>
      <c r="T2954" t="s">
        <v>10276</v>
      </c>
      <c r="U2954">
        <v>57000</v>
      </c>
      <c r="V2954" t="s">
        <v>10537</v>
      </c>
      <c r="W2954">
        <v>0</v>
      </c>
      <c r="Y2954" t="s">
        <v>225</v>
      </c>
      <c r="AA2954" t="s">
        <v>10974</v>
      </c>
      <c r="AB2954" t="s">
        <v>11003</v>
      </c>
      <c r="AD2954" t="s">
        <v>11085</v>
      </c>
      <c r="AF2954" t="s">
        <v>11118</v>
      </c>
      <c r="AH2954" t="s">
        <v>10974</v>
      </c>
      <c r="AJ2954" t="s">
        <v>11134</v>
      </c>
      <c r="AK2954" t="s">
        <v>7225</v>
      </c>
      <c r="AM2954">
        <v>993</v>
      </c>
      <c r="AO2954">
        <v>31</v>
      </c>
      <c r="AQ2954" t="s">
        <v>11157</v>
      </c>
      <c r="AS2954" t="s">
        <v>11173</v>
      </c>
      <c r="AU2954">
        <v>20</v>
      </c>
      <c r="AW2954" t="s">
        <v>11187</v>
      </c>
      <c r="AY2954" t="s">
        <v>11213</v>
      </c>
      <c r="BA2954" t="s">
        <v>11222</v>
      </c>
      <c r="BC2954" t="s">
        <v>11228</v>
      </c>
      <c r="BE2954" t="s">
        <v>13373</v>
      </c>
      <c r="BF2954" t="s">
        <v>14364</v>
      </c>
      <c r="BG2954" t="s">
        <v>14574</v>
      </c>
      <c r="BM2954" t="s">
        <v>15650</v>
      </c>
    </row>
    <row r="2955" spans="1:65">
      <c r="A2955" s="1">
        <f>HYPERLINK("https://lsnyc.legalserver.org/matter/dynamic-profile/view/1914788","19-1914788")</f>
        <v>0</v>
      </c>
      <c r="B2955" t="s">
        <v>176</v>
      </c>
      <c r="C2955" t="s">
        <v>248</v>
      </c>
      <c r="D2955" t="s">
        <v>614</v>
      </c>
      <c r="F2955" t="s">
        <v>1128</v>
      </c>
      <c r="G2955" t="s">
        <v>2724</v>
      </c>
      <c r="H2955" t="s">
        <v>5010</v>
      </c>
      <c r="I2955">
        <v>44</v>
      </c>
      <c r="J2955" t="s">
        <v>7174</v>
      </c>
      <c r="K2955">
        <v>11213</v>
      </c>
      <c r="N2955" t="s">
        <v>7237</v>
      </c>
      <c r="O2955" t="s">
        <v>9148</v>
      </c>
      <c r="P2955">
        <v>1</v>
      </c>
      <c r="Q2955">
        <v>0</v>
      </c>
      <c r="R2955">
        <v>432.35</v>
      </c>
      <c r="T2955" t="s">
        <v>10276</v>
      </c>
      <c r="U2955">
        <v>54000</v>
      </c>
      <c r="V2955" t="s">
        <v>10540</v>
      </c>
      <c r="W2955">
        <v>0</v>
      </c>
      <c r="Y2955" t="s">
        <v>225</v>
      </c>
      <c r="AA2955" t="s">
        <v>10974</v>
      </c>
      <c r="AD2955" t="s">
        <v>11085</v>
      </c>
      <c r="AF2955" t="s">
        <v>11118</v>
      </c>
      <c r="AH2955" t="s">
        <v>10974</v>
      </c>
      <c r="AI2955" t="s">
        <v>11126</v>
      </c>
      <c r="AK2955" t="s">
        <v>7225</v>
      </c>
      <c r="AM2955">
        <v>996.34</v>
      </c>
      <c r="AO2955">
        <v>31</v>
      </c>
      <c r="AQ2955" t="s">
        <v>11157</v>
      </c>
      <c r="AS2955" t="s">
        <v>11173</v>
      </c>
      <c r="AU2955">
        <v>15</v>
      </c>
      <c r="AW2955" t="s">
        <v>11187</v>
      </c>
      <c r="AY2955" t="s">
        <v>11213</v>
      </c>
      <c r="BA2955" t="s">
        <v>11222</v>
      </c>
      <c r="BC2955" t="s">
        <v>11228</v>
      </c>
      <c r="BE2955" t="s">
        <v>13374</v>
      </c>
      <c r="BF2955" t="s">
        <v>14364</v>
      </c>
      <c r="BG2955" t="s">
        <v>14633</v>
      </c>
      <c r="BM2955" t="s">
        <v>15650</v>
      </c>
    </row>
    <row r="2956" spans="1:65">
      <c r="A2956" s="1">
        <f>HYPERLINK("https://lsnyc.legalserver.org/matter/dynamic-profile/view/1914797","19-1914797")</f>
        <v>0</v>
      </c>
      <c r="B2956" t="s">
        <v>176</v>
      </c>
      <c r="C2956" t="s">
        <v>248</v>
      </c>
      <c r="D2956" t="s">
        <v>614</v>
      </c>
      <c r="F2956" t="s">
        <v>2308</v>
      </c>
      <c r="G2956" t="s">
        <v>4115</v>
      </c>
      <c r="H2956" t="s">
        <v>5010</v>
      </c>
      <c r="I2956">
        <v>28</v>
      </c>
      <c r="J2956" t="s">
        <v>7174</v>
      </c>
      <c r="K2956">
        <v>11213</v>
      </c>
      <c r="N2956" t="s">
        <v>7237</v>
      </c>
      <c r="O2956" t="s">
        <v>9149</v>
      </c>
      <c r="P2956">
        <v>2</v>
      </c>
      <c r="Q2956">
        <v>0</v>
      </c>
      <c r="R2956">
        <v>372.56</v>
      </c>
      <c r="T2956" t="s">
        <v>10276</v>
      </c>
      <c r="U2956">
        <v>63000</v>
      </c>
      <c r="V2956" t="s">
        <v>10537</v>
      </c>
      <c r="W2956">
        <v>0</v>
      </c>
      <c r="Y2956" t="s">
        <v>225</v>
      </c>
      <c r="AA2956" t="s">
        <v>10974</v>
      </c>
      <c r="AB2956" t="s">
        <v>11003</v>
      </c>
      <c r="AD2956" t="s">
        <v>11085</v>
      </c>
      <c r="AF2956" t="s">
        <v>11118</v>
      </c>
      <c r="AH2956" t="s">
        <v>10974</v>
      </c>
      <c r="AJ2956" t="s">
        <v>11141</v>
      </c>
      <c r="AK2956" t="s">
        <v>7225</v>
      </c>
      <c r="AM2956">
        <v>1326</v>
      </c>
      <c r="AO2956">
        <v>31</v>
      </c>
      <c r="AQ2956" t="s">
        <v>11157</v>
      </c>
      <c r="AS2956" t="s">
        <v>11173</v>
      </c>
      <c r="AU2956">
        <v>2</v>
      </c>
      <c r="AW2956" t="s">
        <v>11187</v>
      </c>
      <c r="AY2956" t="s">
        <v>11213</v>
      </c>
      <c r="BA2956" t="s">
        <v>11222</v>
      </c>
      <c r="BB2956" t="s">
        <v>11224</v>
      </c>
      <c r="BC2956" t="s">
        <v>11482</v>
      </c>
      <c r="BE2956" t="s">
        <v>13375</v>
      </c>
      <c r="BF2956" t="s">
        <v>14364</v>
      </c>
      <c r="BG2956" t="s">
        <v>14633</v>
      </c>
      <c r="BM2956" t="s">
        <v>15650</v>
      </c>
    </row>
    <row r="2957" spans="1:65">
      <c r="A2957" s="1">
        <f>HYPERLINK("https://lsnyc.legalserver.org/matter/dynamic-profile/view/1913900","19-1913900")</f>
        <v>0</v>
      </c>
      <c r="B2957" t="s">
        <v>176</v>
      </c>
      <c r="C2957" t="s">
        <v>248</v>
      </c>
      <c r="D2957" t="s">
        <v>735</v>
      </c>
      <c r="F2957" t="s">
        <v>1167</v>
      </c>
      <c r="G2957" t="s">
        <v>1137</v>
      </c>
      <c r="H2957" t="s">
        <v>5010</v>
      </c>
      <c r="I2957">
        <v>25</v>
      </c>
      <c r="J2957" t="s">
        <v>7174</v>
      </c>
      <c r="K2957">
        <v>11213</v>
      </c>
      <c r="N2957" t="s">
        <v>7237</v>
      </c>
      <c r="O2957" t="s">
        <v>9145</v>
      </c>
      <c r="P2957">
        <v>1</v>
      </c>
      <c r="Q2957">
        <v>0</v>
      </c>
      <c r="R2957">
        <v>230.58</v>
      </c>
      <c r="U2957">
        <v>28800</v>
      </c>
      <c r="W2957">
        <v>1.5</v>
      </c>
      <c r="X2957" t="s">
        <v>735</v>
      </c>
      <c r="Y2957" t="s">
        <v>176</v>
      </c>
      <c r="AA2957" t="s">
        <v>10974</v>
      </c>
      <c r="AB2957" t="s">
        <v>735</v>
      </c>
      <c r="AD2957" t="s">
        <v>11086</v>
      </c>
      <c r="AF2957" t="s">
        <v>10384</v>
      </c>
      <c r="AH2957" t="s">
        <v>10974</v>
      </c>
      <c r="AJ2957" t="s">
        <v>11134</v>
      </c>
      <c r="AK2957" t="s">
        <v>7225</v>
      </c>
      <c r="AM2957">
        <v>1103.14</v>
      </c>
      <c r="AO2957">
        <v>31</v>
      </c>
      <c r="AQ2957" t="s">
        <v>11157</v>
      </c>
      <c r="AS2957" t="s">
        <v>11173</v>
      </c>
      <c r="AU2957">
        <v>26</v>
      </c>
      <c r="AW2957" t="s">
        <v>11187</v>
      </c>
      <c r="AY2957" t="s">
        <v>11213</v>
      </c>
      <c r="BA2957" t="s">
        <v>11222</v>
      </c>
      <c r="BE2957" t="s">
        <v>13371</v>
      </c>
      <c r="BF2957" t="s">
        <v>14364</v>
      </c>
      <c r="BG2957" t="s">
        <v>11086</v>
      </c>
      <c r="BM2957" t="s">
        <v>15650</v>
      </c>
    </row>
    <row r="2958" spans="1:65">
      <c r="A2958" s="1">
        <f>HYPERLINK("https://lsnyc.legalserver.org/matter/dynamic-profile/view/0825788","17-0825788")</f>
        <v>0</v>
      </c>
      <c r="B2958" t="s">
        <v>177</v>
      </c>
      <c r="C2958" t="s">
        <v>246</v>
      </c>
      <c r="D2958" t="s">
        <v>957</v>
      </c>
      <c r="F2958" t="s">
        <v>2309</v>
      </c>
      <c r="G2958" t="s">
        <v>4116</v>
      </c>
      <c r="H2958" t="s">
        <v>4782</v>
      </c>
      <c r="I2958" t="s">
        <v>6404</v>
      </c>
      <c r="J2958" t="s">
        <v>7170</v>
      </c>
      <c r="K2958">
        <v>10453</v>
      </c>
      <c r="N2958" t="s">
        <v>7237</v>
      </c>
      <c r="O2958" t="s">
        <v>7531</v>
      </c>
      <c r="P2958">
        <v>2</v>
      </c>
      <c r="Q2958">
        <v>2</v>
      </c>
      <c r="R2958">
        <v>162.76</v>
      </c>
      <c r="U2958">
        <v>40038</v>
      </c>
      <c r="W2958">
        <v>100.4</v>
      </c>
      <c r="X2958" t="s">
        <v>638</v>
      </c>
      <c r="Y2958" t="s">
        <v>139</v>
      </c>
      <c r="AA2958" t="s">
        <v>10974</v>
      </c>
      <c r="AB2958" t="s">
        <v>957</v>
      </c>
      <c r="AD2958" t="s">
        <v>11082</v>
      </c>
      <c r="AF2958" t="s">
        <v>11118</v>
      </c>
      <c r="AH2958" t="s">
        <v>10975</v>
      </c>
      <c r="AJ2958" t="s">
        <v>11130</v>
      </c>
      <c r="AK2958" t="s">
        <v>7225</v>
      </c>
      <c r="AM2958">
        <v>1036.54</v>
      </c>
      <c r="AO2958">
        <v>84</v>
      </c>
      <c r="AQ2958" t="s">
        <v>11157</v>
      </c>
      <c r="AS2958" t="s">
        <v>11173</v>
      </c>
      <c r="AU2958">
        <v>4</v>
      </c>
      <c r="AW2958" t="s">
        <v>11187</v>
      </c>
      <c r="AZ2958" t="s">
        <v>11221</v>
      </c>
      <c r="BE2958" t="s">
        <v>13376</v>
      </c>
      <c r="BG2958" t="s">
        <v>15104</v>
      </c>
      <c r="BM2958" t="s">
        <v>15650</v>
      </c>
    </row>
    <row r="2959" spans="1:65">
      <c r="A2959" s="1">
        <f>HYPERLINK("https://lsnyc.legalserver.org/matter/dynamic-profile/view/1913349","19-1913349")</f>
        <v>0</v>
      </c>
      <c r="B2959" t="s">
        <v>177</v>
      </c>
      <c r="C2959" t="s">
        <v>246</v>
      </c>
      <c r="D2959" t="s">
        <v>273</v>
      </c>
      <c r="E2959" t="s">
        <v>266</v>
      </c>
      <c r="F2959" t="s">
        <v>1095</v>
      </c>
      <c r="G2959" t="s">
        <v>3293</v>
      </c>
      <c r="H2959" t="s">
        <v>5766</v>
      </c>
      <c r="I2959" t="s">
        <v>6674</v>
      </c>
      <c r="J2959" t="s">
        <v>7170</v>
      </c>
      <c r="K2959">
        <v>10467</v>
      </c>
      <c r="L2959" t="s">
        <v>7216</v>
      </c>
      <c r="N2959" t="s">
        <v>7237</v>
      </c>
      <c r="O2959" t="s">
        <v>9150</v>
      </c>
      <c r="P2959">
        <v>2</v>
      </c>
      <c r="Q2959">
        <v>0</v>
      </c>
      <c r="R2959">
        <v>47.66</v>
      </c>
      <c r="U2959">
        <v>8060.04</v>
      </c>
      <c r="V2959" t="s">
        <v>10541</v>
      </c>
      <c r="W2959">
        <v>0.5</v>
      </c>
      <c r="X2959" t="s">
        <v>266</v>
      </c>
      <c r="Y2959" t="s">
        <v>10880</v>
      </c>
      <c r="Z2959" t="s">
        <v>10972</v>
      </c>
      <c r="AA2959" t="s">
        <v>10975</v>
      </c>
      <c r="AD2959" t="s">
        <v>11086</v>
      </c>
      <c r="AF2959" t="s">
        <v>11119</v>
      </c>
      <c r="AH2959" t="s">
        <v>10975</v>
      </c>
      <c r="AJ2959" t="s">
        <v>11132</v>
      </c>
      <c r="AK2959" t="s">
        <v>7225</v>
      </c>
      <c r="AL2959" t="s">
        <v>11150</v>
      </c>
      <c r="AM2959">
        <v>0</v>
      </c>
      <c r="AO2959">
        <v>4</v>
      </c>
      <c r="AQ2959" t="s">
        <v>11156</v>
      </c>
      <c r="AR2959" t="s">
        <v>11172</v>
      </c>
      <c r="AT2959" t="s">
        <v>11184</v>
      </c>
      <c r="AU2959">
        <v>0</v>
      </c>
      <c r="AW2959" t="s">
        <v>11187</v>
      </c>
      <c r="AX2959" t="s">
        <v>11212</v>
      </c>
      <c r="AZ2959" t="s">
        <v>11221</v>
      </c>
      <c r="BA2959" t="s">
        <v>11173</v>
      </c>
      <c r="BE2959" t="s">
        <v>13377</v>
      </c>
      <c r="BF2959" t="s">
        <v>14364</v>
      </c>
      <c r="BG2959" t="s">
        <v>14574</v>
      </c>
      <c r="BM2959" t="s">
        <v>15651</v>
      </c>
    </row>
    <row r="2960" spans="1:65">
      <c r="A2960" s="1">
        <f>HYPERLINK("https://lsnyc.legalserver.org/matter/dynamic-profile/view/1834583","17-1834583")</f>
        <v>0</v>
      </c>
      <c r="B2960" t="s">
        <v>178</v>
      </c>
      <c r="C2960" t="s">
        <v>248</v>
      </c>
      <c r="D2960" t="s">
        <v>858</v>
      </c>
      <c r="F2960" t="s">
        <v>1359</v>
      </c>
      <c r="G2960" t="s">
        <v>3079</v>
      </c>
      <c r="H2960" t="s">
        <v>5767</v>
      </c>
      <c r="I2960" t="s">
        <v>6412</v>
      </c>
      <c r="J2960" t="s">
        <v>7174</v>
      </c>
      <c r="K2960">
        <v>11208</v>
      </c>
      <c r="N2960" t="s">
        <v>7237</v>
      </c>
      <c r="O2960" t="s">
        <v>9151</v>
      </c>
      <c r="P2960">
        <v>1</v>
      </c>
      <c r="Q2960">
        <v>2</v>
      </c>
      <c r="R2960">
        <v>86.39</v>
      </c>
      <c r="U2960">
        <v>17640</v>
      </c>
      <c r="W2960">
        <v>21</v>
      </c>
      <c r="X2960" t="s">
        <v>352</v>
      </c>
      <c r="Y2960" t="s">
        <v>10913</v>
      </c>
      <c r="AA2960" t="s">
        <v>10974</v>
      </c>
      <c r="AB2960" t="s">
        <v>858</v>
      </c>
      <c r="AD2960" t="s">
        <v>11082</v>
      </c>
      <c r="AF2960" t="s">
        <v>11118</v>
      </c>
      <c r="AH2960" t="s">
        <v>10975</v>
      </c>
      <c r="AJ2960" t="s">
        <v>11128</v>
      </c>
      <c r="AK2960" t="s">
        <v>7225</v>
      </c>
      <c r="AM2960">
        <v>1000</v>
      </c>
      <c r="AO2960">
        <v>30</v>
      </c>
      <c r="AP2960" t="s">
        <v>11155</v>
      </c>
      <c r="AS2960" t="s">
        <v>11178</v>
      </c>
      <c r="AU2960">
        <v>2</v>
      </c>
      <c r="AW2960" t="s">
        <v>11187</v>
      </c>
      <c r="AZ2960" t="s">
        <v>11221</v>
      </c>
      <c r="BE2960" t="s">
        <v>13378</v>
      </c>
      <c r="BG2960" t="s">
        <v>15105</v>
      </c>
      <c r="BM2960" t="s">
        <v>15650</v>
      </c>
    </row>
    <row r="2961" spans="1:67">
      <c r="A2961" s="1">
        <f>HYPERLINK("https://lsnyc.legalserver.org/matter/dynamic-profile/view/1876894","18-1876894")</f>
        <v>0</v>
      </c>
      <c r="B2961" t="s">
        <v>178</v>
      </c>
      <c r="C2961" t="s">
        <v>248</v>
      </c>
      <c r="D2961" t="s">
        <v>864</v>
      </c>
      <c r="E2961" t="s">
        <v>497</v>
      </c>
      <c r="F2961" t="s">
        <v>2310</v>
      </c>
      <c r="G2961" t="s">
        <v>4117</v>
      </c>
      <c r="H2961" t="s">
        <v>5768</v>
      </c>
      <c r="I2961" t="s">
        <v>6432</v>
      </c>
      <c r="J2961" t="s">
        <v>7174</v>
      </c>
      <c r="K2961">
        <v>11207</v>
      </c>
      <c r="L2961" t="s">
        <v>7219</v>
      </c>
      <c r="N2961" t="s">
        <v>7237</v>
      </c>
      <c r="O2961" t="s">
        <v>9152</v>
      </c>
      <c r="P2961">
        <v>2</v>
      </c>
      <c r="Q2961">
        <v>0</v>
      </c>
      <c r="R2961">
        <v>194.41</v>
      </c>
      <c r="U2961">
        <v>32000</v>
      </c>
      <c r="W2961">
        <v>91.3</v>
      </c>
      <c r="X2961" t="s">
        <v>266</v>
      </c>
      <c r="Y2961" t="s">
        <v>10902</v>
      </c>
      <c r="AA2961" t="s">
        <v>10974</v>
      </c>
      <c r="AB2961" t="s">
        <v>491</v>
      </c>
      <c r="AD2961" t="s">
        <v>11101</v>
      </c>
      <c r="AF2961" t="s">
        <v>11118</v>
      </c>
      <c r="AG2961" t="s">
        <v>11124</v>
      </c>
      <c r="AJ2961" t="s">
        <v>11138</v>
      </c>
      <c r="AK2961" t="s">
        <v>7225</v>
      </c>
      <c r="AM2961">
        <v>1100</v>
      </c>
      <c r="AO2961">
        <v>6</v>
      </c>
      <c r="AQ2961" t="s">
        <v>11161</v>
      </c>
      <c r="AS2961" t="s">
        <v>11174</v>
      </c>
      <c r="AT2961" t="s">
        <v>11185</v>
      </c>
      <c r="AU2961">
        <v>-8</v>
      </c>
      <c r="AW2961" t="s">
        <v>11187</v>
      </c>
      <c r="BA2961" t="s">
        <v>11223</v>
      </c>
      <c r="BC2961" t="s">
        <v>11483</v>
      </c>
      <c r="BE2961" t="s">
        <v>13379</v>
      </c>
      <c r="BG2961" t="s">
        <v>15106</v>
      </c>
      <c r="BI2961" t="s">
        <v>15611</v>
      </c>
      <c r="BK2961" t="s">
        <v>11104</v>
      </c>
      <c r="BM2961" t="s">
        <v>15651</v>
      </c>
      <c r="BN2961" t="s">
        <v>15652</v>
      </c>
      <c r="BO2961" t="s">
        <v>15718</v>
      </c>
    </row>
    <row r="2962" spans="1:67">
      <c r="A2962" s="1">
        <f>HYPERLINK("https://lsnyc.legalserver.org/matter/dynamic-profile/view/1877946","18-1877946")</f>
        <v>0</v>
      </c>
      <c r="B2962" t="s">
        <v>178</v>
      </c>
      <c r="C2962" t="s">
        <v>248</v>
      </c>
      <c r="D2962" t="s">
        <v>556</v>
      </c>
      <c r="F2962" t="s">
        <v>2311</v>
      </c>
      <c r="G2962" t="s">
        <v>4118</v>
      </c>
      <c r="H2962" t="s">
        <v>5769</v>
      </c>
      <c r="I2962">
        <v>21</v>
      </c>
      <c r="J2962" t="s">
        <v>7174</v>
      </c>
      <c r="K2962">
        <v>11206</v>
      </c>
      <c r="N2962" t="s">
        <v>7237</v>
      </c>
      <c r="O2962" t="s">
        <v>9153</v>
      </c>
      <c r="P2962">
        <v>1</v>
      </c>
      <c r="Q2962">
        <v>0</v>
      </c>
      <c r="R2962">
        <v>76.11</v>
      </c>
      <c r="U2962">
        <v>9240</v>
      </c>
      <c r="W2962">
        <v>10.3</v>
      </c>
      <c r="X2962" t="s">
        <v>602</v>
      </c>
      <c r="Y2962" t="s">
        <v>10902</v>
      </c>
      <c r="AA2962" t="s">
        <v>10974</v>
      </c>
      <c r="AB2962" t="s">
        <v>483</v>
      </c>
      <c r="AD2962" t="s">
        <v>11082</v>
      </c>
      <c r="AF2962" t="s">
        <v>11118</v>
      </c>
      <c r="AG2962" t="s">
        <v>11124</v>
      </c>
      <c r="AJ2962" t="s">
        <v>11138</v>
      </c>
      <c r="AK2962" t="s">
        <v>7225</v>
      </c>
      <c r="AL2962" t="s">
        <v>11150</v>
      </c>
      <c r="AM2962">
        <v>0</v>
      </c>
      <c r="AN2962" t="s">
        <v>11151</v>
      </c>
      <c r="AO2962" t="s">
        <v>11153</v>
      </c>
      <c r="AP2962" t="s">
        <v>11155</v>
      </c>
      <c r="AS2962" t="s">
        <v>11174</v>
      </c>
      <c r="AU2962">
        <v>15</v>
      </c>
      <c r="AW2962" t="s">
        <v>11187</v>
      </c>
      <c r="AZ2962" t="s">
        <v>11221</v>
      </c>
      <c r="BE2962" t="s">
        <v>13380</v>
      </c>
      <c r="BG2962" t="s">
        <v>15107</v>
      </c>
      <c r="BM2962" t="s">
        <v>15650</v>
      </c>
    </row>
    <row r="2963" spans="1:67">
      <c r="A2963" s="1">
        <f>HYPERLINK("https://lsnyc.legalserver.org/matter/dynamic-profile/view/1909768","19-1909768")</f>
        <v>0</v>
      </c>
      <c r="B2963" t="s">
        <v>178</v>
      </c>
      <c r="C2963" t="s">
        <v>248</v>
      </c>
      <c r="D2963" t="s">
        <v>434</v>
      </c>
      <c r="F2963" t="s">
        <v>2312</v>
      </c>
      <c r="G2963" t="s">
        <v>3233</v>
      </c>
      <c r="H2963" t="s">
        <v>5770</v>
      </c>
      <c r="I2963" t="s">
        <v>6426</v>
      </c>
      <c r="J2963" t="s">
        <v>7174</v>
      </c>
      <c r="K2963">
        <v>11207</v>
      </c>
      <c r="N2963" t="s">
        <v>7237</v>
      </c>
      <c r="O2963" t="s">
        <v>9154</v>
      </c>
      <c r="P2963">
        <v>2</v>
      </c>
      <c r="Q2963">
        <v>3</v>
      </c>
      <c r="R2963">
        <v>180.97</v>
      </c>
      <c r="U2963">
        <v>54600</v>
      </c>
      <c r="W2963">
        <v>7.4</v>
      </c>
      <c r="X2963" t="s">
        <v>539</v>
      </c>
      <c r="Y2963" t="s">
        <v>225</v>
      </c>
      <c r="Z2963" t="s">
        <v>10972</v>
      </c>
      <c r="AA2963" t="s">
        <v>10975</v>
      </c>
      <c r="AD2963" t="s">
        <v>11082</v>
      </c>
      <c r="AF2963" t="s">
        <v>11118</v>
      </c>
      <c r="AH2963" t="s">
        <v>10975</v>
      </c>
      <c r="AJ2963" t="s">
        <v>11129</v>
      </c>
      <c r="AK2963" t="s">
        <v>7225</v>
      </c>
      <c r="AM2963">
        <v>1300</v>
      </c>
      <c r="AO2963">
        <v>6</v>
      </c>
      <c r="AQ2963" t="s">
        <v>11157</v>
      </c>
      <c r="AS2963" t="s">
        <v>11173</v>
      </c>
      <c r="AU2963">
        <v>3</v>
      </c>
      <c r="AW2963" t="s">
        <v>11187</v>
      </c>
      <c r="AY2963" t="s">
        <v>11213</v>
      </c>
      <c r="AZ2963" t="s">
        <v>11221</v>
      </c>
      <c r="BA2963" t="s">
        <v>11173</v>
      </c>
      <c r="BC2963" t="s">
        <v>11228</v>
      </c>
      <c r="BE2963" t="s">
        <v>13381</v>
      </c>
      <c r="BG2963" t="s">
        <v>15108</v>
      </c>
      <c r="BM2963" t="s">
        <v>15650</v>
      </c>
    </row>
    <row r="2964" spans="1:67">
      <c r="A2964" s="1">
        <f>HYPERLINK("https://lsnyc.legalserver.org/matter/dynamic-profile/view/1883701","18-1883701")</f>
        <v>0</v>
      </c>
      <c r="B2964" t="s">
        <v>178</v>
      </c>
      <c r="C2964" t="s">
        <v>248</v>
      </c>
      <c r="D2964" t="s">
        <v>958</v>
      </c>
      <c r="E2964" t="s">
        <v>262</v>
      </c>
      <c r="F2964" t="s">
        <v>1459</v>
      </c>
      <c r="G2964" t="s">
        <v>3466</v>
      </c>
      <c r="H2964" t="s">
        <v>5102</v>
      </c>
      <c r="I2964" t="s">
        <v>6437</v>
      </c>
      <c r="J2964" t="s">
        <v>7174</v>
      </c>
      <c r="K2964">
        <v>11233</v>
      </c>
      <c r="L2964" t="s">
        <v>7219</v>
      </c>
      <c r="N2964" t="s">
        <v>7237</v>
      </c>
      <c r="O2964" t="s">
        <v>9155</v>
      </c>
      <c r="P2964">
        <v>1</v>
      </c>
      <c r="Q2964">
        <v>0</v>
      </c>
      <c r="R2964">
        <v>79.08</v>
      </c>
      <c r="U2964">
        <v>9600</v>
      </c>
      <c r="W2964">
        <v>6.4</v>
      </c>
      <c r="X2964" t="s">
        <v>10842</v>
      </c>
      <c r="Y2964" t="s">
        <v>225</v>
      </c>
      <c r="AA2964" t="s">
        <v>10974</v>
      </c>
      <c r="AB2964" t="s">
        <v>339</v>
      </c>
      <c r="AD2964" t="s">
        <v>11082</v>
      </c>
      <c r="AF2964" t="s">
        <v>11118</v>
      </c>
      <c r="AH2964" t="s">
        <v>10975</v>
      </c>
      <c r="AJ2964" t="s">
        <v>11131</v>
      </c>
      <c r="AK2964" t="s">
        <v>7225</v>
      </c>
      <c r="AM2964">
        <v>1400</v>
      </c>
      <c r="AO2964">
        <v>44</v>
      </c>
      <c r="AQ2964" t="s">
        <v>11161</v>
      </c>
      <c r="AS2964" t="s">
        <v>11174</v>
      </c>
      <c r="AU2964">
        <v>32</v>
      </c>
      <c r="AW2964" t="s">
        <v>11187</v>
      </c>
      <c r="AY2964" t="s">
        <v>11213</v>
      </c>
      <c r="AZ2964" t="s">
        <v>11221</v>
      </c>
      <c r="BB2964" t="s">
        <v>11224</v>
      </c>
      <c r="BC2964" t="s">
        <v>11484</v>
      </c>
      <c r="BE2964" t="s">
        <v>13382</v>
      </c>
      <c r="BG2964" t="s">
        <v>15109</v>
      </c>
      <c r="BH2964" t="s">
        <v>15605</v>
      </c>
      <c r="BJ2964" t="s">
        <v>15615</v>
      </c>
      <c r="BL2964" t="s">
        <v>15648</v>
      </c>
      <c r="BM2964" t="s">
        <v>15651</v>
      </c>
    </row>
    <row r="2965" spans="1:67">
      <c r="A2965" s="1">
        <f>HYPERLINK("https://lsnyc.legalserver.org/matter/dynamic-profile/view/1871668","18-1871668")</f>
        <v>0</v>
      </c>
      <c r="B2965" t="s">
        <v>178</v>
      </c>
      <c r="C2965" t="s">
        <v>248</v>
      </c>
      <c r="D2965" t="s">
        <v>771</v>
      </c>
      <c r="F2965" t="s">
        <v>2313</v>
      </c>
      <c r="G2965" t="s">
        <v>4119</v>
      </c>
      <c r="H2965" t="s">
        <v>5771</v>
      </c>
      <c r="I2965" t="s">
        <v>6936</v>
      </c>
      <c r="J2965" t="s">
        <v>7174</v>
      </c>
      <c r="K2965">
        <v>11239</v>
      </c>
      <c r="N2965" t="s">
        <v>7237</v>
      </c>
      <c r="O2965" t="s">
        <v>9156</v>
      </c>
      <c r="P2965">
        <v>1</v>
      </c>
      <c r="Q2965">
        <v>0</v>
      </c>
      <c r="R2965">
        <v>84.70999999999999</v>
      </c>
      <c r="U2965">
        <v>10284</v>
      </c>
      <c r="V2965" t="s">
        <v>10377</v>
      </c>
      <c r="W2965">
        <v>59.22</v>
      </c>
      <c r="X2965" t="s">
        <v>638</v>
      </c>
      <c r="Y2965" t="s">
        <v>10909</v>
      </c>
      <c r="AA2965" t="s">
        <v>10974</v>
      </c>
      <c r="AB2965" t="s">
        <v>667</v>
      </c>
      <c r="AD2965" t="s">
        <v>11083</v>
      </c>
      <c r="AF2965" t="s">
        <v>11118</v>
      </c>
      <c r="AH2965" t="s">
        <v>10975</v>
      </c>
      <c r="AJ2965" t="s">
        <v>11138</v>
      </c>
      <c r="AK2965" t="s">
        <v>7225</v>
      </c>
      <c r="AL2965" t="s">
        <v>11150</v>
      </c>
      <c r="AM2965">
        <v>0</v>
      </c>
      <c r="AO2965">
        <v>1463</v>
      </c>
      <c r="AQ2965" t="s">
        <v>11161</v>
      </c>
      <c r="AS2965" t="s">
        <v>11174</v>
      </c>
      <c r="AU2965">
        <v>43</v>
      </c>
      <c r="AW2965" t="s">
        <v>11187</v>
      </c>
      <c r="AZ2965" t="s">
        <v>11221</v>
      </c>
      <c r="BE2965" t="s">
        <v>13383</v>
      </c>
      <c r="BG2965" t="s">
        <v>15110</v>
      </c>
      <c r="BM2965" t="s">
        <v>15650</v>
      </c>
    </row>
    <row r="2966" spans="1:67">
      <c r="A2966" s="1">
        <f>HYPERLINK("https://lsnyc.legalserver.org/matter/dynamic-profile/view/1911754","19-1911754")</f>
        <v>0</v>
      </c>
      <c r="B2966" t="s">
        <v>178</v>
      </c>
      <c r="C2966" t="s">
        <v>248</v>
      </c>
      <c r="D2966" t="s">
        <v>345</v>
      </c>
      <c r="F2966" t="s">
        <v>1187</v>
      </c>
      <c r="G2966" t="s">
        <v>4120</v>
      </c>
      <c r="H2966" t="s">
        <v>5772</v>
      </c>
      <c r="I2966">
        <v>3</v>
      </c>
      <c r="J2966" t="s">
        <v>7174</v>
      </c>
      <c r="K2966">
        <v>11233</v>
      </c>
      <c r="N2966" t="s">
        <v>7237</v>
      </c>
      <c r="O2966" t="s">
        <v>9157</v>
      </c>
      <c r="P2966">
        <v>3</v>
      </c>
      <c r="Q2966">
        <v>0</v>
      </c>
      <c r="R2966">
        <v>43.32</v>
      </c>
      <c r="U2966">
        <v>9240</v>
      </c>
      <c r="W2966">
        <v>2.8</v>
      </c>
      <c r="X2966" t="s">
        <v>539</v>
      </c>
      <c r="Y2966" t="s">
        <v>225</v>
      </c>
      <c r="Z2966" t="s">
        <v>10972</v>
      </c>
      <c r="AA2966" t="s">
        <v>10975</v>
      </c>
      <c r="AD2966" t="s">
        <v>11101</v>
      </c>
      <c r="AE2966" t="s">
        <v>11117</v>
      </c>
      <c r="AH2966" t="s">
        <v>10975</v>
      </c>
      <c r="AJ2966" t="s">
        <v>11135</v>
      </c>
      <c r="AK2966" t="s">
        <v>7225</v>
      </c>
      <c r="AM2966">
        <v>1700</v>
      </c>
      <c r="AN2966" t="s">
        <v>11151</v>
      </c>
      <c r="AO2966" t="s">
        <v>11153</v>
      </c>
      <c r="AQ2966" t="s">
        <v>11156</v>
      </c>
      <c r="AS2966" t="s">
        <v>11177</v>
      </c>
      <c r="AU2966">
        <v>1</v>
      </c>
      <c r="AW2966" t="s">
        <v>11187</v>
      </c>
      <c r="AX2966" t="s">
        <v>11212</v>
      </c>
      <c r="AZ2966" t="s">
        <v>11221</v>
      </c>
      <c r="BA2966" t="s">
        <v>11173</v>
      </c>
      <c r="BC2966" t="s">
        <v>11233</v>
      </c>
      <c r="BE2966" t="s">
        <v>13384</v>
      </c>
      <c r="BG2966" t="s">
        <v>15111</v>
      </c>
      <c r="BM2966" t="s">
        <v>15650</v>
      </c>
    </row>
    <row r="2967" spans="1:67">
      <c r="A2967" s="1">
        <f>HYPERLINK("https://lsnyc.legalserver.org/matter/dynamic-profile/view/1894962","19-1894962")</f>
        <v>0</v>
      </c>
      <c r="B2967" t="s">
        <v>178</v>
      </c>
      <c r="C2967" t="s">
        <v>248</v>
      </c>
      <c r="D2967" t="s">
        <v>521</v>
      </c>
      <c r="F2967" t="s">
        <v>2207</v>
      </c>
      <c r="G2967" t="s">
        <v>2913</v>
      </c>
      <c r="H2967" t="s">
        <v>5773</v>
      </c>
      <c r="I2967" t="s">
        <v>6488</v>
      </c>
      <c r="J2967" t="s">
        <v>7174</v>
      </c>
      <c r="K2967">
        <v>11239</v>
      </c>
      <c r="N2967" t="s">
        <v>7237</v>
      </c>
      <c r="O2967" t="s">
        <v>9158</v>
      </c>
      <c r="P2967">
        <v>2</v>
      </c>
      <c r="Q2967">
        <v>0</v>
      </c>
      <c r="R2967">
        <v>59.33</v>
      </c>
      <c r="U2967">
        <v>10032</v>
      </c>
      <c r="W2967">
        <v>24.3</v>
      </c>
      <c r="X2967" t="s">
        <v>638</v>
      </c>
      <c r="Y2967" t="s">
        <v>178</v>
      </c>
      <c r="AA2967" t="s">
        <v>10974</v>
      </c>
      <c r="AB2967" t="s">
        <v>444</v>
      </c>
      <c r="AD2967" t="s">
        <v>11082</v>
      </c>
      <c r="AF2967" t="s">
        <v>11118</v>
      </c>
      <c r="AH2967" t="s">
        <v>10975</v>
      </c>
      <c r="AI2967" t="s">
        <v>11126</v>
      </c>
      <c r="AK2967" t="s">
        <v>7225</v>
      </c>
      <c r="AM2967">
        <v>975</v>
      </c>
      <c r="AO2967">
        <v>60</v>
      </c>
      <c r="AQ2967" t="s">
        <v>11161</v>
      </c>
      <c r="AR2967" t="s">
        <v>11172</v>
      </c>
      <c r="AU2967">
        <v>27</v>
      </c>
      <c r="AW2967" t="s">
        <v>11187</v>
      </c>
      <c r="AY2967" t="s">
        <v>11213</v>
      </c>
      <c r="BA2967" t="s">
        <v>11222</v>
      </c>
      <c r="BE2967" t="s">
        <v>13385</v>
      </c>
      <c r="BG2967" t="s">
        <v>15112</v>
      </c>
      <c r="BM2967" t="s">
        <v>15650</v>
      </c>
    </row>
    <row r="2968" spans="1:67">
      <c r="A2968" s="1">
        <f>HYPERLINK("https://lsnyc.legalserver.org/matter/dynamic-profile/view/1881098","18-1881098")</f>
        <v>0</v>
      </c>
      <c r="B2968" t="s">
        <v>178</v>
      </c>
      <c r="C2968" t="s">
        <v>248</v>
      </c>
      <c r="D2968" t="s">
        <v>959</v>
      </c>
      <c r="F2968" t="s">
        <v>2314</v>
      </c>
      <c r="G2968" t="s">
        <v>3338</v>
      </c>
      <c r="H2968" t="s">
        <v>5774</v>
      </c>
      <c r="I2968" t="s">
        <v>6408</v>
      </c>
      <c r="J2968" t="s">
        <v>7174</v>
      </c>
      <c r="K2968">
        <v>11208</v>
      </c>
      <c r="N2968" t="s">
        <v>7237</v>
      </c>
      <c r="O2968" t="s">
        <v>9159</v>
      </c>
      <c r="P2968">
        <v>1</v>
      </c>
      <c r="Q2968">
        <v>1</v>
      </c>
      <c r="R2968">
        <v>78.98</v>
      </c>
      <c r="U2968">
        <v>13000</v>
      </c>
      <c r="W2968">
        <v>24.2</v>
      </c>
      <c r="X2968" t="s">
        <v>528</v>
      </c>
      <c r="Y2968" t="s">
        <v>10902</v>
      </c>
      <c r="AA2968" t="s">
        <v>10974</v>
      </c>
      <c r="AB2968" t="s">
        <v>483</v>
      </c>
      <c r="AD2968" t="s">
        <v>11082</v>
      </c>
      <c r="AF2968" t="s">
        <v>11118</v>
      </c>
      <c r="AH2968" t="s">
        <v>10975</v>
      </c>
      <c r="AJ2968" t="s">
        <v>11138</v>
      </c>
      <c r="AK2968" t="s">
        <v>7225</v>
      </c>
      <c r="AM2968">
        <v>1088</v>
      </c>
      <c r="AO2968">
        <v>6</v>
      </c>
      <c r="AP2968" t="s">
        <v>11155</v>
      </c>
      <c r="AS2968" t="s">
        <v>11174</v>
      </c>
      <c r="AU2968">
        <v>13</v>
      </c>
      <c r="AW2968" t="s">
        <v>11187</v>
      </c>
      <c r="AZ2968" t="s">
        <v>11221</v>
      </c>
      <c r="BC2968" t="s">
        <v>11485</v>
      </c>
      <c r="BE2968" t="s">
        <v>13386</v>
      </c>
      <c r="BG2968" t="s">
        <v>15113</v>
      </c>
      <c r="BM2968" t="s">
        <v>15650</v>
      </c>
    </row>
    <row r="2969" spans="1:67">
      <c r="A2969" s="1">
        <f>HYPERLINK("https://lsnyc.legalserver.org/matter/dynamic-profile/view/1883833","18-1883833")</f>
        <v>0</v>
      </c>
      <c r="B2969" t="s">
        <v>178</v>
      </c>
      <c r="C2969" t="s">
        <v>248</v>
      </c>
      <c r="D2969" t="s">
        <v>727</v>
      </c>
      <c r="F2969" t="s">
        <v>2315</v>
      </c>
      <c r="G2969" t="s">
        <v>4121</v>
      </c>
      <c r="H2969" t="s">
        <v>5775</v>
      </c>
      <c r="I2969" t="s">
        <v>6513</v>
      </c>
      <c r="J2969" t="s">
        <v>7174</v>
      </c>
      <c r="K2969">
        <v>11208</v>
      </c>
      <c r="N2969" t="s">
        <v>7237</v>
      </c>
      <c r="O2969" t="s">
        <v>9160</v>
      </c>
      <c r="P2969">
        <v>3</v>
      </c>
      <c r="Q2969">
        <v>0</v>
      </c>
      <c r="R2969">
        <v>150.14</v>
      </c>
      <c r="U2969">
        <v>31200</v>
      </c>
      <c r="W2969">
        <v>4.6</v>
      </c>
      <c r="X2969" t="s">
        <v>558</v>
      </c>
      <c r="Y2969" t="s">
        <v>10902</v>
      </c>
      <c r="AA2969" t="s">
        <v>10974</v>
      </c>
      <c r="AB2969" t="s">
        <v>339</v>
      </c>
      <c r="AD2969" t="s">
        <v>11083</v>
      </c>
      <c r="AF2969" t="s">
        <v>11119</v>
      </c>
      <c r="AG2969" t="s">
        <v>11124</v>
      </c>
      <c r="AJ2969" t="s">
        <v>11138</v>
      </c>
      <c r="AK2969" t="s">
        <v>7225</v>
      </c>
      <c r="AL2969" t="s">
        <v>11150</v>
      </c>
      <c r="AM2969">
        <v>0</v>
      </c>
      <c r="AO2969">
        <v>2</v>
      </c>
      <c r="AP2969" t="s">
        <v>11155</v>
      </c>
      <c r="AS2969" t="s">
        <v>11173</v>
      </c>
      <c r="AU2969">
        <v>40</v>
      </c>
      <c r="AW2969" t="s">
        <v>11187</v>
      </c>
      <c r="AZ2969" t="s">
        <v>11221</v>
      </c>
      <c r="BE2969" t="s">
        <v>13387</v>
      </c>
      <c r="BG2969" t="s">
        <v>15114</v>
      </c>
      <c r="BM2969" t="s">
        <v>15650</v>
      </c>
    </row>
    <row r="2970" spans="1:67">
      <c r="A2970" s="1">
        <f>HYPERLINK("https://lsnyc.legalserver.org/matter/dynamic-profile/view/0787372","15-0787372")</f>
        <v>0</v>
      </c>
      <c r="B2970" t="s">
        <v>178</v>
      </c>
      <c r="C2970" t="s">
        <v>248</v>
      </c>
      <c r="D2970" t="s">
        <v>960</v>
      </c>
      <c r="E2970" t="s">
        <v>614</v>
      </c>
      <c r="F2970" t="s">
        <v>1737</v>
      </c>
      <c r="G2970" t="s">
        <v>4122</v>
      </c>
      <c r="H2970" t="s">
        <v>5776</v>
      </c>
      <c r="I2970" t="s">
        <v>6927</v>
      </c>
      <c r="J2970" t="s">
        <v>7174</v>
      </c>
      <c r="K2970">
        <v>11208</v>
      </c>
      <c r="L2970" t="s">
        <v>7219</v>
      </c>
      <c r="N2970" t="s">
        <v>7237</v>
      </c>
      <c r="O2970" t="s">
        <v>9161</v>
      </c>
      <c r="P2970">
        <v>2</v>
      </c>
      <c r="Q2970">
        <v>0</v>
      </c>
      <c r="R2970">
        <v>150.66</v>
      </c>
      <c r="U2970">
        <v>24000</v>
      </c>
      <c r="W2970">
        <v>14.25</v>
      </c>
      <c r="X2970" t="s">
        <v>646</v>
      </c>
      <c r="Y2970" t="s">
        <v>10898</v>
      </c>
      <c r="Z2970" t="s">
        <v>10973</v>
      </c>
      <c r="AA2970" t="s">
        <v>10975</v>
      </c>
      <c r="AB2970" t="s">
        <v>904</v>
      </c>
      <c r="AD2970" t="s">
        <v>11082</v>
      </c>
      <c r="AF2970" t="s">
        <v>11118</v>
      </c>
      <c r="AG2970" t="s">
        <v>11124</v>
      </c>
      <c r="AJ2970" t="s">
        <v>11129</v>
      </c>
      <c r="AK2970" t="s">
        <v>7225</v>
      </c>
      <c r="AM2970">
        <v>1400</v>
      </c>
      <c r="AN2970" t="s">
        <v>11151</v>
      </c>
      <c r="AO2970" t="s">
        <v>11153</v>
      </c>
      <c r="AQ2970" t="s">
        <v>11158</v>
      </c>
      <c r="AR2970" t="s">
        <v>11172</v>
      </c>
      <c r="AU2970">
        <v>8</v>
      </c>
      <c r="AW2970" t="s">
        <v>11104</v>
      </c>
      <c r="AZ2970" t="s">
        <v>11221</v>
      </c>
      <c r="BE2970" t="s">
        <v>13388</v>
      </c>
      <c r="BF2970" t="s">
        <v>14364</v>
      </c>
      <c r="BG2970" t="s">
        <v>15115</v>
      </c>
      <c r="BH2970" t="s">
        <v>15605</v>
      </c>
      <c r="BJ2970" t="s">
        <v>15615</v>
      </c>
      <c r="BL2970" t="s">
        <v>15648</v>
      </c>
      <c r="BM2970" t="s">
        <v>15651</v>
      </c>
    </row>
    <row r="2971" spans="1:67">
      <c r="A2971" s="1">
        <f>HYPERLINK("https://lsnyc.legalserver.org/matter/dynamic-profile/view/1895077","19-1895077")</f>
        <v>0</v>
      </c>
      <c r="B2971" t="s">
        <v>178</v>
      </c>
      <c r="C2971" t="s">
        <v>248</v>
      </c>
      <c r="D2971" t="s">
        <v>320</v>
      </c>
      <c r="E2971" t="s">
        <v>548</v>
      </c>
      <c r="F2971" t="s">
        <v>2316</v>
      </c>
      <c r="G2971" t="s">
        <v>1656</v>
      </c>
      <c r="H2971" t="s">
        <v>5123</v>
      </c>
      <c r="I2971">
        <v>426</v>
      </c>
      <c r="J2971" t="s">
        <v>7174</v>
      </c>
      <c r="K2971">
        <v>11208</v>
      </c>
      <c r="L2971" t="s">
        <v>7219</v>
      </c>
      <c r="N2971" t="s">
        <v>7237</v>
      </c>
      <c r="O2971" t="s">
        <v>9162</v>
      </c>
      <c r="P2971">
        <v>1</v>
      </c>
      <c r="Q2971">
        <v>0</v>
      </c>
      <c r="R2971">
        <v>83.2</v>
      </c>
      <c r="U2971">
        <v>10392</v>
      </c>
      <c r="W2971">
        <v>20.9</v>
      </c>
      <c r="X2971" t="s">
        <v>266</v>
      </c>
      <c r="Y2971" t="s">
        <v>10890</v>
      </c>
      <c r="AA2971" t="s">
        <v>10974</v>
      </c>
      <c r="AB2971" t="s">
        <v>343</v>
      </c>
      <c r="AD2971" t="s">
        <v>11082</v>
      </c>
      <c r="AF2971" t="s">
        <v>11118</v>
      </c>
      <c r="AH2971" t="s">
        <v>10975</v>
      </c>
      <c r="AJ2971" t="s">
        <v>11143</v>
      </c>
      <c r="AK2971" t="s">
        <v>7225</v>
      </c>
      <c r="AM2971">
        <v>208</v>
      </c>
      <c r="AO2971">
        <v>40</v>
      </c>
      <c r="AQ2971" t="s">
        <v>11161</v>
      </c>
      <c r="AS2971" t="s">
        <v>11174</v>
      </c>
      <c r="AU2971">
        <v>11</v>
      </c>
      <c r="AW2971" t="s">
        <v>11187</v>
      </c>
      <c r="AY2971" t="s">
        <v>11213</v>
      </c>
      <c r="BA2971" t="s">
        <v>11222</v>
      </c>
      <c r="BE2971" t="s">
        <v>13389</v>
      </c>
      <c r="BG2971" t="s">
        <v>15116</v>
      </c>
      <c r="BH2971" t="s">
        <v>15605</v>
      </c>
      <c r="BJ2971" t="s">
        <v>15615</v>
      </c>
      <c r="BL2971" t="s">
        <v>15648</v>
      </c>
      <c r="BM2971" t="s">
        <v>15651</v>
      </c>
    </row>
    <row r="2972" spans="1:67">
      <c r="A2972" s="1">
        <f>HYPERLINK("https://lsnyc.legalserver.org/matter/dynamic-profile/view/1902327","19-1902327")</f>
        <v>0</v>
      </c>
      <c r="B2972" t="s">
        <v>178</v>
      </c>
      <c r="C2972" t="s">
        <v>248</v>
      </c>
      <c r="D2972" t="s">
        <v>447</v>
      </c>
      <c r="F2972" t="s">
        <v>1940</v>
      </c>
      <c r="G2972" t="s">
        <v>3162</v>
      </c>
      <c r="H2972" t="s">
        <v>5777</v>
      </c>
      <c r="I2972" t="s">
        <v>6937</v>
      </c>
      <c r="J2972" t="s">
        <v>7174</v>
      </c>
      <c r="K2972">
        <v>11233</v>
      </c>
      <c r="N2972" t="s">
        <v>7237</v>
      </c>
      <c r="O2972" t="s">
        <v>9163</v>
      </c>
      <c r="P2972">
        <v>2</v>
      </c>
      <c r="Q2972">
        <v>0</v>
      </c>
      <c r="R2972">
        <v>331.16</v>
      </c>
      <c r="U2972">
        <v>56000</v>
      </c>
      <c r="V2972" t="s">
        <v>10381</v>
      </c>
      <c r="W2972">
        <v>0.1</v>
      </c>
      <c r="X2972" t="s">
        <v>685</v>
      </c>
      <c r="Y2972" t="s">
        <v>225</v>
      </c>
      <c r="AA2972" t="s">
        <v>10974</v>
      </c>
      <c r="AB2972" t="s">
        <v>343</v>
      </c>
      <c r="AD2972" t="s">
        <v>11082</v>
      </c>
      <c r="AF2972" t="s">
        <v>11121</v>
      </c>
      <c r="AH2972" t="s">
        <v>10975</v>
      </c>
      <c r="AJ2972" t="s">
        <v>11104</v>
      </c>
      <c r="AK2972" t="s">
        <v>7225</v>
      </c>
      <c r="AM2972">
        <v>1365</v>
      </c>
      <c r="AO2972">
        <v>8</v>
      </c>
      <c r="AQ2972" t="s">
        <v>11157</v>
      </c>
      <c r="AS2972" t="s">
        <v>11174</v>
      </c>
      <c r="AU2972">
        <v>23</v>
      </c>
      <c r="AW2972" t="s">
        <v>11189</v>
      </c>
      <c r="AY2972" t="s">
        <v>11213</v>
      </c>
      <c r="BA2972" t="s">
        <v>11222</v>
      </c>
      <c r="BC2972" t="s">
        <v>11173</v>
      </c>
      <c r="BE2972" t="s">
        <v>13390</v>
      </c>
      <c r="BF2972" t="s">
        <v>14364</v>
      </c>
      <c r="BM2972" t="s">
        <v>15650</v>
      </c>
    </row>
    <row r="2973" spans="1:67">
      <c r="A2973" s="1">
        <f>HYPERLINK("https://lsnyc.legalserver.org/matter/dynamic-profile/view/1909907","19-1909907")</f>
        <v>0</v>
      </c>
      <c r="B2973" t="s">
        <v>178</v>
      </c>
      <c r="C2973" t="s">
        <v>248</v>
      </c>
      <c r="D2973" t="s">
        <v>624</v>
      </c>
      <c r="E2973" t="s">
        <v>266</v>
      </c>
      <c r="F2973" t="s">
        <v>2317</v>
      </c>
      <c r="G2973" t="s">
        <v>4123</v>
      </c>
      <c r="H2973" t="s">
        <v>5778</v>
      </c>
      <c r="I2973" t="s">
        <v>6573</v>
      </c>
      <c r="J2973" t="s">
        <v>7174</v>
      </c>
      <c r="K2973">
        <v>11233</v>
      </c>
      <c r="L2973" t="s">
        <v>7219</v>
      </c>
      <c r="N2973" t="s">
        <v>7237</v>
      </c>
      <c r="O2973" t="s">
        <v>9164</v>
      </c>
      <c r="P2973">
        <v>2</v>
      </c>
      <c r="Q2973">
        <v>0</v>
      </c>
      <c r="R2973">
        <v>124.54</v>
      </c>
      <c r="U2973">
        <v>21060</v>
      </c>
      <c r="W2973">
        <v>5.44</v>
      </c>
      <c r="X2973" t="s">
        <v>301</v>
      </c>
      <c r="Y2973" t="s">
        <v>10914</v>
      </c>
      <c r="AA2973" t="s">
        <v>10974</v>
      </c>
      <c r="AB2973" t="s">
        <v>384</v>
      </c>
      <c r="AD2973" t="s">
        <v>11082</v>
      </c>
      <c r="AF2973" t="s">
        <v>11118</v>
      </c>
      <c r="AH2973" t="s">
        <v>10975</v>
      </c>
      <c r="AJ2973" t="s">
        <v>11141</v>
      </c>
      <c r="AK2973" t="s">
        <v>7225</v>
      </c>
      <c r="AM2973">
        <v>1096.4</v>
      </c>
      <c r="AO2973">
        <v>24</v>
      </c>
      <c r="AQ2973" t="s">
        <v>11160</v>
      </c>
      <c r="AR2973" t="s">
        <v>11172</v>
      </c>
      <c r="AU2973">
        <v>12</v>
      </c>
      <c r="AW2973" t="s">
        <v>11187</v>
      </c>
      <c r="AY2973" t="s">
        <v>11214</v>
      </c>
      <c r="BA2973" t="s">
        <v>11223</v>
      </c>
      <c r="BB2973" t="s">
        <v>11224</v>
      </c>
      <c r="BC2973" t="s">
        <v>11486</v>
      </c>
      <c r="BE2973" t="s">
        <v>13391</v>
      </c>
      <c r="BG2973" t="s">
        <v>15117</v>
      </c>
      <c r="BH2973" t="s">
        <v>15605</v>
      </c>
      <c r="BK2973" t="s">
        <v>15618</v>
      </c>
      <c r="BM2973" t="s">
        <v>15651</v>
      </c>
      <c r="BN2973" t="s">
        <v>15652</v>
      </c>
      <c r="BO2973" t="s">
        <v>15719</v>
      </c>
    </row>
    <row r="2974" spans="1:67">
      <c r="A2974" s="1">
        <f>HYPERLINK("https://lsnyc.legalserver.org/matter/dynamic-profile/view/1869128","18-1869128")</f>
        <v>0</v>
      </c>
      <c r="B2974" t="s">
        <v>178</v>
      </c>
      <c r="C2974" t="s">
        <v>248</v>
      </c>
      <c r="D2974" t="s">
        <v>572</v>
      </c>
      <c r="F2974" t="s">
        <v>2318</v>
      </c>
      <c r="G2974" t="s">
        <v>2923</v>
      </c>
      <c r="H2974" t="s">
        <v>5779</v>
      </c>
      <c r="I2974">
        <v>3</v>
      </c>
      <c r="J2974" t="s">
        <v>7174</v>
      </c>
      <c r="K2974">
        <v>11208</v>
      </c>
      <c r="N2974" t="s">
        <v>7237</v>
      </c>
      <c r="O2974" t="s">
        <v>9165</v>
      </c>
      <c r="P2974">
        <v>3</v>
      </c>
      <c r="Q2974">
        <v>0</v>
      </c>
      <c r="R2974">
        <v>149.18</v>
      </c>
      <c r="U2974">
        <v>31000</v>
      </c>
      <c r="W2974">
        <v>21.51</v>
      </c>
      <c r="X2974" t="s">
        <v>406</v>
      </c>
      <c r="Y2974" t="s">
        <v>225</v>
      </c>
      <c r="AA2974" t="s">
        <v>10974</v>
      </c>
      <c r="AB2974" t="s">
        <v>298</v>
      </c>
      <c r="AD2974" t="s">
        <v>11083</v>
      </c>
      <c r="AF2974" t="s">
        <v>11118</v>
      </c>
      <c r="AH2974" t="s">
        <v>10975</v>
      </c>
      <c r="AJ2974" t="s">
        <v>11136</v>
      </c>
      <c r="AK2974" t="s">
        <v>7225</v>
      </c>
      <c r="AM2974">
        <v>851</v>
      </c>
      <c r="AO2974">
        <v>50</v>
      </c>
      <c r="AQ2974" t="s">
        <v>11157</v>
      </c>
      <c r="AS2974" t="s">
        <v>11173</v>
      </c>
      <c r="AU2974">
        <v>12</v>
      </c>
      <c r="AW2974" t="s">
        <v>11187</v>
      </c>
      <c r="AZ2974" t="s">
        <v>11221</v>
      </c>
      <c r="BC2974" t="s">
        <v>11173</v>
      </c>
      <c r="BE2974" t="s">
        <v>13392</v>
      </c>
      <c r="BG2974" t="s">
        <v>15118</v>
      </c>
      <c r="BM2974" t="s">
        <v>15650</v>
      </c>
    </row>
    <row r="2975" spans="1:67">
      <c r="A2975" s="1">
        <f>HYPERLINK("https://lsnyc.legalserver.org/matter/dynamic-profile/view/1909493","19-1909493")</f>
        <v>0</v>
      </c>
      <c r="B2975" t="s">
        <v>178</v>
      </c>
      <c r="C2975" t="s">
        <v>248</v>
      </c>
      <c r="D2975" t="s">
        <v>269</v>
      </c>
      <c r="F2975" t="s">
        <v>2319</v>
      </c>
      <c r="G2975" t="s">
        <v>3209</v>
      </c>
      <c r="H2975" t="s">
        <v>5780</v>
      </c>
      <c r="I2975" t="s">
        <v>6405</v>
      </c>
      <c r="J2975" t="s">
        <v>7174</v>
      </c>
      <c r="K2975">
        <v>11207</v>
      </c>
      <c r="N2975" t="s">
        <v>7237</v>
      </c>
      <c r="O2975" t="s">
        <v>9166</v>
      </c>
      <c r="P2975">
        <v>2</v>
      </c>
      <c r="Q2975">
        <v>0</v>
      </c>
      <c r="R2975">
        <v>210.55</v>
      </c>
      <c r="U2975">
        <v>35604</v>
      </c>
      <c r="W2975">
        <v>3.1</v>
      </c>
      <c r="X2975" t="s">
        <v>266</v>
      </c>
      <c r="Y2975" t="s">
        <v>101</v>
      </c>
      <c r="AA2975" t="s">
        <v>10974</v>
      </c>
      <c r="AB2975" t="s">
        <v>375</v>
      </c>
      <c r="AD2975" t="s">
        <v>11086</v>
      </c>
      <c r="AF2975" t="s">
        <v>10384</v>
      </c>
      <c r="AH2975" t="s">
        <v>10975</v>
      </c>
      <c r="AJ2975" t="s">
        <v>11134</v>
      </c>
      <c r="AK2975" t="s">
        <v>7225</v>
      </c>
      <c r="AL2975" t="s">
        <v>11150</v>
      </c>
      <c r="AM2975">
        <v>0</v>
      </c>
      <c r="AO2975">
        <v>102</v>
      </c>
      <c r="AQ2975" t="s">
        <v>11157</v>
      </c>
      <c r="AS2975" t="s">
        <v>11173</v>
      </c>
      <c r="AT2975" t="s">
        <v>11184</v>
      </c>
      <c r="AU2975">
        <v>0</v>
      </c>
      <c r="AW2975" t="s">
        <v>11187</v>
      </c>
      <c r="BA2975" t="s">
        <v>11222</v>
      </c>
      <c r="BE2975" t="s">
        <v>13393</v>
      </c>
      <c r="BF2975" t="s">
        <v>14364</v>
      </c>
      <c r="BG2975" t="s">
        <v>11086</v>
      </c>
      <c r="BM2975" t="s">
        <v>15650</v>
      </c>
    </row>
    <row r="2976" spans="1:67">
      <c r="A2976" s="1">
        <f>HYPERLINK("https://lsnyc.legalserver.org/matter/dynamic-profile/view/1884304","18-1884304")</f>
        <v>0</v>
      </c>
      <c r="B2976" t="s">
        <v>178</v>
      </c>
      <c r="C2976" t="s">
        <v>248</v>
      </c>
      <c r="D2976" t="s">
        <v>795</v>
      </c>
      <c r="F2976" t="s">
        <v>1741</v>
      </c>
      <c r="G2976" t="s">
        <v>2913</v>
      </c>
      <c r="H2976" t="s">
        <v>5781</v>
      </c>
      <c r="I2976" t="s">
        <v>6884</v>
      </c>
      <c r="J2976" t="s">
        <v>7174</v>
      </c>
      <c r="K2976">
        <v>11212</v>
      </c>
      <c r="N2976" t="s">
        <v>7237</v>
      </c>
      <c r="O2976" t="s">
        <v>9167</v>
      </c>
      <c r="P2976">
        <v>1</v>
      </c>
      <c r="Q2976">
        <v>2</v>
      </c>
      <c r="R2976">
        <v>49.03</v>
      </c>
      <c r="U2976">
        <v>10188</v>
      </c>
      <c r="W2976">
        <v>75.3</v>
      </c>
      <c r="X2976" t="s">
        <v>539</v>
      </c>
      <c r="Y2976" t="s">
        <v>225</v>
      </c>
      <c r="AA2976" t="s">
        <v>10974</v>
      </c>
      <c r="AB2976" t="s">
        <v>343</v>
      </c>
      <c r="AD2976" t="s">
        <v>11090</v>
      </c>
      <c r="AF2976" t="s">
        <v>11118</v>
      </c>
      <c r="AH2976" t="s">
        <v>10975</v>
      </c>
      <c r="AJ2976" t="s">
        <v>11139</v>
      </c>
      <c r="AK2976" t="s">
        <v>7225</v>
      </c>
      <c r="AM2976">
        <v>254</v>
      </c>
      <c r="AO2976">
        <v>162</v>
      </c>
      <c r="AQ2976" t="s">
        <v>11159</v>
      </c>
      <c r="AS2976" t="s">
        <v>11179</v>
      </c>
      <c r="AU2976">
        <v>32</v>
      </c>
      <c r="AW2976" t="s">
        <v>11187</v>
      </c>
      <c r="AY2976" t="s">
        <v>11213</v>
      </c>
      <c r="BA2976" t="s">
        <v>11222</v>
      </c>
      <c r="BB2976" t="s">
        <v>11224</v>
      </c>
      <c r="BC2976" t="s">
        <v>11487</v>
      </c>
      <c r="BE2976" t="s">
        <v>13394</v>
      </c>
      <c r="BF2976" t="s">
        <v>14364</v>
      </c>
      <c r="BG2976" t="s">
        <v>11086</v>
      </c>
      <c r="BM2976" t="s">
        <v>15650</v>
      </c>
    </row>
    <row r="2977" spans="1:65">
      <c r="A2977" s="1">
        <f>HYPERLINK("https://lsnyc.legalserver.org/matter/dynamic-profile/view/1864918","18-1864918")</f>
        <v>0</v>
      </c>
      <c r="B2977" t="s">
        <v>178</v>
      </c>
      <c r="C2977" t="s">
        <v>248</v>
      </c>
      <c r="D2977" t="s">
        <v>716</v>
      </c>
      <c r="F2977" t="s">
        <v>2320</v>
      </c>
      <c r="G2977" t="s">
        <v>2902</v>
      </c>
      <c r="H2977" t="s">
        <v>5782</v>
      </c>
      <c r="I2977" t="s">
        <v>6430</v>
      </c>
      <c r="J2977" t="s">
        <v>7174</v>
      </c>
      <c r="K2977">
        <v>11208</v>
      </c>
      <c r="N2977" t="s">
        <v>7237</v>
      </c>
      <c r="O2977" t="s">
        <v>9168</v>
      </c>
      <c r="P2977">
        <v>2</v>
      </c>
      <c r="Q2977">
        <v>0</v>
      </c>
      <c r="R2977">
        <v>113.1</v>
      </c>
      <c r="U2977">
        <v>18616</v>
      </c>
      <c r="W2977">
        <v>63.3</v>
      </c>
      <c r="X2977" t="s">
        <v>436</v>
      </c>
      <c r="Y2977" t="s">
        <v>10913</v>
      </c>
      <c r="AA2977" t="s">
        <v>10974</v>
      </c>
      <c r="AB2977" t="s">
        <v>716</v>
      </c>
      <c r="AD2977" t="s">
        <v>11083</v>
      </c>
      <c r="AF2977" t="s">
        <v>11118</v>
      </c>
      <c r="AH2977" t="s">
        <v>10975</v>
      </c>
      <c r="AJ2977" t="s">
        <v>11128</v>
      </c>
      <c r="AK2977" t="s">
        <v>7225</v>
      </c>
      <c r="AM2977">
        <v>862</v>
      </c>
      <c r="AO2977">
        <v>6</v>
      </c>
      <c r="AP2977" t="s">
        <v>11155</v>
      </c>
      <c r="AS2977" t="s">
        <v>11173</v>
      </c>
      <c r="AU2977">
        <v>13</v>
      </c>
      <c r="AW2977" t="s">
        <v>11189</v>
      </c>
      <c r="AZ2977" t="s">
        <v>11221</v>
      </c>
      <c r="BB2977" t="s">
        <v>11224</v>
      </c>
      <c r="BC2977" t="s">
        <v>11488</v>
      </c>
      <c r="BE2977" t="s">
        <v>13395</v>
      </c>
      <c r="BG2977" t="s">
        <v>15119</v>
      </c>
      <c r="BM2977" t="s">
        <v>15650</v>
      </c>
    </row>
    <row r="2978" spans="1:65">
      <c r="A2978" s="1">
        <f>HYPERLINK("https://lsnyc.legalserver.org/matter/dynamic-profile/view/1836723","17-1836723")</f>
        <v>0</v>
      </c>
      <c r="B2978" t="s">
        <v>178</v>
      </c>
      <c r="C2978" t="s">
        <v>248</v>
      </c>
      <c r="D2978" t="s">
        <v>961</v>
      </c>
      <c r="E2978" t="s">
        <v>449</v>
      </c>
      <c r="F2978" t="s">
        <v>1212</v>
      </c>
      <c r="G2978" t="s">
        <v>4124</v>
      </c>
      <c r="H2978" t="s">
        <v>5783</v>
      </c>
      <c r="I2978" t="s">
        <v>6407</v>
      </c>
      <c r="J2978" t="s">
        <v>7174</v>
      </c>
      <c r="K2978">
        <v>11212</v>
      </c>
      <c r="L2978" t="s">
        <v>7217</v>
      </c>
      <c r="N2978" t="s">
        <v>7243</v>
      </c>
      <c r="O2978" t="s">
        <v>9169</v>
      </c>
      <c r="P2978">
        <v>1</v>
      </c>
      <c r="Q2978">
        <v>0</v>
      </c>
      <c r="R2978">
        <v>155.22</v>
      </c>
      <c r="U2978">
        <v>18720</v>
      </c>
      <c r="V2978" t="s">
        <v>10542</v>
      </c>
      <c r="W2978">
        <v>0.1</v>
      </c>
      <c r="X2978" t="s">
        <v>961</v>
      </c>
      <c r="Y2978" t="s">
        <v>76</v>
      </c>
      <c r="AA2978" t="s">
        <v>10974</v>
      </c>
      <c r="AD2978" t="s">
        <v>11082</v>
      </c>
      <c r="AF2978" t="s">
        <v>11120</v>
      </c>
      <c r="AH2978" t="s">
        <v>10975</v>
      </c>
      <c r="AJ2978" t="s">
        <v>11129</v>
      </c>
      <c r="AK2978" t="s">
        <v>7225</v>
      </c>
      <c r="AM2978">
        <v>457</v>
      </c>
      <c r="AO2978">
        <v>31</v>
      </c>
      <c r="AQ2978" t="s">
        <v>11161</v>
      </c>
      <c r="AS2978" t="s">
        <v>11179</v>
      </c>
      <c r="AU2978">
        <v>40</v>
      </c>
      <c r="AW2978" t="s">
        <v>11189</v>
      </c>
      <c r="AX2978" t="s">
        <v>11212</v>
      </c>
      <c r="BA2978" t="s">
        <v>11223</v>
      </c>
      <c r="BC2978" t="s">
        <v>11489</v>
      </c>
      <c r="BE2978" t="s">
        <v>13396</v>
      </c>
      <c r="BG2978" t="s">
        <v>15120</v>
      </c>
      <c r="BM2978" t="s">
        <v>15651</v>
      </c>
    </row>
    <row r="2979" spans="1:65">
      <c r="A2979" s="1">
        <f>HYPERLINK("https://lsnyc.legalserver.org/matter/dynamic-profile/view/1898591","19-1898591")</f>
        <v>0</v>
      </c>
      <c r="B2979" t="s">
        <v>178</v>
      </c>
      <c r="C2979" t="s">
        <v>248</v>
      </c>
      <c r="D2979" t="s">
        <v>800</v>
      </c>
      <c r="F2979" t="s">
        <v>1885</v>
      </c>
      <c r="G2979" t="s">
        <v>4125</v>
      </c>
      <c r="H2979" t="s">
        <v>5784</v>
      </c>
      <c r="I2979">
        <v>1</v>
      </c>
      <c r="J2979" t="s">
        <v>7174</v>
      </c>
      <c r="K2979">
        <v>11207</v>
      </c>
      <c r="N2979" t="s">
        <v>7237</v>
      </c>
      <c r="O2979" t="s">
        <v>9170</v>
      </c>
      <c r="P2979">
        <v>2</v>
      </c>
      <c r="Q2979">
        <v>0</v>
      </c>
      <c r="R2979">
        <v>156.12</v>
      </c>
      <c r="U2979">
        <v>26400</v>
      </c>
      <c r="W2979">
        <v>14.6</v>
      </c>
      <c r="X2979" t="s">
        <v>638</v>
      </c>
      <c r="Y2979" t="s">
        <v>225</v>
      </c>
      <c r="AA2979" t="s">
        <v>10974</v>
      </c>
      <c r="AB2979" t="s">
        <v>800</v>
      </c>
      <c r="AD2979" t="s">
        <v>11086</v>
      </c>
      <c r="AF2979" t="s">
        <v>10384</v>
      </c>
      <c r="AH2979" t="s">
        <v>10975</v>
      </c>
      <c r="AJ2979" t="s">
        <v>11129</v>
      </c>
      <c r="AK2979" t="s">
        <v>7225</v>
      </c>
      <c r="AM2979">
        <v>1487.41</v>
      </c>
      <c r="AO2979">
        <v>6</v>
      </c>
      <c r="AQ2979" t="s">
        <v>11157</v>
      </c>
      <c r="AR2979" t="s">
        <v>11172</v>
      </c>
      <c r="AU2979">
        <v>8</v>
      </c>
      <c r="AW2979" t="s">
        <v>11187</v>
      </c>
      <c r="AY2979" t="s">
        <v>11213</v>
      </c>
      <c r="BA2979" t="s">
        <v>11222</v>
      </c>
      <c r="BC2979" t="s">
        <v>11164</v>
      </c>
      <c r="BE2979" t="s">
        <v>13397</v>
      </c>
      <c r="BF2979" t="s">
        <v>14364</v>
      </c>
      <c r="BG2979" t="s">
        <v>11086</v>
      </c>
      <c r="BM2979" t="s">
        <v>15650</v>
      </c>
    </row>
    <row r="2980" spans="1:65">
      <c r="A2980" s="1">
        <f>HYPERLINK("https://lsnyc.legalserver.org/matter/dynamic-profile/view/1909465","19-1909465")</f>
        <v>0</v>
      </c>
      <c r="B2980" t="s">
        <v>178</v>
      </c>
      <c r="C2980" t="s">
        <v>248</v>
      </c>
      <c r="D2980" t="s">
        <v>269</v>
      </c>
      <c r="E2980" t="s">
        <v>536</v>
      </c>
      <c r="F2980" t="s">
        <v>2321</v>
      </c>
      <c r="G2980" t="s">
        <v>4126</v>
      </c>
      <c r="H2980" t="s">
        <v>5785</v>
      </c>
      <c r="I2980" t="s">
        <v>6441</v>
      </c>
      <c r="J2980" t="s">
        <v>7174</v>
      </c>
      <c r="K2980">
        <v>11207</v>
      </c>
      <c r="L2980" t="s">
        <v>7216</v>
      </c>
      <c r="N2980" t="s">
        <v>7237</v>
      </c>
      <c r="O2980" t="s">
        <v>9171</v>
      </c>
      <c r="P2980">
        <v>1</v>
      </c>
      <c r="Q2980">
        <v>0</v>
      </c>
      <c r="R2980">
        <v>192.15</v>
      </c>
      <c r="U2980">
        <v>24000</v>
      </c>
      <c r="W2980">
        <v>2.3</v>
      </c>
      <c r="X2980" t="s">
        <v>626</v>
      </c>
      <c r="Y2980" t="s">
        <v>10912</v>
      </c>
      <c r="AA2980" t="s">
        <v>10974</v>
      </c>
      <c r="AB2980" t="s">
        <v>11057</v>
      </c>
      <c r="AD2980" t="s">
        <v>11083</v>
      </c>
      <c r="AF2980" t="s">
        <v>11119</v>
      </c>
      <c r="AH2980" t="s">
        <v>10975</v>
      </c>
      <c r="AI2980" t="s">
        <v>11126</v>
      </c>
      <c r="AK2980" t="s">
        <v>7225</v>
      </c>
      <c r="AL2980" t="s">
        <v>11150</v>
      </c>
      <c r="AM2980">
        <v>0</v>
      </c>
      <c r="AO2980">
        <v>3</v>
      </c>
      <c r="AQ2980" t="s">
        <v>11156</v>
      </c>
      <c r="AR2980" t="s">
        <v>11172</v>
      </c>
      <c r="AU2980">
        <v>35</v>
      </c>
      <c r="AW2980" t="s">
        <v>11187</v>
      </c>
      <c r="AY2980" t="s">
        <v>11213</v>
      </c>
      <c r="BA2980" t="s">
        <v>11222</v>
      </c>
      <c r="BE2980" t="s">
        <v>13398</v>
      </c>
      <c r="BG2980" t="s">
        <v>15121</v>
      </c>
      <c r="BM2980" t="s">
        <v>15651</v>
      </c>
    </row>
    <row r="2981" spans="1:65">
      <c r="A2981" s="1">
        <f>HYPERLINK("https://lsnyc.legalserver.org/matter/dynamic-profile/view/1851102","17-1851102")</f>
        <v>0</v>
      </c>
      <c r="B2981" t="s">
        <v>178</v>
      </c>
      <c r="C2981" t="s">
        <v>248</v>
      </c>
      <c r="D2981" t="s">
        <v>294</v>
      </c>
      <c r="F2981" t="s">
        <v>2322</v>
      </c>
      <c r="G2981" t="s">
        <v>1777</v>
      </c>
      <c r="H2981" t="s">
        <v>5786</v>
      </c>
      <c r="I2981" t="s">
        <v>6938</v>
      </c>
      <c r="J2981" t="s">
        <v>7174</v>
      </c>
      <c r="K2981">
        <v>11236</v>
      </c>
      <c r="N2981" t="s">
        <v>7237</v>
      </c>
      <c r="O2981" t="s">
        <v>9172</v>
      </c>
      <c r="P2981">
        <v>1</v>
      </c>
      <c r="Q2981">
        <v>0</v>
      </c>
      <c r="R2981">
        <v>281.92</v>
      </c>
      <c r="S2981" t="s">
        <v>10255</v>
      </c>
      <c r="U2981">
        <v>34000</v>
      </c>
      <c r="W2981">
        <v>83</v>
      </c>
      <c r="X2981" t="s">
        <v>669</v>
      </c>
      <c r="Y2981" t="s">
        <v>225</v>
      </c>
      <c r="AA2981" t="s">
        <v>10974</v>
      </c>
      <c r="AB2981" t="s">
        <v>11058</v>
      </c>
      <c r="AD2981" t="s">
        <v>11083</v>
      </c>
      <c r="AF2981" t="s">
        <v>11118</v>
      </c>
      <c r="AH2981" t="s">
        <v>10974</v>
      </c>
      <c r="AJ2981" t="s">
        <v>11134</v>
      </c>
      <c r="AK2981" t="s">
        <v>7225</v>
      </c>
      <c r="AM2981">
        <v>869</v>
      </c>
      <c r="AO2981">
        <v>113</v>
      </c>
      <c r="AQ2981" t="s">
        <v>11157</v>
      </c>
      <c r="AS2981" t="s">
        <v>11173</v>
      </c>
      <c r="AU2981">
        <v>15</v>
      </c>
      <c r="AW2981" t="s">
        <v>11187</v>
      </c>
      <c r="AZ2981" t="s">
        <v>11221</v>
      </c>
      <c r="BE2981" t="s">
        <v>13399</v>
      </c>
      <c r="BG2981" t="s">
        <v>15122</v>
      </c>
      <c r="BM2981" t="s">
        <v>15650</v>
      </c>
    </row>
    <row r="2982" spans="1:65">
      <c r="A2982" s="1">
        <f>HYPERLINK("https://lsnyc.legalserver.org/matter/dynamic-profile/view/1900382","19-1900382")</f>
        <v>0</v>
      </c>
      <c r="B2982" t="s">
        <v>178</v>
      </c>
      <c r="C2982" t="s">
        <v>248</v>
      </c>
      <c r="D2982" t="s">
        <v>275</v>
      </c>
      <c r="F2982" t="s">
        <v>1108</v>
      </c>
      <c r="G2982" t="s">
        <v>4127</v>
      </c>
      <c r="H2982" t="s">
        <v>5787</v>
      </c>
      <c r="I2982" t="s">
        <v>6408</v>
      </c>
      <c r="J2982" t="s">
        <v>7174</v>
      </c>
      <c r="K2982">
        <v>11212</v>
      </c>
      <c r="N2982" t="s">
        <v>7237</v>
      </c>
      <c r="O2982" t="s">
        <v>9173</v>
      </c>
      <c r="P2982">
        <v>1</v>
      </c>
      <c r="Q2982">
        <v>0</v>
      </c>
      <c r="R2982">
        <v>156.41</v>
      </c>
      <c r="U2982">
        <v>19536</v>
      </c>
      <c r="W2982">
        <v>7.5</v>
      </c>
      <c r="X2982" t="s">
        <v>528</v>
      </c>
      <c r="Y2982" t="s">
        <v>225</v>
      </c>
      <c r="AA2982" t="s">
        <v>10974</v>
      </c>
      <c r="AB2982" t="s">
        <v>343</v>
      </c>
      <c r="AD2982" t="s">
        <v>11083</v>
      </c>
      <c r="AF2982" t="s">
        <v>10384</v>
      </c>
      <c r="AH2982" t="s">
        <v>10975</v>
      </c>
      <c r="AJ2982" t="s">
        <v>11138</v>
      </c>
      <c r="AK2982" t="s">
        <v>7225</v>
      </c>
      <c r="AM2982">
        <v>1400</v>
      </c>
      <c r="AO2982">
        <v>4</v>
      </c>
      <c r="AQ2982" t="s">
        <v>11156</v>
      </c>
      <c r="AS2982" t="s">
        <v>11173</v>
      </c>
      <c r="AU2982">
        <v>16</v>
      </c>
      <c r="AW2982" t="s">
        <v>11187</v>
      </c>
      <c r="AY2982" t="s">
        <v>11213</v>
      </c>
      <c r="BA2982" t="s">
        <v>11222</v>
      </c>
      <c r="BC2982" t="s">
        <v>11173</v>
      </c>
      <c r="BE2982" t="s">
        <v>13400</v>
      </c>
      <c r="BF2982" t="s">
        <v>14364</v>
      </c>
      <c r="BG2982" t="s">
        <v>11173</v>
      </c>
      <c r="BM2982" t="s">
        <v>15650</v>
      </c>
    </row>
    <row r="2983" spans="1:65">
      <c r="A2983" s="1">
        <f>HYPERLINK("https://lsnyc.legalserver.org/matter/dynamic-profile/view/1865133","18-1865133")</f>
        <v>0</v>
      </c>
      <c r="B2983" t="s">
        <v>178</v>
      </c>
      <c r="C2983" t="s">
        <v>248</v>
      </c>
      <c r="D2983" t="s">
        <v>962</v>
      </c>
      <c r="F2983" t="s">
        <v>2323</v>
      </c>
      <c r="G2983" t="s">
        <v>3047</v>
      </c>
      <c r="H2983" t="s">
        <v>5788</v>
      </c>
      <c r="I2983" t="s">
        <v>6430</v>
      </c>
      <c r="J2983" t="s">
        <v>7174</v>
      </c>
      <c r="K2983">
        <v>11233</v>
      </c>
      <c r="N2983" t="s">
        <v>7237</v>
      </c>
      <c r="O2983" t="s">
        <v>9174</v>
      </c>
      <c r="P2983">
        <v>1</v>
      </c>
      <c r="Q2983">
        <v>0</v>
      </c>
      <c r="R2983">
        <v>0</v>
      </c>
      <c r="U2983">
        <v>0</v>
      </c>
      <c r="W2983">
        <v>77.8</v>
      </c>
      <c r="X2983" t="s">
        <v>614</v>
      </c>
      <c r="Y2983" t="s">
        <v>10874</v>
      </c>
      <c r="AA2983" t="s">
        <v>10974</v>
      </c>
      <c r="AB2983" t="s">
        <v>849</v>
      </c>
      <c r="AD2983" t="s">
        <v>11083</v>
      </c>
      <c r="AF2983" t="s">
        <v>11118</v>
      </c>
      <c r="AG2983" t="s">
        <v>11124</v>
      </c>
      <c r="AJ2983" t="s">
        <v>11128</v>
      </c>
      <c r="AK2983" t="s">
        <v>7225</v>
      </c>
      <c r="AM2983">
        <v>173.52</v>
      </c>
      <c r="AO2983">
        <v>6</v>
      </c>
      <c r="AP2983" t="s">
        <v>11155</v>
      </c>
      <c r="AS2983" t="s">
        <v>11173</v>
      </c>
      <c r="AU2983">
        <v>42</v>
      </c>
      <c r="AW2983" t="s">
        <v>11187</v>
      </c>
      <c r="AZ2983" t="s">
        <v>11221</v>
      </c>
      <c r="BE2983" t="s">
        <v>13401</v>
      </c>
      <c r="BG2983" t="s">
        <v>15123</v>
      </c>
      <c r="BM2983" t="s">
        <v>15650</v>
      </c>
    </row>
    <row r="2984" spans="1:65">
      <c r="A2984" s="1">
        <f>HYPERLINK("https://lsnyc.legalserver.org/matter/dynamic-profile/view/1915255","19-1915255")</f>
        <v>0</v>
      </c>
      <c r="B2984" t="s">
        <v>178</v>
      </c>
      <c r="C2984" t="s">
        <v>248</v>
      </c>
      <c r="D2984" t="s">
        <v>426</v>
      </c>
      <c r="F2984" t="s">
        <v>1169</v>
      </c>
      <c r="G2984" t="s">
        <v>3653</v>
      </c>
      <c r="H2984" t="s">
        <v>5789</v>
      </c>
      <c r="I2984" t="s">
        <v>6482</v>
      </c>
      <c r="J2984" t="s">
        <v>7174</v>
      </c>
      <c r="K2984">
        <v>11233</v>
      </c>
      <c r="N2984" t="s">
        <v>7237</v>
      </c>
      <c r="O2984" t="s">
        <v>9175</v>
      </c>
      <c r="P2984">
        <v>1</v>
      </c>
      <c r="Q2984">
        <v>1</v>
      </c>
      <c r="R2984">
        <v>222.02</v>
      </c>
      <c r="U2984">
        <v>37544</v>
      </c>
      <c r="W2984">
        <v>0</v>
      </c>
      <c r="Y2984" t="s">
        <v>225</v>
      </c>
      <c r="AA2984" t="s">
        <v>10974</v>
      </c>
      <c r="AB2984" t="s">
        <v>426</v>
      </c>
      <c r="AD2984" t="s">
        <v>11101</v>
      </c>
      <c r="AE2984" t="s">
        <v>11117</v>
      </c>
      <c r="AH2984" t="s">
        <v>10975</v>
      </c>
      <c r="AJ2984" t="s">
        <v>11131</v>
      </c>
      <c r="AK2984" t="s">
        <v>7225</v>
      </c>
      <c r="AM2984">
        <v>1300</v>
      </c>
      <c r="AO2984">
        <v>9</v>
      </c>
      <c r="AQ2984" t="s">
        <v>11157</v>
      </c>
      <c r="AS2984" t="s">
        <v>11173</v>
      </c>
      <c r="AU2984">
        <v>7</v>
      </c>
      <c r="AW2984" t="s">
        <v>11187</v>
      </c>
      <c r="AY2984" t="s">
        <v>11213</v>
      </c>
      <c r="BA2984" t="s">
        <v>11222</v>
      </c>
      <c r="BC2984" t="s">
        <v>11283</v>
      </c>
      <c r="BE2984" t="s">
        <v>13402</v>
      </c>
      <c r="BF2984" t="s">
        <v>14364</v>
      </c>
      <c r="BG2984" t="s">
        <v>15124</v>
      </c>
      <c r="BM2984" t="s">
        <v>15650</v>
      </c>
    </row>
    <row r="2985" spans="1:65">
      <c r="A2985" s="1">
        <f>HYPERLINK("https://lsnyc.legalserver.org/matter/dynamic-profile/view/1908313","19-1908313")</f>
        <v>0</v>
      </c>
      <c r="B2985" t="s">
        <v>178</v>
      </c>
      <c r="C2985" t="s">
        <v>248</v>
      </c>
      <c r="D2985" t="s">
        <v>578</v>
      </c>
      <c r="E2985" t="s">
        <v>262</v>
      </c>
      <c r="F2985" t="s">
        <v>1137</v>
      </c>
      <c r="G2985" t="s">
        <v>4128</v>
      </c>
      <c r="H2985" t="s">
        <v>4798</v>
      </c>
      <c r="I2985" t="s">
        <v>6939</v>
      </c>
      <c r="J2985" t="s">
        <v>7174</v>
      </c>
      <c r="K2985">
        <v>11233</v>
      </c>
      <c r="L2985" t="s">
        <v>7219</v>
      </c>
      <c r="N2985" t="s">
        <v>7237</v>
      </c>
      <c r="O2985" t="s">
        <v>9176</v>
      </c>
      <c r="P2985">
        <v>1</v>
      </c>
      <c r="Q2985">
        <v>0</v>
      </c>
      <c r="R2985">
        <v>104.08</v>
      </c>
      <c r="U2985">
        <v>13000</v>
      </c>
      <c r="W2985">
        <v>10.6</v>
      </c>
      <c r="X2985" t="s">
        <v>614</v>
      </c>
      <c r="Y2985" t="s">
        <v>225</v>
      </c>
      <c r="AA2985" t="s">
        <v>10974</v>
      </c>
      <c r="AB2985" t="s">
        <v>578</v>
      </c>
      <c r="AD2985" t="s">
        <v>11082</v>
      </c>
      <c r="AF2985" t="s">
        <v>11118</v>
      </c>
      <c r="AH2985" t="s">
        <v>10975</v>
      </c>
      <c r="AJ2985" t="s">
        <v>11129</v>
      </c>
      <c r="AK2985" t="s">
        <v>7225</v>
      </c>
      <c r="AM2985">
        <v>955.08</v>
      </c>
      <c r="AO2985">
        <v>359</v>
      </c>
      <c r="AQ2985" t="s">
        <v>11157</v>
      </c>
      <c r="AS2985" t="s">
        <v>11173</v>
      </c>
      <c r="AU2985">
        <v>16</v>
      </c>
      <c r="AW2985" t="s">
        <v>11187</v>
      </c>
      <c r="AY2985" t="s">
        <v>11213</v>
      </c>
      <c r="BA2985" t="s">
        <v>11222</v>
      </c>
      <c r="BB2985" t="s">
        <v>11224</v>
      </c>
      <c r="BC2985">
        <v>6004868123</v>
      </c>
      <c r="BE2985" t="s">
        <v>13403</v>
      </c>
      <c r="BG2985" t="s">
        <v>15125</v>
      </c>
      <c r="BH2985" t="s">
        <v>15605</v>
      </c>
      <c r="BJ2985" t="s">
        <v>15615</v>
      </c>
      <c r="BL2985" t="s">
        <v>15648</v>
      </c>
      <c r="BM2985" t="s">
        <v>15651</v>
      </c>
    </row>
    <row r="2986" spans="1:65">
      <c r="A2986" s="1">
        <f>HYPERLINK("https://lsnyc.legalserver.org/matter/dynamic-profile/view/0803557","16-0803557")</f>
        <v>0</v>
      </c>
      <c r="B2986" t="s">
        <v>178</v>
      </c>
      <c r="C2986" t="s">
        <v>248</v>
      </c>
      <c r="D2986" t="s">
        <v>963</v>
      </c>
      <c r="E2986" t="s">
        <v>262</v>
      </c>
      <c r="F2986" t="s">
        <v>1241</v>
      </c>
      <c r="G2986" t="s">
        <v>4129</v>
      </c>
      <c r="H2986" t="s">
        <v>5790</v>
      </c>
      <c r="I2986" t="s">
        <v>6413</v>
      </c>
      <c r="J2986" t="s">
        <v>7174</v>
      </c>
      <c r="K2986">
        <v>11207</v>
      </c>
      <c r="L2986" t="s">
        <v>7219</v>
      </c>
      <c r="N2986" t="s">
        <v>7237</v>
      </c>
      <c r="O2986" t="s">
        <v>9177</v>
      </c>
      <c r="P2986">
        <v>2</v>
      </c>
      <c r="Q2986">
        <v>0</v>
      </c>
      <c r="R2986">
        <v>27.27</v>
      </c>
      <c r="U2986">
        <v>4368</v>
      </c>
      <c r="W2986">
        <v>17</v>
      </c>
      <c r="X2986" t="s">
        <v>10843</v>
      </c>
      <c r="Y2986" t="s">
        <v>209</v>
      </c>
      <c r="Z2986" t="s">
        <v>10972</v>
      </c>
      <c r="AA2986" t="s">
        <v>10976</v>
      </c>
      <c r="AB2986" t="s">
        <v>963</v>
      </c>
      <c r="AD2986" t="s">
        <v>11082</v>
      </c>
      <c r="AF2986" t="s">
        <v>11118</v>
      </c>
      <c r="AG2986" t="s">
        <v>11124</v>
      </c>
      <c r="AJ2986" t="s">
        <v>11129</v>
      </c>
      <c r="AK2986" t="s">
        <v>7225</v>
      </c>
      <c r="AM2986">
        <v>562</v>
      </c>
      <c r="AO2986">
        <v>3</v>
      </c>
      <c r="AP2986" t="s">
        <v>11155</v>
      </c>
      <c r="AS2986" t="s">
        <v>11104</v>
      </c>
      <c r="AU2986">
        <v>21</v>
      </c>
      <c r="AW2986" t="s">
        <v>11189</v>
      </c>
      <c r="AZ2986" t="s">
        <v>11221</v>
      </c>
      <c r="BE2986" t="s">
        <v>13404</v>
      </c>
      <c r="BG2986" t="s">
        <v>15126</v>
      </c>
      <c r="BH2986" t="s">
        <v>15605</v>
      </c>
      <c r="BJ2986" t="s">
        <v>15615</v>
      </c>
      <c r="BL2986" t="s">
        <v>15648</v>
      </c>
      <c r="BM2986" t="s">
        <v>15651</v>
      </c>
    </row>
    <row r="2987" spans="1:65">
      <c r="A2987" s="1">
        <f>HYPERLINK("https://lsnyc.legalserver.org/matter/dynamic-profile/view/1907258","19-1907258")</f>
        <v>0</v>
      </c>
      <c r="B2987" t="s">
        <v>178</v>
      </c>
      <c r="C2987" t="s">
        <v>248</v>
      </c>
      <c r="D2987" t="s">
        <v>655</v>
      </c>
      <c r="F2987" t="s">
        <v>2324</v>
      </c>
      <c r="G2987" t="s">
        <v>4130</v>
      </c>
      <c r="H2987" t="s">
        <v>5791</v>
      </c>
      <c r="I2987" t="s">
        <v>6437</v>
      </c>
      <c r="J2987" t="s">
        <v>7174</v>
      </c>
      <c r="K2987">
        <v>11233</v>
      </c>
      <c r="N2987" t="s">
        <v>7237</v>
      </c>
      <c r="O2987" t="s">
        <v>9178</v>
      </c>
      <c r="P2987">
        <v>1</v>
      </c>
      <c r="Q2987">
        <v>0</v>
      </c>
      <c r="R2987">
        <v>26.55</v>
      </c>
      <c r="U2987">
        <v>3315.6</v>
      </c>
      <c r="W2987">
        <v>14.6</v>
      </c>
      <c r="X2987" t="s">
        <v>528</v>
      </c>
      <c r="Y2987" t="s">
        <v>10877</v>
      </c>
      <c r="AA2987" t="s">
        <v>10974</v>
      </c>
      <c r="AB2987" t="s">
        <v>637</v>
      </c>
      <c r="AD2987" t="s">
        <v>11082</v>
      </c>
      <c r="AF2987" t="s">
        <v>11118</v>
      </c>
      <c r="AH2987" t="s">
        <v>10975</v>
      </c>
      <c r="AJ2987" t="s">
        <v>11129</v>
      </c>
      <c r="AK2987" t="s">
        <v>7225</v>
      </c>
      <c r="AM2987">
        <v>627</v>
      </c>
      <c r="AO2987">
        <v>112</v>
      </c>
      <c r="AQ2987" t="s">
        <v>11157</v>
      </c>
      <c r="AS2987" t="s">
        <v>11174</v>
      </c>
      <c r="AU2987">
        <v>8</v>
      </c>
      <c r="AW2987" t="s">
        <v>11187</v>
      </c>
      <c r="AY2987" t="s">
        <v>11214</v>
      </c>
      <c r="BA2987" t="s">
        <v>11222</v>
      </c>
      <c r="BB2987" t="s">
        <v>11224</v>
      </c>
      <c r="BC2987" t="s">
        <v>11490</v>
      </c>
      <c r="BE2987" t="s">
        <v>13405</v>
      </c>
      <c r="BG2987" t="s">
        <v>15127</v>
      </c>
      <c r="BM2987" t="s">
        <v>15650</v>
      </c>
    </row>
    <row r="2988" spans="1:65">
      <c r="A2988" s="1">
        <f>HYPERLINK("https://lsnyc.legalserver.org/matter/dynamic-profile/view/1887643","19-1887643")</f>
        <v>0</v>
      </c>
      <c r="B2988" t="s">
        <v>178</v>
      </c>
      <c r="C2988" t="s">
        <v>248</v>
      </c>
      <c r="D2988" t="s">
        <v>605</v>
      </c>
      <c r="F2988" t="s">
        <v>1526</v>
      </c>
      <c r="G2988" t="s">
        <v>2962</v>
      </c>
      <c r="H2988" t="s">
        <v>5792</v>
      </c>
      <c r="I2988" t="s">
        <v>6940</v>
      </c>
      <c r="J2988" t="s">
        <v>7174</v>
      </c>
      <c r="K2988">
        <v>11208</v>
      </c>
      <c r="N2988" t="s">
        <v>7237</v>
      </c>
      <c r="O2988" t="s">
        <v>9179</v>
      </c>
      <c r="P2988">
        <v>2</v>
      </c>
      <c r="Q2988">
        <v>1</v>
      </c>
      <c r="R2988">
        <v>173.46</v>
      </c>
      <c r="U2988">
        <v>36044</v>
      </c>
      <c r="W2988">
        <v>18.1</v>
      </c>
      <c r="X2988" t="s">
        <v>539</v>
      </c>
      <c r="Y2988" t="s">
        <v>101</v>
      </c>
      <c r="AA2988" t="s">
        <v>10974</v>
      </c>
      <c r="AB2988" t="s">
        <v>483</v>
      </c>
      <c r="AD2988" t="s">
        <v>11082</v>
      </c>
      <c r="AF2988" t="s">
        <v>11118</v>
      </c>
      <c r="AH2988" t="s">
        <v>10975</v>
      </c>
      <c r="AJ2988" t="s">
        <v>11138</v>
      </c>
      <c r="AK2988" t="s">
        <v>7225</v>
      </c>
      <c r="AM2988">
        <v>2000</v>
      </c>
      <c r="AO2988">
        <v>2</v>
      </c>
      <c r="AQ2988" t="s">
        <v>11156</v>
      </c>
      <c r="AS2988" t="s">
        <v>11174</v>
      </c>
      <c r="AU2988">
        <v>1</v>
      </c>
      <c r="AW2988" t="s">
        <v>11187</v>
      </c>
      <c r="AZ2988" t="s">
        <v>11221</v>
      </c>
      <c r="BE2988" t="s">
        <v>13406</v>
      </c>
      <c r="BG2988" t="s">
        <v>15128</v>
      </c>
      <c r="BM2988" t="s">
        <v>15650</v>
      </c>
    </row>
    <row r="2989" spans="1:65">
      <c r="A2989" s="1">
        <f>HYPERLINK("https://lsnyc.legalserver.org/matter/dynamic-profile/view/1863243","18-1863243")</f>
        <v>0</v>
      </c>
      <c r="B2989" t="s">
        <v>178</v>
      </c>
      <c r="C2989" t="s">
        <v>248</v>
      </c>
      <c r="D2989" t="s">
        <v>687</v>
      </c>
      <c r="F2989" t="s">
        <v>2087</v>
      </c>
      <c r="G2989" t="s">
        <v>3988</v>
      </c>
      <c r="H2989" t="s">
        <v>5793</v>
      </c>
      <c r="I2989">
        <v>1</v>
      </c>
      <c r="J2989" t="s">
        <v>7174</v>
      </c>
      <c r="K2989">
        <v>11237</v>
      </c>
      <c r="N2989" t="s">
        <v>7237</v>
      </c>
      <c r="O2989" t="s">
        <v>8853</v>
      </c>
      <c r="P2989">
        <v>1</v>
      </c>
      <c r="Q2989">
        <v>0</v>
      </c>
      <c r="R2989">
        <v>49.42</v>
      </c>
      <c r="U2989">
        <v>6000</v>
      </c>
      <c r="W2989">
        <v>50.2</v>
      </c>
      <c r="X2989" t="s">
        <v>548</v>
      </c>
      <c r="Y2989" t="s">
        <v>10913</v>
      </c>
      <c r="AA2989" t="s">
        <v>10974</v>
      </c>
      <c r="AB2989" t="s">
        <v>849</v>
      </c>
      <c r="AC2989" t="s">
        <v>11081</v>
      </c>
      <c r="AF2989" t="s">
        <v>11119</v>
      </c>
      <c r="AH2989" t="s">
        <v>10975</v>
      </c>
      <c r="AJ2989" t="s">
        <v>11128</v>
      </c>
      <c r="AK2989" t="s">
        <v>7225</v>
      </c>
      <c r="AM2989">
        <v>900</v>
      </c>
      <c r="AO2989">
        <v>6</v>
      </c>
      <c r="AP2989" t="s">
        <v>11155</v>
      </c>
      <c r="AR2989" t="s">
        <v>11172</v>
      </c>
      <c r="AU2989">
        <v>40</v>
      </c>
      <c r="AW2989" t="s">
        <v>11189</v>
      </c>
      <c r="AZ2989" t="s">
        <v>11221</v>
      </c>
      <c r="BE2989" t="s">
        <v>13407</v>
      </c>
      <c r="BG2989" t="s">
        <v>15129</v>
      </c>
      <c r="BM2989" t="s">
        <v>15650</v>
      </c>
    </row>
    <row r="2990" spans="1:65">
      <c r="A2990" s="1">
        <f>HYPERLINK("https://lsnyc.legalserver.org/matter/dynamic-profile/view/1911375","19-1911375")</f>
        <v>0</v>
      </c>
      <c r="B2990" t="s">
        <v>178</v>
      </c>
      <c r="C2990" t="s">
        <v>248</v>
      </c>
      <c r="D2990" t="s">
        <v>601</v>
      </c>
      <c r="E2990" t="s">
        <v>614</v>
      </c>
      <c r="F2990" t="s">
        <v>2325</v>
      </c>
      <c r="G2990" t="s">
        <v>4131</v>
      </c>
      <c r="H2990" t="s">
        <v>5794</v>
      </c>
      <c r="J2990" t="s">
        <v>7174</v>
      </c>
      <c r="K2990">
        <v>11233</v>
      </c>
      <c r="L2990" t="s">
        <v>7216</v>
      </c>
      <c r="N2990" t="s">
        <v>7237</v>
      </c>
      <c r="O2990" t="s">
        <v>9180</v>
      </c>
      <c r="P2990">
        <v>1</v>
      </c>
      <c r="Q2990">
        <v>0</v>
      </c>
      <c r="R2990">
        <v>69.18000000000001</v>
      </c>
      <c r="U2990">
        <v>8640</v>
      </c>
      <c r="W2990">
        <v>1</v>
      </c>
      <c r="X2990" t="s">
        <v>312</v>
      </c>
      <c r="Y2990" t="s">
        <v>225</v>
      </c>
      <c r="AA2990" t="s">
        <v>10974</v>
      </c>
      <c r="AD2990" t="s">
        <v>11086</v>
      </c>
      <c r="AE2990" t="s">
        <v>11117</v>
      </c>
      <c r="AH2990" t="s">
        <v>10975</v>
      </c>
      <c r="AJ2990" t="s">
        <v>11139</v>
      </c>
      <c r="AK2990" t="s">
        <v>7225</v>
      </c>
      <c r="AM2990">
        <v>330</v>
      </c>
      <c r="AO2990">
        <v>27</v>
      </c>
      <c r="AQ2990" t="s">
        <v>11161</v>
      </c>
      <c r="AS2990" t="s">
        <v>11179</v>
      </c>
      <c r="AU2990">
        <v>9</v>
      </c>
      <c r="AW2990" t="s">
        <v>11187</v>
      </c>
      <c r="AX2990" t="s">
        <v>11212</v>
      </c>
      <c r="BA2990" t="s">
        <v>11222</v>
      </c>
      <c r="BC2990" t="s">
        <v>11491</v>
      </c>
      <c r="BE2990" t="s">
        <v>13408</v>
      </c>
      <c r="BF2990" t="s">
        <v>14364</v>
      </c>
      <c r="BG2990" t="s">
        <v>14411</v>
      </c>
      <c r="BM2990" t="s">
        <v>15651</v>
      </c>
    </row>
    <row r="2991" spans="1:65">
      <c r="A2991" s="1">
        <f>HYPERLINK("https://lsnyc.legalserver.org/matter/dynamic-profile/view/1911969","19-1911969")</f>
        <v>0</v>
      </c>
      <c r="B2991" t="s">
        <v>178</v>
      </c>
      <c r="C2991" t="s">
        <v>248</v>
      </c>
      <c r="D2991" t="s">
        <v>341</v>
      </c>
      <c r="E2991" t="s">
        <v>528</v>
      </c>
      <c r="F2991" t="s">
        <v>1941</v>
      </c>
      <c r="G2991" t="s">
        <v>4132</v>
      </c>
      <c r="H2991" t="s">
        <v>5795</v>
      </c>
      <c r="J2991" t="s">
        <v>7174</v>
      </c>
      <c r="K2991">
        <v>11233</v>
      </c>
      <c r="L2991" t="s">
        <v>7217</v>
      </c>
      <c r="N2991" t="s">
        <v>7237</v>
      </c>
      <c r="O2991" t="s">
        <v>9181</v>
      </c>
      <c r="P2991">
        <v>1</v>
      </c>
      <c r="Q2991">
        <v>0</v>
      </c>
      <c r="R2991">
        <v>9.609999999999999</v>
      </c>
      <c r="U2991">
        <v>1200</v>
      </c>
      <c r="W2991">
        <v>3.5</v>
      </c>
      <c r="X2991" t="s">
        <v>264</v>
      </c>
      <c r="Y2991" t="s">
        <v>10888</v>
      </c>
      <c r="AA2991" t="s">
        <v>10974</v>
      </c>
      <c r="AD2991" t="s">
        <v>11083</v>
      </c>
      <c r="AF2991" t="s">
        <v>11121</v>
      </c>
      <c r="AH2991" t="s">
        <v>10975</v>
      </c>
      <c r="AJ2991" t="s">
        <v>11104</v>
      </c>
      <c r="AK2991" t="s">
        <v>7225</v>
      </c>
      <c r="AL2991" t="s">
        <v>11150</v>
      </c>
      <c r="AM2991">
        <v>0</v>
      </c>
      <c r="AO2991">
        <v>2</v>
      </c>
      <c r="AQ2991" t="s">
        <v>11156</v>
      </c>
      <c r="AS2991" t="s">
        <v>11173</v>
      </c>
      <c r="AT2991" t="s">
        <v>11184</v>
      </c>
      <c r="AU2991">
        <v>0</v>
      </c>
      <c r="AW2991" t="s">
        <v>11187</v>
      </c>
      <c r="AX2991" t="s">
        <v>11212</v>
      </c>
      <c r="BA2991" t="s">
        <v>11222</v>
      </c>
      <c r="BE2991" t="s">
        <v>13409</v>
      </c>
      <c r="BG2991" t="s">
        <v>15130</v>
      </c>
      <c r="BM2991" t="s">
        <v>15651</v>
      </c>
    </row>
    <row r="2992" spans="1:65">
      <c r="A2992" s="1">
        <f>HYPERLINK("https://lsnyc.legalserver.org/matter/dynamic-profile/view/1861859","18-1861859")</f>
        <v>0</v>
      </c>
      <c r="B2992" t="s">
        <v>178</v>
      </c>
      <c r="C2992" t="s">
        <v>248</v>
      </c>
      <c r="D2992" t="s">
        <v>964</v>
      </c>
      <c r="F2992" t="s">
        <v>2326</v>
      </c>
      <c r="G2992" t="s">
        <v>4133</v>
      </c>
      <c r="H2992" t="s">
        <v>5796</v>
      </c>
      <c r="J2992" t="s">
        <v>7174</v>
      </c>
      <c r="K2992">
        <v>11237</v>
      </c>
      <c r="N2992" t="s">
        <v>7237</v>
      </c>
      <c r="O2992" t="s">
        <v>8938</v>
      </c>
      <c r="P2992">
        <v>2</v>
      </c>
      <c r="Q2992">
        <v>5</v>
      </c>
      <c r="R2992">
        <v>49.08</v>
      </c>
      <c r="U2992">
        <v>18680</v>
      </c>
      <c r="W2992">
        <v>57.1</v>
      </c>
      <c r="X2992" t="s">
        <v>633</v>
      </c>
      <c r="Y2992" t="s">
        <v>10901</v>
      </c>
      <c r="Z2992" t="s">
        <v>10973</v>
      </c>
      <c r="AA2992" t="s">
        <v>10975</v>
      </c>
      <c r="AB2992" t="s">
        <v>871</v>
      </c>
      <c r="AD2992" t="s">
        <v>11083</v>
      </c>
      <c r="AF2992" t="s">
        <v>11118</v>
      </c>
      <c r="AG2992" t="s">
        <v>11124</v>
      </c>
      <c r="AJ2992" t="s">
        <v>11141</v>
      </c>
      <c r="AK2992" t="s">
        <v>7225</v>
      </c>
      <c r="AM2992">
        <v>1421.06</v>
      </c>
      <c r="AO2992">
        <v>6</v>
      </c>
      <c r="AP2992" t="s">
        <v>11155</v>
      </c>
      <c r="AS2992" t="s">
        <v>11174</v>
      </c>
      <c r="AT2992" t="s">
        <v>11184</v>
      </c>
      <c r="AU2992">
        <v>0</v>
      </c>
      <c r="AW2992" t="s">
        <v>11189</v>
      </c>
      <c r="AZ2992" t="s">
        <v>11221</v>
      </c>
      <c r="BD2992" t="s">
        <v>11667</v>
      </c>
      <c r="BG2992" t="s">
        <v>15131</v>
      </c>
      <c r="BM2992" t="s">
        <v>15650</v>
      </c>
    </row>
    <row r="2993" spans="1:67">
      <c r="A2993" s="1">
        <f>HYPERLINK("https://lsnyc.legalserver.org/matter/dynamic-profile/view/0831758","17-0831758")</f>
        <v>0</v>
      </c>
      <c r="B2993" t="s">
        <v>178</v>
      </c>
      <c r="C2993" t="s">
        <v>248</v>
      </c>
      <c r="D2993" t="s">
        <v>682</v>
      </c>
      <c r="E2993" t="s">
        <v>449</v>
      </c>
      <c r="F2993" t="s">
        <v>1212</v>
      </c>
      <c r="G2993" t="s">
        <v>4124</v>
      </c>
      <c r="H2993" t="s">
        <v>5783</v>
      </c>
      <c r="I2993" t="s">
        <v>6407</v>
      </c>
      <c r="J2993" t="s">
        <v>7174</v>
      </c>
      <c r="K2993">
        <v>11212</v>
      </c>
      <c r="L2993" t="s">
        <v>7219</v>
      </c>
      <c r="N2993" t="s">
        <v>7237</v>
      </c>
      <c r="O2993" t="s">
        <v>9169</v>
      </c>
      <c r="P2993">
        <v>1</v>
      </c>
      <c r="Q2993">
        <v>0</v>
      </c>
      <c r="R2993">
        <v>155.22</v>
      </c>
      <c r="U2993">
        <v>18720</v>
      </c>
      <c r="V2993" t="s">
        <v>10543</v>
      </c>
      <c r="W2993">
        <v>32.06</v>
      </c>
      <c r="X2993" t="s">
        <v>750</v>
      </c>
      <c r="Y2993" t="s">
        <v>10901</v>
      </c>
      <c r="AA2993" t="s">
        <v>10974</v>
      </c>
      <c r="AB2993" t="s">
        <v>809</v>
      </c>
      <c r="AD2993" t="s">
        <v>11082</v>
      </c>
      <c r="AF2993" t="s">
        <v>11118</v>
      </c>
      <c r="AH2993" t="s">
        <v>10975</v>
      </c>
      <c r="AJ2993" t="s">
        <v>11129</v>
      </c>
      <c r="AK2993" t="s">
        <v>7225</v>
      </c>
      <c r="AM2993">
        <v>457</v>
      </c>
      <c r="AO2993">
        <v>31</v>
      </c>
      <c r="AQ2993" t="s">
        <v>11161</v>
      </c>
      <c r="AS2993" t="s">
        <v>11179</v>
      </c>
      <c r="AU2993">
        <v>40</v>
      </c>
      <c r="AW2993" t="s">
        <v>11189</v>
      </c>
      <c r="AY2993" t="s">
        <v>11213</v>
      </c>
      <c r="AZ2993" t="s">
        <v>11221</v>
      </c>
      <c r="BE2993" t="s">
        <v>13396</v>
      </c>
      <c r="BG2993" t="s">
        <v>15120</v>
      </c>
      <c r="BH2993" t="s">
        <v>15605</v>
      </c>
      <c r="BK2993" t="s">
        <v>15618</v>
      </c>
      <c r="BM2993" t="s">
        <v>15651</v>
      </c>
      <c r="BN2993" t="s">
        <v>15652</v>
      </c>
      <c r="BO2993" t="s">
        <v>15720</v>
      </c>
    </row>
    <row r="2994" spans="1:67">
      <c r="A2994" s="1">
        <f>HYPERLINK("https://lsnyc.legalserver.org/matter/dynamic-profile/view/1910958","19-1910958")</f>
        <v>0</v>
      </c>
      <c r="B2994" t="s">
        <v>178</v>
      </c>
      <c r="C2994" t="s">
        <v>248</v>
      </c>
      <c r="D2994" t="s">
        <v>384</v>
      </c>
      <c r="F2994" t="s">
        <v>2327</v>
      </c>
      <c r="G2994" t="s">
        <v>3059</v>
      </c>
      <c r="H2994" t="s">
        <v>5797</v>
      </c>
      <c r="J2994" t="s">
        <v>7174</v>
      </c>
      <c r="K2994">
        <v>11208</v>
      </c>
      <c r="N2994" t="s">
        <v>7237</v>
      </c>
      <c r="O2994" t="s">
        <v>9182</v>
      </c>
      <c r="P2994">
        <v>2</v>
      </c>
      <c r="Q2994">
        <v>0</v>
      </c>
      <c r="R2994">
        <v>92.25</v>
      </c>
      <c r="U2994">
        <v>15600</v>
      </c>
      <c r="W2994">
        <v>5.3</v>
      </c>
      <c r="X2994" t="s">
        <v>528</v>
      </c>
      <c r="Y2994" t="s">
        <v>225</v>
      </c>
      <c r="AA2994" t="s">
        <v>10974</v>
      </c>
      <c r="AB2994" t="s">
        <v>554</v>
      </c>
      <c r="AD2994" t="s">
        <v>11082</v>
      </c>
      <c r="AF2994" t="s">
        <v>11118</v>
      </c>
      <c r="AH2994" t="s">
        <v>10975</v>
      </c>
      <c r="AJ2994" t="s">
        <v>11135</v>
      </c>
      <c r="AK2994" t="s">
        <v>7225</v>
      </c>
      <c r="AM2994">
        <v>1600</v>
      </c>
      <c r="AO2994">
        <v>2</v>
      </c>
      <c r="AQ2994" t="s">
        <v>11156</v>
      </c>
      <c r="AS2994" t="s">
        <v>11173</v>
      </c>
      <c r="AT2994" t="s">
        <v>11184</v>
      </c>
      <c r="AU2994">
        <v>0</v>
      </c>
      <c r="AW2994" t="s">
        <v>11189</v>
      </c>
      <c r="AY2994" t="s">
        <v>11213</v>
      </c>
      <c r="BA2994" t="s">
        <v>11223</v>
      </c>
      <c r="BC2994" t="s">
        <v>11233</v>
      </c>
      <c r="BE2994" t="s">
        <v>13410</v>
      </c>
      <c r="BG2994" t="s">
        <v>15132</v>
      </c>
      <c r="BM2994" t="s">
        <v>15650</v>
      </c>
    </row>
    <row r="2995" spans="1:67">
      <c r="A2995" s="1">
        <f>HYPERLINK("https://lsnyc.legalserver.org/matter/dynamic-profile/view/1842715","17-1842715")</f>
        <v>0</v>
      </c>
      <c r="B2995" t="s">
        <v>178</v>
      </c>
      <c r="C2995" t="s">
        <v>248</v>
      </c>
      <c r="D2995" t="s">
        <v>252</v>
      </c>
      <c r="F2995" t="s">
        <v>2328</v>
      </c>
      <c r="G2995" t="s">
        <v>2921</v>
      </c>
      <c r="H2995" t="s">
        <v>5798</v>
      </c>
      <c r="I2995" t="s">
        <v>6437</v>
      </c>
      <c r="J2995" t="s">
        <v>7174</v>
      </c>
      <c r="K2995">
        <v>11233</v>
      </c>
      <c r="N2995" t="s">
        <v>7237</v>
      </c>
      <c r="O2995" t="s">
        <v>9183</v>
      </c>
      <c r="P2995">
        <v>1</v>
      </c>
      <c r="Q2995">
        <v>0</v>
      </c>
      <c r="R2995">
        <v>389.72</v>
      </c>
      <c r="S2995" t="s">
        <v>10255</v>
      </c>
      <c r="T2995" t="s">
        <v>10277</v>
      </c>
      <c r="U2995">
        <v>47000</v>
      </c>
      <c r="W2995">
        <v>89.40000000000001</v>
      </c>
      <c r="X2995" t="s">
        <v>435</v>
      </c>
      <c r="Y2995" t="s">
        <v>10910</v>
      </c>
      <c r="AA2995" t="s">
        <v>10974</v>
      </c>
      <c r="AB2995" t="s">
        <v>252</v>
      </c>
      <c r="AD2995" t="s">
        <v>11083</v>
      </c>
      <c r="AF2995" t="s">
        <v>11118</v>
      </c>
      <c r="AH2995" t="s">
        <v>10974</v>
      </c>
      <c r="AJ2995" t="s">
        <v>11134</v>
      </c>
      <c r="AK2995" t="s">
        <v>7225</v>
      </c>
      <c r="AM2995">
        <v>625.14</v>
      </c>
      <c r="AO2995">
        <v>36</v>
      </c>
      <c r="AQ2995" t="s">
        <v>11157</v>
      </c>
      <c r="AS2995" t="s">
        <v>11173</v>
      </c>
      <c r="AU2995">
        <v>3</v>
      </c>
      <c r="AW2995" t="s">
        <v>11187</v>
      </c>
      <c r="AZ2995" t="s">
        <v>11221</v>
      </c>
      <c r="BE2995" t="s">
        <v>13411</v>
      </c>
      <c r="BG2995" t="s">
        <v>15133</v>
      </c>
      <c r="BM2995" t="s">
        <v>15650</v>
      </c>
    </row>
    <row r="2996" spans="1:67">
      <c r="A2996" s="1">
        <f>HYPERLINK("https://lsnyc.legalserver.org/matter/dynamic-profile/view/0805063","16-0805063")</f>
        <v>0</v>
      </c>
      <c r="B2996" t="s">
        <v>178</v>
      </c>
      <c r="C2996" t="s">
        <v>248</v>
      </c>
      <c r="D2996" t="s">
        <v>498</v>
      </c>
      <c r="E2996" t="s">
        <v>614</v>
      </c>
      <c r="F2996" t="s">
        <v>1737</v>
      </c>
      <c r="G2996" t="s">
        <v>4122</v>
      </c>
      <c r="H2996" t="s">
        <v>5776</v>
      </c>
      <c r="I2996" t="s">
        <v>6927</v>
      </c>
      <c r="J2996" t="s">
        <v>7174</v>
      </c>
      <c r="K2996">
        <v>11208</v>
      </c>
      <c r="L2996" t="s">
        <v>7219</v>
      </c>
      <c r="N2996" t="s">
        <v>7237</v>
      </c>
      <c r="O2996" t="s">
        <v>9161</v>
      </c>
      <c r="P2996">
        <v>2</v>
      </c>
      <c r="Q2996">
        <v>0</v>
      </c>
      <c r="R2996">
        <v>131.46</v>
      </c>
      <c r="U2996">
        <v>21060</v>
      </c>
      <c r="W2996">
        <v>17.7</v>
      </c>
      <c r="X2996" t="s">
        <v>10844</v>
      </c>
      <c r="Y2996" t="s">
        <v>178</v>
      </c>
      <c r="Z2996" t="s">
        <v>10972</v>
      </c>
      <c r="AA2996" t="s">
        <v>10976</v>
      </c>
      <c r="AB2996" t="s">
        <v>11059</v>
      </c>
      <c r="AD2996" t="s">
        <v>11082</v>
      </c>
      <c r="AF2996" t="s">
        <v>11118</v>
      </c>
      <c r="AG2996" t="s">
        <v>11124</v>
      </c>
      <c r="AJ2996" t="s">
        <v>11129</v>
      </c>
      <c r="AK2996" t="s">
        <v>7225</v>
      </c>
      <c r="AM2996">
        <v>1048</v>
      </c>
      <c r="AO2996">
        <v>6</v>
      </c>
      <c r="AQ2996" t="s">
        <v>11156</v>
      </c>
      <c r="AS2996" t="s">
        <v>11174</v>
      </c>
      <c r="AU2996">
        <v>9</v>
      </c>
      <c r="AW2996" t="s">
        <v>11104</v>
      </c>
      <c r="AZ2996" t="s">
        <v>11221</v>
      </c>
      <c r="BE2996" t="s">
        <v>13388</v>
      </c>
      <c r="BG2996" t="s">
        <v>15134</v>
      </c>
      <c r="BH2996" t="s">
        <v>15605</v>
      </c>
      <c r="BJ2996" t="s">
        <v>15615</v>
      </c>
      <c r="BL2996" t="s">
        <v>15648</v>
      </c>
      <c r="BM2996" t="s">
        <v>15651</v>
      </c>
    </row>
    <row r="2997" spans="1:67">
      <c r="A2997" s="1">
        <f>HYPERLINK("https://lsnyc.legalserver.org/matter/dynamic-profile/view/1896462","19-1896462")</f>
        <v>0</v>
      </c>
      <c r="B2997" t="s">
        <v>178</v>
      </c>
      <c r="C2997" t="s">
        <v>248</v>
      </c>
      <c r="D2997" t="s">
        <v>427</v>
      </c>
      <c r="E2997" t="s">
        <v>638</v>
      </c>
      <c r="F2997" t="s">
        <v>2329</v>
      </c>
      <c r="G2997" t="s">
        <v>3333</v>
      </c>
      <c r="H2997" t="s">
        <v>5799</v>
      </c>
      <c r="I2997" t="s">
        <v>6405</v>
      </c>
      <c r="J2997" t="s">
        <v>7174</v>
      </c>
      <c r="K2997">
        <v>11208</v>
      </c>
      <c r="L2997" t="s">
        <v>7222</v>
      </c>
      <c r="N2997" t="s">
        <v>7237</v>
      </c>
      <c r="O2997" t="s">
        <v>9184</v>
      </c>
      <c r="P2997">
        <v>2</v>
      </c>
      <c r="Q2997">
        <v>1</v>
      </c>
      <c r="R2997">
        <v>146.27</v>
      </c>
      <c r="U2997">
        <v>31200</v>
      </c>
      <c r="W2997">
        <v>27.8</v>
      </c>
      <c r="X2997" t="s">
        <v>436</v>
      </c>
      <c r="Y2997" t="s">
        <v>225</v>
      </c>
      <c r="AA2997" t="s">
        <v>10974</v>
      </c>
      <c r="AB2997" t="s">
        <v>343</v>
      </c>
      <c r="AD2997" t="s">
        <v>11083</v>
      </c>
      <c r="AF2997" t="s">
        <v>11118</v>
      </c>
      <c r="AH2997" t="s">
        <v>10975</v>
      </c>
      <c r="AJ2997" t="s">
        <v>11138</v>
      </c>
      <c r="AK2997" t="s">
        <v>7225</v>
      </c>
      <c r="AM2997">
        <v>1550</v>
      </c>
      <c r="AO2997">
        <v>4</v>
      </c>
      <c r="AQ2997" t="s">
        <v>11156</v>
      </c>
      <c r="AS2997" t="s">
        <v>11178</v>
      </c>
      <c r="AU2997">
        <v>4</v>
      </c>
      <c r="AW2997" t="s">
        <v>11187</v>
      </c>
      <c r="AY2997" t="s">
        <v>11213</v>
      </c>
      <c r="BA2997" t="s">
        <v>11222</v>
      </c>
      <c r="BC2997" t="s">
        <v>11492</v>
      </c>
      <c r="BE2997" t="s">
        <v>13412</v>
      </c>
      <c r="BG2997" t="s">
        <v>15135</v>
      </c>
      <c r="BI2997" t="s">
        <v>15606</v>
      </c>
      <c r="BJ2997" t="s">
        <v>15615</v>
      </c>
      <c r="BM2997" t="s">
        <v>15651</v>
      </c>
      <c r="BN2997" t="s">
        <v>15653</v>
      </c>
      <c r="BO2997" t="s">
        <v>15675</v>
      </c>
    </row>
    <row r="2998" spans="1:67">
      <c r="A2998" s="1">
        <f>HYPERLINK("https://lsnyc.legalserver.org/matter/dynamic-profile/view/1899599","19-1899599")</f>
        <v>0</v>
      </c>
      <c r="B2998" t="s">
        <v>178</v>
      </c>
      <c r="C2998" t="s">
        <v>248</v>
      </c>
      <c r="D2998" t="s">
        <v>431</v>
      </c>
      <c r="E2998" t="s">
        <v>536</v>
      </c>
      <c r="F2998" t="s">
        <v>2330</v>
      </c>
      <c r="G2998" t="s">
        <v>4134</v>
      </c>
      <c r="H2998" t="s">
        <v>5800</v>
      </c>
      <c r="I2998" t="s">
        <v>6654</v>
      </c>
      <c r="J2998" t="s">
        <v>7174</v>
      </c>
      <c r="K2998">
        <v>11207</v>
      </c>
      <c r="L2998" t="s">
        <v>7219</v>
      </c>
      <c r="N2998" t="s">
        <v>7237</v>
      </c>
      <c r="O2998" t="s">
        <v>8628</v>
      </c>
      <c r="P2998">
        <v>1</v>
      </c>
      <c r="Q2998">
        <v>1</v>
      </c>
      <c r="R2998">
        <v>147.84</v>
      </c>
      <c r="U2998">
        <v>25000</v>
      </c>
      <c r="W2998">
        <v>24.2</v>
      </c>
      <c r="X2998" t="s">
        <v>671</v>
      </c>
      <c r="Y2998" t="s">
        <v>101</v>
      </c>
      <c r="AA2998" t="s">
        <v>10974</v>
      </c>
      <c r="AB2998" t="s">
        <v>287</v>
      </c>
      <c r="AD2998" t="s">
        <v>11083</v>
      </c>
      <c r="AF2998" t="s">
        <v>11118</v>
      </c>
      <c r="AH2998" t="s">
        <v>10975</v>
      </c>
      <c r="AI2998" t="s">
        <v>11126</v>
      </c>
      <c r="AK2998" t="s">
        <v>7225</v>
      </c>
      <c r="AM2998">
        <v>600</v>
      </c>
      <c r="AO2998">
        <v>2</v>
      </c>
      <c r="AQ2998" t="s">
        <v>11156</v>
      </c>
      <c r="AS2998" t="s">
        <v>11104</v>
      </c>
      <c r="AU2998">
        <v>10</v>
      </c>
      <c r="AW2998" t="s">
        <v>11187</v>
      </c>
      <c r="AY2998" t="s">
        <v>11213</v>
      </c>
      <c r="BA2998" t="s">
        <v>11222</v>
      </c>
      <c r="BE2998" t="s">
        <v>13413</v>
      </c>
      <c r="BG2998" t="s">
        <v>15136</v>
      </c>
      <c r="BH2998" t="s">
        <v>15605</v>
      </c>
      <c r="BJ2998" t="s">
        <v>15615</v>
      </c>
      <c r="BL2998" t="s">
        <v>15648</v>
      </c>
      <c r="BM2998" t="s">
        <v>15651</v>
      </c>
    </row>
    <row r="2999" spans="1:67">
      <c r="A2999" s="1">
        <f>HYPERLINK("https://lsnyc.legalserver.org/matter/dynamic-profile/view/1899962","19-1899962")</f>
        <v>0</v>
      </c>
      <c r="B2999" t="s">
        <v>178</v>
      </c>
      <c r="C2999" t="s">
        <v>248</v>
      </c>
      <c r="D2999" t="s">
        <v>314</v>
      </c>
      <c r="E2999" t="s">
        <v>536</v>
      </c>
      <c r="F2999" t="s">
        <v>2331</v>
      </c>
      <c r="G2999" t="s">
        <v>4135</v>
      </c>
      <c r="H2999" t="s">
        <v>5801</v>
      </c>
      <c r="I2999">
        <v>413</v>
      </c>
      <c r="J2999" t="s">
        <v>7174</v>
      </c>
      <c r="K2999">
        <v>11207</v>
      </c>
      <c r="L2999" t="s">
        <v>7219</v>
      </c>
      <c r="N2999" t="s">
        <v>7237</v>
      </c>
      <c r="O2999" t="s">
        <v>8333</v>
      </c>
      <c r="P2999">
        <v>1</v>
      </c>
      <c r="Q2999">
        <v>0</v>
      </c>
      <c r="R2999">
        <v>0</v>
      </c>
      <c r="U2999">
        <v>0</v>
      </c>
      <c r="W2999">
        <v>20.4</v>
      </c>
      <c r="X2999" t="s">
        <v>327</v>
      </c>
      <c r="Y2999" t="s">
        <v>101</v>
      </c>
      <c r="AA2999" t="s">
        <v>10974</v>
      </c>
      <c r="AB2999" t="s">
        <v>343</v>
      </c>
      <c r="AD2999" t="s">
        <v>11082</v>
      </c>
      <c r="AF2999" t="s">
        <v>11118</v>
      </c>
      <c r="AH2999" t="s">
        <v>10975</v>
      </c>
      <c r="AI2999" t="s">
        <v>11126</v>
      </c>
      <c r="AK2999" t="s">
        <v>7225</v>
      </c>
      <c r="AM2999">
        <v>906</v>
      </c>
      <c r="AO2999">
        <v>98</v>
      </c>
      <c r="AP2999" t="s">
        <v>11155</v>
      </c>
      <c r="AR2999" t="s">
        <v>11172</v>
      </c>
      <c r="AU2999">
        <v>8</v>
      </c>
      <c r="AW2999" t="s">
        <v>11187</v>
      </c>
      <c r="AY2999" t="s">
        <v>11213</v>
      </c>
      <c r="BA2999" t="s">
        <v>11222</v>
      </c>
      <c r="BE2999" t="s">
        <v>13414</v>
      </c>
      <c r="BG2999" t="s">
        <v>15137</v>
      </c>
      <c r="BH2999" t="s">
        <v>15605</v>
      </c>
      <c r="BJ2999" t="s">
        <v>15615</v>
      </c>
      <c r="BL2999" t="s">
        <v>15648</v>
      </c>
      <c r="BM2999" t="s">
        <v>15651</v>
      </c>
    </row>
    <row r="3000" spans="1:67">
      <c r="A3000" s="1">
        <f>HYPERLINK("https://lsnyc.legalserver.org/matter/dynamic-profile/view/1895390","19-1895390")</f>
        <v>0</v>
      </c>
      <c r="B3000" t="s">
        <v>178</v>
      </c>
      <c r="C3000" t="s">
        <v>248</v>
      </c>
      <c r="D3000" t="s">
        <v>299</v>
      </c>
      <c r="F3000" t="s">
        <v>1451</v>
      </c>
      <c r="G3000" t="s">
        <v>4136</v>
      </c>
      <c r="H3000" t="s">
        <v>5802</v>
      </c>
      <c r="I3000" t="s">
        <v>6407</v>
      </c>
      <c r="J3000" t="s">
        <v>7174</v>
      </c>
      <c r="K3000">
        <v>11239</v>
      </c>
      <c r="N3000" t="s">
        <v>7237</v>
      </c>
      <c r="O3000" t="s">
        <v>9185</v>
      </c>
      <c r="P3000">
        <v>1</v>
      </c>
      <c r="Q3000">
        <v>1</v>
      </c>
      <c r="R3000">
        <v>0</v>
      </c>
      <c r="U3000">
        <v>0</v>
      </c>
      <c r="W3000">
        <v>56.3</v>
      </c>
      <c r="X3000" t="s">
        <v>528</v>
      </c>
      <c r="Y3000" t="s">
        <v>225</v>
      </c>
      <c r="AA3000" t="s">
        <v>10974</v>
      </c>
      <c r="AB3000" t="s">
        <v>299</v>
      </c>
      <c r="AD3000" t="s">
        <v>11083</v>
      </c>
      <c r="AF3000" t="s">
        <v>11118</v>
      </c>
      <c r="AH3000" t="s">
        <v>10975</v>
      </c>
      <c r="AJ3000" t="s">
        <v>11138</v>
      </c>
      <c r="AK3000" t="s">
        <v>7225</v>
      </c>
      <c r="AM3000">
        <v>3260</v>
      </c>
      <c r="AO3000">
        <v>84</v>
      </c>
      <c r="AP3000" t="s">
        <v>11155</v>
      </c>
      <c r="AS3000" t="s">
        <v>11104</v>
      </c>
      <c r="AU3000">
        <v>43</v>
      </c>
      <c r="AW3000" t="s">
        <v>11187</v>
      </c>
      <c r="AZ3000" t="s">
        <v>11221</v>
      </c>
      <c r="BE3000" t="s">
        <v>13415</v>
      </c>
      <c r="BG3000" t="s">
        <v>15138</v>
      </c>
      <c r="BM3000" t="s">
        <v>15650</v>
      </c>
    </row>
    <row r="3001" spans="1:67">
      <c r="A3001" s="1">
        <f>HYPERLINK("https://lsnyc.legalserver.org/matter/dynamic-profile/view/1909255","19-1909255")</f>
        <v>0</v>
      </c>
      <c r="B3001" t="s">
        <v>178</v>
      </c>
      <c r="C3001" t="s">
        <v>248</v>
      </c>
      <c r="D3001" t="s">
        <v>375</v>
      </c>
      <c r="E3001" t="s">
        <v>536</v>
      </c>
      <c r="F3001" t="s">
        <v>1452</v>
      </c>
      <c r="G3001" t="s">
        <v>3262</v>
      </c>
      <c r="H3001" t="s">
        <v>5803</v>
      </c>
      <c r="I3001">
        <v>2</v>
      </c>
      <c r="J3001" t="s">
        <v>7174</v>
      </c>
      <c r="K3001">
        <v>11233</v>
      </c>
      <c r="L3001" t="s">
        <v>7216</v>
      </c>
      <c r="N3001" t="s">
        <v>7237</v>
      </c>
      <c r="O3001" t="s">
        <v>9186</v>
      </c>
      <c r="P3001">
        <v>1</v>
      </c>
      <c r="Q3001">
        <v>0</v>
      </c>
      <c r="R3001">
        <v>147.28</v>
      </c>
      <c r="U3001">
        <v>18395</v>
      </c>
      <c r="W3001">
        <v>1.5</v>
      </c>
      <c r="X3001" t="s">
        <v>601</v>
      </c>
      <c r="Y3001" t="s">
        <v>10884</v>
      </c>
      <c r="AA3001" t="s">
        <v>10974</v>
      </c>
      <c r="AB3001" t="s">
        <v>601</v>
      </c>
      <c r="AD3001" t="s">
        <v>11101</v>
      </c>
      <c r="AF3001" t="s">
        <v>11119</v>
      </c>
      <c r="AH3001" t="s">
        <v>10975</v>
      </c>
      <c r="AJ3001" t="s">
        <v>11104</v>
      </c>
      <c r="AK3001" t="s">
        <v>7225</v>
      </c>
      <c r="AM3001">
        <v>2450</v>
      </c>
      <c r="AO3001">
        <v>3</v>
      </c>
      <c r="AQ3001" t="s">
        <v>11164</v>
      </c>
      <c r="AS3001" t="s">
        <v>11173</v>
      </c>
      <c r="AU3001">
        <v>1</v>
      </c>
      <c r="AW3001" t="s">
        <v>11187</v>
      </c>
      <c r="AY3001" t="s">
        <v>11213</v>
      </c>
      <c r="BA3001" t="s">
        <v>11222</v>
      </c>
      <c r="BC3001" t="s">
        <v>11228</v>
      </c>
      <c r="BD3001" t="s">
        <v>11667</v>
      </c>
      <c r="BF3001" t="s">
        <v>14364</v>
      </c>
      <c r="BG3001" t="s">
        <v>11228</v>
      </c>
      <c r="BM3001" t="s">
        <v>15651</v>
      </c>
    </row>
    <row r="3002" spans="1:67">
      <c r="A3002" s="1">
        <f>HYPERLINK("https://lsnyc.legalserver.org/matter/dynamic-profile/view/1836666","17-1836666")</f>
        <v>0</v>
      </c>
      <c r="B3002" t="s">
        <v>178</v>
      </c>
      <c r="C3002" t="s">
        <v>248</v>
      </c>
      <c r="D3002" t="s">
        <v>859</v>
      </c>
      <c r="E3002" t="s">
        <v>536</v>
      </c>
      <c r="F3002" t="s">
        <v>2332</v>
      </c>
      <c r="G3002" t="s">
        <v>4137</v>
      </c>
      <c r="H3002" t="s">
        <v>5804</v>
      </c>
      <c r="I3002" t="s">
        <v>6941</v>
      </c>
      <c r="J3002" t="s">
        <v>7174</v>
      </c>
      <c r="K3002">
        <v>11249</v>
      </c>
      <c r="L3002" t="s">
        <v>7223</v>
      </c>
      <c r="N3002" t="s">
        <v>7237</v>
      </c>
      <c r="O3002" t="s">
        <v>9187</v>
      </c>
      <c r="P3002">
        <v>2</v>
      </c>
      <c r="Q3002">
        <v>0</v>
      </c>
      <c r="R3002">
        <v>249.26</v>
      </c>
      <c r="U3002">
        <v>40480</v>
      </c>
      <c r="W3002">
        <v>219.18</v>
      </c>
      <c r="X3002" t="s">
        <v>925</v>
      </c>
      <c r="Y3002" t="s">
        <v>10901</v>
      </c>
      <c r="AA3002" t="s">
        <v>10974</v>
      </c>
      <c r="AB3002" t="s">
        <v>809</v>
      </c>
      <c r="AD3002" t="s">
        <v>11082</v>
      </c>
      <c r="AF3002" t="s">
        <v>11118</v>
      </c>
      <c r="AH3002" t="s">
        <v>10974</v>
      </c>
      <c r="AI3002" t="s">
        <v>11126</v>
      </c>
      <c r="AK3002" t="s">
        <v>7225</v>
      </c>
      <c r="AM3002">
        <v>2500</v>
      </c>
      <c r="AO3002">
        <v>36</v>
      </c>
      <c r="AQ3002" t="s">
        <v>11157</v>
      </c>
      <c r="AR3002" t="s">
        <v>11172</v>
      </c>
      <c r="AU3002">
        <v>2</v>
      </c>
      <c r="AW3002" t="s">
        <v>11187</v>
      </c>
      <c r="AZ3002" t="s">
        <v>11221</v>
      </c>
      <c r="BE3002" t="s">
        <v>13416</v>
      </c>
      <c r="BG3002" t="s">
        <v>15139</v>
      </c>
      <c r="BH3002" t="s">
        <v>15605</v>
      </c>
      <c r="BJ3002" t="s">
        <v>15615</v>
      </c>
      <c r="BL3002" t="s">
        <v>15648</v>
      </c>
      <c r="BM3002" t="s">
        <v>15651</v>
      </c>
    </row>
    <row r="3003" spans="1:67">
      <c r="A3003" s="1">
        <f>HYPERLINK("https://lsnyc.legalserver.org/matter/dynamic-profile/view/1895453","19-1895453")</f>
        <v>0</v>
      </c>
      <c r="B3003" t="s">
        <v>179</v>
      </c>
      <c r="C3003" t="s">
        <v>248</v>
      </c>
      <c r="D3003" t="s">
        <v>370</v>
      </c>
      <c r="E3003" t="s">
        <v>301</v>
      </c>
      <c r="F3003" t="s">
        <v>2320</v>
      </c>
      <c r="G3003" t="s">
        <v>2902</v>
      </c>
      <c r="H3003" t="s">
        <v>5782</v>
      </c>
      <c r="I3003" t="s">
        <v>6430</v>
      </c>
      <c r="J3003" t="s">
        <v>7174</v>
      </c>
      <c r="K3003">
        <v>11208</v>
      </c>
      <c r="L3003" t="s">
        <v>7217</v>
      </c>
      <c r="N3003" t="s">
        <v>7243</v>
      </c>
      <c r="O3003" t="s">
        <v>9168</v>
      </c>
      <c r="P3003">
        <v>2</v>
      </c>
      <c r="Q3003">
        <v>0</v>
      </c>
      <c r="R3003">
        <v>110.09</v>
      </c>
      <c r="U3003">
        <v>18616</v>
      </c>
      <c r="W3003">
        <v>25.75</v>
      </c>
      <c r="X3003" t="s">
        <v>301</v>
      </c>
      <c r="Y3003" t="s">
        <v>101</v>
      </c>
      <c r="AA3003" t="s">
        <v>10974</v>
      </c>
      <c r="AB3003" t="s">
        <v>716</v>
      </c>
      <c r="AD3003" t="s">
        <v>11099</v>
      </c>
      <c r="AF3003" t="s">
        <v>11120</v>
      </c>
      <c r="AH3003" t="s">
        <v>10975</v>
      </c>
      <c r="AJ3003" t="s">
        <v>11146</v>
      </c>
      <c r="AK3003" t="s">
        <v>7225</v>
      </c>
      <c r="AM3003">
        <v>862</v>
      </c>
      <c r="AO3003">
        <v>6</v>
      </c>
      <c r="AP3003" t="s">
        <v>11155</v>
      </c>
      <c r="AR3003" t="s">
        <v>11172</v>
      </c>
      <c r="AU3003">
        <v>13</v>
      </c>
      <c r="AW3003" t="s">
        <v>11189</v>
      </c>
      <c r="AZ3003" t="s">
        <v>11221</v>
      </c>
      <c r="BB3003" t="s">
        <v>11224</v>
      </c>
      <c r="BC3003" t="s">
        <v>11488</v>
      </c>
      <c r="BE3003" t="s">
        <v>13395</v>
      </c>
      <c r="BG3003" t="s">
        <v>15119</v>
      </c>
      <c r="BM3003" t="s">
        <v>15651</v>
      </c>
    </row>
    <row r="3004" spans="1:67">
      <c r="A3004" s="1">
        <f>HYPERLINK("https://lsnyc.legalserver.org/matter/dynamic-profile/view/1912574","19-1912574")</f>
        <v>0</v>
      </c>
      <c r="B3004" t="s">
        <v>179</v>
      </c>
      <c r="C3004" t="s">
        <v>248</v>
      </c>
      <c r="D3004" t="s">
        <v>599</v>
      </c>
      <c r="E3004" t="s">
        <v>293</v>
      </c>
      <c r="F3004" t="s">
        <v>1819</v>
      </c>
      <c r="G3004" t="s">
        <v>3047</v>
      </c>
      <c r="H3004" t="s">
        <v>5805</v>
      </c>
      <c r="I3004">
        <v>2</v>
      </c>
      <c r="J3004" t="s">
        <v>7174</v>
      </c>
      <c r="K3004">
        <v>11212</v>
      </c>
      <c r="L3004" t="s">
        <v>7216</v>
      </c>
      <c r="M3004" t="s">
        <v>7225</v>
      </c>
      <c r="N3004" t="s">
        <v>7243</v>
      </c>
      <c r="O3004" t="s">
        <v>9188</v>
      </c>
      <c r="P3004">
        <v>2</v>
      </c>
      <c r="Q3004">
        <v>3</v>
      </c>
      <c r="R3004">
        <v>33.15</v>
      </c>
      <c r="U3004">
        <v>10000</v>
      </c>
      <c r="W3004">
        <v>4</v>
      </c>
      <c r="X3004" t="s">
        <v>293</v>
      </c>
      <c r="Y3004" t="s">
        <v>10890</v>
      </c>
      <c r="AA3004" t="s">
        <v>10974</v>
      </c>
      <c r="AB3004" t="s">
        <v>801</v>
      </c>
      <c r="AD3004" t="s">
        <v>11086</v>
      </c>
      <c r="AF3004" t="s">
        <v>11119</v>
      </c>
      <c r="AH3004" t="s">
        <v>10975</v>
      </c>
      <c r="AJ3004" t="s">
        <v>11143</v>
      </c>
      <c r="AK3004" t="s">
        <v>7225</v>
      </c>
      <c r="AM3004">
        <v>579</v>
      </c>
      <c r="AO3004">
        <v>4</v>
      </c>
      <c r="AQ3004" t="s">
        <v>11161</v>
      </c>
      <c r="AR3004" t="s">
        <v>11172</v>
      </c>
      <c r="AU3004">
        <v>4</v>
      </c>
      <c r="AW3004" t="s">
        <v>11187</v>
      </c>
      <c r="BA3004" t="s">
        <v>11222</v>
      </c>
      <c r="BE3004" t="s">
        <v>13417</v>
      </c>
      <c r="BF3004" t="s">
        <v>14364</v>
      </c>
      <c r="BG3004" t="s">
        <v>11086</v>
      </c>
      <c r="BM3004" t="s">
        <v>15651</v>
      </c>
    </row>
    <row r="3005" spans="1:67">
      <c r="A3005" s="1">
        <f>HYPERLINK("https://lsnyc.legalserver.org/matter/dynamic-profile/view/1912182","19-1912182")</f>
        <v>0</v>
      </c>
      <c r="B3005" t="s">
        <v>179</v>
      </c>
      <c r="C3005" t="s">
        <v>248</v>
      </c>
      <c r="D3005" t="s">
        <v>265</v>
      </c>
      <c r="F3005" t="s">
        <v>1733</v>
      </c>
      <c r="G3005" t="s">
        <v>3104</v>
      </c>
      <c r="H3005" t="s">
        <v>5163</v>
      </c>
      <c r="I3005">
        <v>9</v>
      </c>
      <c r="J3005" t="s">
        <v>7174</v>
      </c>
      <c r="K3005">
        <v>11212</v>
      </c>
      <c r="N3005" t="s">
        <v>7243</v>
      </c>
      <c r="O3005" t="s">
        <v>9189</v>
      </c>
      <c r="P3005">
        <v>1</v>
      </c>
      <c r="Q3005">
        <v>2</v>
      </c>
      <c r="R3005">
        <v>22.5</v>
      </c>
      <c r="U3005">
        <v>4800</v>
      </c>
      <c r="V3005" t="s">
        <v>10544</v>
      </c>
      <c r="W3005">
        <v>8.5</v>
      </c>
      <c r="X3005" t="s">
        <v>426</v>
      </c>
      <c r="Y3005" t="s">
        <v>101</v>
      </c>
      <c r="AA3005" t="s">
        <v>10974</v>
      </c>
      <c r="AD3005" t="s">
        <v>11092</v>
      </c>
      <c r="AE3005" t="s">
        <v>11117</v>
      </c>
      <c r="AH3005" t="s">
        <v>10975</v>
      </c>
      <c r="AJ3005" t="s">
        <v>11137</v>
      </c>
      <c r="AK3005" t="s">
        <v>7225</v>
      </c>
      <c r="AM3005">
        <v>1300</v>
      </c>
      <c r="AO3005">
        <v>23</v>
      </c>
      <c r="AQ3005" t="s">
        <v>11157</v>
      </c>
      <c r="AS3005" t="s">
        <v>11173</v>
      </c>
      <c r="AU3005">
        <v>1</v>
      </c>
      <c r="AW3005" t="s">
        <v>11187</v>
      </c>
      <c r="AX3005" t="s">
        <v>11212</v>
      </c>
      <c r="BA3005" t="s">
        <v>11222</v>
      </c>
      <c r="BB3005" t="s">
        <v>11224</v>
      </c>
      <c r="BC3005" t="s">
        <v>11493</v>
      </c>
      <c r="BE3005" t="s">
        <v>13418</v>
      </c>
      <c r="BG3005" t="s">
        <v>15140</v>
      </c>
      <c r="BM3005" t="s">
        <v>15650</v>
      </c>
    </row>
    <row r="3006" spans="1:67">
      <c r="A3006" s="1">
        <f>HYPERLINK("https://lsnyc.legalserver.org/matter/dynamic-profile/view/1882893","18-1882893")</f>
        <v>0</v>
      </c>
      <c r="B3006" t="s">
        <v>179</v>
      </c>
      <c r="C3006" t="s">
        <v>248</v>
      </c>
      <c r="D3006" t="s">
        <v>592</v>
      </c>
      <c r="F3006" t="s">
        <v>1594</v>
      </c>
      <c r="G3006" t="s">
        <v>3365</v>
      </c>
      <c r="H3006" t="s">
        <v>5146</v>
      </c>
      <c r="I3006" t="s">
        <v>6430</v>
      </c>
      <c r="J3006" t="s">
        <v>7174</v>
      </c>
      <c r="K3006">
        <v>11233</v>
      </c>
      <c r="N3006" t="s">
        <v>7243</v>
      </c>
      <c r="O3006" t="s">
        <v>7910</v>
      </c>
      <c r="P3006">
        <v>1</v>
      </c>
      <c r="Q3006">
        <v>0</v>
      </c>
      <c r="R3006">
        <v>11.53</v>
      </c>
      <c r="U3006">
        <v>1400</v>
      </c>
      <c r="W3006">
        <v>36.25</v>
      </c>
      <c r="X3006" t="s">
        <v>293</v>
      </c>
      <c r="Y3006" t="s">
        <v>101</v>
      </c>
      <c r="AA3006" t="s">
        <v>10974</v>
      </c>
      <c r="AB3006" t="s">
        <v>1004</v>
      </c>
      <c r="AD3006" t="s">
        <v>11099</v>
      </c>
      <c r="AF3006" t="s">
        <v>11122</v>
      </c>
      <c r="AH3006" t="s">
        <v>10975</v>
      </c>
      <c r="AJ3006" t="s">
        <v>11138</v>
      </c>
      <c r="AK3006" t="s">
        <v>7225</v>
      </c>
      <c r="AM3006">
        <v>1515</v>
      </c>
      <c r="AO3006">
        <v>6</v>
      </c>
      <c r="AQ3006" t="s">
        <v>11157</v>
      </c>
      <c r="AS3006" t="s">
        <v>11181</v>
      </c>
      <c r="AU3006">
        <v>5</v>
      </c>
      <c r="AW3006" t="s">
        <v>11187</v>
      </c>
      <c r="AY3006" t="s">
        <v>11215</v>
      </c>
      <c r="BA3006" t="s">
        <v>11222</v>
      </c>
      <c r="BB3006" t="s">
        <v>11224</v>
      </c>
      <c r="BC3006" t="s">
        <v>11315</v>
      </c>
      <c r="BE3006" t="s">
        <v>12243</v>
      </c>
      <c r="BG3006" t="s">
        <v>14619</v>
      </c>
      <c r="BM3006" t="s">
        <v>15650</v>
      </c>
    </row>
    <row r="3007" spans="1:67">
      <c r="A3007" s="1">
        <f>HYPERLINK("https://lsnyc.legalserver.org/matter/dynamic-profile/view/1911594","19-1911594")</f>
        <v>0</v>
      </c>
      <c r="B3007" t="s">
        <v>179</v>
      </c>
      <c r="C3007" t="s">
        <v>248</v>
      </c>
      <c r="D3007" t="s">
        <v>798</v>
      </c>
      <c r="F3007" t="s">
        <v>1545</v>
      </c>
      <c r="G3007" t="s">
        <v>4138</v>
      </c>
      <c r="H3007" t="s">
        <v>5806</v>
      </c>
      <c r="I3007" t="s">
        <v>6942</v>
      </c>
      <c r="J3007" t="s">
        <v>7174</v>
      </c>
      <c r="K3007">
        <v>11239</v>
      </c>
      <c r="N3007" t="s">
        <v>7237</v>
      </c>
      <c r="O3007" t="s">
        <v>7592</v>
      </c>
      <c r="P3007">
        <v>1</v>
      </c>
      <c r="Q3007">
        <v>0</v>
      </c>
      <c r="R3007">
        <v>82.43000000000001</v>
      </c>
      <c r="U3007">
        <v>10296</v>
      </c>
      <c r="W3007">
        <v>16.25</v>
      </c>
      <c r="X3007" t="s">
        <v>638</v>
      </c>
      <c r="Y3007" t="s">
        <v>225</v>
      </c>
      <c r="AA3007" t="s">
        <v>10974</v>
      </c>
      <c r="AD3007" t="s">
        <v>11086</v>
      </c>
      <c r="AE3007" t="s">
        <v>11117</v>
      </c>
      <c r="AH3007" t="s">
        <v>10975</v>
      </c>
      <c r="AJ3007" t="s">
        <v>11129</v>
      </c>
      <c r="AK3007" t="s">
        <v>7225</v>
      </c>
      <c r="AM3007">
        <v>2400</v>
      </c>
      <c r="AO3007">
        <v>84</v>
      </c>
      <c r="AQ3007" t="s">
        <v>11159</v>
      </c>
      <c r="AS3007" t="s">
        <v>11179</v>
      </c>
      <c r="AU3007">
        <v>1</v>
      </c>
      <c r="AW3007" t="s">
        <v>11187</v>
      </c>
      <c r="AY3007" t="s">
        <v>11213</v>
      </c>
      <c r="BA3007" t="s">
        <v>11222</v>
      </c>
      <c r="BB3007" t="s">
        <v>11224</v>
      </c>
      <c r="BC3007" t="s">
        <v>11494</v>
      </c>
      <c r="BE3007" t="s">
        <v>13419</v>
      </c>
      <c r="BF3007" t="s">
        <v>14364</v>
      </c>
      <c r="BG3007" t="s">
        <v>15141</v>
      </c>
      <c r="BM3007" t="s">
        <v>15650</v>
      </c>
    </row>
    <row r="3008" spans="1:67">
      <c r="A3008" s="1">
        <f>HYPERLINK("https://lsnyc.legalserver.org/matter/dynamic-profile/view/1913800","19-1913800")</f>
        <v>0</v>
      </c>
      <c r="B3008" t="s">
        <v>179</v>
      </c>
      <c r="C3008" t="s">
        <v>248</v>
      </c>
      <c r="D3008" t="s">
        <v>735</v>
      </c>
      <c r="F3008" t="s">
        <v>2333</v>
      </c>
      <c r="G3008" t="s">
        <v>4139</v>
      </c>
      <c r="H3008" t="s">
        <v>5807</v>
      </c>
      <c r="I3008" t="s">
        <v>6413</v>
      </c>
      <c r="J3008" t="s">
        <v>7174</v>
      </c>
      <c r="K3008">
        <v>11233</v>
      </c>
      <c r="N3008" t="s">
        <v>7243</v>
      </c>
      <c r="O3008" t="s">
        <v>9190</v>
      </c>
      <c r="P3008">
        <v>2</v>
      </c>
      <c r="Q3008">
        <v>0</v>
      </c>
      <c r="R3008">
        <v>153.76</v>
      </c>
      <c r="U3008">
        <v>26000</v>
      </c>
      <c r="V3008" t="s">
        <v>10545</v>
      </c>
      <c r="W3008">
        <v>3</v>
      </c>
      <c r="X3008" t="s">
        <v>638</v>
      </c>
      <c r="Y3008" t="s">
        <v>101</v>
      </c>
      <c r="AA3008" t="s">
        <v>10974</v>
      </c>
      <c r="AD3008" t="s">
        <v>11099</v>
      </c>
      <c r="AE3008" t="s">
        <v>11117</v>
      </c>
      <c r="AH3008" t="s">
        <v>10975</v>
      </c>
      <c r="AJ3008" t="s">
        <v>11129</v>
      </c>
      <c r="AK3008" t="s">
        <v>7225</v>
      </c>
      <c r="AM3008">
        <v>1052</v>
      </c>
      <c r="AO3008">
        <v>12</v>
      </c>
      <c r="AQ3008" t="s">
        <v>11157</v>
      </c>
      <c r="AS3008" t="s">
        <v>11173</v>
      </c>
      <c r="AU3008">
        <v>8</v>
      </c>
      <c r="AW3008" t="s">
        <v>11187</v>
      </c>
      <c r="AY3008" t="s">
        <v>11213</v>
      </c>
      <c r="BA3008" t="s">
        <v>11222</v>
      </c>
      <c r="BC3008" t="s">
        <v>11173</v>
      </c>
      <c r="BE3008" t="s">
        <v>13420</v>
      </c>
      <c r="BG3008" t="s">
        <v>15142</v>
      </c>
      <c r="BM3008" t="s">
        <v>15650</v>
      </c>
    </row>
    <row r="3009" spans="1:65">
      <c r="A3009" s="1">
        <f>HYPERLINK("https://lsnyc.legalserver.org/matter/dynamic-profile/view/1909370","19-1909370")</f>
        <v>0</v>
      </c>
      <c r="B3009" t="s">
        <v>179</v>
      </c>
      <c r="C3009" t="s">
        <v>248</v>
      </c>
      <c r="D3009" t="s">
        <v>270</v>
      </c>
      <c r="F3009" t="s">
        <v>2334</v>
      </c>
      <c r="G3009" t="s">
        <v>3236</v>
      </c>
      <c r="H3009" t="s">
        <v>4798</v>
      </c>
      <c r="I3009" t="s">
        <v>6486</v>
      </c>
      <c r="J3009" t="s">
        <v>7174</v>
      </c>
      <c r="K3009">
        <v>11233</v>
      </c>
      <c r="N3009" t="s">
        <v>7243</v>
      </c>
      <c r="O3009" t="s">
        <v>9191</v>
      </c>
      <c r="P3009">
        <v>1</v>
      </c>
      <c r="Q3009">
        <v>2</v>
      </c>
      <c r="R3009">
        <v>0</v>
      </c>
      <c r="U3009">
        <v>0</v>
      </c>
      <c r="V3009" t="s">
        <v>10546</v>
      </c>
      <c r="W3009">
        <v>16</v>
      </c>
      <c r="X3009" t="s">
        <v>548</v>
      </c>
      <c r="Y3009" t="s">
        <v>225</v>
      </c>
      <c r="AA3009" t="s">
        <v>10974</v>
      </c>
      <c r="AD3009" t="s">
        <v>11099</v>
      </c>
      <c r="AE3009" t="s">
        <v>11117</v>
      </c>
      <c r="AH3009" t="s">
        <v>10975</v>
      </c>
      <c r="AJ3009" t="s">
        <v>11129</v>
      </c>
      <c r="AK3009" t="s">
        <v>7225</v>
      </c>
      <c r="AM3009">
        <v>980</v>
      </c>
      <c r="AO3009">
        <v>1117</v>
      </c>
      <c r="AQ3009" t="s">
        <v>11157</v>
      </c>
      <c r="AS3009" t="s">
        <v>11179</v>
      </c>
      <c r="AU3009">
        <v>35</v>
      </c>
      <c r="AW3009" t="s">
        <v>11187</v>
      </c>
      <c r="AY3009" t="s">
        <v>11213</v>
      </c>
      <c r="BA3009" t="s">
        <v>11222</v>
      </c>
      <c r="BC3009" t="s">
        <v>11173</v>
      </c>
      <c r="BE3009" t="s">
        <v>13421</v>
      </c>
      <c r="BG3009" t="s">
        <v>15143</v>
      </c>
      <c r="BM3009" t="s">
        <v>15650</v>
      </c>
    </row>
    <row r="3010" spans="1:65">
      <c r="A3010" s="1">
        <f>HYPERLINK("https://lsnyc.legalserver.org/matter/dynamic-profile/view/1915092","19-1915092")</f>
        <v>0</v>
      </c>
      <c r="B3010" t="s">
        <v>179</v>
      </c>
      <c r="C3010" t="s">
        <v>248</v>
      </c>
      <c r="D3010" t="s">
        <v>264</v>
      </c>
      <c r="F3010" t="s">
        <v>2313</v>
      </c>
      <c r="G3010" t="s">
        <v>4119</v>
      </c>
      <c r="H3010" t="s">
        <v>5771</v>
      </c>
      <c r="I3010" t="s">
        <v>6936</v>
      </c>
      <c r="J3010" t="s">
        <v>7174</v>
      </c>
      <c r="K3010">
        <v>11239</v>
      </c>
      <c r="N3010" t="s">
        <v>7243</v>
      </c>
      <c r="O3010" t="s">
        <v>9156</v>
      </c>
      <c r="P3010">
        <v>1</v>
      </c>
      <c r="Q3010">
        <v>0</v>
      </c>
      <c r="R3010">
        <v>82.34</v>
      </c>
      <c r="U3010">
        <v>10284</v>
      </c>
      <c r="V3010" t="s">
        <v>10547</v>
      </c>
      <c r="W3010">
        <v>1.5</v>
      </c>
      <c r="X3010" t="s">
        <v>426</v>
      </c>
      <c r="Y3010" t="s">
        <v>225</v>
      </c>
      <c r="AA3010" t="s">
        <v>10974</v>
      </c>
      <c r="AB3010" t="s">
        <v>667</v>
      </c>
      <c r="AD3010" t="s">
        <v>11099</v>
      </c>
      <c r="AE3010" t="s">
        <v>11117</v>
      </c>
      <c r="AH3010" t="s">
        <v>10975</v>
      </c>
      <c r="AJ3010" t="s">
        <v>11138</v>
      </c>
      <c r="AK3010" t="s">
        <v>7225</v>
      </c>
      <c r="AL3010" t="s">
        <v>11150</v>
      </c>
      <c r="AM3010">
        <v>0</v>
      </c>
      <c r="AO3010">
        <v>1463</v>
      </c>
      <c r="AQ3010" t="s">
        <v>11161</v>
      </c>
      <c r="AS3010" t="s">
        <v>11174</v>
      </c>
      <c r="AU3010">
        <v>44</v>
      </c>
      <c r="AW3010" t="s">
        <v>11187</v>
      </c>
      <c r="AY3010" t="s">
        <v>11214</v>
      </c>
      <c r="BA3010" t="s">
        <v>11222</v>
      </c>
      <c r="BC3010" t="s">
        <v>11230</v>
      </c>
      <c r="BE3010" t="s">
        <v>13383</v>
      </c>
      <c r="BG3010" t="s">
        <v>15144</v>
      </c>
      <c r="BM3010" t="s">
        <v>15650</v>
      </c>
    </row>
    <row r="3011" spans="1:65">
      <c r="A3011" s="1">
        <f>HYPERLINK("https://lsnyc.legalserver.org/matter/dynamic-profile/view/1902750","19-1902750")</f>
        <v>0</v>
      </c>
      <c r="B3011" t="s">
        <v>179</v>
      </c>
      <c r="C3011" t="s">
        <v>248</v>
      </c>
      <c r="D3011" t="s">
        <v>276</v>
      </c>
      <c r="F3011" t="s">
        <v>2335</v>
      </c>
      <c r="G3011" t="s">
        <v>2962</v>
      </c>
      <c r="H3011" t="s">
        <v>5808</v>
      </c>
      <c r="I3011" t="s">
        <v>6637</v>
      </c>
      <c r="J3011" t="s">
        <v>7174</v>
      </c>
      <c r="K3011">
        <v>11207</v>
      </c>
      <c r="N3011" t="s">
        <v>7243</v>
      </c>
      <c r="O3011" t="s">
        <v>9192</v>
      </c>
      <c r="P3011">
        <v>1</v>
      </c>
      <c r="Q3011">
        <v>2</v>
      </c>
      <c r="R3011">
        <v>60.95</v>
      </c>
      <c r="U3011">
        <v>13000</v>
      </c>
      <c r="W3011">
        <v>67.75</v>
      </c>
      <c r="X3011" t="s">
        <v>539</v>
      </c>
      <c r="Y3011" t="s">
        <v>101</v>
      </c>
      <c r="AA3011" t="s">
        <v>10974</v>
      </c>
      <c r="AB3011" t="s">
        <v>594</v>
      </c>
      <c r="AD3011" t="s">
        <v>11099</v>
      </c>
      <c r="AF3011" t="s">
        <v>11122</v>
      </c>
      <c r="AH3011" t="s">
        <v>10975</v>
      </c>
      <c r="AJ3011" t="s">
        <v>11138</v>
      </c>
      <c r="AK3011" t="s">
        <v>7225</v>
      </c>
      <c r="AM3011">
        <v>1762.77</v>
      </c>
      <c r="AO3011">
        <v>6</v>
      </c>
      <c r="AQ3011" t="s">
        <v>11157</v>
      </c>
      <c r="AR3011" t="s">
        <v>11172</v>
      </c>
      <c r="AU3011">
        <v>11</v>
      </c>
      <c r="AW3011" t="s">
        <v>11208</v>
      </c>
      <c r="BA3011" t="s">
        <v>11223</v>
      </c>
      <c r="BC3011" t="s">
        <v>11495</v>
      </c>
      <c r="BE3011" t="s">
        <v>13422</v>
      </c>
      <c r="BG3011" t="s">
        <v>15145</v>
      </c>
      <c r="BM3011" t="s">
        <v>15650</v>
      </c>
    </row>
    <row r="3012" spans="1:65">
      <c r="A3012" s="1">
        <f>HYPERLINK("https://lsnyc.legalserver.org/matter/dynamic-profile/view/1901492","19-1901492")</f>
        <v>0</v>
      </c>
      <c r="B3012" t="s">
        <v>179</v>
      </c>
      <c r="C3012" t="s">
        <v>248</v>
      </c>
      <c r="D3012" t="s">
        <v>701</v>
      </c>
      <c r="F3012" t="s">
        <v>1970</v>
      </c>
      <c r="G3012" t="s">
        <v>3756</v>
      </c>
      <c r="H3012" t="s">
        <v>5090</v>
      </c>
      <c r="I3012" t="s">
        <v>6413</v>
      </c>
      <c r="J3012" t="s">
        <v>7174</v>
      </c>
      <c r="K3012">
        <v>11208</v>
      </c>
      <c r="N3012" t="s">
        <v>7243</v>
      </c>
      <c r="O3012" t="s">
        <v>8504</v>
      </c>
      <c r="P3012">
        <v>1</v>
      </c>
      <c r="Q3012">
        <v>1</v>
      </c>
      <c r="R3012">
        <v>56.77</v>
      </c>
      <c r="U3012">
        <v>9600</v>
      </c>
      <c r="W3012">
        <v>20</v>
      </c>
      <c r="X3012" t="s">
        <v>293</v>
      </c>
      <c r="Y3012" t="s">
        <v>225</v>
      </c>
      <c r="AA3012" t="s">
        <v>10974</v>
      </c>
      <c r="AB3012" t="s">
        <v>589</v>
      </c>
      <c r="AD3012" t="s">
        <v>11113</v>
      </c>
      <c r="AF3012" t="s">
        <v>10384</v>
      </c>
      <c r="AH3012" t="s">
        <v>10975</v>
      </c>
      <c r="AI3012" t="s">
        <v>11126</v>
      </c>
      <c r="AK3012" t="s">
        <v>7225</v>
      </c>
      <c r="AL3012" t="s">
        <v>11150</v>
      </c>
      <c r="AM3012">
        <v>0</v>
      </c>
      <c r="AN3012" t="s">
        <v>11151</v>
      </c>
      <c r="AO3012" t="s">
        <v>11153</v>
      </c>
      <c r="AP3012" t="s">
        <v>11155</v>
      </c>
      <c r="AS3012" t="s">
        <v>11176</v>
      </c>
      <c r="AT3012" t="s">
        <v>11184</v>
      </c>
      <c r="AU3012">
        <v>0</v>
      </c>
      <c r="AW3012" t="s">
        <v>11187</v>
      </c>
      <c r="AY3012" t="s">
        <v>11215</v>
      </c>
      <c r="BA3012" t="s">
        <v>11222</v>
      </c>
      <c r="BC3012" t="s">
        <v>11397</v>
      </c>
      <c r="BE3012" t="s">
        <v>12782</v>
      </c>
      <c r="BG3012" t="s">
        <v>14857</v>
      </c>
      <c r="BM3012" t="s">
        <v>15650</v>
      </c>
    </row>
    <row r="3013" spans="1:65">
      <c r="A3013" s="1">
        <f>HYPERLINK("https://lsnyc.legalserver.org/matter/dynamic-profile/view/1888436","19-1888436")</f>
        <v>0</v>
      </c>
      <c r="B3013" t="s">
        <v>179</v>
      </c>
      <c r="C3013" t="s">
        <v>248</v>
      </c>
      <c r="D3013" t="s">
        <v>558</v>
      </c>
      <c r="F3013" t="s">
        <v>1260</v>
      </c>
      <c r="G3013" t="s">
        <v>3360</v>
      </c>
      <c r="H3013" t="s">
        <v>5136</v>
      </c>
      <c r="I3013" t="s">
        <v>6410</v>
      </c>
      <c r="J3013" t="s">
        <v>7174</v>
      </c>
      <c r="K3013">
        <v>11226</v>
      </c>
      <c r="N3013" t="s">
        <v>7243</v>
      </c>
      <c r="O3013" t="s">
        <v>7898</v>
      </c>
      <c r="P3013">
        <v>1</v>
      </c>
      <c r="Q3013">
        <v>0</v>
      </c>
      <c r="R3013">
        <v>0</v>
      </c>
      <c r="S3013" t="s">
        <v>10254</v>
      </c>
      <c r="T3013" t="s">
        <v>10275</v>
      </c>
      <c r="U3013">
        <v>0</v>
      </c>
      <c r="V3013" t="s">
        <v>10548</v>
      </c>
      <c r="W3013">
        <v>32.35</v>
      </c>
      <c r="X3013" t="s">
        <v>638</v>
      </c>
      <c r="Y3013" t="s">
        <v>101</v>
      </c>
      <c r="AA3013" t="s">
        <v>10974</v>
      </c>
      <c r="AB3013" t="s">
        <v>618</v>
      </c>
      <c r="AD3013" t="s">
        <v>11082</v>
      </c>
      <c r="AF3013" t="s">
        <v>11121</v>
      </c>
      <c r="AH3013" t="s">
        <v>10975</v>
      </c>
      <c r="AJ3013" t="s">
        <v>11133</v>
      </c>
      <c r="AK3013" t="s">
        <v>7225</v>
      </c>
      <c r="AM3013">
        <v>1850</v>
      </c>
      <c r="AO3013">
        <v>16</v>
      </c>
      <c r="AQ3013" t="s">
        <v>11157</v>
      </c>
      <c r="AR3013" t="s">
        <v>11172</v>
      </c>
      <c r="AU3013">
        <v>10</v>
      </c>
      <c r="AW3013" t="s">
        <v>11187</v>
      </c>
      <c r="BA3013" t="s">
        <v>11222</v>
      </c>
      <c r="BC3013" t="s">
        <v>11311</v>
      </c>
      <c r="BE3013" t="s">
        <v>12231</v>
      </c>
      <c r="BG3013" t="s">
        <v>15146</v>
      </c>
      <c r="BM3013" t="s">
        <v>15650</v>
      </c>
    </row>
    <row r="3014" spans="1:65">
      <c r="A3014" s="1">
        <f>HYPERLINK("https://lsnyc.legalserver.org/matter/dynamic-profile/view/1912808","19-1912808")</f>
        <v>0</v>
      </c>
      <c r="B3014" t="s">
        <v>179</v>
      </c>
      <c r="C3014" t="s">
        <v>248</v>
      </c>
      <c r="D3014" t="s">
        <v>316</v>
      </c>
      <c r="E3014" t="s">
        <v>301</v>
      </c>
      <c r="F3014" t="s">
        <v>1139</v>
      </c>
      <c r="G3014" t="s">
        <v>2913</v>
      </c>
      <c r="H3014" t="s">
        <v>5809</v>
      </c>
      <c r="J3014" t="s">
        <v>7174</v>
      </c>
      <c r="K3014">
        <v>11233</v>
      </c>
      <c r="L3014" t="s">
        <v>7216</v>
      </c>
      <c r="N3014" t="s">
        <v>7237</v>
      </c>
      <c r="O3014" t="s">
        <v>9193</v>
      </c>
      <c r="P3014">
        <v>1</v>
      </c>
      <c r="Q3014">
        <v>3</v>
      </c>
      <c r="R3014">
        <v>35.4</v>
      </c>
      <c r="U3014">
        <v>9116</v>
      </c>
      <c r="W3014">
        <v>0.75</v>
      </c>
      <c r="X3014" t="s">
        <v>301</v>
      </c>
      <c r="Y3014" t="s">
        <v>225</v>
      </c>
      <c r="AA3014" t="s">
        <v>10974</v>
      </c>
      <c r="AB3014" t="s">
        <v>316</v>
      </c>
      <c r="AD3014" t="s">
        <v>11099</v>
      </c>
      <c r="AF3014" t="s">
        <v>11119</v>
      </c>
      <c r="AH3014" t="s">
        <v>10975</v>
      </c>
      <c r="AJ3014" t="s">
        <v>11130</v>
      </c>
      <c r="AK3014" t="s">
        <v>7225</v>
      </c>
      <c r="AM3014">
        <v>1588</v>
      </c>
      <c r="AO3014">
        <v>19</v>
      </c>
      <c r="AP3014" t="s">
        <v>11155</v>
      </c>
      <c r="AS3014" t="s">
        <v>11174</v>
      </c>
      <c r="AU3014">
        <v>6</v>
      </c>
      <c r="AW3014" t="s">
        <v>11187</v>
      </c>
      <c r="AY3014" t="s">
        <v>11213</v>
      </c>
      <c r="BA3014" t="s">
        <v>11222</v>
      </c>
      <c r="BB3014" t="s">
        <v>11224</v>
      </c>
      <c r="BC3014" t="s">
        <v>11496</v>
      </c>
      <c r="BE3014" t="s">
        <v>13423</v>
      </c>
      <c r="BF3014" t="s">
        <v>14364</v>
      </c>
      <c r="BG3014" t="s">
        <v>11086</v>
      </c>
      <c r="BM3014" t="s">
        <v>15651</v>
      </c>
    </row>
    <row r="3015" spans="1:65">
      <c r="A3015" s="1">
        <f>HYPERLINK("https://lsnyc.legalserver.org/matter/dynamic-profile/view/1909296","19-1909296")</f>
        <v>0</v>
      </c>
      <c r="B3015" t="s">
        <v>179</v>
      </c>
      <c r="C3015" t="s">
        <v>248</v>
      </c>
      <c r="D3015" t="s">
        <v>375</v>
      </c>
      <c r="F3015" t="s">
        <v>2336</v>
      </c>
      <c r="G3015" t="s">
        <v>3308</v>
      </c>
      <c r="H3015" t="s">
        <v>4802</v>
      </c>
      <c r="I3015">
        <v>143</v>
      </c>
      <c r="J3015" t="s">
        <v>7174</v>
      </c>
      <c r="K3015">
        <v>11208</v>
      </c>
      <c r="N3015" t="s">
        <v>7237</v>
      </c>
      <c r="O3015" t="s">
        <v>9194</v>
      </c>
      <c r="P3015">
        <v>1</v>
      </c>
      <c r="Q3015">
        <v>0</v>
      </c>
      <c r="R3015">
        <v>14.58</v>
      </c>
      <c r="U3015">
        <v>1821.6</v>
      </c>
      <c r="W3015">
        <v>31.75</v>
      </c>
      <c r="X3015" t="s">
        <v>539</v>
      </c>
      <c r="Y3015" t="s">
        <v>10888</v>
      </c>
      <c r="AA3015" t="s">
        <v>10974</v>
      </c>
      <c r="AB3015" t="s">
        <v>627</v>
      </c>
      <c r="AD3015" t="s">
        <v>11094</v>
      </c>
      <c r="AF3015" t="s">
        <v>10384</v>
      </c>
      <c r="AH3015" t="s">
        <v>10975</v>
      </c>
      <c r="AJ3015" t="s">
        <v>11134</v>
      </c>
      <c r="AK3015" t="s">
        <v>7225</v>
      </c>
      <c r="AM3015">
        <v>1000</v>
      </c>
      <c r="AO3015">
        <v>266</v>
      </c>
      <c r="AQ3015" t="s">
        <v>11161</v>
      </c>
      <c r="AS3015" t="s">
        <v>11174</v>
      </c>
      <c r="AU3015">
        <v>28</v>
      </c>
      <c r="AW3015" t="s">
        <v>11187</v>
      </c>
      <c r="AY3015" t="s">
        <v>11213</v>
      </c>
      <c r="BA3015" t="s">
        <v>11222</v>
      </c>
      <c r="BC3015" t="s">
        <v>11234</v>
      </c>
      <c r="BE3015" t="s">
        <v>13424</v>
      </c>
      <c r="BF3015" t="s">
        <v>14364</v>
      </c>
      <c r="BG3015" t="s">
        <v>11086</v>
      </c>
      <c r="BM3015" t="s">
        <v>15650</v>
      </c>
    </row>
    <row r="3016" spans="1:65">
      <c r="A3016" s="1">
        <f>HYPERLINK("https://lsnyc.legalserver.org/matter/dynamic-profile/view/1878529","18-1878529")</f>
        <v>0</v>
      </c>
      <c r="B3016" t="s">
        <v>179</v>
      </c>
      <c r="C3016" t="s">
        <v>245</v>
      </c>
      <c r="D3016" t="s">
        <v>965</v>
      </c>
      <c r="F3016" t="s">
        <v>1768</v>
      </c>
      <c r="G3016" t="s">
        <v>3226</v>
      </c>
      <c r="H3016" t="s">
        <v>5810</v>
      </c>
      <c r="I3016">
        <v>65</v>
      </c>
      <c r="J3016" t="s">
        <v>7169</v>
      </c>
      <c r="K3016">
        <v>10029</v>
      </c>
      <c r="N3016" t="s">
        <v>7240</v>
      </c>
      <c r="O3016" t="s">
        <v>9195</v>
      </c>
      <c r="P3016">
        <v>2</v>
      </c>
      <c r="Q3016">
        <v>0</v>
      </c>
      <c r="R3016">
        <v>54.68</v>
      </c>
      <c r="U3016">
        <v>9000</v>
      </c>
      <c r="W3016">
        <v>3.5</v>
      </c>
      <c r="X3016" t="s">
        <v>760</v>
      </c>
      <c r="Y3016" t="s">
        <v>10859</v>
      </c>
      <c r="AA3016" t="s">
        <v>10974</v>
      </c>
      <c r="AB3016" t="s">
        <v>965</v>
      </c>
      <c r="AD3016" t="s">
        <v>11092</v>
      </c>
      <c r="AF3016" t="s">
        <v>11122</v>
      </c>
      <c r="AH3016" t="s">
        <v>10975</v>
      </c>
      <c r="AJ3016" t="s">
        <v>11148</v>
      </c>
      <c r="AK3016" t="s">
        <v>7225</v>
      </c>
      <c r="AM3016">
        <v>1029.07</v>
      </c>
      <c r="AO3016">
        <v>65</v>
      </c>
      <c r="AQ3016" t="s">
        <v>11164</v>
      </c>
      <c r="AS3016" t="s">
        <v>11173</v>
      </c>
      <c r="AU3016">
        <v>21</v>
      </c>
      <c r="AW3016" t="s">
        <v>11187</v>
      </c>
      <c r="AY3016" t="s">
        <v>11213</v>
      </c>
      <c r="AZ3016" t="s">
        <v>11221</v>
      </c>
      <c r="BD3016" t="s">
        <v>11667</v>
      </c>
      <c r="BF3016" t="s">
        <v>14364</v>
      </c>
      <c r="BM3016" t="s">
        <v>15650</v>
      </c>
    </row>
    <row r="3017" spans="1:65">
      <c r="A3017" s="1">
        <f>HYPERLINK("https://lsnyc.legalserver.org/matter/dynamic-profile/view/1912175","19-1912175")</f>
        <v>0</v>
      </c>
      <c r="B3017" t="s">
        <v>179</v>
      </c>
      <c r="C3017" t="s">
        <v>248</v>
      </c>
      <c r="D3017" t="s">
        <v>265</v>
      </c>
      <c r="F3017" t="s">
        <v>2337</v>
      </c>
      <c r="G3017" t="s">
        <v>3334</v>
      </c>
      <c r="H3017" t="s">
        <v>5776</v>
      </c>
      <c r="J3017" t="s">
        <v>7174</v>
      </c>
      <c r="K3017">
        <v>11208</v>
      </c>
      <c r="N3017" t="s">
        <v>7243</v>
      </c>
      <c r="O3017" t="s">
        <v>9196</v>
      </c>
      <c r="P3017">
        <v>1</v>
      </c>
      <c r="Q3017">
        <v>0</v>
      </c>
      <c r="R3017">
        <v>76</v>
      </c>
      <c r="U3017">
        <v>9492</v>
      </c>
      <c r="V3017" t="s">
        <v>10549</v>
      </c>
      <c r="W3017">
        <v>5.75</v>
      </c>
      <c r="X3017" t="s">
        <v>614</v>
      </c>
      <c r="Y3017" t="s">
        <v>101</v>
      </c>
      <c r="AA3017" t="s">
        <v>10974</v>
      </c>
      <c r="AD3017" t="s">
        <v>11092</v>
      </c>
      <c r="AE3017" t="s">
        <v>11117</v>
      </c>
      <c r="AH3017" t="s">
        <v>10975</v>
      </c>
      <c r="AJ3017" t="s">
        <v>11104</v>
      </c>
      <c r="AK3017" t="s">
        <v>7225</v>
      </c>
      <c r="AM3017">
        <v>1057</v>
      </c>
      <c r="AO3017">
        <v>300</v>
      </c>
      <c r="AQ3017" t="s">
        <v>11157</v>
      </c>
      <c r="AS3017" t="s">
        <v>11181</v>
      </c>
      <c r="AU3017">
        <v>2</v>
      </c>
      <c r="AW3017" t="s">
        <v>11187</v>
      </c>
      <c r="AX3017" t="s">
        <v>11212</v>
      </c>
      <c r="BA3017" t="s">
        <v>11222</v>
      </c>
      <c r="BE3017" t="s">
        <v>13425</v>
      </c>
      <c r="BG3017" t="s">
        <v>15147</v>
      </c>
      <c r="BM3017" t="s">
        <v>15650</v>
      </c>
    </row>
    <row r="3018" spans="1:65">
      <c r="A3018" s="1">
        <f>HYPERLINK("https://lsnyc.legalserver.org/matter/dynamic-profile/view/1911716","19-1911716")</f>
        <v>0</v>
      </c>
      <c r="B3018" t="s">
        <v>179</v>
      </c>
      <c r="C3018" t="s">
        <v>248</v>
      </c>
      <c r="D3018" t="s">
        <v>563</v>
      </c>
      <c r="E3018" t="s">
        <v>272</v>
      </c>
      <c r="F3018" t="s">
        <v>1874</v>
      </c>
      <c r="G3018" t="s">
        <v>3374</v>
      </c>
      <c r="H3018" t="s">
        <v>5811</v>
      </c>
      <c r="I3018">
        <v>7</v>
      </c>
      <c r="J3018" t="s">
        <v>7174</v>
      </c>
      <c r="K3018">
        <v>11233</v>
      </c>
      <c r="L3018" t="s">
        <v>7216</v>
      </c>
      <c r="N3018" t="s">
        <v>7243</v>
      </c>
      <c r="O3018" t="s">
        <v>9197</v>
      </c>
      <c r="P3018">
        <v>2</v>
      </c>
      <c r="Q3018">
        <v>0</v>
      </c>
      <c r="R3018">
        <v>0</v>
      </c>
      <c r="U3018">
        <v>0</v>
      </c>
      <c r="W3018">
        <v>1.75</v>
      </c>
      <c r="X3018" t="s">
        <v>272</v>
      </c>
      <c r="Y3018" t="s">
        <v>101</v>
      </c>
      <c r="AA3018" t="s">
        <v>10974</v>
      </c>
      <c r="AB3018" t="s">
        <v>599</v>
      </c>
      <c r="AD3018" t="s">
        <v>11095</v>
      </c>
      <c r="AF3018" t="s">
        <v>11119</v>
      </c>
      <c r="AH3018" t="s">
        <v>10975</v>
      </c>
      <c r="AJ3018" t="s">
        <v>11104</v>
      </c>
      <c r="AK3018" t="s">
        <v>7225</v>
      </c>
      <c r="AM3018">
        <v>871</v>
      </c>
      <c r="AO3018">
        <v>8</v>
      </c>
      <c r="AQ3018" t="s">
        <v>11157</v>
      </c>
      <c r="AS3018" t="s">
        <v>11174</v>
      </c>
      <c r="AT3018" t="s">
        <v>11184</v>
      </c>
      <c r="AU3018">
        <v>0</v>
      </c>
      <c r="AW3018" t="s">
        <v>11187</v>
      </c>
      <c r="BA3018" t="s">
        <v>11222</v>
      </c>
      <c r="BE3018" t="s">
        <v>13426</v>
      </c>
      <c r="BF3018" t="s">
        <v>14364</v>
      </c>
      <c r="BG3018" t="s">
        <v>11086</v>
      </c>
      <c r="BM3018" t="s">
        <v>15651</v>
      </c>
    </row>
    <row r="3019" spans="1:65">
      <c r="A3019" s="1">
        <f>HYPERLINK("https://lsnyc.legalserver.org/matter/dynamic-profile/view/1914742","19-1914742")</f>
        <v>0</v>
      </c>
      <c r="B3019" t="s">
        <v>179</v>
      </c>
      <c r="C3019" t="s">
        <v>248</v>
      </c>
      <c r="D3019" t="s">
        <v>614</v>
      </c>
      <c r="F3019" t="s">
        <v>1260</v>
      </c>
      <c r="G3019" t="s">
        <v>3966</v>
      </c>
      <c r="H3019" t="s">
        <v>5629</v>
      </c>
      <c r="I3019" t="s">
        <v>6611</v>
      </c>
      <c r="J3019" t="s">
        <v>7174</v>
      </c>
      <c r="K3019">
        <v>11236</v>
      </c>
      <c r="N3019" t="s">
        <v>7243</v>
      </c>
      <c r="O3019" t="s">
        <v>8876</v>
      </c>
      <c r="P3019">
        <v>2</v>
      </c>
      <c r="Q3019">
        <v>0</v>
      </c>
      <c r="R3019">
        <v>28.39</v>
      </c>
      <c r="U3019">
        <v>4800</v>
      </c>
      <c r="V3019" t="s">
        <v>10550</v>
      </c>
      <c r="W3019">
        <v>2.5</v>
      </c>
      <c r="X3019" t="s">
        <v>426</v>
      </c>
      <c r="Y3019" t="s">
        <v>101</v>
      </c>
      <c r="AA3019" t="s">
        <v>10974</v>
      </c>
      <c r="AD3019" t="s">
        <v>11099</v>
      </c>
      <c r="AF3019" t="s">
        <v>11121</v>
      </c>
      <c r="AH3019" t="s">
        <v>10975</v>
      </c>
      <c r="AJ3019" t="s">
        <v>11104</v>
      </c>
      <c r="AK3019" t="s">
        <v>7225</v>
      </c>
      <c r="AM3019">
        <v>1400</v>
      </c>
      <c r="AO3019">
        <v>515</v>
      </c>
      <c r="AQ3019" t="s">
        <v>11166</v>
      </c>
      <c r="AS3019" t="s">
        <v>11173</v>
      </c>
      <c r="AU3019">
        <v>22</v>
      </c>
      <c r="AW3019" t="s">
        <v>11187</v>
      </c>
      <c r="AX3019" t="s">
        <v>11212</v>
      </c>
      <c r="BA3019" t="s">
        <v>11222</v>
      </c>
      <c r="BE3019" t="s">
        <v>13121</v>
      </c>
      <c r="BG3019" t="s">
        <v>15013</v>
      </c>
      <c r="BM3019" t="s">
        <v>15650</v>
      </c>
    </row>
    <row r="3020" spans="1:65">
      <c r="A3020" s="1">
        <f>HYPERLINK("https://lsnyc.legalserver.org/matter/dynamic-profile/view/1912166","19-1912166")</f>
        <v>0</v>
      </c>
      <c r="B3020" t="s">
        <v>179</v>
      </c>
      <c r="C3020" t="s">
        <v>248</v>
      </c>
      <c r="D3020" t="s">
        <v>265</v>
      </c>
      <c r="F3020" t="s">
        <v>1148</v>
      </c>
      <c r="G3020" t="s">
        <v>2937</v>
      </c>
      <c r="H3020" t="s">
        <v>4808</v>
      </c>
      <c r="I3020" t="s">
        <v>6426</v>
      </c>
      <c r="J3020" t="s">
        <v>7174</v>
      </c>
      <c r="K3020">
        <v>11233</v>
      </c>
      <c r="N3020" t="s">
        <v>7243</v>
      </c>
      <c r="O3020" t="s">
        <v>7317</v>
      </c>
      <c r="P3020">
        <v>1</v>
      </c>
      <c r="Q3020">
        <v>0</v>
      </c>
      <c r="R3020">
        <v>175.53</v>
      </c>
      <c r="U3020">
        <v>21924</v>
      </c>
      <c r="V3020" t="s">
        <v>10551</v>
      </c>
      <c r="W3020">
        <v>2.75</v>
      </c>
      <c r="X3020" t="s">
        <v>497</v>
      </c>
      <c r="Y3020" t="s">
        <v>101</v>
      </c>
      <c r="AA3020" t="s">
        <v>10974</v>
      </c>
      <c r="AD3020" t="s">
        <v>11092</v>
      </c>
      <c r="AE3020" t="s">
        <v>11117</v>
      </c>
      <c r="AH3020" t="s">
        <v>10975</v>
      </c>
      <c r="AI3020" t="s">
        <v>11126</v>
      </c>
      <c r="AK3020" t="s">
        <v>7225</v>
      </c>
      <c r="AM3020">
        <v>1132</v>
      </c>
      <c r="AO3020">
        <v>6</v>
      </c>
      <c r="AQ3020" t="s">
        <v>11157</v>
      </c>
      <c r="AS3020" t="s">
        <v>11173</v>
      </c>
      <c r="AU3020">
        <v>10</v>
      </c>
      <c r="AW3020" t="s">
        <v>11187</v>
      </c>
      <c r="AX3020" t="s">
        <v>11212</v>
      </c>
      <c r="BA3020" t="s">
        <v>11222</v>
      </c>
      <c r="BE3020" t="s">
        <v>11729</v>
      </c>
      <c r="BG3020" t="s">
        <v>14397</v>
      </c>
      <c r="BM3020" t="s">
        <v>15650</v>
      </c>
    </row>
    <row r="3021" spans="1:65">
      <c r="A3021" s="1">
        <f>HYPERLINK("https://lsnyc.legalserver.org/matter/dynamic-profile/view/1910874","19-1910874")</f>
        <v>0</v>
      </c>
      <c r="B3021" t="s">
        <v>179</v>
      </c>
      <c r="C3021" t="s">
        <v>248</v>
      </c>
      <c r="D3021" t="s">
        <v>728</v>
      </c>
      <c r="F3021" t="s">
        <v>2078</v>
      </c>
      <c r="G3021" t="s">
        <v>4140</v>
      </c>
      <c r="H3021" t="s">
        <v>5812</v>
      </c>
      <c r="I3021" t="s">
        <v>6437</v>
      </c>
      <c r="J3021" t="s">
        <v>7174</v>
      </c>
      <c r="K3021">
        <v>11225</v>
      </c>
      <c r="N3021" t="s">
        <v>7243</v>
      </c>
      <c r="O3021" t="s">
        <v>9198</v>
      </c>
      <c r="P3021">
        <v>2</v>
      </c>
      <c r="Q3021">
        <v>3</v>
      </c>
      <c r="R3021">
        <v>95.66</v>
      </c>
      <c r="U3021">
        <v>28860</v>
      </c>
      <c r="V3021" t="s">
        <v>10552</v>
      </c>
      <c r="W3021">
        <v>4</v>
      </c>
      <c r="X3021" t="s">
        <v>293</v>
      </c>
      <c r="Y3021" t="s">
        <v>225</v>
      </c>
      <c r="AA3021" t="s">
        <v>10974</v>
      </c>
      <c r="AD3021" t="s">
        <v>11082</v>
      </c>
      <c r="AF3021" t="s">
        <v>11120</v>
      </c>
      <c r="AH3021" t="s">
        <v>10975</v>
      </c>
      <c r="AJ3021" t="s">
        <v>11129</v>
      </c>
      <c r="AK3021" t="s">
        <v>7225</v>
      </c>
      <c r="AM3021">
        <v>678</v>
      </c>
      <c r="AO3021">
        <v>26</v>
      </c>
      <c r="AP3021" t="s">
        <v>11155</v>
      </c>
      <c r="AS3021" t="s">
        <v>11179</v>
      </c>
      <c r="AU3021">
        <v>19</v>
      </c>
      <c r="AW3021" t="s">
        <v>11187</v>
      </c>
      <c r="AY3021" t="s">
        <v>11214</v>
      </c>
      <c r="BA3021" t="s">
        <v>11222</v>
      </c>
      <c r="BC3021" t="s">
        <v>11173</v>
      </c>
      <c r="BE3021" t="s">
        <v>13427</v>
      </c>
      <c r="BG3021" t="s">
        <v>15148</v>
      </c>
      <c r="BM3021" t="s">
        <v>15650</v>
      </c>
    </row>
    <row r="3022" spans="1:65">
      <c r="A3022" s="1">
        <f>HYPERLINK("https://lsnyc.legalserver.org/matter/dynamic-profile/view/1894799","19-1894799")</f>
        <v>0</v>
      </c>
      <c r="B3022" t="s">
        <v>179</v>
      </c>
      <c r="C3022" t="s">
        <v>248</v>
      </c>
      <c r="D3022" t="s">
        <v>435</v>
      </c>
      <c r="F3022" t="s">
        <v>1266</v>
      </c>
      <c r="G3022" t="s">
        <v>4141</v>
      </c>
      <c r="H3022" t="s">
        <v>5813</v>
      </c>
      <c r="I3022">
        <v>212</v>
      </c>
      <c r="J3022" t="s">
        <v>7174</v>
      </c>
      <c r="K3022">
        <v>11208</v>
      </c>
      <c r="N3022" t="s">
        <v>7243</v>
      </c>
      <c r="O3022" t="s">
        <v>9199</v>
      </c>
      <c r="P3022">
        <v>1</v>
      </c>
      <c r="Q3022">
        <v>1</v>
      </c>
      <c r="R3022">
        <v>169.44</v>
      </c>
      <c r="U3022">
        <v>28652</v>
      </c>
      <c r="W3022">
        <v>12</v>
      </c>
      <c r="X3022" t="s">
        <v>589</v>
      </c>
      <c r="Y3022" t="s">
        <v>101</v>
      </c>
      <c r="AA3022" t="s">
        <v>10974</v>
      </c>
      <c r="AB3022" t="s">
        <v>320</v>
      </c>
      <c r="AD3022" t="s">
        <v>11082</v>
      </c>
      <c r="AF3022" t="s">
        <v>11122</v>
      </c>
      <c r="AH3022" t="s">
        <v>10975</v>
      </c>
      <c r="AJ3022" t="s">
        <v>11135</v>
      </c>
      <c r="AK3022" t="s">
        <v>7225</v>
      </c>
      <c r="AM3022">
        <v>1092</v>
      </c>
      <c r="AO3022">
        <v>323</v>
      </c>
      <c r="AQ3022" t="s">
        <v>11157</v>
      </c>
      <c r="AS3022" t="s">
        <v>11173</v>
      </c>
      <c r="AU3022">
        <v>3</v>
      </c>
      <c r="AW3022" t="s">
        <v>11187</v>
      </c>
      <c r="AY3022" t="s">
        <v>11213</v>
      </c>
      <c r="AZ3022" t="s">
        <v>11221</v>
      </c>
      <c r="BB3022" t="s">
        <v>11224</v>
      </c>
      <c r="BC3022" t="s">
        <v>11497</v>
      </c>
      <c r="BE3022" t="s">
        <v>13428</v>
      </c>
      <c r="BG3022" t="s">
        <v>15149</v>
      </c>
      <c r="BM3022" t="s">
        <v>15650</v>
      </c>
    </row>
    <row r="3023" spans="1:65">
      <c r="A3023" s="1">
        <f>HYPERLINK("https://lsnyc.legalserver.org/matter/dynamic-profile/view/1853736","17-1853736")</f>
        <v>0</v>
      </c>
      <c r="B3023" t="s">
        <v>179</v>
      </c>
      <c r="C3023" t="s">
        <v>245</v>
      </c>
      <c r="D3023" t="s">
        <v>966</v>
      </c>
      <c r="F3023" t="s">
        <v>1122</v>
      </c>
      <c r="G3023" t="s">
        <v>3382</v>
      </c>
      <c r="H3023" t="s">
        <v>5173</v>
      </c>
      <c r="I3023" t="s">
        <v>6430</v>
      </c>
      <c r="J3023" t="s">
        <v>7169</v>
      </c>
      <c r="K3023">
        <v>10035</v>
      </c>
      <c r="N3023" t="s">
        <v>7240</v>
      </c>
      <c r="O3023" t="s">
        <v>7939</v>
      </c>
      <c r="P3023">
        <v>1</v>
      </c>
      <c r="Q3023">
        <v>2</v>
      </c>
      <c r="R3023">
        <v>11.75</v>
      </c>
      <c r="U3023">
        <v>2400</v>
      </c>
      <c r="V3023" t="s">
        <v>10553</v>
      </c>
      <c r="W3023">
        <v>30.7</v>
      </c>
      <c r="X3023" t="s">
        <v>10264</v>
      </c>
      <c r="Y3023" t="s">
        <v>10859</v>
      </c>
      <c r="AA3023" t="s">
        <v>10974</v>
      </c>
      <c r="AB3023" t="s">
        <v>966</v>
      </c>
      <c r="AD3023" t="s">
        <v>11092</v>
      </c>
      <c r="AF3023" t="s">
        <v>11120</v>
      </c>
      <c r="AH3023" t="s">
        <v>10975</v>
      </c>
      <c r="AJ3023" t="s">
        <v>11132</v>
      </c>
      <c r="AK3023" t="s">
        <v>7225</v>
      </c>
      <c r="AM3023">
        <v>645</v>
      </c>
      <c r="AO3023">
        <v>8</v>
      </c>
      <c r="AQ3023" t="s">
        <v>11157</v>
      </c>
      <c r="AS3023" t="s">
        <v>11173</v>
      </c>
      <c r="AU3023">
        <v>20</v>
      </c>
      <c r="AW3023" t="s">
        <v>11189</v>
      </c>
      <c r="AZ3023" t="s">
        <v>11221</v>
      </c>
      <c r="BD3023" t="s">
        <v>11667</v>
      </c>
      <c r="BF3023" t="s">
        <v>14364</v>
      </c>
      <c r="BM3023" t="s">
        <v>15650</v>
      </c>
    </row>
    <row r="3024" spans="1:65">
      <c r="A3024" s="1">
        <f>HYPERLINK("https://lsnyc.legalserver.org/matter/dynamic-profile/view/1876399","18-1876399")</f>
        <v>0</v>
      </c>
      <c r="B3024" t="s">
        <v>179</v>
      </c>
      <c r="C3024" t="s">
        <v>245</v>
      </c>
      <c r="D3024" t="s">
        <v>491</v>
      </c>
      <c r="E3024" t="s">
        <v>548</v>
      </c>
      <c r="F3024" t="s">
        <v>1183</v>
      </c>
      <c r="G3024" t="s">
        <v>3308</v>
      </c>
      <c r="H3024" t="s">
        <v>5814</v>
      </c>
      <c r="I3024" t="s">
        <v>6495</v>
      </c>
      <c r="J3024" t="s">
        <v>7169</v>
      </c>
      <c r="K3024">
        <v>10035</v>
      </c>
      <c r="L3024" t="s">
        <v>7222</v>
      </c>
      <c r="N3024" t="s">
        <v>7240</v>
      </c>
      <c r="O3024" t="s">
        <v>9200</v>
      </c>
      <c r="P3024">
        <v>1</v>
      </c>
      <c r="Q3024">
        <v>0</v>
      </c>
      <c r="R3024">
        <v>78.09</v>
      </c>
      <c r="U3024">
        <v>9480</v>
      </c>
      <c r="W3024">
        <v>3.5</v>
      </c>
      <c r="X3024" t="s">
        <v>404</v>
      </c>
      <c r="Y3024" t="s">
        <v>10859</v>
      </c>
      <c r="AA3024" t="s">
        <v>10974</v>
      </c>
      <c r="AB3024" t="s">
        <v>527</v>
      </c>
      <c r="AD3024" t="s">
        <v>11092</v>
      </c>
      <c r="AF3024" t="s">
        <v>11122</v>
      </c>
      <c r="AH3024" t="s">
        <v>10975</v>
      </c>
      <c r="AJ3024" t="s">
        <v>11132</v>
      </c>
      <c r="AK3024" t="s">
        <v>7225</v>
      </c>
      <c r="AM3024">
        <v>2100</v>
      </c>
      <c r="AO3024">
        <v>35</v>
      </c>
      <c r="AQ3024" t="s">
        <v>11161</v>
      </c>
      <c r="AS3024" t="s">
        <v>11174</v>
      </c>
      <c r="AU3024">
        <v>15</v>
      </c>
      <c r="AW3024" t="s">
        <v>11187</v>
      </c>
      <c r="AY3024" t="s">
        <v>11213</v>
      </c>
      <c r="BA3024" t="s">
        <v>11222</v>
      </c>
      <c r="BE3024" t="s">
        <v>13429</v>
      </c>
      <c r="BF3024" t="s">
        <v>14364</v>
      </c>
      <c r="BJ3024" t="s">
        <v>15615</v>
      </c>
      <c r="BM3024" t="s">
        <v>15651</v>
      </c>
    </row>
    <row r="3025" spans="1:65">
      <c r="A3025" s="1">
        <f>HYPERLINK("https://lsnyc.legalserver.org/matter/dynamic-profile/view/1895214","19-1895214")</f>
        <v>0</v>
      </c>
      <c r="B3025" t="s">
        <v>179</v>
      </c>
      <c r="C3025" t="s">
        <v>248</v>
      </c>
      <c r="D3025" t="s">
        <v>428</v>
      </c>
      <c r="F3025" t="s">
        <v>1582</v>
      </c>
      <c r="G3025" t="s">
        <v>3352</v>
      </c>
      <c r="H3025" t="s">
        <v>5128</v>
      </c>
      <c r="I3025" t="s">
        <v>6420</v>
      </c>
      <c r="J3025" t="s">
        <v>7174</v>
      </c>
      <c r="K3025">
        <v>11233</v>
      </c>
      <c r="N3025" t="s">
        <v>7243</v>
      </c>
      <c r="O3025" t="s">
        <v>7889</v>
      </c>
      <c r="P3025">
        <v>1</v>
      </c>
      <c r="Q3025">
        <v>2</v>
      </c>
      <c r="R3025">
        <v>46.21</v>
      </c>
      <c r="U3025">
        <v>9857</v>
      </c>
      <c r="W3025">
        <v>23.5</v>
      </c>
      <c r="X3025" t="s">
        <v>306</v>
      </c>
      <c r="Y3025" t="s">
        <v>225</v>
      </c>
      <c r="AA3025" t="s">
        <v>10974</v>
      </c>
      <c r="AB3025" t="s">
        <v>438</v>
      </c>
      <c r="AD3025" t="s">
        <v>11091</v>
      </c>
      <c r="AF3025" t="s">
        <v>11120</v>
      </c>
      <c r="AH3025" t="s">
        <v>10975</v>
      </c>
      <c r="AJ3025" t="s">
        <v>11129</v>
      </c>
      <c r="AK3025" t="s">
        <v>7225</v>
      </c>
      <c r="AM3025">
        <v>1113</v>
      </c>
      <c r="AO3025">
        <v>66</v>
      </c>
      <c r="AQ3025" t="s">
        <v>11159</v>
      </c>
      <c r="AS3025" t="s">
        <v>11180</v>
      </c>
      <c r="AU3025">
        <v>1</v>
      </c>
      <c r="AW3025" t="s">
        <v>11187</v>
      </c>
      <c r="AY3025" t="s">
        <v>11213</v>
      </c>
      <c r="AZ3025" t="s">
        <v>11221</v>
      </c>
      <c r="BC3025" t="s">
        <v>11306</v>
      </c>
      <c r="BE3025" t="s">
        <v>12223</v>
      </c>
      <c r="BF3025" t="s">
        <v>14364</v>
      </c>
      <c r="BG3025" t="s">
        <v>11173</v>
      </c>
      <c r="BM3025" t="s">
        <v>15650</v>
      </c>
    </row>
    <row r="3026" spans="1:65">
      <c r="A3026" s="1">
        <f>HYPERLINK("https://lsnyc.legalserver.org/matter/dynamic-profile/view/1849148","17-1849148")</f>
        <v>0</v>
      </c>
      <c r="B3026" t="s">
        <v>179</v>
      </c>
      <c r="C3026" t="s">
        <v>245</v>
      </c>
      <c r="D3026" t="s">
        <v>967</v>
      </c>
      <c r="E3026" t="s">
        <v>548</v>
      </c>
      <c r="F3026" t="s">
        <v>2026</v>
      </c>
      <c r="G3026" t="s">
        <v>3810</v>
      </c>
      <c r="H3026" t="s">
        <v>5480</v>
      </c>
      <c r="I3026" t="s">
        <v>6424</v>
      </c>
      <c r="J3026" t="s">
        <v>7169</v>
      </c>
      <c r="K3026">
        <v>10035</v>
      </c>
      <c r="L3026" t="s">
        <v>7222</v>
      </c>
      <c r="N3026" t="s">
        <v>7240</v>
      </c>
      <c r="O3026" t="s">
        <v>8604</v>
      </c>
      <c r="P3026">
        <v>3</v>
      </c>
      <c r="Q3026">
        <v>1</v>
      </c>
      <c r="R3026">
        <v>134.73</v>
      </c>
      <c r="U3026">
        <v>42840</v>
      </c>
      <c r="W3026">
        <v>24.25</v>
      </c>
      <c r="X3026" t="s">
        <v>10255</v>
      </c>
      <c r="Y3026" t="s">
        <v>10859</v>
      </c>
      <c r="AA3026" t="s">
        <v>10974</v>
      </c>
      <c r="AB3026" t="s">
        <v>967</v>
      </c>
      <c r="AD3026" t="s">
        <v>11092</v>
      </c>
      <c r="AF3026" t="s">
        <v>11122</v>
      </c>
      <c r="AH3026" t="s">
        <v>10975</v>
      </c>
      <c r="AJ3026" t="s">
        <v>11132</v>
      </c>
      <c r="AK3026" t="s">
        <v>7225</v>
      </c>
      <c r="AL3026" t="s">
        <v>11150</v>
      </c>
      <c r="AM3026">
        <v>0</v>
      </c>
      <c r="AO3026">
        <v>42</v>
      </c>
      <c r="AQ3026" t="s">
        <v>11161</v>
      </c>
      <c r="AS3026" t="s">
        <v>11174</v>
      </c>
      <c r="AU3026">
        <v>40</v>
      </c>
      <c r="AW3026" t="s">
        <v>11187</v>
      </c>
      <c r="AZ3026" t="s">
        <v>11221</v>
      </c>
      <c r="BE3026" t="s">
        <v>12879</v>
      </c>
      <c r="BF3026" t="s">
        <v>14364</v>
      </c>
      <c r="BJ3026" t="s">
        <v>15615</v>
      </c>
      <c r="BM3026" t="s">
        <v>15651</v>
      </c>
    </row>
    <row r="3027" spans="1:65">
      <c r="A3027" s="1">
        <f>HYPERLINK("https://lsnyc.legalserver.org/matter/dynamic-profile/view/1914121","19-1914121")</f>
        <v>0</v>
      </c>
      <c r="B3027" t="s">
        <v>179</v>
      </c>
      <c r="C3027" t="s">
        <v>248</v>
      </c>
      <c r="D3027" t="s">
        <v>301</v>
      </c>
      <c r="F3027" t="s">
        <v>2338</v>
      </c>
      <c r="G3027" t="s">
        <v>2921</v>
      </c>
      <c r="H3027" t="s">
        <v>5009</v>
      </c>
      <c r="I3027" t="s">
        <v>6410</v>
      </c>
      <c r="J3027" t="s">
        <v>7174</v>
      </c>
      <c r="K3027">
        <v>11213</v>
      </c>
      <c r="N3027" t="s">
        <v>7243</v>
      </c>
      <c r="O3027" t="s">
        <v>9044</v>
      </c>
      <c r="P3027">
        <v>2</v>
      </c>
      <c r="Q3027">
        <v>0</v>
      </c>
      <c r="R3027">
        <v>30.87</v>
      </c>
      <c r="U3027">
        <v>5220</v>
      </c>
      <c r="V3027" t="s">
        <v>10554</v>
      </c>
      <c r="W3027">
        <v>2.25</v>
      </c>
      <c r="X3027" t="s">
        <v>262</v>
      </c>
      <c r="Y3027" t="s">
        <v>101</v>
      </c>
      <c r="AA3027" t="s">
        <v>10974</v>
      </c>
      <c r="AB3027" t="s">
        <v>262</v>
      </c>
      <c r="AD3027" t="s">
        <v>11099</v>
      </c>
      <c r="AE3027" t="s">
        <v>11117</v>
      </c>
      <c r="AH3027" t="s">
        <v>10975</v>
      </c>
      <c r="AJ3027" t="s">
        <v>11134</v>
      </c>
      <c r="AK3027" t="s">
        <v>7225</v>
      </c>
      <c r="AM3027">
        <v>1350</v>
      </c>
      <c r="AO3027">
        <v>35</v>
      </c>
      <c r="AQ3027" t="s">
        <v>11157</v>
      </c>
      <c r="AS3027" t="s">
        <v>11180</v>
      </c>
      <c r="AU3027">
        <v>2</v>
      </c>
      <c r="AW3027" t="s">
        <v>11187</v>
      </c>
      <c r="AY3027" t="s">
        <v>11213</v>
      </c>
      <c r="BA3027" t="s">
        <v>11222</v>
      </c>
      <c r="BC3027" t="s">
        <v>11498</v>
      </c>
      <c r="BE3027" t="s">
        <v>13430</v>
      </c>
      <c r="BG3027" t="s">
        <v>15150</v>
      </c>
      <c r="BM3027" t="s">
        <v>15650</v>
      </c>
    </row>
    <row r="3028" spans="1:65">
      <c r="A3028" s="1">
        <f>HYPERLINK("https://lsnyc.legalserver.org/matter/dynamic-profile/view/1863416","18-1863416")</f>
        <v>0</v>
      </c>
      <c r="B3028" t="s">
        <v>179</v>
      </c>
      <c r="C3028" t="s">
        <v>245</v>
      </c>
      <c r="D3028" t="s">
        <v>952</v>
      </c>
      <c r="E3028" t="s">
        <v>548</v>
      </c>
      <c r="F3028" t="s">
        <v>2339</v>
      </c>
      <c r="G3028" t="s">
        <v>4142</v>
      </c>
      <c r="H3028" t="s">
        <v>5815</v>
      </c>
      <c r="I3028" t="s">
        <v>6497</v>
      </c>
      <c r="J3028" t="s">
        <v>7169</v>
      </c>
      <c r="K3028">
        <v>10034</v>
      </c>
      <c r="L3028" t="s">
        <v>7222</v>
      </c>
      <c r="N3028" t="s">
        <v>7240</v>
      </c>
      <c r="O3028" t="s">
        <v>9201</v>
      </c>
      <c r="P3028">
        <v>2</v>
      </c>
      <c r="Q3028">
        <v>2</v>
      </c>
      <c r="R3028">
        <v>62.63</v>
      </c>
      <c r="U3028">
        <v>15720</v>
      </c>
      <c r="W3028">
        <v>62.75</v>
      </c>
      <c r="X3028" t="s">
        <v>284</v>
      </c>
      <c r="Y3028" t="s">
        <v>10859</v>
      </c>
      <c r="AA3028" t="s">
        <v>10974</v>
      </c>
      <c r="AB3028" t="s">
        <v>952</v>
      </c>
      <c r="AD3028" t="s">
        <v>11113</v>
      </c>
      <c r="AF3028" t="s">
        <v>11122</v>
      </c>
      <c r="AH3028" t="s">
        <v>10975</v>
      </c>
      <c r="AJ3028" t="s">
        <v>11132</v>
      </c>
      <c r="AK3028" t="s">
        <v>7225</v>
      </c>
      <c r="AM3028">
        <v>1554.47</v>
      </c>
      <c r="AO3028">
        <v>48</v>
      </c>
      <c r="AQ3028" t="s">
        <v>11157</v>
      </c>
      <c r="AS3028" t="s">
        <v>11104</v>
      </c>
      <c r="AU3028">
        <v>13</v>
      </c>
      <c r="AW3028" t="s">
        <v>11189</v>
      </c>
      <c r="AY3028" t="s">
        <v>11214</v>
      </c>
      <c r="BA3028" t="s">
        <v>11222</v>
      </c>
      <c r="BE3028" t="s">
        <v>13431</v>
      </c>
      <c r="BF3028" t="s">
        <v>14364</v>
      </c>
      <c r="BJ3028" t="s">
        <v>15615</v>
      </c>
      <c r="BM3028" t="s">
        <v>15651</v>
      </c>
    </row>
    <row r="3029" spans="1:65">
      <c r="A3029" s="1">
        <f>HYPERLINK("https://lsnyc.legalserver.org/matter/dynamic-profile/view/1908816","19-1908816")</f>
        <v>0</v>
      </c>
      <c r="B3029" t="s">
        <v>179</v>
      </c>
      <c r="C3029" t="s">
        <v>248</v>
      </c>
      <c r="D3029" t="s">
        <v>422</v>
      </c>
      <c r="F3029" t="s">
        <v>1885</v>
      </c>
      <c r="G3029" t="s">
        <v>4143</v>
      </c>
      <c r="H3029" t="s">
        <v>5816</v>
      </c>
      <c r="I3029" t="s">
        <v>6407</v>
      </c>
      <c r="J3029" t="s">
        <v>7174</v>
      </c>
      <c r="K3029">
        <v>11233</v>
      </c>
      <c r="N3029" t="s">
        <v>7240</v>
      </c>
      <c r="O3029" t="s">
        <v>9091</v>
      </c>
      <c r="P3029">
        <v>1</v>
      </c>
      <c r="Q3029">
        <v>1</v>
      </c>
      <c r="R3029">
        <v>211.71</v>
      </c>
      <c r="U3029">
        <v>35800</v>
      </c>
      <c r="V3029" t="s">
        <v>10555</v>
      </c>
      <c r="W3029">
        <v>25</v>
      </c>
      <c r="X3029" t="s">
        <v>539</v>
      </c>
      <c r="Y3029" t="s">
        <v>225</v>
      </c>
      <c r="AA3029" t="s">
        <v>10974</v>
      </c>
      <c r="AD3029" t="s">
        <v>11099</v>
      </c>
      <c r="AE3029" t="s">
        <v>11117</v>
      </c>
      <c r="AH3029" t="s">
        <v>10975</v>
      </c>
      <c r="AJ3029" t="s">
        <v>11104</v>
      </c>
      <c r="AK3029" t="s">
        <v>7225</v>
      </c>
      <c r="AM3029">
        <v>868.12</v>
      </c>
      <c r="AO3029">
        <v>32</v>
      </c>
      <c r="AQ3029" t="s">
        <v>11157</v>
      </c>
      <c r="AS3029" t="s">
        <v>11173</v>
      </c>
      <c r="AU3029">
        <v>7</v>
      </c>
      <c r="AW3029" t="s">
        <v>11187</v>
      </c>
      <c r="AY3029" t="s">
        <v>11215</v>
      </c>
      <c r="BA3029" t="s">
        <v>11222</v>
      </c>
      <c r="BC3029" t="s">
        <v>11228</v>
      </c>
      <c r="BE3029" t="s">
        <v>13432</v>
      </c>
      <c r="BF3029" t="s">
        <v>14364</v>
      </c>
      <c r="BG3029" t="s">
        <v>15151</v>
      </c>
      <c r="BM3029" t="s">
        <v>15650</v>
      </c>
    </row>
    <row r="3030" spans="1:65">
      <c r="A3030" s="1">
        <f>HYPERLINK("https://lsnyc.legalserver.org/matter/dynamic-profile/view/1857047","18-1857047")</f>
        <v>0</v>
      </c>
      <c r="B3030" t="s">
        <v>179</v>
      </c>
      <c r="C3030" t="s">
        <v>245</v>
      </c>
      <c r="D3030" t="s">
        <v>692</v>
      </c>
      <c r="E3030" t="s">
        <v>548</v>
      </c>
      <c r="F3030" t="s">
        <v>2340</v>
      </c>
      <c r="G3030" t="s">
        <v>4144</v>
      </c>
      <c r="H3030" t="s">
        <v>5817</v>
      </c>
      <c r="I3030" t="s">
        <v>6433</v>
      </c>
      <c r="J3030" t="s">
        <v>7169</v>
      </c>
      <c r="K3030">
        <v>10035</v>
      </c>
      <c r="L3030" t="s">
        <v>7222</v>
      </c>
      <c r="N3030" t="s">
        <v>7240</v>
      </c>
      <c r="O3030" t="s">
        <v>9202</v>
      </c>
      <c r="P3030">
        <v>1</v>
      </c>
      <c r="Q3030">
        <v>0</v>
      </c>
      <c r="R3030">
        <v>111.64</v>
      </c>
      <c r="U3030">
        <v>13464</v>
      </c>
      <c r="W3030">
        <v>120</v>
      </c>
      <c r="X3030" t="s">
        <v>531</v>
      </c>
      <c r="Y3030" t="s">
        <v>10859</v>
      </c>
      <c r="AA3030" t="s">
        <v>10974</v>
      </c>
      <c r="AB3030" t="s">
        <v>692</v>
      </c>
      <c r="AD3030" t="s">
        <v>11092</v>
      </c>
      <c r="AF3030" t="s">
        <v>11122</v>
      </c>
      <c r="AH3030" t="s">
        <v>10975</v>
      </c>
      <c r="AJ3030" t="s">
        <v>11132</v>
      </c>
      <c r="AK3030" t="s">
        <v>7225</v>
      </c>
      <c r="AM3030">
        <v>814.25</v>
      </c>
      <c r="AO3030">
        <v>8</v>
      </c>
      <c r="AQ3030" t="s">
        <v>11157</v>
      </c>
      <c r="AS3030" t="s">
        <v>11173</v>
      </c>
      <c r="AU3030">
        <v>8</v>
      </c>
      <c r="AW3030" t="s">
        <v>11187</v>
      </c>
      <c r="AZ3030" t="s">
        <v>11221</v>
      </c>
      <c r="BE3030" t="s">
        <v>13433</v>
      </c>
      <c r="BF3030" t="s">
        <v>14364</v>
      </c>
      <c r="BJ3030" t="s">
        <v>15615</v>
      </c>
      <c r="BM3030" t="s">
        <v>15651</v>
      </c>
    </row>
    <row r="3031" spans="1:65">
      <c r="A3031" s="1">
        <f>HYPERLINK("https://lsnyc.legalserver.org/matter/dynamic-profile/view/1850772","17-1850772")</f>
        <v>0</v>
      </c>
      <c r="B3031" t="s">
        <v>179</v>
      </c>
      <c r="C3031" t="s">
        <v>245</v>
      </c>
      <c r="D3031" t="s">
        <v>968</v>
      </c>
      <c r="E3031" t="s">
        <v>548</v>
      </c>
      <c r="F3031" t="s">
        <v>1139</v>
      </c>
      <c r="G3031" t="s">
        <v>3815</v>
      </c>
      <c r="H3031" t="s">
        <v>5818</v>
      </c>
      <c r="I3031" t="s">
        <v>6943</v>
      </c>
      <c r="J3031" t="s">
        <v>7169</v>
      </c>
      <c r="K3031">
        <v>10029</v>
      </c>
      <c r="L3031" t="s">
        <v>7222</v>
      </c>
      <c r="N3031" t="s">
        <v>7240</v>
      </c>
      <c r="O3031" t="s">
        <v>9203</v>
      </c>
      <c r="P3031">
        <v>1</v>
      </c>
      <c r="Q3031">
        <v>0</v>
      </c>
      <c r="R3031">
        <v>182.42</v>
      </c>
      <c r="U3031">
        <v>22000</v>
      </c>
      <c r="W3031">
        <v>58.5</v>
      </c>
      <c r="X3031" t="s">
        <v>765</v>
      </c>
      <c r="Y3031" t="s">
        <v>10859</v>
      </c>
      <c r="AA3031" t="s">
        <v>10974</v>
      </c>
      <c r="AB3031" t="s">
        <v>968</v>
      </c>
      <c r="AD3031" t="s">
        <v>11092</v>
      </c>
      <c r="AF3031" t="s">
        <v>11120</v>
      </c>
      <c r="AH3031" t="s">
        <v>10975</v>
      </c>
      <c r="AJ3031" t="s">
        <v>11132</v>
      </c>
      <c r="AK3031" t="s">
        <v>7225</v>
      </c>
      <c r="AM3031">
        <v>1319.05</v>
      </c>
      <c r="AO3031">
        <v>936</v>
      </c>
      <c r="AQ3031" t="s">
        <v>11158</v>
      </c>
      <c r="AS3031" t="s">
        <v>11173</v>
      </c>
      <c r="AU3031">
        <v>22</v>
      </c>
      <c r="AW3031" t="s">
        <v>11189</v>
      </c>
      <c r="AZ3031" t="s">
        <v>11221</v>
      </c>
      <c r="BE3031" t="s">
        <v>13434</v>
      </c>
      <c r="BF3031" t="s">
        <v>14364</v>
      </c>
      <c r="BM3031" t="s">
        <v>15651</v>
      </c>
    </row>
    <row r="3032" spans="1:65">
      <c r="A3032" s="1">
        <f>HYPERLINK("https://lsnyc.legalserver.org/matter/dynamic-profile/view/1910450","19-1910450")</f>
        <v>0</v>
      </c>
      <c r="B3032" t="s">
        <v>179</v>
      </c>
      <c r="C3032" t="s">
        <v>248</v>
      </c>
      <c r="D3032" t="s">
        <v>263</v>
      </c>
      <c r="F3032" t="s">
        <v>2341</v>
      </c>
      <c r="G3032" t="s">
        <v>3901</v>
      </c>
      <c r="H3032" t="s">
        <v>5819</v>
      </c>
      <c r="I3032" t="s">
        <v>6420</v>
      </c>
      <c r="J3032" t="s">
        <v>7174</v>
      </c>
      <c r="K3032">
        <v>11212</v>
      </c>
      <c r="N3032" t="s">
        <v>7243</v>
      </c>
      <c r="O3032" t="s">
        <v>9204</v>
      </c>
      <c r="P3032">
        <v>3</v>
      </c>
      <c r="Q3032">
        <v>1</v>
      </c>
      <c r="R3032">
        <v>227.55</v>
      </c>
      <c r="U3032">
        <v>58595</v>
      </c>
      <c r="V3032" t="s">
        <v>10556</v>
      </c>
      <c r="W3032">
        <v>5</v>
      </c>
      <c r="X3032" t="s">
        <v>272</v>
      </c>
      <c r="Y3032" t="s">
        <v>225</v>
      </c>
      <c r="AA3032" t="s">
        <v>10974</v>
      </c>
      <c r="AD3032" t="s">
        <v>11113</v>
      </c>
      <c r="AE3032" t="s">
        <v>11117</v>
      </c>
      <c r="AH3032" t="s">
        <v>10975</v>
      </c>
      <c r="AJ3032" t="s">
        <v>11129</v>
      </c>
      <c r="AK3032" t="s">
        <v>7225</v>
      </c>
      <c r="AM3032">
        <v>2200</v>
      </c>
      <c r="AO3032">
        <v>5</v>
      </c>
      <c r="AQ3032" t="s">
        <v>11156</v>
      </c>
      <c r="AS3032" t="s">
        <v>11173</v>
      </c>
      <c r="AU3032">
        <v>1</v>
      </c>
      <c r="AW3032" t="s">
        <v>11187</v>
      </c>
      <c r="AX3032" t="s">
        <v>11212</v>
      </c>
      <c r="BA3032" t="s">
        <v>11222</v>
      </c>
      <c r="BC3032" t="s">
        <v>11283</v>
      </c>
      <c r="BE3032" t="s">
        <v>13435</v>
      </c>
      <c r="BG3032" t="s">
        <v>15152</v>
      </c>
      <c r="BM3032" t="s">
        <v>15650</v>
      </c>
    </row>
    <row r="3033" spans="1:65">
      <c r="A3033" s="1">
        <f>HYPERLINK("https://lsnyc.legalserver.org/matter/dynamic-profile/view/1913793","19-1913793")</f>
        <v>0</v>
      </c>
      <c r="B3033" t="s">
        <v>179</v>
      </c>
      <c r="C3033" t="s">
        <v>248</v>
      </c>
      <c r="D3033" t="s">
        <v>735</v>
      </c>
      <c r="F3033" t="s">
        <v>1595</v>
      </c>
      <c r="G3033" t="s">
        <v>3227</v>
      </c>
      <c r="H3033" t="s">
        <v>5148</v>
      </c>
      <c r="I3033">
        <v>1</v>
      </c>
      <c r="J3033" t="s">
        <v>7174</v>
      </c>
      <c r="K3033">
        <v>11207</v>
      </c>
      <c r="N3033" t="s">
        <v>7243</v>
      </c>
      <c r="O3033" t="s">
        <v>7912</v>
      </c>
      <c r="P3033">
        <v>3</v>
      </c>
      <c r="Q3033">
        <v>2</v>
      </c>
      <c r="R3033">
        <v>30.16</v>
      </c>
      <c r="U3033">
        <v>9100</v>
      </c>
      <c r="V3033" t="s">
        <v>10545</v>
      </c>
      <c r="W3033">
        <v>1.75</v>
      </c>
      <c r="X3033" t="s">
        <v>426</v>
      </c>
      <c r="Y3033" t="s">
        <v>101</v>
      </c>
      <c r="AA3033" t="s">
        <v>10974</v>
      </c>
      <c r="AB3033" t="s">
        <v>426</v>
      </c>
      <c r="AD3033" t="s">
        <v>11099</v>
      </c>
      <c r="AE3033" t="s">
        <v>11117</v>
      </c>
      <c r="AH3033" t="s">
        <v>10975</v>
      </c>
      <c r="AI3033" t="s">
        <v>11126</v>
      </c>
      <c r="AK3033" t="s">
        <v>7225</v>
      </c>
      <c r="AM3033">
        <v>2000</v>
      </c>
      <c r="AO3033">
        <v>3</v>
      </c>
      <c r="AQ3033" t="s">
        <v>11156</v>
      </c>
      <c r="AR3033" t="s">
        <v>11172</v>
      </c>
      <c r="AT3033" t="s">
        <v>11184</v>
      </c>
      <c r="AU3033">
        <v>0</v>
      </c>
      <c r="AW3033" t="s">
        <v>11187</v>
      </c>
      <c r="AY3033" t="s">
        <v>11213</v>
      </c>
      <c r="BA3033" t="s">
        <v>11222</v>
      </c>
      <c r="BB3033" t="s">
        <v>11224</v>
      </c>
      <c r="BC3033" t="s">
        <v>11316</v>
      </c>
      <c r="BE3033" t="s">
        <v>12244</v>
      </c>
      <c r="BG3033" t="s">
        <v>14621</v>
      </c>
      <c r="BM3033" t="s">
        <v>15650</v>
      </c>
    </row>
    <row r="3034" spans="1:65">
      <c r="A3034" s="1">
        <f>HYPERLINK("https://lsnyc.legalserver.org/matter/dynamic-profile/view/1913797","19-1913797")</f>
        <v>0</v>
      </c>
      <c r="B3034" t="s">
        <v>179</v>
      </c>
      <c r="C3034" t="s">
        <v>248</v>
      </c>
      <c r="D3034" t="s">
        <v>735</v>
      </c>
      <c r="F3034" t="s">
        <v>1252</v>
      </c>
      <c r="G3034" t="s">
        <v>2964</v>
      </c>
      <c r="H3034" t="s">
        <v>5820</v>
      </c>
      <c r="I3034" t="s">
        <v>6894</v>
      </c>
      <c r="J3034" t="s">
        <v>7174</v>
      </c>
      <c r="K3034">
        <v>11212</v>
      </c>
      <c r="N3034" t="s">
        <v>7243</v>
      </c>
      <c r="O3034" t="s">
        <v>9205</v>
      </c>
      <c r="P3034">
        <v>1</v>
      </c>
      <c r="Q3034">
        <v>0</v>
      </c>
      <c r="R3034">
        <v>74.08</v>
      </c>
      <c r="U3034">
        <v>9252</v>
      </c>
      <c r="V3034" t="s">
        <v>10557</v>
      </c>
      <c r="W3034">
        <v>7</v>
      </c>
      <c r="X3034" t="s">
        <v>638</v>
      </c>
      <c r="Y3034" t="s">
        <v>101</v>
      </c>
      <c r="Z3034" t="s">
        <v>10972</v>
      </c>
      <c r="AA3034" t="s">
        <v>10976</v>
      </c>
      <c r="AD3034" t="s">
        <v>11099</v>
      </c>
      <c r="AE3034" t="s">
        <v>11117</v>
      </c>
      <c r="AH3034" t="s">
        <v>10975</v>
      </c>
      <c r="AJ3034" t="s">
        <v>11135</v>
      </c>
      <c r="AK3034" t="s">
        <v>7225</v>
      </c>
      <c r="AM3034">
        <v>1027</v>
      </c>
      <c r="AO3034">
        <v>260</v>
      </c>
      <c r="AQ3034" t="s">
        <v>11161</v>
      </c>
      <c r="AS3034" t="s">
        <v>11179</v>
      </c>
      <c r="AU3034">
        <v>17</v>
      </c>
      <c r="AW3034" t="s">
        <v>11187</v>
      </c>
      <c r="AY3034" t="s">
        <v>11213</v>
      </c>
      <c r="AZ3034" t="s">
        <v>11221</v>
      </c>
      <c r="BE3034" t="s">
        <v>13436</v>
      </c>
      <c r="BG3034" t="s">
        <v>15153</v>
      </c>
      <c r="BM3034" t="s">
        <v>15650</v>
      </c>
    </row>
    <row r="3035" spans="1:65">
      <c r="A3035" s="1">
        <f>HYPERLINK("https://lsnyc.legalserver.org/matter/dynamic-profile/view/1894711","19-1894711")</f>
        <v>0</v>
      </c>
      <c r="B3035" t="s">
        <v>179</v>
      </c>
      <c r="C3035" t="s">
        <v>248</v>
      </c>
      <c r="D3035" t="s">
        <v>550</v>
      </c>
      <c r="E3035" t="s">
        <v>301</v>
      </c>
      <c r="F3035" t="s">
        <v>1553</v>
      </c>
      <c r="G3035" t="s">
        <v>3331</v>
      </c>
      <c r="H3035" t="s">
        <v>5091</v>
      </c>
      <c r="I3035" t="s">
        <v>6645</v>
      </c>
      <c r="J3035" t="s">
        <v>7174</v>
      </c>
      <c r="K3035">
        <v>11208</v>
      </c>
      <c r="L3035" t="s">
        <v>7217</v>
      </c>
      <c r="N3035" t="s">
        <v>7237</v>
      </c>
      <c r="O3035" t="s">
        <v>7852</v>
      </c>
      <c r="P3035">
        <v>1</v>
      </c>
      <c r="Q3035">
        <v>0</v>
      </c>
      <c r="R3035">
        <v>176.11</v>
      </c>
      <c r="U3035">
        <v>21996</v>
      </c>
      <c r="W3035">
        <v>3.25</v>
      </c>
      <c r="X3035" t="s">
        <v>301</v>
      </c>
      <c r="Y3035" t="s">
        <v>225</v>
      </c>
      <c r="AA3035" t="s">
        <v>10974</v>
      </c>
      <c r="AB3035" t="s">
        <v>521</v>
      </c>
      <c r="AD3035" t="s">
        <v>11092</v>
      </c>
      <c r="AF3035" t="s">
        <v>11120</v>
      </c>
      <c r="AH3035" t="s">
        <v>10975</v>
      </c>
      <c r="AJ3035" t="s">
        <v>11137</v>
      </c>
      <c r="AK3035" t="s">
        <v>7225</v>
      </c>
      <c r="AM3035">
        <v>859</v>
      </c>
      <c r="AO3035">
        <v>1276</v>
      </c>
      <c r="AQ3035" t="s">
        <v>11157</v>
      </c>
      <c r="AS3035" t="s">
        <v>11174</v>
      </c>
      <c r="AU3035">
        <v>2</v>
      </c>
      <c r="AW3035" t="s">
        <v>11187</v>
      </c>
      <c r="AY3035" t="s">
        <v>11213</v>
      </c>
      <c r="BA3035" t="s">
        <v>11222</v>
      </c>
      <c r="BC3035" t="s">
        <v>11228</v>
      </c>
      <c r="BE3035" t="s">
        <v>12186</v>
      </c>
      <c r="BF3035" t="s">
        <v>14364</v>
      </c>
      <c r="BM3035" t="s">
        <v>15651</v>
      </c>
    </row>
    <row r="3036" spans="1:65">
      <c r="A3036" s="1">
        <f>HYPERLINK("https://lsnyc.legalserver.org/matter/dynamic-profile/view/1863429","18-1863429")</f>
        <v>0</v>
      </c>
      <c r="B3036" t="s">
        <v>179</v>
      </c>
      <c r="C3036" t="s">
        <v>245</v>
      </c>
      <c r="D3036" t="s">
        <v>952</v>
      </c>
      <c r="F3036" t="s">
        <v>2342</v>
      </c>
      <c r="G3036" t="s">
        <v>3892</v>
      </c>
      <c r="H3036" t="s">
        <v>5821</v>
      </c>
      <c r="I3036" t="s">
        <v>6448</v>
      </c>
      <c r="J3036" t="s">
        <v>7169</v>
      </c>
      <c r="K3036">
        <v>10029</v>
      </c>
      <c r="N3036" t="s">
        <v>7240</v>
      </c>
      <c r="O3036" t="s">
        <v>9206</v>
      </c>
      <c r="P3036">
        <v>1</v>
      </c>
      <c r="Q3036">
        <v>1</v>
      </c>
      <c r="R3036">
        <v>21.73</v>
      </c>
      <c r="U3036">
        <v>3576</v>
      </c>
      <c r="W3036">
        <v>15</v>
      </c>
      <c r="X3036" t="s">
        <v>549</v>
      </c>
      <c r="Y3036" t="s">
        <v>10859</v>
      </c>
      <c r="AA3036" t="s">
        <v>10974</v>
      </c>
      <c r="AB3036" t="s">
        <v>952</v>
      </c>
      <c r="AD3036" t="s">
        <v>11092</v>
      </c>
      <c r="AF3036" t="s">
        <v>11122</v>
      </c>
      <c r="AH3036" t="s">
        <v>10975</v>
      </c>
      <c r="AJ3036" t="s">
        <v>11132</v>
      </c>
      <c r="AK3036" t="s">
        <v>7225</v>
      </c>
      <c r="AM3036">
        <v>2065</v>
      </c>
      <c r="AO3036">
        <v>32</v>
      </c>
      <c r="AQ3036" t="s">
        <v>11157</v>
      </c>
      <c r="AS3036" t="s">
        <v>11173</v>
      </c>
      <c r="AU3036">
        <v>8</v>
      </c>
      <c r="AW3036" t="s">
        <v>11187</v>
      </c>
      <c r="AZ3036" t="s">
        <v>11221</v>
      </c>
      <c r="BE3036" t="s">
        <v>13437</v>
      </c>
      <c r="BF3036" t="s">
        <v>14364</v>
      </c>
      <c r="BM3036" t="s">
        <v>15650</v>
      </c>
    </row>
    <row r="3037" spans="1:65">
      <c r="A3037" s="1">
        <f>HYPERLINK("https://lsnyc.legalserver.org/matter/dynamic-profile/view/1908418","19-1908418")</f>
        <v>0</v>
      </c>
      <c r="B3037" t="s">
        <v>179</v>
      </c>
      <c r="C3037" t="s">
        <v>248</v>
      </c>
      <c r="D3037" t="s">
        <v>565</v>
      </c>
      <c r="F3037" t="s">
        <v>1135</v>
      </c>
      <c r="G3037" t="s">
        <v>3345</v>
      </c>
      <c r="H3037" t="s">
        <v>5121</v>
      </c>
      <c r="I3037" t="s">
        <v>6647</v>
      </c>
      <c r="J3037" t="s">
        <v>7174</v>
      </c>
      <c r="K3037">
        <v>11208</v>
      </c>
      <c r="N3037" t="s">
        <v>7243</v>
      </c>
      <c r="O3037" t="s">
        <v>7881</v>
      </c>
      <c r="P3037">
        <v>1</v>
      </c>
      <c r="Q3037">
        <v>7</v>
      </c>
      <c r="R3037">
        <v>65.98</v>
      </c>
      <c r="U3037">
        <v>28656</v>
      </c>
      <c r="V3037" t="s">
        <v>10558</v>
      </c>
      <c r="W3037">
        <v>8.25</v>
      </c>
      <c r="X3037" t="s">
        <v>614</v>
      </c>
      <c r="Y3037" t="s">
        <v>101</v>
      </c>
      <c r="AA3037" t="s">
        <v>10974</v>
      </c>
      <c r="AD3037" t="s">
        <v>11092</v>
      </c>
      <c r="AF3037" t="s">
        <v>11122</v>
      </c>
      <c r="AH3037" t="s">
        <v>10975</v>
      </c>
      <c r="AJ3037" t="s">
        <v>11146</v>
      </c>
      <c r="AK3037" t="s">
        <v>7225</v>
      </c>
      <c r="AM3037">
        <v>273</v>
      </c>
      <c r="AO3037">
        <v>322</v>
      </c>
      <c r="AQ3037" t="s">
        <v>11157</v>
      </c>
      <c r="AS3037" t="s">
        <v>11176</v>
      </c>
      <c r="AT3037" t="s">
        <v>11184</v>
      </c>
      <c r="AU3037">
        <v>0</v>
      </c>
      <c r="AW3037" t="s">
        <v>11187</v>
      </c>
      <c r="AX3037" t="s">
        <v>11212</v>
      </c>
      <c r="BA3037" t="s">
        <v>11222</v>
      </c>
      <c r="BC3037" t="s">
        <v>11303</v>
      </c>
      <c r="BE3037" t="s">
        <v>12215</v>
      </c>
      <c r="BF3037" t="s">
        <v>14364</v>
      </c>
      <c r="BG3037" t="s">
        <v>11173</v>
      </c>
      <c r="BM3037" t="s">
        <v>15650</v>
      </c>
    </row>
    <row r="3038" spans="1:65">
      <c r="A3038" s="1">
        <f>HYPERLINK("https://lsnyc.legalserver.org/matter/dynamic-profile/view/1859387","18-1859387")</f>
        <v>0</v>
      </c>
      <c r="B3038" t="s">
        <v>179</v>
      </c>
      <c r="C3038" t="s">
        <v>245</v>
      </c>
      <c r="D3038" t="s">
        <v>456</v>
      </c>
      <c r="E3038" t="s">
        <v>548</v>
      </c>
      <c r="F3038" t="s">
        <v>1383</v>
      </c>
      <c r="G3038" t="s">
        <v>2988</v>
      </c>
      <c r="H3038" t="s">
        <v>5822</v>
      </c>
      <c r="I3038" t="s">
        <v>6424</v>
      </c>
      <c r="J3038" t="s">
        <v>7169</v>
      </c>
      <c r="K3038">
        <v>10034</v>
      </c>
      <c r="L3038" t="s">
        <v>7222</v>
      </c>
      <c r="N3038" t="s">
        <v>7240</v>
      </c>
      <c r="O3038" t="s">
        <v>9207</v>
      </c>
      <c r="P3038">
        <v>2</v>
      </c>
      <c r="Q3038">
        <v>1</v>
      </c>
      <c r="R3038">
        <v>46.54</v>
      </c>
      <c r="U3038">
        <v>9672</v>
      </c>
      <c r="W3038">
        <v>26.5</v>
      </c>
      <c r="X3038" t="s">
        <v>284</v>
      </c>
      <c r="Y3038" t="s">
        <v>10859</v>
      </c>
      <c r="AA3038" t="s">
        <v>10974</v>
      </c>
      <c r="AB3038" t="s">
        <v>456</v>
      </c>
      <c r="AD3038" t="s">
        <v>11092</v>
      </c>
      <c r="AF3038" t="s">
        <v>11120</v>
      </c>
      <c r="AH3038" t="s">
        <v>10975</v>
      </c>
      <c r="AJ3038" t="s">
        <v>11132</v>
      </c>
      <c r="AK3038" t="s">
        <v>7225</v>
      </c>
      <c r="AM3038">
        <v>980.67</v>
      </c>
      <c r="AO3038">
        <v>26</v>
      </c>
      <c r="AQ3038" t="s">
        <v>11157</v>
      </c>
      <c r="AS3038" t="s">
        <v>11175</v>
      </c>
      <c r="AU3038">
        <v>8</v>
      </c>
      <c r="AW3038" t="s">
        <v>11189</v>
      </c>
      <c r="AZ3038" t="s">
        <v>11221</v>
      </c>
      <c r="BE3038" t="s">
        <v>13438</v>
      </c>
      <c r="BF3038" t="s">
        <v>14364</v>
      </c>
      <c r="BM3038" t="s">
        <v>15651</v>
      </c>
    </row>
    <row r="3039" spans="1:65">
      <c r="A3039" s="1">
        <f>HYPERLINK("https://lsnyc.legalserver.org/matter/dynamic-profile/view/1895168","19-1895168")</f>
        <v>0</v>
      </c>
      <c r="B3039" t="s">
        <v>179</v>
      </c>
      <c r="C3039" t="s">
        <v>248</v>
      </c>
      <c r="D3039" t="s">
        <v>428</v>
      </c>
      <c r="E3039" t="s">
        <v>301</v>
      </c>
      <c r="F3039" t="s">
        <v>2343</v>
      </c>
      <c r="G3039" t="s">
        <v>3094</v>
      </c>
      <c r="H3039" t="s">
        <v>5823</v>
      </c>
      <c r="I3039">
        <v>615</v>
      </c>
      <c r="J3039" t="s">
        <v>7174</v>
      </c>
      <c r="K3039">
        <v>11239</v>
      </c>
      <c r="L3039" t="s">
        <v>7217</v>
      </c>
      <c r="N3039" t="s">
        <v>7243</v>
      </c>
      <c r="O3039" t="s">
        <v>9208</v>
      </c>
      <c r="P3039">
        <v>2</v>
      </c>
      <c r="Q3039">
        <v>1</v>
      </c>
      <c r="R3039">
        <v>241.76</v>
      </c>
      <c r="U3039">
        <v>51568</v>
      </c>
      <c r="W3039">
        <v>11.5</v>
      </c>
      <c r="X3039" t="s">
        <v>301</v>
      </c>
      <c r="Y3039" t="s">
        <v>101</v>
      </c>
      <c r="AA3039" t="s">
        <v>10974</v>
      </c>
      <c r="AB3039" t="s">
        <v>428</v>
      </c>
      <c r="AD3039" t="s">
        <v>11082</v>
      </c>
      <c r="AF3039" t="s">
        <v>11122</v>
      </c>
      <c r="AH3039" t="s">
        <v>10975</v>
      </c>
      <c r="AJ3039" t="s">
        <v>11130</v>
      </c>
      <c r="AK3039" t="s">
        <v>7225</v>
      </c>
      <c r="AM3039">
        <v>1205</v>
      </c>
      <c r="AO3039">
        <v>137</v>
      </c>
      <c r="AQ3039" t="s">
        <v>11157</v>
      </c>
      <c r="AS3039" t="s">
        <v>11174</v>
      </c>
      <c r="AU3039">
        <v>1</v>
      </c>
      <c r="AW3039" t="s">
        <v>11187</v>
      </c>
      <c r="BA3039" t="s">
        <v>11222</v>
      </c>
      <c r="BC3039" t="s">
        <v>11499</v>
      </c>
      <c r="BE3039" t="s">
        <v>13439</v>
      </c>
      <c r="BG3039" t="s">
        <v>15154</v>
      </c>
      <c r="BJ3039" t="s">
        <v>15615</v>
      </c>
      <c r="BM3039" t="s">
        <v>15651</v>
      </c>
    </row>
    <row r="3040" spans="1:65">
      <c r="A3040" s="1">
        <f>HYPERLINK("https://lsnyc.legalserver.org/matter/dynamic-profile/view/1912161","19-1912161")</f>
        <v>0</v>
      </c>
      <c r="B3040" t="s">
        <v>179</v>
      </c>
      <c r="C3040" t="s">
        <v>248</v>
      </c>
      <c r="D3040" t="s">
        <v>265</v>
      </c>
      <c r="F3040" t="s">
        <v>2344</v>
      </c>
      <c r="G3040" t="s">
        <v>4145</v>
      </c>
      <c r="H3040" t="s">
        <v>5824</v>
      </c>
      <c r="I3040" t="s">
        <v>6944</v>
      </c>
      <c r="J3040" t="s">
        <v>7174</v>
      </c>
      <c r="K3040">
        <v>11207</v>
      </c>
      <c r="N3040" t="s">
        <v>7243</v>
      </c>
      <c r="O3040" t="s">
        <v>9209</v>
      </c>
      <c r="P3040">
        <v>1</v>
      </c>
      <c r="Q3040">
        <v>0</v>
      </c>
      <c r="R3040">
        <v>144.12</v>
      </c>
      <c r="U3040">
        <v>18000</v>
      </c>
      <c r="V3040" t="s">
        <v>10559</v>
      </c>
      <c r="W3040">
        <v>3</v>
      </c>
      <c r="X3040" t="s">
        <v>497</v>
      </c>
      <c r="Y3040" t="s">
        <v>101</v>
      </c>
      <c r="AA3040" t="s">
        <v>10974</v>
      </c>
      <c r="AD3040" t="s">
        <v>11092</v>
      </c>
      <c r="AE3040" t="s">
        <v>11117</v>
      </c>
      <c r="AH3040" t="s">
        <v>10975</v>
      </c>
      <c r="AJ3040" t="s">
        <v>11129</v>
      </c>
      <c r="AK3040" t="s">
        <v>7225</v>
      </c>
      <c r="AM3040">
        <v>600</v>
      </c>
      <c r="AO3040">
        <v>3</v>
      </c>
      <c r="AQ3040" t="s">
        <v>11156</v>
      </c>
      <c r="AS3040" t="s">
        <v>11173</v>
      </c>
      <c r="AU3040">
        <v>3</v>
      </c>
      <c r="AW3040" t="s">
        <v>11187</v>
      </c>
      <c r="AX3040" t="s">
        <v>11212</v>
      </c>
      <c r="BA3040" t="s">
        <v>11222</v>
      </c>
      <c r="BE3040" t="s">
        <v>13440</v>
      </c>
      <c r="BG3040" t="s">
        <v>15155</v>
      </c>
      <c r="BM3040" t="s">
        <v>15650</v>
      </c>
    </row>
    <row r="3041" spans="1:67">
      <c r="A3041" s="1">
        <f>HYPERLINK("https://lsnyc.legalserver.org/matter/dynamic-profile/view/1878828","18-1878828")</f>
        <v>0</v>
      </c>
      <c r="B3041" t="s">
        <v>179</v>
      </c>
      <c r="C3041" t="s">
        <v>245</v>
      </c>
      <c r="D3041" t="s">
        <v>617</v>
      </c>
      <c r="F3041" t="s">
        <v>2345</v>
      </c>
      <c r="G3041" t="s">
        <v>4146</v>
      </c>
      <c r="H3041" t="s">
        <v>5825</v>
      </c>
      <c r="I3041" t="s">
        <v>6945</v>
      </c>
      <c r="J3041" t="s">
        <v>7169</v>
      </c>
      <c r="K3041">
        <v>10029</v>
      </c>
      <c r="N3041" t="s">
        <v>7240</v>
      </c>
      <c r="O3041" t="s">
        <v>9210</v>
      </c>
      <c r="P3041">
        <v>1</v>
      </c>
      <c r="Q3041">
        <v>0</v>
      </c>
      <c r="R3041">
        <v>79.08</v>
      </c>
      <c r="U3041">
        <v>9600</v>
      </c>
      <c r="W3041">
        <v>2.6</v>
      </c>
      <c r="X3041" t="s">
        <v>337</v>
      </c>
      <c r="Y3041" t="s">
        <v>10859</v>
      </c>
      <c r="AA3041" t="s">
        <v>10974</v>
      </c>
      <c r="AB3041" t="s">
        <v>617</v>
      </c>
      <c r="AD3041" t="s">
        <v>11092</v>
      </c>
      <c r="AF3041" t="s">
        <v>10384</v>
      </c>
      <c r="AH3041" t="s">
        <v>10975</v>
      </c>
      <c r="AJ3041" t="s">
        <v>11132</v>
      </c>
      <c r="AK3041" t="s">
        <v>7225</v>
      </c>
      <c r="AM3041">
        <v>1146</v>
      </c>
      <c r="AO3041">
        <v>400</v>
      </c>
      <c r="AQ3041" t="s">
        <v>11158</v>
      </c>
      <c r="AS3041" t="s">
        <v>11175</v>
      </c>
      <c r="AU3041">
        <v>41</v>
      </c>
      <c r="AW3041" t="s">
        <v>11187</v>
      </c>
      <c r="AY3041" t="s">
        <v>11213</v>
      </c>
      <c r="AZ3041" t="s">
        <v>11221</v>
      </c>
      <c r="BE3041" t="s">
        <v>11236</v>
      </c>
      <c r="BF3041" t="s">
        <v>14364</v>
      </c>
      <c r="BM3041" t="s">
        <v>15650</v>
      </c>
    </row>
    <row r="3042" spans="1:67">
      <c r="A3042" s="1">
        <f>HYPERLINK("https://lsnyc.legalserver.org/matter/dynamic-profile/view/1908420","19-1908420")</f>
        <v>0</v>
      </c>
      <c r="B3042" t="s">
        <v>179</v>
      </c>
      <c r="C3042" t="s">
        <v>248</v>
      </c>
      <c r="D3042" t="s">
        <v>565</v>
      </c>
      <c r="E3042" t="s">
        <v>301</v>
      </c>
      <c r="F3042" t="s">
        <v>2159</v>
      </c>
      <c r="G3042" t="s">
        <v>3965</v>
      </c>
      <c r="H3042" t="s">
        <v>5627</v>
      </c>
      <c r="I3042" t="s">
        <v>6430</v>
      </c>
      <c r="J3042" t="s">
        <v>7174</v>
      </c>
      <c r="K3042">
        <v>11237</v>
      </c>
      <c r="L3042" t="s">
        <v>7220</v>
      </c>
      <c r="N3042" t="s">
        <v>7243</v>
      </c>
      <c r="O3042" t="s">
        <v>8874</v>
      </c>
      <c r="P3042">
        <v>1</v>
      </c>
      <c r="Q3042">
        <v>0</v>
      </c>
      <c r="R3042">
        <v>0</v>
      </c>
      <c r="U3042">
        <v>0</v>
      </c>
      <c r="W3042">
        <v>15</v>
      </c>
      <c r="X3042" t="s">
        <v>301</v>
      </c>
      <c r="Y3042" t="s">
        <v>101</v>
      </c>
      <c r="AA3042" t="s">
        <v>10974</v>
      </c>
      <c r="AD3042" t="s">
        <v>11092</v>
      </c>
      <c r="AF3042" t="s">
        <v>11122</v>
      </c>
      <c r="AH3042" t="s">
        <v>10975</v>
      </c>
      <c r="AJ3042" t="s">
        <v>11138</v>
      </c>
      <c r="AK3042" t="s">
        <v>7225</v>
      </c>
      <c r="AM3042">
        <v>973</v>
      </c>
      <c r="AO3042">
        <v>6</v>
      </c>
      <c r="AQ3042" t="s">
        <v>11157</v>
      </c>
      <c r="AS3042" t="s">
        <v>11174</v>
      </c>
      <c r="AU3042">
        <v>12</v>
      </c>
      <c r="AW3042" t="s">
        <v>11187</v>
      </c>
      <c r="AX3042" t="s">
        <v>11212</v>
      </c>
      <c r="BA3042" t="s">
        <v>11223</v>
      </c>
      <c r="BC3042" t="s">
        <v>11434</v>
      </c>
      <c r="BE3042" t="s">
        <v>13119</v>
      </c>
      <c r="BF3042" t="s">
        <v>14364</v>
      </c>
      <c r="BG3042" t="s">
        <v>11173</v>
      </c>
      <c r="BJ3042" t="s">
        <v>15615</v>
      </c>
      <c r="BM3042" t="s">
        <v>15651</v>
      </c>
    </row>
    <row r="3043" spans="1:67">
      <c r="A3043" s="1">
        <f>HYPERLINK("https://lsnyc.legalserver.org/matter/dynamic-profile/view/1915309","19-1915309")</f>
        <v>0</v>
      </c>
      <c r="B3043" t="s">
        <v>179</v>
      </c>
      <c r="C3043" t="s">
        <v>248</v>
      </c>
      <c r="D3043" t="s">
        <v>426</v>
      </c>
      <c r="F3043" t="s">
        <v>1562</v>
      </c>
      <c r="G3043" t="s">
        <v>3335</v>
      </c>
      <c r="H3043" t="s">
        <v>5107</v>
      </c>
      <c r="I3043" t="s">
        <v>6425</v>
      </c>
      <c r="J3043" t="s">
        <v>7174</v>
      </c>
      <c r="K3043">
        <v>11212</v>
      </c>
      <c r="N3043" t="s">
        <v>7240</v>
      </c>
      <c r="O3043" t="s">
        <v>7868</v>
      </c>
      <c r="P3043">
        <v>1</v>
      </c>
      <c r="Q3043">
        <v>2</v>
      </c>
      <c r="R3043">
        <v>163.62</v>
      </c>
      <c r="U3043">
        <v>34900</v>
      </c>
      <c r="W3043">
        <v>0</v>
      </c>
      <c r="Y3043" t="s">
        <v>225</v>
      </c>
      <c r="Z3043" t="s">
        <v>10972</v>
      </c>
      <c r="AA3043" t="s">
        <v>10975</v>
      </c>
      <c r="AD3043" t="s">
        <v>11082</v>
      </c>
      <c r="AE3043" t="s">
        <v>11117</v>
      </c>
      <c r="AH3043" t="s">
        <v>10975</v>
      </c>
      <c r="AJ3043" t="s">
        <v>11137</v>
      </c>
      <c r="AK3043" t="s">
        <v>7225</v>
      </c>
      <c r="AM3043">
        <v>1500</v>
      </c>
      <c r="AO3043">
        <v>32</v>
      </c>
      <c r="AQ3043" t="s">
        <v>11157</v>
      </c>
      <c r="AS3043" t="s">
        <v>11173</v>
      </c>
      <c r="AU3043">
        <v>3</v>
      </c>
      <c r="AW3043" t="s">
        <v>11187</v>
      </c>
      <c r="AY3043" t="s">
        <v>11213</v>
      </c>
      <c r="AZ3043" t="s">
        <v>11221</v>
      </c>
      <c r="BA3043" t="s">
        <v>11173</v>
      </c>
      <c r="BB3043" t="s">
        <v>11224</v>
      </c>
      <c r="BC3043" t="s">
        <v>11294</v>
      </c>
      <c r="BE3043" t="s">
        <v>12202</v>
      </c>
      <c r="BF3043" t="s">
        <v>14364</v>
      </c>
      <c r="BG3043" t="s">
        <v>15156</v>
      </c>
      <c r="BM3043" t="s">
        <v>15650</v>
      </c>
    </row>
    <row r="3044" spans="1:67">
      <c r="A3044" s="1">
        <f>HYPERLINK("https://lsnyc.legalserver.org/matter/dynamic-profile/view/1903779","19-1903779")</f>
        <v>0</v>
      </c>
      <c r="B3044" t="s">
        <v>180</v>
      </c>
      <c r="C3044" t="s">
        <v>245</v>
      </c>
      <c r="D3044" t="s">
        <v>311</v>
      </c>
      <c r="F3044" t="s">
        <v>2346</v>
      </c>
      <c r="G3044" t="s">
        <v>4147</v>
      </c>
      <c r="H3044" t="s">
        <v>5826</v>
      </c>
      <c r="I3044" t="s">
        <v>6424</v>
      </c>
      <c r="J3044" t="s">
        <v>7169</v>
      </c>
      <c r="K3044">
        <v>10027</v>
      </c>
      <c r="N3044" t="s">
        <v>7249</v>
      </c>
      <c r="O3044" t="s">
        <v>9211</v>
      </c>
      <c r="P3044">
        <v>7</v>
      </c>
      <c r="Q3044">
        <v>1</v>
      </c>
      <c r="R3044">
        <v>161.18</v>
      </c>
      <c r="U3044">
        <v>70000</v>
      </c>
      <c r="W3044">
        <v>9.300000000000001</v>
      </c>
      <c r="X3044" t="s">
        <v>638</v>
      </c>
      <c r="Y3044" t="s">
        <v>10893</v>
      </c>
      <c r="AA3044" t="s">
        <v>10974</v>
      </c>
      <c r="AB3044" t="s">
        <v>406</v>
      </c>
      <c r="AC3044" t="s">
        <v>11081</v>
      </c>
      <c r="AF3044" t="s">
        <v>11118</v>
      </c>
      <c r="AG3044" t="s">
        <v>11124</v>
      </c>
      <c r="AI3044" t="s">
        <v>11126</v>
      </c>
      <c r="AK3044" t="s">
        <v>7225</v>
      </c>
      <c r="AL3044" t="s">
        <v>11150</v>
      </c>
      <c r="AM3044">
        <v>0</v>
      </c>
      <c r="AN3044" t="s">
        <v>11151</v>
      </c>
      <c r="AO3044" t="s">
        <v>11153</v>
      </c>
      <c r="AP3044" t="s">
        <v>11155</v>
      </c>
      <c r="AR3044" t="s">
        <v>11172</v>
      </c>
      <c r="AU3044">
        <v>11</v>
      </c>
      <c r="AW3044" t="s">
        <v>11187</v>
      </c>
      <c r="BA3044" t="s">
        <v>11222</v>
      </c>
      <c r="BE3044" t="s">
        <v>13441</v>
      </c>
      <c r="BF3044" t="s">
        <v>14364</v>
      </c>
      <c r="BG3044" t="s">
        <v>15157</v>
      </c>
      <c r="BM3044" t="s">
        <v>15650</v>
      </c>
      <c r="BO3044" t="s">
        <v>15721</v>
      </c>
    </row>
    <row r="3045" spans="1:67">
      <c r="A3045" s="1">
        <f>HYPERLINK("https://lsnyc.legalserver.org/matter/dynamic-profile/view/1863072","18-1863072")</f>
        <v>0</v>
      </c>
      <c r="B3045" t="s">
        <v>180</v>
      </c>
      <c r="C3045" t="s">
        <v>245</v>
      </c>
      <c r="D3045" t="s">
        <v>758</v>
      </c>
      <c r="E3045" t="s">
        <v>548</v>
      </c>
      <c r="F3045" t="s">
        <v>2347</v>
      </c>
      <c r="G3045" t="s">
        <v>3845</v>
      </c>
      <c r="H3045" t="s">
        <v>5827</v>
      </c>
      <c r="I3045" t="s">
        <v>6573</v>
      </c>
      <c r="J3045" t="s">
        <v>7169</v>
      </c>
      <c r="K3045">
        <v>10029</v>
      </c>
      <c r="L3045" t="s">
        <v>7216</v>
      </c>
      <c r="N3045" t="s">
        <v>7249</v>
      </c>
      <c r="O3045" t="s">
        <v>9212</v>
      </c>
      <c r="P3045">
        <v>2</v>
      </c>
      <c r="Q3045">
        <v>0</v>
      </c>
      <c r="R3045">
        <v>121.51</v>
      </c>
      <c r="U3045">
        <v>20000</v>
      </c>
      <c r="W3045">
        <v>5.2</v>
      </c>
      <c r="X3045" t="s">
        <v>669</v>
      </c>
      <c r="Y3045" t="s">
        <v>10893</v>
      </c>
      <c r="AA3045" t="s">
        <v>10974</v>
      </c>
      <c r="AB3045" t="s">
        <v>406</v>
      </c>
      <c r="AD3045" t="s">
        <v>11086</v>
      </c>
      <c r="AF3045" t="s">
        <v>11120</v>
      </c>
      <c r="AG3045" t="s">
        <v>11124</v>
      </c>
      <c r="AJ3045" t="s">
        <v>11137</v>
      </c>
      <c r="AK3045" t="s">
        <v>7225</v>
      </c>
      <c r="AM3045">
        <v>487</v>
      </c>
      <c r="AO3045">
        <v>24</v>
      </c>
      <c r="AQ3045" t="s">
        <v>11157</v>
      </c>
      <c r="AR3045" t="s">
        <v>11172</v>
      </c>
      <c r="AU3045">
        <v>4</v>
      </c>
      <c r="AW3045" t="s">
        <v>11189</v>
      </c>
      <c r="BA3045" t="s">
        <v>11222</v>
      </c>
      <c r="BE3045" t="s">
        <v>13442</v>
      </c>
      <c r="BF3045" t="s">
        <v>14364</v>
      </c>
      <c r="BM3045" t="s">
        <v>15651</v>
      </c>
    </row>
    <row r="3046" spans="1:67">
      <c r="A3046" s="1">
        <f>HYPERLINK("https://lsnyc.legalserver.org/matter/dynamic-profile/view/1901822","19-1901822")</f>
        <v>0</v>
      </c>
      <c r="B3046" t="s">
        <v>180</v>
      </c>
      <c r="C3046" t="s">
        <v>245</v>
      </c>
      <c r="D3046" t="s">
        <v>280</v>
      </c>
      <c r="F3046" t="s">
        <v>2348</v>
      </c>
      <c r="G3046" t="s">
        <v>4148</v>
      </c>
      <c r="H3046" t="s">
        <v>5828</v>
      </c>
      <c r="I3046" t="s">
        <v>6946</v>
      </c>
      <c r="J3046" t="s">
        <v>7169</v>
      </c>
      <c r="K3046">
        <v>10025</v>
      </c>
      <c r="N3046" t="s">
        <v>7249</v>
      </c>
      <c r="O3046" t="s">
        <v>9213</v>
      </c>
      <c r="P3046">
        <v>1</v>
      </c>
      <c r="Q3046">
        <v>0</v>
      </c>
      <c r="R3046">
        <v>100.88</v>
      </c>
      <c r="U3046">
        <v>12600</v>
      </c>
      <c r="W3046">
        <v>10.1</v>
      </c>
      <c r="X3046" t="s">
        <v>976</v>
      </c>
      <c r="Y3046" t="s">
        <v>10893</v>
      </c>
      <c r="AA3046" t="s">
        <v>10974</v>
      </c>
      <c r="AB3046" t="s">
        <v>629</v>
      </c>
      <c r="AC3046" t="s">
        <v>11081</v>
      </c>
      <c r="AF3046" t="s">
        <v>11118</v>
      </c>
      <c r="AG3046" t="s">
        <v>11124</v>
      </c>
      <c r="AI3046" t="s">
        <v>11126</v>
      </c>
      <c r="AK3046" t="s">
        <v>7225</v>
      </c>
      <c r="AL3046" t="s">
        <v>11150</v>
      </c>
      <c r="AM3046">
        <v>0</v>
      </c>
      <c r="AN3046" t="s">
        <v>11151</v>
      </c>
      <c r="AO3046" t="s">
        <v>11153</v>
      </c>
      <c r="AP3046" t="s">
        <v>11155</v>
      </c>
      <c r="AR3046" t="s">
        <v>11172</v>
      </c>
      <c r="AT3046" t="s">
        <v>11184</v>
      </c>
      <c r="AU3046">
        <v>0</v>
      </c>
      <c r="AW3046" t="s">
        <v>11187</v>
      </c>
      <c r="BA3046" t="s">
        <v>11222</v>
      </c>
      <c r="BE3046" t="s">
        <v>13443</v>
      </c>
      <c r="BF3046" t="s">
        <v>14364</v>
      </c>
      <c r="BM3046" t="s">
        <v>15650</v>
      </c>
    </row>
    <row r="3047" spans="1:67">
      <c r="A3047" s="1">
        <f>HYPERLINK("https://lsnyc.legalserver.org/matter/dynamic-profile/view/1896540","19-1896540")</f>
        <v>0</v>
      </c>
      <c r="B3047" t="s">
        <v>180</v>
      </c>
      <c r="C3047" t="s">
        <v>245</v>
      </c>
      <c r="D3047" t="s">
        <v>427</v>
      </c>
      <c r="E3047" t="s">
        <v>536</v>
      </c>
      <c r="F3047" t="s">
        <v>2349</v>
      </c>
      <c r="G3047" t="s">
        <v>3226</v>
      </c>
      <c r="H3047" t="s">
        <v>5829</v>
      </c>
      <c r="I3047" t="s">
        <v>6513</v>
      </c>
      <c r="J3047" t="s">
        <v>7176</v>
      </c>
      <c r="K3047">
        <v>11368</v>
      </c>
      <c r="L3047" t="s">
        <v>7219</v>
      </c>
      <c r="N3047" t="s">
        <v>7249</v>
      </c>
      <c r="O3047" t="s">
        <v>9214</v>
      </c>
      <c r="P3047">
        <v>1</v>
      </c>
      <c r="Q3047">
        <v>1</v>
      </c>
      <c r="R3047">
        <v>146.66</v>
      </c>
      <c r="U3047">
        <v>24800</v>
      </c>
      <c r="W3047">
        <v>35.85</v>
      </c>
      <c r="X3047" t="s">
        <v>563</v>
      </c>
      <c r="Y3047" t="s">
        <v>10882</v>
      </c>
      <c r="Z3047" t="s">
        <v>10973</v>
      </c>
      <c r="AA3047" t="s">
        <v>10975</v>
      </c>
      <c r="AB3047" t="s">
        <v>389</v>
      </c>
      <c r="AC3047" t="s">
        <v>11081</v>
      </c>
      <c r="AF3047" t="s">
        <v>11118</v>
      </c>
      <c r="AG3047" t="s">
        <v>11124</v>
      </c>
      <c r="AI3047" t="s">
        <v>11126</v>
      </c>
      <c r="AK3047" t="s">
        <v>7225</v>
      </c>
      <c r="AL3047" t="s">
        <v>11150</v>
      </c>
      <c r="AM3047">
        <v>0</v>
      </c>
      <c r="AN3047" t="s">
        <v>11151</v>
      </c>
      <c r="AO3047" t="s">
        <v>11153</v>
      </c>
      <c r="AP3047" t="s">
        <v>11155</v>
      </c>
      <c r="AR3047" t="s">
        <v>11172</v>
      </c>
      <c r="AT3047" t="s">
        <v>11184</v>
      </c>
      <c r="AU3047">
        <v>0</v>
      </c>
      <c r="AW3047" t="s">
        <v>11189</v>
      </c>
      <c r="AZ3047" t="s">
        <v>11221</v>
      </c>
      <c r="BA3047" t="s">
        <v>11173</v>
      </c>
      <c r="BD3047" t="s">
        <v>11667</v>
      </c>
      <c r="BG3047" t="s">
        <v>15158</v>
      </c>
      <c r="BJ3047" t="s">
        <v>15615</v>
      </c>
      <c r="BM3047" t="s">
        <v>15651</v>
      </c>
      <c r="BO3047" t="s">
        <v>15722</v>
      </c>
    </row>
    <row r="3048" spans="1:67">
      <c r="A3048" s="1">
        <f>HYPERLINK("https://lsnyc.legalserver.org/matter/dynamic-profile/view/1905334","19-1905334")</f>
        <v>0</v>
      </c>
      <c r="B3048" t="s">
        <v>180</v>
      </c>
      <c r="C3048" t="s">
        <v>245</v>
      </c>
      <c r="D3048" t="s">
        <v>866</v>
      </c>
      <c r="F3048" t="s">
        <v>2347</v>
      </c>
      <c r="G3048" t="s">
        <v>3845</v>
      </c>
      <c r="H3048" t="s">
        <v>5827</v>
      </c>
      <c r="I3048" t="s">
        <v>6573</v>
      </c>
      <c r="J3048" t="s">
        <v>7169</v>
      </c>
      <c r="K3048">
        <v>10029</v>
      </c>
      <c r="N3048" t="s">
        <v>7249</v>
      </c>
      <c r="O3048" t="s">
        <v>9212</v>
      </c>
      <c r="P3048">
        <v>2</v>
      </c>
      <c r="Q3048">
        <v>0</v>
      </c>
      <c r="R3048">
        <v>118.27</v>
      </c>
      <c r="U3048">
        <v>20000</v>
      </c>
      <c r="W3048">
        <v>0.6</v>
      </c>
      <c r="X3048" t="s">
        <v>270</v>
      </c>
      <c r="Y3048" t="s">
        <v>10893</v>
      </c>
      <c r="AA3048" t="s">
        <v>10974</v>
      </c>
      <c r="AB3048" t="s">
        <v>578</v>
      </c>
      <c r="AD3048" t="s">
        <v>11097</v>
      </c>
      <c r="AF3048" t="s">
        <v>11121</v>
      </c>
      <c r="AH3048" t="s">
        <v>10975</v>
      </c>
      <c r="AI3048" t="s">
        <v>11126</v>
      </c>
      <c r="AK3048" t="s">
        <v>7225</v>
      </c>
      <c r="AL3048" t="s">
        <v>11150</v>
      </c>
      <c r="AM3048">
        <v>0</v>
      </c>
      <c r="AO3048">
        <v>24</v>
      </c>
      <c r="AP3048" t="s">
        <v>11155</v>
      </c>
      <c r="AR3048" t="s">
        <v>11172</v>
      </c>
      <c r="AT3048" t="s">
        <v>11184</v>
      </c>
      <c r="AU3048">
        <v>0</v>
      </c>
      <c r="AW3048" t="s">
        <v>11189</v>
      </c>
      <c r="BA3048" t="s">
        <v>11222</v>
      </c>
      <c r="BE3048" t="s">
        <v>13442</v>
      </c>
      <c r="BF3048" t="s">
        <v>14364</v>
      </c>
      <c r="BM3048" t="s">
        <v>15650</v>
      </c>
    </row>
    <row r="3049" spans="1:67">
      <c r="A3049" s="1">
        <f>HYPERLINK("https://lsnyc.legalserver.org/matter/dynamic-profile/view/1909043","19-1909043")</f>
        <v>0</v>
      </c>
      <c r="B3049" t="s">
        <v>180</v>
      </c>
      <c r="C3049" t="s">
        <v>245</v>
      </c>
      <c r="D3049" t="s">
        <v>598</v>
      </c>
      <c r="F3049" t="s">
        <v>2346</v>
      </c>
      <c r="G3049" t="s">
        <v>4147</v>
      </c>
      <c r="H3049" t="s">
        <v>5826</v>
      </c>
      <c r="I3049" t="s">
        <v>6424</v>
      </c>
      <c r="J3049" t="s">
        <v>7169</v>
      </c>
      <c r="K3049">
        <v>10027</v>
      </c>
      <c r="N3049" t="s">
        <v>7249</v>
      </c>
      <c r="O3049" t="s">
        <v>9211</v>
      </c>
      <c r="P3049">
        <v>7</v>
      </c>
      <c r="Q3049">
        <v>1</v>
      </c>
      <c r="R3049">
        <v>142.76</v>
      </c>
      <c r="U3049">
        <v>62000</v>
      </c>
      <c r="W3049">
        <v>1.5</v>
      </c>
      <c r="X3049" t="s">
        <v>443</v>
      </c>
      <c r="Y3049" t="s">
        <v>180</v>
      </c>
      <c r="Z3049" t="s">
        <v>10972</v>
      </c>
      <c r="AA3049" t="s">
        <v>10976</v>
      </c>
      <c r="AC3049" t="s">
        <v>11081</v>
      </c>
      <c r="AE3049" t="s">
        <v>11117</v>
      </c>
      <c r="AG3049" t="s">
        <v>11124</v>
      </c>
      <c r="AI3049" t="s">
        <v>11126</v>
      </c>
      <c r="AK3049" t="s">
        <v>7225</v>
      </c>
      <c r="AL3049" t="s">
        <v>11150</v>
      </c>
      <c r="AM3049">
        <v>0</v>
      </c>
      <c r="AN3049" t="s">
        <v>11151</v>
      </c>
      <c r="AO3049" t="s">
        <v>11153</v>
      </c>
      <c r="AP3049" t="s">
        <v>11155</v>
      </c>
      <c r="AR3049" t="s">
        <v>11172</v>
      </c>
      <c r="AT3049" t="s">
        <v>11184</v>
      </c>
      <c r="AU3049">
        <v>0</v>
      </c>
      <c r="AW3049" t="s">
        <v>11187</v>
      </c>
      <c r="AX3049" t="s">
        <v>11212</v>
      </c>
      <c r="AZ3049" t="s">
        <v>11221</v>
      </c>
      <c r="BE3049" t="s">
        <v>13441</v>
      </c>
      <c r="BF3049" t="s">
        <v>14364</v>
      </c>
      <c r="BM3049" t="s">
        <v>15650</v>
      </c>
    </row>
    <row r="3050" spans="1:67">
      <c r="A3050" s="1">
        <f>HYPERLINK("https://lsnyc.legalserver.org/matter/dynamic-profile/view/1882796","18-1882796")</f>
        <v>0</v>
      </c>
      <c r="B3050" t="s">
        <v>180</v>
      </c>
      <c r="C3050" t="s">
        <v>245</v>
      </c>
      <c r="D3050" t="s">
        <v>466</v>
      </c>
      <c r="E3050" t="s">
        <v>536</v>
      </c>
      <c r="F3050" t="s">
        <v>1196</v>
      </c>
      <c r="G3050" t="s">
        <v>3047</v>
      </c>
      <c r="H3050" t="s">
        <v>5830</v>
      </c>
      <c r="I3050" t="s">
        <v>6573</v>
      </c>
      <c r="J3050" t="s">
        <v>7169</v>
      </c>
      <c r="K3050">
        <v>10034</v>
      </c>
      <c r="L3050" t="s">
        <v>7219</v>
      </c>
      <c r="N3050" t="s">
        <v>7249</v>
      </c>
      <c r="O3050" t="s">
        <v>9215</v>
      </c>
      <c r="P3050">
        <v>1</v>
      </c>
      <c r="Q3050">
        <v>0</v>
      </c>
      <c r="R3050">
        <v>47.12</v>
      </c>
      <c r="U3050">
        <v>5720</v>
      </c>
      <c r="W3050">
        <v>75.05</v>
      </c>
      <c r="X3050" t="s">
        <v>345</v>
      </c>
      <c r="Y3050" t="s">
        <v>10893</v>
      </c>
      <c r="AA3050" t="s">
        <v>10974</v>
      </c>
      <c r="AB3050" t="s">
        <v>466</v>
      </c>
      <c r="AD3050" t="s">
        <v>11097</v>
      </c>
      <c r="AF3050" t="s">
        <v>11118</v>
      </c>
      <c r="AH3050" t="s">
        <v>10975</v>
      </c>
      <c r="AI3050" t="s">
        <v>11126</v>
      </c>
      <c r="AK3050" t="s">
        <v>7225</v>
      </c>
      <c r="AM3050">
        <v>1200</v>
      </c>
      <c r="AN3050" t="s">
        <v>11151</v>
      </c>
      <c r="AO3050" t="s">
        <v>11153</v>
      </c>
      <c r="AQ3050" t="s">
        <v>11157</v>
      </c>
      <c r="AS3050" t="s">
        <v>11177</v>
      </c>
      <c r="AU3050">
        <v>5</v>
      </c>
      <c r="AW3050" t="s">
        <v>11187</v>
      </c>
      <c r="BA3050" t="s">
        <v>11222</v>
      </c>
      <c r="BE3050" t="s">
        <v>13444</v>
      </c>
      <c r="BF3050" t="s">
        <v>14364</v>
      </c>
      <c r="BG3050" t="s">
        <v>15159</v>
      </c>
      <c r="BJ3050" t="s">
        <v>15615</v>
      </c>
      <c r="BM3050" t="s">
        <v>15651</v>
      </c>
      <c r="BO3050" t="s">
        <v>15669</v>
      </c>
    </row>
    <row r="3051" spans="1:67">
      <c r="A3051" s="1">
        <f>HYPERLINK("https://lsnyc.legalserver.org/matter/dynamic-profile/view/1906134","19-1906134")</f>
        <v>0</v>
      </c>
      <c r="B3051" t="s">
        <v>180</v>
      </c>
      <c r="C3051" t="s">
        <v>245</v>
      </c>
      <c r="D3051" t="s">
        <v>349</v>
      </c>
      <c r="F3051" t="s">
        <v>2350</v>
      </c>
      <c r="G3051" t="s">
        <v>3249</v>
      </c>
      <c r="H3051" t="s">
        <v>5831</v>
      </c>
      <c r="I3051" t="s">
        <v>6480</v>
      </c>
      <c r="J3051" t="s">
        <v>7169</v>
      </c>
      <c r="K3051">
        <v>10027</v>
      </c>
      <c r="N3051" t="s">
        <v>7249</v>
      </c>
      <c r="O3051" t="s">
        <v>9216</v>
      </c>
      <c r="P3051">
        <v>1</v>
      </c>
      <c r="Q3051">
        <v>0</v>
      </c>
      <c r="R3051">
        <v>126.82</v>
      </c>
      <c r="U3051">
        <v>15840</v>
      </c>
      <c r="W3051">
        <v>47.7</v>
      </c>
      <c r="X3051" t="s">
        <v>601</v>
      </c>
      <c r="Y3051" t="s">
        <v>10893</v>
      </c>
      <c r="Z3051" t="s">
        <v>10972</v>
      </c>
      <c r="AA3051" t="s">
        <v>10976</v>
      </c>
      <c r="AC3051" t="s">
        <v>11081</v>
      </c>
      <c r="AE3051" t="s">
        <v>11117</v>
      </c>
      <c r="AG3051" t="s">
        <v>11124</v>
      </c>
      <c r="AI3051" t="s">
        <v>11126</v>
      </c>
      <c r="AK3051" t="s">
        <v>7225</v>
      </c>
      <c r="AL3051" t="s">
        <v>11150</v>
      </c>
      <c r="AM3051">
        <v>0</v>
      </c>
      <c r="AN3051" t="s">
        <v>11151</v>
      </c>
      <c r="AO3051" t="s">
        <v>11153</v>
      </c>
      <c r="AP3051" t="s">
        <v>11155</v>
      </c>
      <c r="AR3051" t="s">
        <v>11172</v>
      </c>
      <c r="AT3051" t="s">
        <v>11184</v>
      </c>
      <c r="AU3051">
        <v>0</v>
      </c>
      <c r="AW3051" t="s">
        <v>11187</v>
      </c>
      <c r="AX3051" t="s">
        <v>11212</v>
      </c>
      <c r="AZ3051" t="s">
        <v>11221</v>
      </c>
      <c r="BE3051" t="s">
        <v>13445</v>
      </c>
      <c r="BF3051" t="s">
        <v>14364</v>
      </c>
      <c r="BM3051" t="s">
        <v>15650</v>
      </c>
    </row>
    <row r="3052" spans="1:67">
      <c r="A3052" s="1">
        <f>HYPERLINK("https://lsnyc.legalserver.org/matter/dynamic-profile/view/1909026","19-1909026")</f>
        <v>0</v>
      </c>
      <c r="B3052" t="s">
        <v>181</v>
      </c>
      <c r="C3052" t="s">
        <v>246</v>
      </c>
      <c r="D3052" t="s">
        <v>598</v>
      </c>
      <c r="F3052" t="s">
        <v>2351</v>
      </c>
      <c r="G3052" t="s">
        <v>4149</v>
      </c>
      <c r="H3052" t="s">
        <v>5832</v>
      </c>
      <c r="I3052" t="s">
        <v>6449</v>
      </c>
      <c r="J3052" t="s">
        <v>7170</v>
      </c>
      <c r="K3052">
        <v>10467</v>
      </c>
      <c r="N3052" t="s">
        <v>7238</v>
      </c>
      <c r="O3052" t="s">
        <v>9217</v>
      </c>
      <c r="P3052">
        <v>4</v>
      </c>
      <c r="Q3052">
        <v>0</v>
      </c>
      <c r="R3052">
        <v>54.34</v>
      </c>
      <c r="U3052">
        <v>13992</v>
      </c>
      <c r="W3052">
        <v>1</v>
      </c>
      <c r="X3052" t="s">
        <v>599</v>
      </c>
      <c r="Y3052" t="s">
        <v>10886</v>
      </c>
      <c r="AA3052" t="s">
        <v>10974</v>
      </c>
      <c r="AD3052" t="s">
        <v>11088</v>
      </c>
      <c r="AF3052" t="s">
        <v>11120</v>
      </c>
      <c r="AH3052" t="s">
        <v>10975</v>
      </c>
      <c r="AJ3052" t="s">
        <v>11129</v>
      </c>
      <c r="AK3052" t="s">
        <v>7225</v>
      </c>
      <c r="AM3052">
        <v>1333.64</v>
      </c>
      <c r="AO3052">
        <v>48</v>
      </c>
      <c r="AQ3052" t="s">
        <v>11157</v>
      </c>
      <c r="AS3052" t="s">
        <v>11173</v>
      </c>
      <c r="AT3052" t="s">
        <v>11184</v>
      </c>
      <c r="AU3052">
        <v>0</v>
      </c>
      <c r="AW3052" t="s">
        <v>11187</v>
      </c>
      <c r="AX3052" t="s">
        <v>11212</v>
      </c>
      <c r="BA3052" t="s">
        <v>11222</v>
      </c>
      <c r="BE3052" t="s">
        <v>13446</v>
      </c>
      <c r="BF3052" t="s">
        <v>14364</v>
      </c>
      <c r="BM3052" t="s">
        <v>15650</v>
      </c>
    </row>
    <row r="3053" spans="1:67">
      <c r="A3053" s="1">
        <f>HYPERLINK("https://lsnyc.legalserver.org/matter/dynamic-profile/view/1888518","19-1888518")</f>
        <v>0</v>
      </c>
      <c r="B3053" t="s">
        <v>181</v>
      </c>
      <c r="C3053" t="s">
        <v>246</v>
      </c>
      <c r="D3053" t="s">
        <v>558</v>
      </c>
      <c r="E3053" t="s">
        <v>272</v>
      </c>
      <c r="F3053" t="s">
        <v>1713</v>
      </c>
      <c r="G3053" t="s">
        <v>2884</v>
      </c>
      <c r="H3053" t="s">
        <v>5833</v>
      </c>
      <c r="I3053" t="s">
        <v>6609</v>
      </c>
      <c r="J3053" t="s">
        <v>7170</v>
      </c>
      <c r="K3053">
        <v>10456</v>
      </c>
      <c r="L3053" t="s">
        <v>7217</v>
      </c>
      <c r="N3053" t="s">
        <v>7241</v>
      </c>
      <c r="O3053" t="s">
        <v>9218</v>
      </c>
      <c r="P3053">
        <v>2</v>
      </c>
      <c r="Q3053">
        <v>0</v>
      </c>
      <c r="R3053">
        <v>160.45</v>
      </c>
      <c r="U3053">
        <v>26410</v>
      </c>
      <c r="W3053">
        <v>3.5</v>
      </c>
      <c r="X3053" t="s">
        <v>322</v>
      </c>
      <c r="Y3053" t="s">
        <v>10886</v>
      </c>
      <c r="AA3053" t="s">
        <v>10974</v>
      </c>
      <c r="AB3053" t="s">
        <v>558</v>
      </c>
      <c r="AD3053" t="s">
        <v>11086</v>
      </c>
      <c r="AF3053" t="s">
        <v>11120</v>
      </c>
      <c r="AH3053" t="s">
        <v>10975</v>
      </c>
      <c r="AJ3053" t="s">
        <v>11138</v>
      </c>
      <c r="AK3053" t="s">
        <v>7225</v>
      </c>
      <c r="AM3053">
        <v>1004.69</v>
      </c>
      <c r="AO3053">
        <v>48</v>
      </c>
      <c r="AQ3053" t="s">
        <v>11157</v>
      </c>
      <c r="AS3053" t="s">
        <v>11181</v>
      </c>
      <c r="AU3053">
        <v>29</v>
      </c>
      <c r="AW3053" t="s">
        <v>11187</v>
      </c>
      <c r="AZ3053" t="s">
        <v>11221</v>
      </c>
      <c r="BB3053" t="s">
        <v>11224</v>
      </c>
      <c r="BC3053" t="s">
        <v>11500</v>
      </c>
      <c r="BE3053" t="s">
        <v>13447</v>
      </c>
      <c r="BF3053" t="s">
        <v>14364</v>
      </c>
      <c r="BM3053" t="s">
        <v>15651</v>
      </c>
      <c r="BN3053" t="s">
        <v>15652</v>
      </c>
      <c r="BO3053" t="s">
        <v>15723</v>
      </c>
    </row>
    <row r="3054" spans="1:67">
      <c r="A3054" s="1">
        <f>HYPERLINK("https://lsnyc.legalserver.org/matter/dynamic-profile/view/1893820","19-1893820")</f>
        <v>0</v>
      </c>
      <c r="B3054" t="s">
        <v>181</v>
      </c>
      <c r="C3054" t="s">
        <v>246</v>
      </c>
      <c r="D3054" t="s">
        <v>863</v>
      </c>
      <c r="E3054" t="s">
        <v>272</v>
      </c>
      <c r="F3054" t="s">
        <v>1713</v>
      </c>
      <c r="G3054" t="s">
        <v>2884</v>
      </c>
      <c r="H3054" t="s">
        <v>5833</v>
      </c>
      <c r="I3054" t="s">
        <v>6609</v>
      </c>
      <c r="J3054" t="s">
        <v>7170</v>
      </c>
      <c r="K3054">
        <v>10456</v>
      </c>
      <c r="L3054" t="s">
        <v>7220</v>
      </c>
      <c r="N3054" t="s">
        <v>7238</v>
      </c>
      <c r="O3054" t="s">
        <v>9218</v>
      </c>
      <c r="P3054">
        <v>2</v>
      </c>
      <c r="Q3054">
        <v>0</v>
      </c>
      <c r="R3054">
        <v>156.18</v>
      </c>
      <c r="U3054">
        <v>26410</v>
      </c>
      <c r="W3054">
        <v>4.25</v>
      </c>
      <c r="X3054" t="s">
        <v>272</v>
      </c>
      <c r="Y3054" t="s">
        <v>10886</v>
      </c>
      <c r="AA3054" t="s">
        <v>10974</v>
      </c>
      <c r="AB3054" t="s">
        <v>863</v>
      </c>
      <c r="AD3054" t="s">
        <v>11088</v>
      </c>
      <c r="AF3054" t="s">
        <v>11120</v>
      </c>
      <c r="AG3054" t="s">
        <v>11124</v>
      </c>
      <c r="AJ3054" t="s">
        <v>11138</v>
      </c>
      <c r="AK3054" t="s">
        <v>7225</v>
      </c>
      <c r="AM3054">
        <v>1004.69</v>
      </c>
      <c r="AO3054">
        <v>48</v>
      </c>
      <c r="AQ3054" t="s">
        <v>11157</v>
      </c>
      <c r="AS3054" t="s">
        <v>11181</v>
      </c>
      <c r="AU3054">
        <v>29</v>
      </c>
      <c r="AW3054" t="s">
        <v>11187</v>
      </c>
      <c r="AZ3054" t="s">
        <v>11221</v>
      </c>
      <c r="BB3054" t="s">
        <v>11224</v>
      </c>
      <c r="BC3054" t="s">
        <v>11500</v>
      </c>
      <c r="BE3054" t="s">
        <v>13447</v>
      </c>
      <c r="BF3054" t="s">
        <v>14364</v>
      </c>
      <c r="BG3054" t="s">
        <v>15160</v>
      </c>
      <c r="BK3054" t="s">
        <v>15623</v>
      </c>
      <c r="BM3054" t="s">
        <v>15651</v>
      </c>
      <c r="BN3054" t="s">
        <v>15652</v>
      </c>
      <c r="BO3054" t="s">
        <v>15724</v>
      </c>
    </row>
    <row r="3055" spans="1:67">
      <c r="A3055" s="1">
        <f>HYPERLINK("https://lsnyc.legalserver.org/matter/dynamic-profile/view/1908417","19-1908417")</f>
        <v>0</v>
      </c>
      <c r="B3055" t="s">
        <v>181</v>
      </c>
      <c r="C3055" t="s">
        <v>246</v>
      </c>
      <c r="D3055" t="s">
        <v>565</v>
      </c>
      <c r="F3055" t="s">
        <v>2352</v>
      </c>
      <c r="G3055" t="s">
        <v>2913</v>
      </c>
      <c r="H3055" t="s">
        <v>5834</v>
      </c>
      <c r="I3055" t="s">
        <v>6585</v>
      </c>
      <c r="J3055" t="s">
        <v>7170</v>
      </c>
      <c r="K3055">
        <v>10462</v>
      </c>
      <c r="N3055" t="s">
        <v>7241</v>
      </c>
      <c r="O3055" t="s">
        <v>9219</v>
      </c>
      <c r="P3055">
        <v>2</v>
      </c>
      <c r="Q3055">
        <v>0</v>
      </c>
      <c r="R3055">
        <v>0</v>
      </c>
      <c r="U3055">
        <v>0</v>
      </c>
      <c r="W3055">
        <v>0.5</v>
      </c>
      <c r="X3055" t="s">
        <v>565</v>
      </c>
      <c r="Y3055" t="s">
        <v>10886</v>
      </c>
      <c r="AA3055" t="s">
        <v>10974</v>
      </c>
      <c r="AD3055" t="s">
        <v>11110</v>
      </c>
      <c r="AF3055" t="s">
        <v>11120</v>
      </c>
      <c r="AH3055" t="s">
        <v>10975</v>
      </c>
      <c r="AJ3055" t="s">
        <v>11129</v>
      </c>
      <c r="AK3055" t="s">
        <v>7225</v>
      </c>
      <c r="AL3055" t="s">
        <v>11150</v>
      </c>
      <c r="AM3055">
        <v>0</v>
      </c>
      <c r="AO3055">
        <v>79</v>
      </c>
      <c r="AQ3055" t="s">
        <v>11157</v>
      </c>
      <c r="AS3055" t="s">
        <v>11174</v>
      </c>
      <c r="AU3055">
        <v>8</v>
      </c>
      <c r="AW3055" t="s">
        <v>11187</v>
      </c>
      <c r="AX3055" t="s">
        <v>11212</v>
      </c>
      <c r="BA3055" t="s">
        <v>11222</v>
      </c>
      <c r="BC3055" t="s">
        <v>11501</v>
      </c>
      <c r="BE3055" t="s">
        <v>13448</v>
      </c>
      <c r="BF3055" t="s">
        <v>14364</v>
      </c>
      <c r="BM3055" t="s">
        <v>15650</v>
      </c>
    </row>
    <row r="3056" spans="1:67">
      <c r="A3056" s="1">
        <f>HYPERLINK("https://lsnyc.legalserver.org/matter/dynamic-profile/view/1884708","18-1884708")</f>
        <v>0</v>
      </c>
      <c r="B3056" t="s">
        <v>181</v>
      </c>
      <c r="C3056" t="s">
        <v>246</v>
      </c>
      <c r="D3056" t="s">
        <v>446</v>
      </c>
      <c r="F3056" t="s">
        <v>1210</v>
      </c>
      <c r="G3056" t="s">
        <v>4150</v>
      </c>
      <c r="H3056" t="s">
        <v>5835</v>
      </c>
      <c r="I3056">
        <v>15</v>
      </c>
      <c r="J3056" t="s">
        <v>7170</v>
      </c>
      <c r="K3056">
        <v>10451</v>
      </c>
      <c r="N3056" t="s">
        <v>7241</v>
      </c>
      <c r="O3056" t="s">
        <v>9220</v>
      </c>
      <c r="P3056">
        <v>1</v>
      </c>
      <c r="Q3056">
        <v>0</v>
      </c>
      <c r="R3056">
        <v>207.58</v>
      </c>
      <c r="U3056">
        <v>25200</v>
      </c>
      <c r="V3056" t="s">
        <v>10560</v>
      </c>
      <c r="W3056">
        <v>4.95</v>
      </c>
      <c r="X3056" t="s">
        <v>272</v>
      </c>
      <c r="Y3056" t="s">
        <v>10867</v>
      </c>
      <c r="AA3056" t="s">
        <v>10974</v>
      </c>
      <c r="AB3056" t="s">
        <v>547</v>
      </c>
      <c r="AD3056" t="s">
        <v>11114</v>
      </c>
      <c r="AF3056" t="s">
        <v>11120</v>
      </c>
      <c r="AH3056" t="s">
        <v>10975</v>
      </c>
      <c r="AJ3056" t="s">
        <v>11129</v>
      </c>
      <c r="AK3056" t="s">
        <v>7225</v>
      </c>
      <c r="AM3056">
        <v>964</v>
      </c>
      <c r="AO3056">
        <v>17</v>
      </c>
      <c r="AQ3056" t="s">
        <v>11157</v>
      </c>
      <c r="AS3056" t="s">
        <v>11174</v>
      </c>
      <c r="AU3056">
        <v>7</v>
      </c>
      <c r="AW3056" t="s">
        <v>11189</v>
      </c>
      <c r="AZ3056" t="s">
        <v>11221</v>
      </c>
      <c r="BE3056" t="s">
        <v>13449</v>
      </c>
      <c r="BF3056" t="s">
        <v>14364</v>
      </c>
      <c r="BG3056" t="s">
        <v>11228</v>
      </c>
      <c r="BM3056" t="s">
        <v>15650</v>
      </c>
    </row>
    <row r="3057" spans="1:65">
      <c r="A3057" s="1">
        <f>HYPERLINK("https://lsnyc.legalserver.org/matter/dynamic-profile/view/1902219","19-1902219")</f>
        <v>0</v>
      </c>
      <c r="B3057" t="s">
        <v>181</v>
      </c>
      <c r="C3057" t="s">
        <v>246</v>
      </c>
      <c r="D3057" t="s">
        <v>629</v>
      </c>
      <c r="F3057" t="s">
        <v>1713</v>
      </c>
      <c r="G3057" t="s">
        <v>2884</v>
      </c>
      <c r="H3057" t="s">
        <v>5833</v>
      </c>
      <c r="I3057" t="s">
        <v>6609</v>
      </c>
      <c r="J3057" t="s">
        <v>7170</v>
      </c>
      <c r="K3057">
        <v>10456</v>
      </c>
      <c r="N3057" t="s">
        <v>7237</v>
      </c>
      <c r="O3057" t="s">
        <v>9218</v>
      </c>
      <c r="P3057">
        <v>2</v>
      </c>
      <c r="Q3057">
        <v>0</v>
      </c>
      <c r="R3057">
        <v>156.18</v>
      </c>
      <c r="U3057">
        <v>26410</v>
      </c>
      <c r="W3057">
        <v>1.5</v>
      </c>
      <c r="X3057" t="s">
        <v>272</v>
      </c>
      <c r="Y3057" t="s">
        <v>10886</v>
      </c>
      <c r="AA3057" t="s">
        <v>10974</v>
      </c>
      <c r="AB3057" t="s">
        <v>10979</v>
      </c>
      <c r="AD3057" t="s">
        <v>11098</v>
      </c>
      <c r="AF3057" t="s">
        <v>11120</v>
      </c>
      <c r="AH3057" t="s">
        <v>10975</v>
      </c>
      <c r="AJ3057" t="s">
        <v>11138</v>
      </c>
      <c r="AK3057" t="s">
        <v>7225</v>
      </c>
      <c r="AL3057" t="s">
        <v>11150</v>
      </c>
      <c r="AM3057">
        <v>0</v>
      </c>
      <c r="AO3057">
        <v>48</v>
      </c>
      <c r="AQ3057" t="s">
        <v>11157</v>
      </c>
      <c r="AS3057" t="s">
        <v>11181</v>
      </c>
      <c r="AT3057" t="s">
        <v>11184</v>
      </c>
      <c r="AU3057">
        <v>0</v>
      </c>
      <c r="AW3057" t="s">
        <v>11187</v>
      </c>
      <c r="BA3057" t="s">
        <v>11222</v>
      </c>
      <c r="BB3057" t="s">
        <v>11224</v>
      </c>
      <c r="BC3057" t="s">
        <v>11500</v>
      </c>
      <c r="BE3057" t="s">
        <v>13447</v>
      </c>
      <c r="BG3057" t="s">
        <v>15161</v>
      </c>
      <c r="BM3057" t="s">
        <v>15650</v>
      </c>
    </row>
    <row r="3058" spans="1:65">
      <c r="A3058" s="1">
        <f>HYPERLINK("https://lsnyc.legalserver.org/matter/dynamic-profile/view/1860718","18-1860718")</f>
        <v>0</v>
      </c>
      <c r="B3058" t="s">
        <v>182</v>
      </c>
      <c r="C3058" t="s">
        <v>248</v>
      </c>
      <c r="D3058" t="s">
        <v>289</v>
      </c>
      <c r="F3058" t="s">
        <v>1632</v>
      </c>
      <c r="G3058" t="s">
        <v>4151</v>
      </c>
      <c r="H3058" t="s">
        <v>5836</v>
      </c>
      <c r="I3058" t="s">
        <v>6947</v>
      </c>
      <c r="J3058" t="s">
        <v>7174</v>
      </c>
      <c r="K3058">
        <v>11235</v>
      </c>
      <c r="N3058" t="s">
        <v>7237</v>
      </c>
      <c r="O3058" t="s">
        <v>9221</v>
      </c>
      <c r="P3058">
        <v>2</v>
      </c>
      <c r="Q3058">
        <v>0</v>
      </c>
      <c r="R3058">
        <v>200.49</v>
      </c>
      <c r="U3058">
        <v>33000</v>
      </c>
      <c r="W3058">
        <v>22.7</v>
      </c>
      <c r="X3058" t="s">
        <v>731</v>
      </c>
      <c r="Y3058" t="s">
        <v>10909</v>
      </c>
      <c r="Z3058" t="s">
        <v>10972</v>
      </c>
      <c r="AA3058" t="s">
        <v>10975</v>
      </c>
      <c r="AD3058" t="s">
        <v>11082</v>
      </c>
      <c r="AF3058" t="s">
        <v>11118</v>
      </c>
      <c r="AH3058" t="s">
        <v>10975</v>
      </c>
      <c r="AJ3058" t="s">
        <v>11129</v>
      </c>
      <c r="AK3058" t="s">
        <v>7225</v>
      </c>
      <c r="AM3058">
        <v>1500</v>
      </c>
      <c r="AO3058">
        <v>5</v>
      </c>
      <c r="AQ3058" t="s">
        <v>11157</v>
      </c>
      <c r="AS3058" t="s">
        <v>11173</v>
      </c>
      <c r="AU3058">
        <v>2</v>
      </c>
      <c r="AW3058" t="s">
        <v>11187</v>
      </c>
      <c r="AX3058" t="s">
        <v>11212</v>
      </c>
      <c r="AZ3058" t="s">
        <v>11221</v>
      </c>
      <c r="BE3058" t="s">
        <v>13450</v>
      </c>
      <c r="BG3058" t="s">
        <v>15162</v>
      </c>
      <c r="BM3058" t="s">
        <v>15650</v>
      </c>
    </row>
    <row r="3059" spans="1:65">
      <c r="A3059" s="1">
        <f>HYPERLINK("https://lsnyc.legalserver.org/matter/dynamic-profile/view/1877384","18-1877384")</f>
        <v>0</v>
      </c>
      <c r="B3059" t="s">
        <v>182</v>
      </c>
      <c r="C3059" t="s">
        <v>248</v>
      </c>
      <c r="D3059" t="s">
        <v>284</v>
      </c>
      <c r="F3059" t="s">
        <v>2353</v>
      </c>
      <c r="G3059" t="s">
        <v>3961</v>
      </c>
      <c r="H3059" t="s">
        <v>5837</v>
      </c>
      <c r="I3059" t="s">
        <v>6420</v>
      </c>
      <c r="J3059" t="s">
        <v>7174</v>
      </c>
      <c r="K3059">
        <v>11212</v>
      </c>
      <c r="N3059" t="s">
        <v>7237</v>
      </c>
      <c r="O3059" t="s">
        <v>9222</v>
      </c>
      <c r="P3059">
        <v>1</v>
      </c>
      <c r="Q3059">
        <v>1</v>
      </c>
      <c r="R3059">
        <v>151.88</v>
      </c>
      <c r="U3059">
        <v>25000</v>
      </c>
      <c r="W3059">
        <v>11.25</v>
      </c>
      <c r="X3059" t="s">
        <v>345</v>
      </c>
      <c r="Y3059" t="s">
        <v>10902</v>
      </c>
      <c r="AA3059" t="s">
        <v>10974</v>
      </c>
      <c r="AB3059" t="s">
        <v>658</v>
      </c>
      <c r="AD3059" t="s">
        <v>11102</v>
      </c>
      <c r="AF3059" t="s">
        <v>11121</v>
      </c>
      <c r="AG3059" t="s">
        <v>11124</v>
      </c>
      <c r="AJ3059" t="s">
        <v>11138</v>
      </c>
      <c r="AK3059" t="s">
        <v>7225</v>
      </c>
      <c r="AM3059">
        <v>1600</v>
      </c>
      <c r="AO3059">
        <v>2</v>
      </c>
      <c r="AP3059" t="s">
        <v>11155</v>
      </c>
      <c r="AS3059" t="s">
        <v>11173</v>
      </c>
      <c r="AU3059">
        <v>2</v>
      </c>
      <c r="AW3059" t="s">
        <v>11187</v>
      </c>
      <c r="AZ3059" t="s">
        <v>11221</v>
      </c>
      <c r="BE3059" t="s">
        <v>13451</v>
      </c>
      <c r="BG3059" t="s">
        <v>15163</v>
      </c>
      <c r="BM3059" t="s">
        <v>15650</v>
      </c>
    </row>
    <row r="3060" spans="1:65">
      <c r="A3060" s="1">
        <f>HYPERLINK("https://lsnyc.legalserver.org/matter/dynamic-profile/view/1838569","17-1838569")</f>
        <v>0</v>
      </c>
      <c r="B3060" t="s">
        <v>182</v>
      </c>
      <c r="C3060" t="s">
        <v>248</v>
      </c>
      <c r="D3060" t="s">
        <v>807</v>
      </c>
      <c r="F3060" t="s">
        <v>2354</v>
      </c>
      <c r="G3060" t="s">
        <v>4152</v>
      </c>
      <c r="H3060" t="s">
        <v>5838</v>
      </c>
      <c r="I3060" t="s">
        <v>6655</v>
      </c>
      <c r="J3060" t="s">
        <v>7174</v>
      </c>
      <c r="K3060">
        <v>11220</v>
      </c>
      <c r="N3060" t="s">
        <v>7237</v>
      </c>
      <c r="O3060" t="s">
        <v>9223</v>
      </c>
      <c r="P3060">
        <v>1</v>
      </c>
      <c r="Q3060">
        <v>0</v>
      </c>
      <c r="R3060">
        <v>79.3</v>
      </c>
      <c r="S3060" t="s">
        <v>933</v>
      </c>
      <c r="U3060">
        <v>9564</v>
      </c>
      <c r="W3060">
        <v>68.23</v>
      </c>
      <c r="X3060" t="s">
        <v>731</v>
      </c>
      <c r="Y3060" t="s">
        <v>10954</v>
      </c>
      <c r="AA3060" t="s">
        <v>10974</v>
      </c>
      <c r="AB3060" t="s">
        <v>358</v>
      </c>
      <c r="AD3060" t="s">
        <v>11083</v>
      </c>
      <c r="AF3060" t="s">
        <v>11118</v>
      </c>
      <c r="AH3060" t="s">
        <v>10975</v>
      </c>
      <c r="AJ3060" t="s">
        <v>11138</v>
      </c>
      <c r="AK3060" t="s">
        <v>7225</v>
      </c>
      <c r="AL3060" t="s">
        <v>11150</v>
      </c>
      <c r="AM3060">
        <v>0</v>
      </c>
      <c r="AO3060">
        <v>391</v>
      </c>
      <c r="AQ3060" t="s">
        <v>11158</v>
      </c>
      <c r="AR3060" t="s">
        <v>11172</v>
      </c>
      <c r="AU3060">
        <v>10</v>
      </c>
      <c r="AW3060" t="s">
        <v>11194</v>
      </c>
      <c r="AZ3060" t="s">
        <v>11221</v>
      </c>
      <c r="BE3060" t="s">
        <v>13452</v>
      </c>
      <c r="BG3060" t="s">
        <v>15164</v>
      </c>
      <c r="BM3060" t="s">
        <v>15650</v>
      </c>
    </row>
    <row r="3061" spans="1:65">
      <c r="A3061" s="1">
        <f>HYPERLINK("https://lsnyc.legalserver.org/matter/dynamic-profile/view/0802051","16-0802051")</f>
        <v>0</v>
      </c>
      <c r="B3061" t="s">
        <v>182</v>
      </c>
      <c r="C3061" t="s">
        <v>248</v>
      </c>
      <c r="D3061" t="s">
        <v>969</v>
      </c>
      <c r="F3061" t="s">
        <v>2248</v>
      </c>
      <c r="G3061" t="s">
        <v>3384</v>
      </c>
      <c r="H3061" t="s">
        <v>5839</v>
      </c>
      <c r="I3061" t="s">
        <v>6583</v>
      </c>
      <c r="J3061" t="s">
        <v>7174</v>
      </c>
      <c r="K3061">
        <v>11225</v>
      </c>
      <c r="M3061" t="s">
        <v>7226</v>
      </c>
      <c r="N3061" t="s">
        <v>7237</v>
      </c>
      <c r="O3061" t="s">
        <v>9224</v>
      </c>
      <c r="P3061">
        <v>1</v>
      </c>
      <c r="Q3061">
        <v>0</v>
      </c>
      <c r="R3061">
        <v>65.66</v>
      </c>
      <c r="U3061">
        <v>7800</v>
      </c>
      <c r="W3061">
        <v>30.6</v>
      </c>
      <c r="X3061" t="s">
        <v>597</v>
      </c>
      <c r="Y3061" t="s">
        <v>10909</v>
      </c>
      <c r="AA3061" t="s">
        <v>10974</v>
      </c>
      <c r="AD3061" t="s">
        <v>11083</v>
      </c>
      <c r="AF3061" t="s">
        <v>11118</v>
      </c>
      <c r="AH3061" t="s">
        <v>10975</v>
      </c>
      <c r="AJ3061" t="s">
        <v>11136</v>
      </c>
      <c r="AK3061" t="s">
        <v>7225</v>
      </c>
      <c r="AM3061">
        <v>143</v>
      </c>
      <c r="AN3061" t="s">
        <v>11151</v>
      </c>
      <c r="AO3061" t="s">
        <v>11153</v>
      </c>
      <c r="AQ3061" t="s">
        <v>11160</v>
      </c>
      <c r="AR3061" t="s">
        <v>11172</v>
      </c>
      <c r="AU3061">
        <v>9</v>
      </c>
      <c r="AW3061" t="s">
        <v>11187</v>
      </c>
      <c r="AX3061" t="s">
        <v>11212</v>
      </c>
      <c r="BA3061" t="s">
        <v>11223</v>
      </c>
      <c r="BB3061" t="s">
        <v>11224</v>
      </c>
      <c r="BC3061" t="s">
        <v>11502</v>
      </c>
      <c r="BE3061" t="s">
        <v>13453</v>
      </c>
      <c r="BG3061" t="s">
        <v>15165</v>
      </c>
      <c r="BM3061" t="s">
        <v>15650</v>
      </c>
    </row>
    <row r="3062" spans="1:65">
      <c r="A3062" s="1">
        <f>HYPERLINK("https://lsnyc.legalserver.org/matter/dynamic-profile/view/0794454","15-0794454")</f>
        <v>0</v>
      </c>
      <c r="B3062" t="s">
        <v>182</v>
      </c>
      <c r="C3062" t="s">
        <v>248</v>
      </c>
      <c r="D3062" t="s">
        <v>970</v>
      </c>
      <c r="F3062" t="s">
        <v>2355</v>
      </c>
      <c r="G3062" t="s">
        <v>2962</v>
      </c>
      <c r="H3062" t="s">
        <v>5840</v>
      </c>
      <c r="I3062" t="s">
        <v>6948</v>
      </c>
      <c r="J3062" t="s">
        <v>7174</v>
      </c>
      <c r="K3062">
        <v>11208</v>
      </c>
      <c r="N3062" t="s">
        <v>7237</v>
      </c>
      <c r="O3062" t="s">
        <v>9225</v>
      </c>
      <c r="P3062">
        <v>1</v>
      </c>
      <c r="Q3062">
        <v>1</v>
      </c>
      <c r="R3062">
        <v>6.89</v>
      </c>
      <c r="U3062">
        <v>1098</v>
      </c>
      <c r="W3062">
        <v>85.3</v>
      </c>
      <c r="X3062" t="s">
        <v>272</v>
      </c>
      <c r="Y3062" t="s">
        <v>10874</v>
      </c>
      <c r="Z3062" t="s">
        <v>10973</v>
      </c>
      <c r="AA3062" t="s">
        <v>10975</v>
      </c>
      <c r="AB3062" t="s">
        <v>970</v>
      </c>
      <c r="AD3062" t="s">
        <v>11083</v>
      </c>
      <c r="AF3062" t="s">
        <v>11118</v>
      </c>
      <c r="AG3062" t="s">
        <v>11124</v>
      </c>
      <c r="AJ3062" t="s">
        <v>11136</v>
      </c>
      <c r="AK3062" t="s">
        <v>7225</v>
      </c>
      <c r="AM3062">
        <v>535</v>
      </c>
      <c r="AO3062">
        <v>36</v>
      </c>
      <c r="AP3062" t="s">
        <v>11155</v>
      </c>
      <c r="AR3062" t="s">
        <v>11172</v>
      </c>
      <c r="AU3062">
        <v>30</v>
      </c>
      <c r="AW3062" t="s">
        <v>11187</v>
      </c>
      <c r="AZ3062" t="s">
        <v>11221</v>
      </c>
      <c r="BE3062" t="s">
        <v>13454</v>
      </c>
      <c r="BG3062" t="s">
        <v>15166</v>
      </c>
      <c r="BM3062" t="s">
        <v>15650</v>
      </c>
    </row>
    <row r="3063" spans="1:65">
      <c r="A3063" s="1">
        <f>HYPERLINK("https://lsnyc.legalserver.org/matter/dynamic-profile/view/1901186","19-1901186")</f>
        <v>0</v>
      </c>
      <c r="B3063" t="s">
        <v>183</v>
      </c>
      <c r="C3063" t="s">
        <v>245</v>
      </c>
      <c r="D3063" t="s">
        <v>287</v>
      </c>
      <c r="F3063" t="s">
        <v>2356</v>
      </c>
      <c r="G3063" t="s">
        <v>3032</v>
      </c>
      <c r="H3063" t="s">
        <v>5841</v>
      </c>
      <c r="I3063" t="s">
        <v>6419</v>
      </c>
      <c r="J3063" t="s">
        <v>7169</v>
      </c>
      <c r="K3063">
        <v>10036</v>
      </c>
      <c r="N3063" t="s">
        <v>7237</v>
      </c>
      <c r="O3063" t="s">
        <v>9226</v>
      </c>
      <c r="P3063">
        <v>3</v>
      </c>
      <c r="Q3063">
        <v>1</v>
      </c>
      <c r="R3063">
        <v>169.92</v>
      </c>
      <c r="U3063">
        <v>43754</v>
      </c>
      <c r="W3063">
        <v>13</v>
      </c>
      <c r="X3063" t="s">
        <v>426</v>
      </c>
      <c r="Y3063" t="s">
        <v>10885</v>
      </c>
      <c r="AA3063" t="s">
        <v>10974</v>
      </c>
      <c r="AB3063" t="s">
        <v>287</v>
      </c>
      <c r="AD3063" t="s">
        <v>11082</v>
      </c>
      <c r="AF3063" t="s">
        <v>11121</v>
      </c>
      <c r="AH3063" t="s">
        <v>10975</v>
      </c>
      <c r="AJ3063" t="s">
        <v>11138</v>
      </c>
      <c r="AK3063" t="s">
        <v>7225</v>
      </c>
      <c r="AM3063">
        <v>898</v>
      </c>
      <c r="AN3063" t="s">
        <v>11151</v>
      </c>
      <c r="AO3063" t="s">
        <v>11153</v>
      </c>
      <c r="AQ3063" t="s">
        <v>11162</v>
      </c>
      <c r="AS3063" t="s">
        <v>11174</v>
      </c>
      <c r="AU3063">
        <v>39</v>
      </c>
      <c r="AW3063" t="s">
        <v>11187</v>
      </c>
      <c r="BA3063" t="s">
        <v>11222</v>
      </c>
      <c r="BE3063" t="s">
        <v>13455</v>
      </c>
      <c r="BG3063" t="s">
        <v>15167</v>
      </c>
      <c r="BM3063" t="s">
        <v>15650</v>
      </c>
    </row>
    <row r="3064" spans="1:65">
      <c r="A3064" s="1">
        <f>HYPERLINK("https://lsnyc.legalserver.org/matter/dynamic-profile/view/0799507","16-0799507")</f>
        <v>0</v>
      </c>
      <c r="B3064" t="s">
        <v>184</v>
      </c>
      <c r="C3064" t="s">
        <v>248</v>
      </c>
      <c r="D3064" t="s">
        <v>971</v>
      </c>
      <c r="F3064" t="s">
        <v>2357</v>
      </c>
      <c r="G3064" t="s">
        <v>3333</v>
      </c>
      <c r="H3064" t="s">
        <v>5842</v>
      </c>
      <c r="I3064" t="s">
        <v>6482</v>
      </c>
      <c r="J3064" t="s">
        <v>7174</v>
      </c>
      <c r="K3064">
        <v>11233</v>
      </c>
      <c r="N3064" t="s">
        <v>7237</v>
      </c>
      <c r="O3064" t="s">
        <v>9073</v>
      </c>
      <c r="P3064">
        <v>2</v>
      </c>
      <c r="Q3064">
        <v>1</v>
      </c>
      <c r="R3064">
        <v>117.62</v>
      </c>
      <c r="U3064">
        <v>23712</v>
      </c>
      <c r="W3064">
        <v>22.2</v>
      </c>
      <c r="X3064" t="s">
        <v>497</v>
      </c>
      <c r="Y3064" t="s">
        <v>209</v>
      </c>
      <c r="AA3064" t="s">
        <v>10974</v>
      </c>
      <c r="AB3064" t="s">
        <v>11060</v>
      </c>
      <c r="AD3064" t="s">
        <v>11115</v>
      </c>
      <c r="AF3064" t="s">
        <v>11118</v>
      </c>
      <c r="AH3064" t="s">
        <v>10974</v>
      </c>
      <c r="AJ3064" t="s">
        <v>11129</v>
      </c>
      <c r="AK3064" t="s">
        <v>7225</v>
      </c>
      <c r="AM3064">
        <v>950</v>
      </c>
      <c r="AN3064" t="s">
        <v>11151</v>
      </c>
      <c r="AO3064" t="s">
        <v>11153</v>
      </c>
      <c r="AQ3064" t="s">
        <v>11157</v>
      </c>
      <c r="AR3064" t="s">
        <v>11172</v>
      </c>
      <c r="AU3064">
        <v>5</v>
      </c>
      <c r="AW3064" t="s">
        <v>11187</v>
      </c>
      <c r="AZ3064" t="s">
        <v>11221</v>
      </c>
      <c r="BE3064" t="s">
        <v>13456</v>
      </c>
      <c r="BF3064" t="s">
        <v>14364</v>
      </c>
      <c r="BG3064" t="s">
        <v>15168</v>
      </c>
      <c r="BM3064" t="s">
        <v>15650</v>
      </c>
    </row>
    <row r="3065" spans="1:65">
      <c r="A3065" s="1">
        <f>HYPERLINK("https://lsnyc.legalserver.org/matter/dynamic-profile/view/1867072","18-1867072")</f>
        <v>0</v>
      </c>
      <c r="B3065" t="s">
        <v>184</v>
      </c>
      <c r="C3065" t="s">
        <v>248</v>
      </c>
      <c r="D3065" t="s">
        <v>261</v>
      </c>
      <c r="F3065" t="s">
        <v>2358</v>
      </c>
      <c r="G3065" t="s">
        <v>4153</v>
      </c>
      <c r="H3065" t="s">
        <v>5036</v>
      </c>
      <c r="I3065" t="s">
        <v>6909</v>
      </c>
      <c r="J3065" t="s">
        <v>7174</v>
      </c>
      <c r="K3065">
        <v>11230</v>
      </c>
      <c r="N3065" t="s">
        <v>7237</v>
      </c>
      <c r="O3065" t="s">
        <v>9227</v>
      </c>
      <c r="P3065">
        <v>3</v>
      </c>
      <c r="Q3065">
        <v>0</v>
      </c>
      <c r="R3065">
        <v>82.36</v>
      </c>
      <c r="U3065">
        <v>17113.94</v>
      </c>
      <c r="W3065">
        <v>105.02</v>
      </c>
      <c r="X3065" t="s">
        <v>800</v>
      </c>
      <c r="Y3065" t="s">
        <v>10909</v>
      </c>
      <c r="AA3065" t="s">
        <v>10974</v>
      </c>
      <c r="AB3065" t="s">
        <v>939</v>
      </c>
      <c r="AD3065" t="s">
        <v>11083</v>
      </c>
      <c r="AF3065" t="s">
        <v>11118</v>
      </c>
      <c r="AH3065" t="s">
        <v>10975</v>
      </c>
      <c r="AJ3065" t="s">
        <v>11141</v>
      </c>
      <c r="AK3065" t="s">
        <v>7225</v>
      </c>
      <c r="AM3065">
        <v>852.52</v>
      </c>
      <c r="AO3065">
        <v>60</v>
      </c>
      <c r="AQ3065" t="s">
        <v>11157</v>
      </c>
      <c r="AS3065" t="s">
        <v>11173</v>
      </c>
      <c r="AU3065">
        <v>29</v>
      </c>
      <c r="AW3065" t="s">
        <v>11187</v>
      </c>
      <c r="AZ3065" t="s">
        <v>11221</v>
      </c>
      <c r="BE3065" t="s">
        <v>13457</v>
      </c>
      <c r="BG3065" t="s">
        <v>15169</v>
      </c>
      <c r="BM3065" t="s">
        <v>15650</v>
      </c>
    </row>
    <row r="3066" spans="1:65">
      <c r="A3066" s="1">
        <f>HYPERLINK("https://lsnyc.legalserver.org/matter/dynamic-profile/view/0799515","16-0799515")</f>
        <v>0</v>
      </c>
      <c r="B3066" t="s">
        <v>184</v>
      </c>
      <c r="C3066" t="s">
        <v>248</v>
      </c>
      <c r="D3066" t="s">
        <v>971</v>
      </c>
      <c r="F3066" t="s">
        <v>2359</v>
      </c>
      <c r="G3066" t="s">
        <v>3233</v>
      </c>
      <c r="H3066" t="s">
        <v>5842</v>
      </c>
      <c r="I3066" t="s">
        <v>6620</v>
      </c>
      <c r="J3066" t="s">
        <v>7174</v>
      </c>
      <c r="K3066">
        <v>11233</v>
      </c>
      <c r="M3066" t="s">
        <v>7226</v>
      </c>
      <c r="N3066" t="s">
        <v>7237</v>
      </c>
      <c r="O3066" t="s">
        <v>9228</v>
      </c>
      <c r="P3066">
        <v>1</v>
      </c>
      <c r="Q3066">
        <v>1</v>
      </c>
      <c r="R3066">
        <v>227.22</v>
      </c>
      <c r="S3066" t="s">
        <v>10255</v>
      </c>
      <c r="U3066">
        <v>36400</v>
      </c>
      <c r="W3066">
        <v>65.09999999999999</v>
      </c>
      <c r="X3066" t="s">
        <v>497</v>
      </c>
      <c r="Y3066" t="s">
        <v>209</v>
      </c>
      <c r="AA3066" t="s">
        <v>10974</v>
      </c>
      <c r="AB3066" t="s">
        <v>871</v>
      </c>
      <c r="AD3066" t="s">
        <v>11115</v>
      </c>
      <c r="AF3066" t="s">
        <v>11118</v>
      </c>
      <c r="AG3066" t="s">
        <v>11124</v>
      </c>
      <c r="AJ3066" t="s">
        <v>11129</v>
      </c>
      <c r="AK3066" t="s">
        <v>7225</v>
      </c>
      <c r="AM3066">
        <v>950</v>
      </c>
      <c r="AO3066">
        <v>8</v>
      </c>
      <c r="AQ3066" t="s">
        <v>11157</v>
      </c>
      <c r="AR3066" t="s">
        <v>11172</v>
      </c>
      <c r="AU3066">
        <v>6</v>
      </c>
      <c r="AW3066" t="s">
        <v>11187</v>
      </c>
      <c r="AZ3066" t="s">
        <v>11221</v>
      </c>
      <c r="BE3066" t="s">
        <v>13458</v>
      </c>
      <c r="BF3066" t="s">
        <v>14364</v>
      </c>
      <c r="BM3066" t="s">
        <v>15650</v>
      </c>
    </row>
    <row r="3067" spans="1:65">
      <c r="A3067" s="1">
        <f>HYPERLINK("https://lsnyc.legalserver.org/matter/dynamic-profile/view/0808322","16-0808322")</f>
        <v>0</v>
      </c>
      <c r="B3067" t="s">
        <v>184</v>
      </c>
      <c r="C3067" t="s">
        <v>248</v>
      </c>
      <c r="D3067" t="s">
        <v>972</v>
      </c>
      <c r="F3067" t="s">
        <v>2360</v>
      </c>
      <c r="G3067" t="s">
        <v>3047</v>
      </c>
      <c r="H3067" t="s">
        <v>5843</v>
      </c>
      <c r="I3067">
        <v>5</v>
      </c>
      <c r="J3067" t="s">
        <v>7174</v>
      </c>
      <c r="K3067">
        <v>11216</v>
      </c>
      <c r="M3067" t="s">
        <v>7226</v>
      </c>
      <c r="N3067" t="s">
        <v>7237</v>
      </c>
      <c r="O3067" t="s">
        <v>9229</v>
      </c>
      <c r="P3067">
        <v>1</v>
      </c>
      <c r="Q3067">
        <v>0</v>
      </c>
      <c r="R3067">
        <v>0</v>
      </c>
      <c r="U3067">
        <v>0</v>
      </c>
      <c r="W3067">
        <v>109.65</v>
      </c>
      <c r="X3067" t="s">
        <v>636</v>
      </c>
      <c r="Y3067" t="s">
        <v>10909</v>
      </c>
      <c r="AA3067" t="s">
        <v>10974</v>
      </c>
      <c r="AB3067" t="s">
        <v>10982</v>
      </c>
      <c r="AD3067" t="s">
        <v>11083</v>
      </c>
      <c r="AF3067" t="s">
        <v>11118</v>
      </c>
      <c r="AG3067" t="s">
        <v>11124</v>
      </c>
      <c r="AJ3067" t="s">
        <v>11141</v>
      </c>
      <c r="AK3067" t="s">
        <v>7225</v>
      </c>
      <c r="AM3067">
        <v>877.6799999999999</v>
      </c>
      <c r="AO3067">
        <v>16</v>
      </c>
      <c r="AQ3067" t="s">
        <v>11157</v>
      </c>
      <c r="AS3067" t="s">
        <v>11173</v>
      </c>
      <c r="AU3067">
        <v>14</v>
      </c>
      <c r="AW3067" t="s">
        <v>11187</v>
      </c>
      <c r="AZ3067" t="s">
        <v>11221</v>
      </c>
      <c r="BE3067" t="s">
        <v>13459</v>
      </c>
      <c r="BG3067" t="s">
        <v>15170</v>
      </c>
      <c r="BM3067" t="s">
        <v>15650</v>
      </c>
    </row>
    <row r="3068" spans="1:65">
      <c r="A3068" s="1">
        <f>HYPERLINK("https://lsnyc.legalserver.org/matter/dynamic-profile/view/0799511","16-0799511")</f>
        <v>0</v>
      </c>
      <c r="B3068" t="s">
        <v>184</v>
      </c>
      <c r="C3068" t="s">
        <v>248</v>
      </c>
      <c r="D3068" t="s">
        <v>971</v>
      </c>
      <c r="F3068" t="s">
        <v>1625</v>
      </c>
      <c r="G3068" t="s">
        <v>3333</v>
      </c>
      <c r="H3068" t="s">
        <v>5842</v>
      </c>
      <c r="I3068" t="s">
        <v>6949</v>
      </c>
      <c r="J3068" t="s">
        <v>7174</v>
      </c>
      <c r="K3068">
        <v>11233</v>
      </c>
      <c r="N3068" t="s">
        <v>7237</v>
      </c>
      <c r="O3068" t="s">
        <v>9230</v>
      </c>
      <c r="P3068">
        <v>1</v>
      </c>
      <c r="Q3068">
        <v>0</v>
      </c>
      <c r="R3068">
        <v>81.11</v>
      </c>
      <c r="U3068">
        <v>9636</v>
      </c>
      <c r="W3068">
        <v>11.3</v>
      </c>
      <c r="X3068" t="s">
        <v>497</v>
      </c>
      <c r="Y3068" t="s">
        <v>209</v>
      </c>
      <c r="Z3068" t="s">
        <v>10972</v>
      </c>
      <c r="AA3068" t="s">
        <v>10976</v>
      </c>
      <c r="AB3068" t="s">
        <v>984</v>
      </c>
      <c r="AD3068" t="s">
        <v>11115</v>
      </c>
      <c r="AF3068" t="s">
        <v>11118</v>
      </c>
      <c r="AG3068" t="s">
        <v>11124</v>
      </c>
      <c r="AJ3068" t="s">
        <v>11129</v>
      </c>
      <c r="AK3068" t="s">
        <v>7225</v>
      </c>
      <c r="AM3068">
        <v>450</v>
      </c>
      <c r="AN3068" t="s">
        <v>11151</v>
      </c>
      <c r="AO3068" t="s">
        <v>11153</v>
      </c>
      <c r="AQ3068" t="s">
        <v>11157</v>
      </c>
      <c r="AR3068" t="s">
        <v>11172</v>
      </c>
      <c r="AU3068">
        <v>4</v>
      </c>
      <c r="AW3068" t="s">
        <v>11187</v>
      </c>
      <c r="AZ3068" t="s">
        <v>11221</v>
      </c>
      <c r="BE3068" t="s">
        <v>13460</v>
      </c>
      <c r="BF3068" t="s">
        <v>14364</v>
      </c>
      <c r="BG3068" t="s">
        <v>15171</v>
      </c>
      <c r="BM3068" t="s">
        <v>15650</v>
      </c>
    </row>
    <row r="3069" spans="1:65">
      <c r="A3069" s="1">
        <f>HYPERLINK("https://lsnyc.legalserver.org/matter/dynamic-profile/view/0791421","15-0791421")</f>
        <v>0</v>
      </c>
      <c r="B3069" t="s">
        <v>185</v>
      </c>
      <c r="C3069" t="s">
        <v>246</v>
      </c>
      <c r="D3069" t="s">
        <v>973</v>
      </c>
      <c r="E3069" t="s">
        <v>638</v>
      </c>
      <c r="F3069" t="s">
        <v>2361</v>
      </c>
      <c r="G3069" t="s">
        <v>3162</v>
      </c>
      <c r="H3069" t="s">
        <v>5844</v>
      </c>
      <c r="I3069">
        <v>18</v>
      </c>
      <c r="J3069" t="s">
        <v>7170</v>
      </c>
      <c r="K3069">
        <v>10453</v>
      </c>
      <c r="L3069" t="s">
        <v>7222</v>
      </c>
      <c r="N3069" t="s">
        <v>7237</v>
      </c>
      <c r="O3069" t="s">
        <v>9231</v>
      </c>
      <c r="P3069">
        <v>1</v>
      </c>
      <c r="Q3069">
        <v>0</v>
      </c>
      <c r="R3069">
        <v>93.59</v>
      </c>
      <c r="U3069">
        <v>11016</v>
      </c>
      <c r="W3069">
        <v>20.7</v>
      </c>
      <c r="X3069" t="s">
        <v>638</v>
      </c>
      <c r="Y3069" t="s">
        <v>10888</v>
      </c>
      <c r="AA3069" t="s">
        <v>10974</v>
      </c>
      <c r="AB3069" t="s">
        <v>942</v>
      </c>
      <c r="AD3069" t="s">
        <v>11100</v>
      </c>
      <c r="AF3069" t="s">
        <v>11120</v>
      </c>
      <c r="AH3069" t="s">
        <v>10975</v>
      </c>
      <c r="AJ3069" t="s">
        <v>11147</v>
      </c>
      <c r="AK3069" t="s">
        <v>7225</v>
      </c>
      <c r="AM3069">
        <v>1126</v>
      </c>
      <c r="AO3069">
        <v>21</v>
      </c>
      <c r="AQ3069" t="s">
        <v>11157</v>
      </c>
      <c r="AR3069" t="s">
        <v>11172</v>
      </c>
      <c r="AU3069">
        <v>6</v>
      </c>
      <c r="AW3069" t="s">
        <v>11187</v>
      </c>
      <c r="AZ3069" t="s">
        <v>11221</v>
      </c>
      <c r="BB3069" t="s">
        <v>11224</v>
      </c>
      <c r="BC3069">
        <v>10147704</v>
      </c>
      <c r="BE3069" t="s">
        <v>13461</v>
      </c>
      <c r="BF3069" t="s">
        <v>14364</v>
      </c>
      <c r="BM3069" t="s">
        <v>15651</v>
      </c>
    </row>
    <row r="3070" spans="1:65">
      <c r="A3070" s="1">
        <f>HYPERLINK("https://lsnyc.legalserver.org/matter/dynamic-profile/view/1889795","19-1889795")</f>
        <v>0</v>
      </c>
      <c r="B3070" t="s">
        <v>186</v>
      </c>
      <c r="C3070" t="s">
        <v>249</v>
      </c>
      <c r="D3070" t="s">
        <v>874</v>
      </c>
      <c r="F3070" t="s">
        <v>1122</v>
      </c>
      <c r="G3070" t="s">
        <v>2956</v>
      </c>
      <c r="H3070" t="s">
        <v>5845</v>
      </c>
      <c r="I3070" t="s">
        <v>6950</v>
      </c>
      <c r="J3070" t="s">
        <v>7179</v>
      </c>
      <c r="K3070">
        <v>10310</v>
      </c>
      <c r="N3070" t="s">
        <v>7237</v>
      </c>
      <c r="O3070" t="s">
        <v>9232</v>
      </c>
      <c r="P3070">
        <v>2</v>
      </c>
      <c r="Q3070">
        <v>0</v>
      </c>
      <c r="R3070">
        <v>0</v>
      </c>
      <c r="U3070">
        <v>0</v>
      </c>
      <c r="W3070">
        <v>6.35</v>
      </c>
      <c r="X3070" t="s">
        <v>373</v>
      </c>
      <c r="Y3070" t="s">
        <v>10895</v>
      </c>
      <c r="Z3070" t="s">
        <v>10972</v>
      </c>
      <c r="AA3070" t="s">
        <v>10976</v>
      </c>
      <c r="AC3070" t="s">
        <v>11081</v>
      </c>
      <c r="AE3070" t="s">
        <v>11117</v>
      </c>
      <c r="AG3070" t="s">
        <v>11124</v>
      </c>
      <c r="AI3070" t="s">
        <v>11126</v>
      </c>
      <c r="AK3070" t="s">
        <v>7225</v>
      </c>
      <c r="AL3070" t="s">
        <v>11150</v>
      </c>
      <c r="AM3070">
        <v>0</v>
      </c>
      <c r="AN3070" t="s">
        <v>11151</v>
      </c>
      <c r="AO3070" t="s">
        <v>11153</v>
      </c>
      <c r="AP3070" t="s">
        <v>11155</v>
      </c>
      <c r="AR3070" t="s">
        <v>11172</v>
      </c>
      <c r="AT3070" t="s">
        <v>11184</v>
      </c>
      <c r="AU3070">
        <v>0</v>
      </c>
      <c r="AW3070" t="s">
        <v>11189</v>
      </c>
      <c r="AX3070" t="s">
        <v>11212</v>
      </c>
      <c r="AZ3070" t="s">
        <v>11221</v>
      </c>
      <c r="BE3070" t="s">
        <v>13462</v>
      </c>
      <c r="BF3070" t="s">
        <v>14364</v>
      </c>
      <c r="BM3070" t="s">
        <v>15650</v>
      </c>
    </row>
    <row r="3071" spans="1:65">
      <c r="A3071" s="1">
        <f>HYPERLINK("https://lsnyc.legalserver.org/matter/dynamic-profile/view/1915735","19-1915735")</f>
        <v>0</v>
      </c>
      <c r="B3071" t="s">
        <v>186</v>
      </c>
      <c r="C3071" t="s">
        <v>249</v>
      </c>
      <c r="D3071" t="s">
        <v>638</v>
      </c>
      <c r="F3071" t="s">
        <v>1262</v>
      </c>
      <c r="G3071" t="s">
        <v>3680</v>
      </c>
      <c r="H3071" t="s">
        <v>4946</v>
      </c>
      <c r="I3071">
        <v>601</v>
      </c>
      <c r="J3071" t="s">
        <v>7179</v>
      </c>
      <c r="K3071">
        <v>10304</v>
      </c>
      <c r="N3071" t="s">
        <v>7237</v>
      </c>
      <c r="O3071" t="s">
        <v>9233</v>
      </c>
      <c r="P3071">
        <v>1</v>
      </c>
      <c r="Q3071">
        <v>0</v>
      </c>
      <c r="R3071">
        <v>79.65000000000001</v>
      </c>
      <c r="U3071">
        <v>9948</v>
      </c>
      <c r="W3071">
        <v>0</v>
      </c>
      <c r="Y3071" t="s">
        <v>10881</v>
      </c>
      <c r="Z3071" t="s">
        <v>10972</v>
      </c>
      <c r="AA3071" t="s">
        <v>10976</v>
      </c>
      <c r="AD3071" t="s">
        <v>11082</v>
      </c>
      <c r="AE3071" t="s">
        <v>11117</v>
      </c>
      <c r="AH3071" t="s">
        <v>10975</v>
      </c>
      <c r="AJ3071" t="s">
        <v>11135</v>
      </c>
      <c r="AK3071" t="s">
        <v>7225</v>
      </c>
      <c r="AM3071">
        <v>264</v>
      </c>
      <c r="AN3071" t="s">
        <v>11151</v>
      </c>
      <c r="AO3071" t="s">
        <v>11153</v>
      </c>
      <c r="AP3071" t="s">
        <v>11155</v>
      </c>
      <c r="AS3071" t="s">
        <v>11173</v>
      </c>
      <c r="AU3071">
        <v>9</v>
      </c>
      <c r="AW3071" t="s">
        <v>11187</v>
      </c>
      <c r="AX3071" t="s">
        <v>11212</v>
      </c>
      <c r="AZ3071" t="s">
        <v>11221</v>
      </c>
      <c r="BE3071" t="s">
        <v>13463</v>
      </c>
      <c r="BG3071" t="s">
        <v>15172</v>
      </c>
      <c r="BM3071" t="s">
        <v>15650</v>
      </c>
    </row>
    <row r="3072" spans="1:65">
      <c r="A3072" s="1">
        <f>HYPERLINK("https://lsnyc.legalserver.org/matter/dynamic-profile/view/1883713","18-1883713")</f>
        <v>0</v>
      </c>
      <c r="B3072" t="s">
        <v>186</v>
      </c>
      <c r="C3072" t="s">
        <v>249</v>
      </c>
      <c r="D3072" t="s">
        <v>958</v>
      </c>
      <c r="F3072" t="s">
        <v>2362</v>
      </c>
      <c r="G3072" t="s">
        <v>4154</v>
      </c>
      <c r="H3072" t="s">
        <v>5846</v>
      </c>
      <c r="I3072" t="s">
        <v>6413</v>
      </c>
      <c r="J3072" t="s">
        <v>7179</v>
      </c>
      <c r="K3072">
        <v>10304</v>
      </c>
      <c r="N3072" t="s">
        <v>7237</v>
      </c>
      <c r="O3072" t="s">
        <v>9234</v>
      </c>
      <c r="P3072">
        <v>1</v>
      </c>
      <c r="Q3072">
        <v>0</v>
      </c>
      <c r="R3072">
        <v>0</v>
      </c>
      <c r="S3072" t="s">
        <v>10254</v>
      </c>
      <c r="T3072" t="s">
        <v>10275</v>
      </c>
      <c r="U3072">
        <v>0</v>
      </c>
      <c r="W3072">
        <v>1.5</v>
      </c>
      <c r="X3072" t="s">
        <v>668</v>
      </c>
      <c r="Y3072" t="s">
        <v>124</v>
      </c>
      <c r="AA3072" t="s">
        <v>10974</v>
      </c>
      <c r="AC3072" t="s">
        <v>11081</v>
      </c>
      <c r="AE3072" t="s">
        <v>11117</v>
      </c>
      <c r="AH3072" t="s">
        <v>10975</v>
      </c>
      <c r="AJ3072" t="s">
        <v>11133</v>
      </c>
      <c r="AK3072" t="s">
        <v>11149</v>
      </c>
      <c r="AL3072" t="s">
        <v>11150</v>
      </c>
      <c r="AM3072">
        <v>0</v>
      </c>
      <c r="AN3072" t="s">
        <v>11151</v>
      </c>
      <c r="AO3072" t="s">
        <v>11153</v>
      </c>
      <c r="AQ3072" t="s">
        <v>11164</v>
      </c>
      <c r="AS3072" t="s">
        <v>11174</v>
      </c>
      <c r="AT3072" t="s">
        <v>11184</v>
      </c>
      <c r="AU3072">
        <v>0</v>
      </c>
      <c r="AV3072" t="s">
        <v>11186</v>
      </c>
      <c r="AY3072" t="s">
        <v>11213</v>
      </c>
      <c r="AZ3072" t="s">
        <v>11221</v>
      </c>
      <c r="BE3072" t="s">
        <v>13464</v>
      </c>
      <c r="BF3072" t="s">
        <v>14364</v>
      </c>
      <c r="BM3072" t="s">
        <v>15650</v>
      </c>
    </row>
    <row r="3073" spans="1:65">
      <c r="A3073" s="1">
        <f>HYPERLINK("https://lsnyc.legalserver.org/matter/dynamic-profile/view/1914554","19-1914554")</f>
        <v>0</v>
      </c>
      <c r="B3073" t="s">
        <v>186</v>
      </c>
      <c r="C3073" t="s">
        <v>249</v>
      </c>
      <c r="D3073" t="s">
        <v>426</v>
      </c>
      <c r="F3073" t="s">
        <v>2363</v>
      </c>
      <c r="G3073" t="s">
        <v>4155</v>
      </c>
      <c r="H3073" t="s">
        <v>5360</v>
      </c>
      <c r="I3073" t="s">
        <v>6951</v>
      </c>
      <c r="J3073" t="s">
        <v>7179</v>
      </c>
      <c r="K3073">
        <v>10304</v>
      </c>
      <c r="N3073" t="s">
        <v>7241</v>
      </c>
      <c r="O3073" t="s">
        <v>9235</v>
      </c>
      <c r="P3073">
        <v>1</v>
      </c>
      <c r="Q3073">
        <v>6</v>
      </c>
      <c r="R3073">
        <v>90.64</v>
      </c>
      <c r="U3073">
        <v>35360.04</v>
      </c>
      <c r="W3073">
        <v>4</v>
      </c>
      <c r="X3073" t="s">
        <v>264</v>
      </c>
      <c r="Y3073" t="s">
        <v>10881</v>
      </c>
      <c r="Z3073" t="s">
        <v>10972</v>
      </c>
      <c r="AA3073" t="s">
        <v>10976</v>
      </c>
      <c r="AD3073" t="s">
        <v>11083</v>
      </c>
      <c r="AE3073" t="s">
        <v>11117</v>
      </c>
      <c r="AH3073" t="s">
        <v>10975</v>
      </c>
      <c r="AJ3073" t="s">
        <v>11135</v>
      </c>
      <c r="AK3073" t="s">
        <v>7225</v>
      </c>
      <c r="AM3073">
        <v>1380</v>
      </c>
      <c r="AN3073" t="s">
        <v>11151</v>
      </c>
      <c r="AO3073" t="s">
        <v>11153</v>
      </c>
      <c r="AQ3073" t="s">
        <v>11162</v>
      </c>
      <c r="AS3073" t="s">
        <v>11173</v>
      </c>
      <c r="AU3073">
        <v>9</v>
      </c>
      <c r="AW3073" t="s">
        <v>11187</v>
      </c>
      <c r="AX3073" t="s">
        <v>11212</v>
      </c>
      <c r="AZ3073" t="s">
        <v>11221</v>
      </c>
      <c r="BE3073" t="s">
        <v>13465</v>
      </c>
      <c r="BF3073" t="s">
        <v>14364</v>
      </c>
      <c r="BG3073" t="s">
        <v>15173</v>
      </c>
      <c r="BM3073" t="s">
        <v>15650</v>
      </c>
    </row>
    <row r="3074" spans="1:65">
      <c r="A3074" s="1">
        <f>HYPERLINK("https://lsnyc.legalserver.org/matter/dynamic-profile/view/1911141","19-1911141")</f>
        <v>0</v>
      </c>
      <c r="B3074" t="s">
        <v>186</v>
      </c>
      <c r="C3074" t="s">
        <v>249</v>
      </c>
      <c r="D3074" t="s">
        <v>599</v>
      </c>
      <c r="F3074" t="s">
        <v>2364</v>
      </c>
      <c r="G3074" t="s">
        <v>4156</v>
      </c>
      <c r="H3074" t="s">
        <v>5847</v>
      </c>
      <c r="I3074">
        <v>1</v>
      </c>
      <c r="J3074" t="s">
        <v>7179</v>
      </c>
      <c r="K3074">
        <v>10301</v>
      </c>
      <c r="N3074" t="s">
        <v>7237</v>
      </c>
      <c r="O3074" t="s">
        <v>9236</v>
      </c>
      <c r="P3074">
        <v>1</v>
      </c>
      <c r="Q3074">
        <v>2</v>
      </c>
      <c r="R3074">
        <v>84.39</v>
      </c>
      <c r="U3074">
        <v>18000</v>
      </c>
      <c r="W3074">
        <v>3</v>
      </c>
      <c r="X3074" t="s">
        <v>801</v>
      </c>
      <c r="Y3074" t="s">
        <v>10881</v>
      </c>
      <c r="Z3074" t="s">
        <v>10972</v>
      </c>
      <c r="AA3074" t="s">
        <v>10976</v>
      </c>
      <c r="AD3074" t="s">
        <v>11082</v>
      </c>
      <c r="AE3074" t="s">
        <v>11117</v>
      </c>
      <c r="AH3074" t="s">
        <v>10975</v>
      </c>
      <c r="AJ3074" t="s">
        <v>11129</v>
      </c>
      <c r="AK3074" t="s">
        <v>7225</v>
      </c>
      <c r="AM3074">
        <v>1557</v>
      </c>
      <c r="AO3074">
        <v>2</v>
      </c>
      <c r="AQ3074" t="s">
        <v>11156</v>
      </c>
      <c r="AS3074" t="s">
        <v>11180</v>
      </c>
      <c r="AU3074">
        <v>5</v>
      </c>
      <c r="AW3074" t="s">
        <v>11187</v>
      </c>
      <c r="AY3074" t="s">
        <v>11213</v>
      </c>
      <c r="AZ3074" t="s">
        <v>11221</v>
      </c>
      <c r="BE3074" t="s">
        <v>13466</v>
      </c>
      <c r="BG3074" t="s">
        <v>15174</v>
      </c>
      <c r="BM3074" t="s">
        <v>15650</v>
      </c>
    </row>
    <row r="3075" spans="1:65">
      <c r="A3075" s="1">
        <f>HYPERLINK("https://lsnyc.legalserver.org/matter/dynamic-profile/view/1909476","19-1909476")</f>
        <v>0</v>
      </c>
      <c r="B3075" t="s">
        <v>186</v>
      </c>
      <c r="C3075" t="s">
        <v>249</v>
      </c>
      <c r="D3075" t="s">
        <v>263</v>
      </c>
      <c r="F3075" t="s">
        <v>2365</v>
      </c>
      <c r="G3075" t="s">
        <v>4157</v>
      </c>
      <c r="H3075" t="s">
        <v>5848</v>
      </c>
      <c r="I3075" t="s">
        <v>6464</v>
      </c>
      <c r="J3075" t="s">
        <v>7179</v>
      </c>
      <c r="K3075">
        <v>10304</v>
      </c>
      <c r="N3075" t="s">
        <v>7237</v>
      </c>
      <c r="O3075" t="s">
        <v>9237</v>
      </c>
      <c r="P3075">
        <v>2</v>
      </c>
      <c r="Q3075">
        <v>0</v>
      </c>
      <c r="R3075">
        <v>92.61</v>
      </c>
      <c r="U3075">
        <v>15660</v>
      </c>
      <c r="W3075">
        <v>11.4</v>
      </c>
      <c r="X3075" t="s">
        <v>262</v>
      </c>
      <c r="Y3075" t="s">
        <v>10881</v>
      </c>
      <c r="Z3075" t="s">
        <v>10972</v>
      </c>
      <c r="AA3075" t="s">
        <v>10975</v>
      </c>
      <c r="AD3075" t="s">
        <v>11083</v>
      </c>
      <c r="AE3075" t="s">
        <v>11117</v>
      </c>
      <c r="AH3075" t="s">
        <v>10975</v>
      </c>
      <c r="AJ3075" t="s">
        <v>11104</v>
      </c>
      <c r="AK3075" t="s">
        <v>7225</v>
      </c>
      <c r="AM3075">
        <v>500</v>
      </c>
      <c r="AN3075" t="s">
        <v>11151</v>
      </c>
      <c r="AO3075" t="s">
        <v>11153</v>
      </c>
      <c r="AQ3075" t="s">
        <v>11164</v>
      </c>
      <c r="AR3075" t="s">
        <v>11172</v>
      </c>
      <c r="AU3075">
        <v>1</v>
      </c>
      <c r="AW3075" t="s">
        <v>11189</v>
      </c>
      <c r="AY3075" t="s">
        <v>11213</v>
      </c>
      <c r="AZ3075" t="s">
        <v>11221</v>
      </c>
      <c r="BE3075" t="s">
        <v>13467</v>
      </c>
      <c r="BG3075" t="s">
        <v>15175</v>
      </c>
      <c r="BM3075" t="s">
        <v>15650</v>
      </c>
    </row>
    <row r="3076" spans="1:65">
      <c r="A3076" s="1">
        <f>HYPERLINK("https://lsnyc.legalserver.org/matter/dynamic-profile/view/1903619","19-1903619")</f>
        <v>0</v>
      </c>
      <c r="B3076" t="s">
        <v>186</v>
      </c>
      <c r="C3076" t="s">
        <v>249</v>
      </c>
      <c r="D3076" t="s">
        <v>511</v>
      </c>
      <c r="F3076" t="s">
        <v>1252</v>
      </c>
      <c r="G3076" t="s">
        <v>2877</v>
      </c>
      <c r="H3076" t="s">
        <v>5849</v>
      </c>
      <c r="I3076" t="s">
        <v>6433</v>
      </c>
      <c r="J3076" t="s">
        <v>7179</v>
      </c>
      <c r="K3076">
        <v>10301</v>
      </c>
      <c r="N3076" t="s">
        <v>7237</v>
      </c>
      <c r="O3076" t="s">
        <v>9238</v>
      </c>
      <c r="P3076">
        <v>1</v>
      </c>
      <c r="Q3076">
        <v>0</v>
      </c>
      <c r="R3076">
        <v>105.68</v>
      </c>
      <c r="U3076">
        <v>13200</v>
      </c>
      <c r="W3076">
        <v>19.5</v>
      </c>
      <c r="X3076" t="s">
        <v>528</v>
      </c>
      <c r="Y3076" t="s">
        <v>10881</v>
      </c>
      <c r="Z3076" t="s">
        <v>10972</v>
      </c>
      <c r="AA3076" t="s">
        <v>10976</v>
      </c>
      <c r="AC3076" t="s">
        <v>11081</v>
      </c>
      <c r="AE3076" t="s">
        <v>11117</v>
      </c>
      <c r="AH3076" t="s">
        <v>10975</v>
      </c>
      <c r="AI3076" t="s">
        <v>11126</v>
      </c>
      <c r="AK3076" t="s">
        <v>7225</v>
      </c>
      <c r="AM3076">
        <v>807</v>
      </c>
      <c r="AO3076">
        <v>27</v>
      </c>
      <c r="AQ3076" t="s">
        <v>11164</v>
      </c>
      <c r="AS3076" t="s">
        <v>11175</v>
      </c>
      <c r="AU3076">
        <v>26</v>
      </c>
      <c r="AW3076" t="s">
        <v>11187</v>
      </c>
      <c r="AX3076" t="s">
        <v>11212</v>
      </c>
      <c r="AZ3076" t="s">
        <v>11221</v>
      </c>
      <c r="BE3076" t="s">
        <v>13468</v>
      </c>
      <c r="BF3076" t="s">
        <v>14364</v>
      </c>
      <c r="BM3076" t="s">
        <v>15650</v>
      </c>
    </row>
    <row r="3077" spans="1:65">
      <c r="A3077" s="1">
        <f>HYPERLINK("https://lsnyc.legalserver.org/matter/dynamic-profile/view/1888652","19-1888652")</f>
        <v>0</v>
      </c>
      <c r="B3077" t="s">
        <v>186</v>
      </c>
      <c r="C3077" t="s">
        <v>249</v>
      </c>
      <c r="D3077" t="s">
        <v>587</v>
      </c>
      <c r="F3077" t="s">
        <v>1093</v>
      </c>
      <c r="G3077" t="s">
        <v>4158</v>
      </c>
      <c r="H3077" t="s">
        <v>5850</v>
      </c>
      <c r="I3077" t="s">
        <v>6952</v>
      </c>
      <c r="J3077" t="s">
        <v>7179</v>
      </c>
      <c r="K3077">
        <v>10301</v>
      </c>
      <c r="N3077" t="s">
        <v>7237</v>
      </c>
      <c r="O3077" t="s">
        <v>7582</v>
      </c>
      <c r="P3077">
        <v>2</v>
      </c>
      <c r="Q3077">
        <v>2</v>
      </c>
      <c r="R3077">
        <v>48.22</v>
      </c>
      <c r="U3077">
        <v>12416</v>
      </c>
      <c r="W3077">
        <v>8.15</v>
      </c>
      <c r="X3077" t="s">
        <v>585</v>
      </c>
      <c r="Y3077" t="s">
        <v>10895</v>
      </c>
      <c r="Z3077" t="s">
        <v>10972</v>
      </c>
      <c r="AA3077" t="s">
        <v>10976</v>
      </c>
      <c r="AC3077" t="s">
        <v>11081</v>
      </c>
      <c r="AE3077" t="s">
        <v>11117</v>
      </c>
      <c r="AG3077" t="s">
        <v>11124</v>
      </c>
      <c r="AI3077" t="s">
        <v>11126</v>
      </c>
      <c r="AK3077" t="s">
        <v>7225</v>
      </c>
      <c r="AL3077" t="s">
        <v>11150</v>
      </c>
      <c r="AM3077">
        <v>0</v>
      </c>
      <c r="AN3077" t="s">
        <v>11151</v>
      </c>
      <c r="AO3077" t="s">
        <v>11153</v>
      </c>
      <c r="AP3077" t="s">
        <v>11155</v>
      </c>
      <c r="AR3077" t="s">
        <v>11172</v>
      </c>
      <c r="AT3077" t="s">
        <v>11184</v>
      </c>
      <c r="AU3077">
        <v>0</v>
      </c>
      <c r="AW3077" t="s">
        <v>11187</v>
      </c>
      <c r="AX3077" t="s">
        <v>11212</v>
      </c>
      <c r="AZ3077" t="s">
        <v>11221</v>
      </c>
      <c r="BE3077" t="s">
        <v>13469</v>
      </c>
      <c r="BF3077" t="s">
        <v>14364</v>
      </c>
      <c r="BM3077" t="s">
        <v>15650</v>
      </c>
    </row>
    <row r="3078" spans="1:65">
      <c r="A3078" s="1">
        <f>HYPERLINK("https://lsnyc.legalserver.org/matter/dynamic-profile/view/1884245","18-1884245")</f>
        <v>0</v>
      </c>
      <c r="B3078" t="s">
        <v>186</v>
      </c>
      <c r="C3078" t="s">
        <v>249</v>
      </c>
      <c r="D3078" t="s">
        <v>668</v>
      </c>
      <c r="F3078" t="s">
        <v>2366</v>
      </c>
      <c r="G3078" t="s">
        <v>4046</v>
      </c>
      <c r="H3078" t="s">
        <v>5851</v>
      </c>
      <c r="I3078" t="s">
        <v>6405</v>
      </c>
      <c r="J3078" t="s">
        <v>7179</v>
      </c>
      <c r="K3078">
        <v>10304</v>
      </c>
      <c r="N3078" t="s">
        <v>7237</v>
      </c>
      <c r="O3078" t="s">
        <v>9239</v>
      </c>
      <c r="P3078">
        <v>1</v>
      </c>
      <c r="Q3078">
        <v>2</v>
      </c>
      <c r="R3078">
        <v>107.6</v>
      </c>
      <c r="U3078">
        <v>22360</v>
      </c>
      <c r="W3078">
        <v>4.4</v>
      </c>
      <c r="X3078" t="s">
        <v>586</v>
      </c>
      <c r="Y3078" t="s">
        <v>10924</v>
      </c>
      <c r="Z3078" t="s">
        <v>10972</v>
      </c>
      <c r="AA3078" t="s">
        <v>10976</v>
      </c>
      <c r="AD3078" t="s">
        <v>11082</v>
      </c>
      <c r="AE3078" t="s">
        <v>11117</v>
      </c>
      <c r="AH3078" t="s">
        <v>10974</v>
      </c>
      <c r="AJ3078" t="s">
        <v>11138</v>
      </c>
      <c r="AK3078" t="s">
        <v>7225</v>
      </c>
      <c r="AM3078">
        <v>1615</v>
      </c>
      <c r="AN3078" t="s">
        <v>11151</v>
      </c>
      <c r="AO3078" t="s">
        <v>11153</v>
      </c>
      <c r="AQ3078" t="s">
        <v>11160</v>
      </c>
      <c r="AS3078" t="s">
        <v>11180</v>
      </c>
      <c r="AU3078">
        <v>1</v>
      </c>
      <c r="AW3078" t="s">
        <v>11187</v>
      </c>
      <c r="AY3078" t="s">
        <v>11215</v>
      </c>
      <c r="AZ3078" t="s">
        <v>11221</v>
      </c>
      <c r="BE3078" t="s">
        <v>13470</v>
      </c>
      <c r="BF3078" t="s">
        <v>14364</v>
      </c>
      <c r="BM3078" t="s">
        <v>15650</v>
      </c>
    </row>
    <row r="3079" spans="1:65">
      <c r="A3079" s="1">
        <f>HYPERLINK("https://lsnyc.legalserver.org/matter/dynamic-profile/view/1910381","19-1910381")</f>
        <v>0</v>
      </c>
      <c r="B3079" t="s">
        <v>186</v>
      </c>
      <c r="C3079" t="s">
        <v>249</v>
      </c>
      <c r="D3079" t="s">
        <v>801</v>
      </c>
      <c r="F3079" t="s">
        <v>2367</v>
      </c>
      <c r="G3079" t="s">
        <v>4159</v>
      </c>
      <c r="H3079" t="s">
        <v>5852</v>
      </c>
      <c r="J3079" t="s">
        <v>7179</v>
      </c>
      <c r="K3079">
        <v>10312</v>
      </c>
      <c r="N3079" t="s">
        <v>7237</v>
      </c>
      <c r="O3079" t="s">
        <v>9240</v>
      </c>
      <c r="P3079">
        <v>1</v>
      </c>
      <c r="Q3079">
        <v>2</v>
      </c>
      <c r="R3079">
        <v>13.05</v>
      </c>
      <c r="U3079">
        <v>2784</v>
      </c>
      <c r="W3079">
        <v>3</v>
      </c>
      <c r="X3079" t="s">
        <v>266</v>
      </c>
      <c r="Y3079" t="s">
        <v>10881</v>
      </c>
      <c r="Z3079" t="s">
        <v>10972</v>
      </c>
      <c r="AA3079" t="s">
        <v>10976</v>
      </c>
      <c r="AD3079" t="s">
        <v>11083</v>
      </c>
      <c r="AE3079" t="s">
        <v>11117</v>
      </c>
      <c r="AH3079" t="s">
        <v>10975</v>
      </c>
      <c r="AJ3079" t="s">
        <v>11104</v>
      </c>
      <c r="AK3079" t="s">
        <v>7225</v>
      </c>
      <c r="AM3079">
        <v>2800</v>
      </c>
      <c r="AO3079">
        <v>2</v>
      </c>
      <c r="AQ3079" t="s">
        <v>11156</v>
      </c>
      <c r="AS3079" t="s">
        <v>11173</v>
      </c>
      <c r="AU3079">
        <v>-1</v>
      </c>
      <c r="AW3079" t="s">
        <v>11187</v>
      </c>
      <c r="AX3079" t="s">
        <v>11212</v>
      </c>
      <c r="AZ3079" t="s">
        <v>11221</v>
      </c>
      <c r="BE3079" t="s">
        <v>13471</v>
      </c>
      <c r="BG3079" t="s">
        <v>15176</v>
      </c>
      <c r="BM3079" t="s">
        <v>15650</v>
      </c>
    </row>
    <row r="3080" spans="1:65">
      <c r="A3080" s="1">
        <f>HYPERLINK("https://lsnyc.legalserver.org/matter/dynamic-profile/view/1865603","18-1865603")</f>
        <v>0</v>
      </c>
      <c r="B3080" t="s">
        <v>186</v>
      </c>
      <c r="C3080" t="s">
        <v>249</v>
      </c>
      <c r="D3080" t="s">
        <v>759</v>
      </c>
      <c r="F3080" t="s">
        <v>1122</v>
      </c>
      <c r="G3080" t="s">
        <v>2966</v>
      </c>
      <c r="H3080" t="s">
        <v>5853</v>
      </c>
      <c r="I3080">
        <v>3015</v>
      </c>
      <c r="J3080" t="s">
        <v>7179</v>
      </c>
      <c r="K3080">
        <v>10304</v>
      </c>
      <c r="N3080" t="s">
        <v>7237</v>
      </c>
      <c r="O3080" t="s">
        <v>9241</v>
      </c>
      <c r="P3080">
        <v>1</v>
      </c>
      <c r="Q3080">
        <v>1</v>
      </c>
      <c r="R3080">
        <v>111.73</v>
      </c>
      <c r="S3080" t="s">
        <v>10254</v>
      </c>
      <c r="T3080" t="s">
        <v>10275</v>
      </c>
      <c r="U3080">
        <v>18390</v>
      </c>
      <c r="W3080">
        <v>6.75</v>
      </c>
      <c r="X3080" t="s">
        <v>794</v>
      </c>
      <c r="Y3080" t="s">
        <v>10932</v>
      </c>
      <c r="AA3080" t="s">
        <v>10974</v>
      </c>
      <c r="AB3080" t="s">
        <v>759</v>
      </c>
      <c r="AD3080" t="s">
        <v>11086</v>
      </c>
      <c r="AF3080" t="s">
        <v>11121</v>
      </c>
      <c r="AH3080" t="s">
        <v>10975</v>
      </c>
      <c r="AJ3080" t="s">
        <v>11133</v>
      </c>
      <c r="AK3080" t="s">
        <v>11149</v>
      </c>
      <c r="AM3080">
        <v>867</v>
      </c>
      <c r="AO3080">
        <v>467</v>
      </c>
      <c r="AQ3080" t="s">
        <v>11157</v>
      </c>
      <c r="AR3080" t="s">
        <v>11172</v>
      </c>
      <c r="AU3080">
        <v>1</v>
      </c>
      <c r="AW3080" t="s">
        <v>11189</v>
      </c>
      <c r="AZ3080" t="s">
        <v>11221</v>
      </c>
      <c r="BE3080" t="s">
        <v>13472</v>
      </c>
      <c r="BF3080" t="s">
        <v>14364</v>
      </c>
      <c r="BM3080" t="s">
        <v>15650</v>
      </c>
    </row>
    <row r="3081" spans="1:65">
      <c r="A3081" s="1">
        <f>HYPERLINK("https://lsnyc.legalserver.org/matter/dynamic-profile/view/1883760","18-1883760")</f>
        <v>0</v>
      </c>
      <c r="B3081" t="s">
        <v>186</v>
      </c>
      <c r="C3081" t="s">
        <v>249</v>
      </c>
      <c r="D3081" t="s">
        <v>958</v>
      </c>
      <c r="F3081" t="s">
        <v>1904</v>
      </c>
      <c r="G3081" t="s">
        <v>4160</v>
      </c>
      <c r="H3081" t="s">
        <v>5854</v>
      </c>
      <c r="I3081" t="s">
        <v>6507</v>
      </c>
      <c r="J3081" t="s">
        <v>7179</v>
      </c>
      <c r="K3081">
        <v>10304</v>
      </c>
      <c r="N3081" t="s">
        <v>7241</v>
      </c>
      <c r="O3081" t="s">
        <v>9242</v>
      </c>
      <c r="P3081">
        <v>1</v>
      </c>
      <c r="Q3081">
        <v>2</v>
      </c>
      <c r="R3081">
        <v>16.8</v>
      </c>
      <c r="S3081" t="s">
        <v>10254</v>
      </c>
      <c r="T3081" t="s">
        <v>10275</v>
      </c>
      <c r="U3081">
        <v>3492</v>
      </c>
      <c r="W3081">
        <v>0.1</v>
      </c>
      <c r="X3081" t="s">
        <v>629</v>
      </c>
      <c r="Y3081" t="s">
        <v>124</v>
      </c>
      <c r="AA3081" t="s">
        <v>10974</v>
      </c>
      <c r="AC3081" t="s">
        <v>11081</v>
      </c>
      <c r="AE3081" t="s">
        <v>11117</v>
      </c>
      <c r="AH3081" t="s">
        <v>10975</v>
      </c>
      <c r="AJ3081" t="s">
        <v>11133</v>
      </c>
      <c r="AK3081" t="s">
        <v>11149</v>
      </c>
      <c r="AM3081">
        <v>116</v>
      </c>
      <c r="AN3081" t="s">
        <v>11151</v>
      </c>
      <c r="AO3081" t="s">
        <v>11153</v>
      </c>
      <c r="AQ3081" t="s">
        <v>11161</v>
      </c>
      <c r="AS3081" t="s">
        <v>11174</v>
      </c>
      <c r="AU3081">
        <v>12</v>
      </c>
      <c r="AW3081" t="s">
        <v>11189</v>
      </c>
      <c r="AY3081" t="s">
        <v>11213</v>
      </c>
      <c r="AZ3081" t="s">
        <v>11221</v>
      </c>
      <c r="BE3081" t="s">
        <v>13473</v>
      </c>
      <c r="BF3081" t="s">
        <v>14364</v>
      </c>
      <c r="BM3081" t="s">
        <v>15650</v>
      </c>
    </row>
    <row r="3082" spans="1:65">
      <c r="A3082" s="1">
        <f>HYPERLINK("https://lsnyc.legalserver.org/matter/dynamic-profile/view/1888301","19-1888301")</f>
        <v>0</v>
      </c>
      <c r="B3082" t="s">
        <v>186</v>
      </c>
      <c r="C3082" t="s">
        <v>249</v>
      </c>
      <c r="D3082" t="s">
        <v>484</v>
      </c>
      <c r="F3082" t="s">
        <v>2368</v>
      </c>
      <c r="G3082" t="s">
        <v>4161</v>
      </c>
      <c r="H3082" t="s">
        <v>5855</v>
      </c>
      <c r="I3082" t="s">
        <v>6953</v>
      </c>
      <c r="J3082" t="s">
        <v>7179</v>
      </c>
      <c r="K3082">
        <v>10304</v>
      </c>
      <c r="N3082" t="s">
        <v>7237</v>
      </c>
      <c r="O3082" t="s">
        <v>9243</v>
      </c>
      <c r="P3082">
        <v>2</v>
      </c>
      <c r="Q3082">
        <v>2</v>
      </c>
      <c r="R3082">
        <v>11.47</v>
      </c>
      <c r="U3082">
        <v>2880</v>
      </c>
      <c r="W3082">
        <v>12.75</v>
      </c>
      <c r="X3082" t="s">
        <v>519</v>
      </c>
      <c r="Y3082" t="s">
        <v>124</v>
      </c>
      <c r="AA3082" t="s">
        <v>10974</v>
      </c>
      <c r="AB3082" t="s">
        <v>484</v>
      </c>
      <c r="AD3082" t="s">
        <v>11082</v>
      </c>
      <c r="AF3082" t="s">
        <v>11118</v>
      </c>
      <c r="AH3082" t="s">
        <v>10975</v>
      </c>
      <c r="AJ3082" t="s">
        <v>11104</v>
      </c>
      <c r="AK3082" t="s">
        <v>7225</v>
      </c>
      <c r="AM3082">
        <v>1515</v>
      </c>
      <c r="AO3082">
        <v>2</v>
      </c>
      <c r="AQ3082" t="s">
        <v>11156</v>
      </c>
      <c r="AS3082" t="s">
        <v>11180</v>
      </c>
      <c r="AU3082">
        <v>4</v>
      </c>
      <c r="AW3082" t="s">
        <v>11189</v>
      </c>
      <c r="AY3082" t="s">
        <v>11213</v>
      </c>
      <c r="BA3082" t="s">
        <v>11222</v>
      </c>
      <c r="BB3082" t="s">
        <v>11224</v>
      </c>
      <c r="BC3082" t="s">
        <v>11503</v>
      </c>
      <c r="BD3082" t="s">
        <v>11667</v>
      </c>
      <c r="BG3082" t="s">
        <v>15177</v>
      </c>
      <c r="BM3082" t="s">
        <v>15650</v>
      </c>
    </row>
    <row r="3083" spans="1:65">
      <c r="A3083" s="1">
        <f>HYPERLINK("https://lsnyc.legalserver.org/matter/dynamic-profile/view/1870112","18-1870112")</f>
        <v>0</v>
      </c>
      <c r="B3083" t="s">
        <v>187</v>
      </c>
      <c r="C3083" t="s">
        <v>245</v>
      </c>
      <c r="D3083" t="s">
        <v>974</v>
      </c>
      <c r="F3083" t="s">
        <v>2369</v>
      </c>
      <c r="G3083" t="s">
        <v>3162</v>
      </c>
      <c r="H3083" t="s">
        <v>5856</v>
      </c>
      <c r="I3083">
        <v>54</v>
      </c>
      <c r="J3083" t="s">
        <v>7169</v>
      </c>
      <c r="K3083">
        <v>10034</v>
      </c>
      <c r="N3083" t="s">
        <v>7237</v>
      </c>
      <c r="O3083" t="s">
        <v>9244</v>
      </c>
      <c r="P3083">
        <v>1</v>
      </c>
      <c r="Q3083">
        <v>0</v>
      </c>
      <c r="R3083">
        <v>128.5</v>
      </c>
      <c r="U3083">
        <v>15600</v>
      </c>
      <c r="W3083">
        <v>33.3</v>
      </c>
      <c r="X3083" t="s">
        <v>433</v>
      </c>
      <c r="Y3083" t="s">
        <v>127</v>
      </c>
      <c r="AA3083" t="s">
        <v>10974</v>
      </c>
      <c r="AB3083" t="s">
        <v>730</v>
      </c>
      <c r="AD3083" t="s">
        <v>11101</v>
      </c>
      <c r="AF3083" t="s">
        <v>11118</v>
      </c>
      <c r="AH3083" t="s">
        <v>10975</v>
      </c>
      <c r="AJ3083" t="s">
        <v>11129</v>
      </c>
      <c r="AK3083" t="s">
        <v>7225</v>
      </c>
      <c r="AM3083">
        <v>819.0700000000001</v>
      </c>
      <c r="AO3083">
        <v>53</v>
      </c>
      <c r="AQ3083" t="s">
        <v>11157</v>
      </c>
      <c r="AS3083" t="s">
        <v>11173</v>
      </c>
      <c r="AT3083" t="s">
        <v>11184</v>
      </c>
      <c r="AU3083">
        <v>0</v>
      </c>
      <c r="AW3083" t="s">
        <v>11187</v>
      </c>
      <c r="BA3083" t="s">
        <v>11222</v>
      </c>
      <c r="BE3083" t="s">
        <v>13474</v>
      </c>
      <c r="BG3083" t="s">
        <v>15178</v>
      </c>
      <c r="BM3083" t="s">
        <v>15650</v>
      </c>
    </row>
    <row r="3084" spans="1:65">
      <c r="A3084" s="1">
        <f>HYPERLINK("https://lsnyc.legalserver.org/matter/dynamic-profile/view/1915481","19-1915481")</f>
        <v>0</v>
      </c>
      <c r="B3084" t="s">
        <v>187</v>
      </c>
      <c r="C3084" t="s">
        <v>245</v>
      </c>
      <c r="D3084" t="s">
        <v>669</v>
      </c>
      <c r="F3084" t="s">
        <v>1155</v>
      </c>
      <c r="G3084" t="s">
        <v>4162</v>
      </c>
      <c r="H3084" t="s">
        <v>5857</v>
      </c>
      <c r="I3084" t="s">
        <v>6919</v>
      </c>
      <c r="J3084" t="s">
        <v>7209</v>
      </c>
      <c r="K3084">
        <v>11427</v>
      </c>
      <c r="N3084" t="s">
        <v>7237</v>
      </c>
      <c r="O3084" t="s">
        <v>9245</v>
      </c>
      <c r="P3084">
        <v>1</v>
      </c>
      <c r="Q3084">
        <v>0</v>
      </c>
      <c r="R3084">
        <v>19.05</v>
      </c>
      <c r="U3084">
        <v>2379</v>
      </c>
      <c r="W3084">
        <v>0</v>
      </c>
      <c r="Y3084" t="s">
        <v>127</v>
      </c>
      <c r="AA3084" t="s">
        <v>10974</v>
      </c>
      <c r="AB3084" t="s">
        <v>669</v>
      </c>
      <c r="AC3084" t="s">
        <v>11081</v>
      </c>
      <c r="AF3084" t="s">
        <v>11121</v>
      </c>
      <c r="AH3084" t="s">
        <v>10975</v>
      </c>
      <c r="AJ3084" t="s">
        <v>11134</v>
      </c>
      <c r="AK3084" t="s">
        <v>7225</v>
      </c>
      <c r="AM3084">
        <v>800</v>
      </c>
      <c r="AN3084" t="s">
        <v>11151</v>
      </c>
      <c r="AO3084" t="s">
        <v>11153</v>
      </c>
      <c r="AQ3084" t="s">
        <v>11162</v>
      </c>
      <c r="AS3084" t="s">
        <v>11173</v>
      </c>
      <c r="AU3084">
        <v>4</v>
      </c>
      <c r="AW3084" t="s">
        <v>11189</v>
      </c>
      <c r="BA3084" t="s">
        <v>11222</v>
      </c>
      <c r="BE3084" t="s">
        <v>13475</v>
      </c>
      <c r="BF3084" t="s">
        <v>14364</v>
      </c>
      <c r="BM3084" t="s">
        <v>15650</v>
      </c>
    </row>
    <row r="3085" spans="1:65">
      <c r="A3085" s="1">
        <f>HYPERLINK("https://lsnyc.legalserver.org/matter/dynamic-profile/view/1899088","19-1899088")</f>
        <v>0</v>
      </c>
      <c r="B3085" t="s">
        <v>187</v>
      </c>
      <c r="C3085" t="s">
        <v>245</v>
      </c>
      <c r="D3085" t="s">
        <v>880</v>
      </c>
      <c r="F3085" t="s">
        <v>1125</v>
      </c>
      <c r="G3085" t="s">
        <v>3123</v>
      </c>
      <c r="H3085" t="s">
        <v>4927</v>
      </c>
      <c r="I3085" t="s">
        <v>6954</v>
      </c>
      <c r="J3085" t="s">
        <v>7169</v>
      </c>
      <c r="K3085">
        <v>10040</v>
      </c>
      <c r="N3085" t="s">
        <v>7237</v>
      </c>
      <c r="O3085" t="s">
        <v>9246</v>
      </c>
      <c r="P3085">
        <v>3</v>
      </c>
      <c r="Q3085">
        <v>1</v>
      </c>
      <c r="R3085">
        <v>194.17</v>
      </c>
      <c r="U3085">
        <v>50000</v>
      </c>
      <c r="W3085">
        <v>2.5</v>
      </c>
      <c r="X3085" t="s">
        <v>1075</v>
      </c>
      <c r="Y3085" t="s">
        <v>127</v>
      </c>
      <c r="AA3085" t="s">
        <v>10974</v>
      </c>
      <c r="AB3085" t="s">
        <v>880</v>
      </c>
      <c r="AD3085" t="s">
        <v>11086</v>
      </c>
      <c r="AF3085" t="s">
        <v>10384</v>
      </c>
      <c r="AH3085" t="s">
        <v>10975</v>
      </c>
      <c r="AJ3085" t="s">
        <v>11130</v>
      </c>
      <c r="AK3085" t="s">
        <v>7225</v>
      </c>
      <c r="AM3085">
        <v>2100</v>
      </c>
      <c r="AO3085">
        <v>72</v>
      </c>
      <c r="AQ3085" t="s">
        <v>11157</v>
      </c>
      <c r="AS3085" t="s">
        <v>11173</v>
      </c>
      <c r="AU3085">
        <v>7</v>
      </c>
      <c r="AW3085" t="s">
        <v>11189</v>
      </c>
      <c r="AY3085" t="s">
        <v>11213</v>
      </c>
      <c r="BA3085" t="s">
        <v>11222</v>
      </c>
      <c r="BE3085" t="s">
        <v>13476</v>
      </c>
      <c r="BF3085" t="s">
        <v>14364</v>
      </c>
      <c r="BM3085" t="s">
        <v>15650</v>
      </c>
    </row>
    <row r="3086" spans="1:65">
      <c r="A3086" s="1">
        <f>HYPERLINK("https://lsnyc.legalserver.org/matter/dynamic-profile/view/1909049","19-1909049")</f>
        <v>0</v>
      </c>
      <c r="B3086" t="s">
        <v>187</v>
      </c>
      <c r="C3086" t="s">
        <v>245</v>
      </c>
      <c r="D3086" t="s">
        <v>598</v>
      </c>
      <c r="F3086" t="s">
        <v>2370</v>
      </c>
      <c r="G3086" t="s">
        <v>3813</v>
      </c>
      <c r="H3086" t="s">
        <v>5858</v>
      </c>
      <c r="I3086">
        <v>34</v>
      </c>
      <c r="J3086" t="s">
        <v>7169</v>
      </c>
      <c r="K3086">
        <v>10033</v>
      </c>
      <c r="N3086" t="s">
        <v>7237</v>
      </c>
      <c r="O3086" t="s">
        <v>9247</v>
      </c>
      <c r="P3086">
        <v>4</v>
      </c>
      <c r="Q3086">
        <v>1</v>
      </c>
      <c r="R3086">
        <v>53.85</v>
      </c>
      <c r="U3086">
        <v>16248</v>
      </c>
      <c r="W3086">
        <v>0</v>
      </c>
      <c r="Y3086" t="s">
        <v>127</v>
      </c>
      <c r="AA3086" t="s">
        <v>10974</v>
      </c>
      <c r="AB3086" t="s">
        <v>598</v>
      </c>
      <c r="AD3086" t="s">
        <v>11101</v>
      </c>
      <c r="AF3086" t="s">
        <v>11118</v>
      </c>
      <c r="AH3086" t="s">
        <v>10974</v>
      </c>
      <c r="AJ3086" t="s">
        <v>11130</v>
      </c>
      <c r="AK3086" t="s">
        <v>7225</v>
      </c>
      <c r="AM3086">
        <v>1633.95</v>
      </c>
      <c r="AO3086">
        <v>20</v>
      </c>
      <c r="AQ3086" t="s">
        <v>11157</v>
      </c>
      <c r="AS3086" t="s">
        <v>11175</v>
      </c>
      <c r="AU3086">
        <v>17</v>
      </c>
      <c r="AW3086" t="s">
        <v>11189</v>
      </c>
      <c r="BA3086" t="s">
        <v>11222</v>
      </c>
      <c r="BE3086" t="s">
        <v>13477</v>
      </c>
      <c r="BF3086" t="s">
        <v>14364</v>
      </c>
      <c r="BM3086" t="s">
        <v>15650</v>
      </c>
    </row>
    <row r="3087" spans="1:65">
      <c r="A3087" s="1">
        <f>HYPERLINK("https://lsnyc.legalserver.org/matter/dynamic-profile/view/1888064","19-1888064")</f>
        <v>0</v>
      </c>
      <c r="B3087" t="s">
        <v>187</v>
      </c>
      <c r="C3087" t="s">
        <v>245</v>
      </c>
      <c r="D3087" t="s">
        <v>588</v>
      </c>
      <c r="F3087" t="s">
        <v>1122</v>
      </c>
      <c r="G3087" t="s">
        <v>4163</v>
      </c>
      <c r="H3087" t="s">
        <v>4772</v>
      </c>
      <c r="I3087" t="s">
        <v>6573</v>
      </c>
      <c r="J3087" t="s">
        <v>7169</v>
      </c>
      <c r="K3087">
        <v>10032</v>
      </c>
      <c r="N3087" t="s">
        <v>7237</v>
      </c>
      <c r="O3087" t="s">
        <v>9248</v>
      </c>
      <c r="P3087">
        <v>2</v>
      </c>
      <c r="Q3087">
        <v>0</v>
      </c>
      <c r="R3087">
        <v>54.09</v>
      </c>
      <c r="U3087">
        <v>8904</v>
      </c>
      <c r="W3087">
        <v>0</v>
      </c>
      <c r="Y3087" t="s">
        <v>127</v>
      </c>
      <c r="AA3087" t="s">
        <v>10974</v>
      </c>
      <c r="AB3087" t="s">
        <v>588</v>
      </c>
      <c r="AC3087" t="s">
        <v>11081</v>
      </c>
      <c r="AF3087" t="s">
        <v>11118</v>
      </c>
      <c r="AH3087" t="s">
        <v>10974</v>
      </c>
      <c r="AJ3087" t="s">
        <v>11130</v>
      </c>
      <c r="AK3087" t="s">
        <v>7225</v>
      </c>
      <c r="AM3087">
        <v>768.22</v>
      </c>
      <c r="AO3087">
        <v>42</v>
      </c>
      <c r="AQ3087" t="s">
        <v>11157</v>
      </c>
      <c r="AS3087" t="s">
        <v>11173</v>
      </c>
      <c r="AU3087">
        <v>39</v>
      </c>
      <c r="AW3087" t="s">
        <v>11189</v>
      </c>
      <c r="BA3087" t="s">
        <v>11222</v>
      </c>
      <c r="BD3087" t="s">
        <v>11667</v>
      </c>
      <c r="BF3087" t="s">
        <v>14364</v>
      </c>
      <c r="BM3087" t="s">
        <v>15650</v>
      </c>
    </row>
    <row r="3088" spans="1:65">
      <c r="A3088" s="1">
        <f>HYPERLINK("https://lsnyc.legalserver.org/matter/dynamic-profile/view/1880103","18-1880103")</f>
        <v>0</v>
      </c>
      <c r="B3088" t="s">
        <v>187</v>
      </c>
      <c r="C3088" t="s">
        <v>245</v>
      </c>
      <c r="D3088" t="s">
        <v>619</v>
      </c>
      <c r="F3088" t="s">
        <v>2371</v>
      </c>
      <c r="G3088" t="s">
        <v>4164</v>
      </c>
      <c r="H3088" t="s">
        <v>5859</v>
      </c>
      <c r="I3088">
        <v>27</v>
      </c>
      <c r="J3088" t="s">
        <v>7169</v>
      </c>
      <c r="K3088">
        <v>10034</v>
      </c>
      <c r="N3088" t="s">
        <v>7237</v>
      </c>
      <c r="O3088" t="s">
        <v>9249</v>
      </c>
      <c r="P3088">
        <v>1</v>
      </c>
      <c r="Q3088">
        <v>0</v>
      </c>
      <c r="R3088">
        <v>75.91</v>
      </c>
      <c r="U3088">
        <v>9216</v>
      </c>
      <c r="W3088">
        <v>91.15000000000001</v>
      </c>
      <c r="X3088" t="s">
        <v>638</v>
      </c>
      <c r="Y3088" t="s">
        <v>127</v>
      </c>
      <c r="AA3088" t="s">
        <v>10974</v>
      </c>
      <c r="AB3088" t="s">
        <v>619</v>
      </c>
      <c r="AD3088" t="s">
        <v>11101</v>
      </c>
      <c r="AF3088" t="s">
        <v>11118</v>
      </c>
      <c r="AH3088" t="s">
        <v>10975</v>
      </c>
      <c r="AJ3088" t="s">
        <v>11130</v>
      </c>
      <c r="AK3088" t="s">
        <v>7225</v>
      </c>
      <c r="AM3088">
        <v>1200.41</v>
      </c>
      <c r="AO3088">
        <v>41</v>
      </c>
      <c r="AQ3088" t="s">
        <v>11157</v>
      </c>
      <c r="AS3088" t="s">
        <v>11175</v>
      </c>
      <c r="AU3088">
        <v>9</v>
      </c>
      <c r="AW3088" t="s">
        <v>11189</v>
      </c>
      <c r="AZ3088" t="s">
        <v>11221</v>
      </c>
      <c r="BA3088" t="s">
        <v>11173</v>
      </c>
      <c r="BE3088" t="s">
        <v>13478</v>
      </c>
      <c r="BF3088" t="s">
        <v>14364</v>
      </c>
      <c r="BM3088" t="s">
        <v>15650</v>
      </c>
    </row>
    <row r="3089" spans="1:65">
      <c r="A3089" s="1">
        <f>HYPERLINK("https://lsnyc.legalserver.org/matter/dynamic-profile/view/1888062","19-1888062")</f>
        <v>0</v>
      </c>
      <c r="B3089" t="s">
        <v>187</v>
      </c>
      <c r="C3089" t="s">
        <v>245</v>
      </c>
      <c r="D3089" t="s">
        <v>588</v>
      </c>
      <c r="F3089" t="s">
        <v>1122</v>
      </c>
      <c r="G3089" t="s">
        <v>3314</v>
      </c>
      <c r="H3089" t="s">
        <v>4772</v>
      </c>
      <c r="I3089" t="s">
        <v>6412</v>
      </c>
      <c r="J3089" t="s">
        <v>7169</v>
      </c>
      <c r="K3089">
        <v>10032</v>
      </c>
      <c r="N3089" t="s">
        <v>7237</v>
      </c>
      <c r="O3089" t="s">
        <v>9250</v>
      </c>
      <c r="P3089">
        <v>2</v>
      </c>
      <c r="Q3089">
        <v>0</v>
      </c>
      <c r="R3089">
        <v>53.22</v>
      </c>
      <c r="U3089">
        <v>8760</v>
      </c>
      <c r="W3089">
        <v>0</v>
      </c>
      <c r="Y3089" t="s">
        <v>127</v>
      </c>
      <c r="AA3089" t="s">
        <v>10974</v>
      </c>
      <c r="AB3089" t="s">
        <v>588</v>
      </c>
      <c r="AC3089" t="s">
        <v>11081</v>
      </c>
      <c r="AF3089" t="s">
        <v>11118</v>
      </c>
      <c r="AH3089" t="s">
        <v>10974</v>
      </c>
      <c r="AJ3089" t="s">
        <v>11130</v>
      </c>
      <c r="AK3089" t="s">
        <v>7225</v>
      </c>
      <c r="AM3089">
        <v>550</v>
      </c>
      <c r="AO3089">
        <v>42</v>
      </c>
      <c r="AQ3089" t="s">
        <v>11157</v>
      </c>
      <c r="AS3089" t="s">
        <v>11175</v>
      </c>
      <c r="AU3089">
        <v>35</v>
      </c>
      <c r="AW3089" t="s">
        <v>11189</v>
      </c>
      <c r="BA3089" t="s">
        <v>11222</v>
      </c>
      <c r="BE3089" t="s">
        <v>13479</v>
      </c>
      <c r="BF3089" t="s">
        <v>14364</v>
      </c>
      <c r="BM3089" t="s">
        <v>15650</v>
      </c>
    </row>
    <row r="3090" spans="1:65">
      <c r="A3090" s="1">
        <f>HYPERLINK("https://lsnyc.legalserver.org/matter/dynamic-profile/view/1913088","19-1913088")</f>
        <v>0</v>
      </c>
      <c r="B3090" t="s">
        <v>187</v>
      </c>
      <c r="C3090" t="s">
        <v>245</v>
      </c>
      <c r="D3090" t="s">
        <v>336</v>
      </c>
      <c r="F3090" t="s">
        <v>1392</v>
      </c>
      <c r="G3090" t="s">
        <v>4165</v>
      </c>
      <c r="H3090" t="s">
        <v>5860</v>
      </c>
      <c r="J3090" t="s">
        <v>7169</v>
      </c>
      <c r="K3090">
        <v>10040</v>
      </c>
      <c r="N3090" t="s">
        <v>7237</v>
      </c>
      <c r="O3090" t="s">
        <v>9251</v>
      </c>
      <c r="P3090">
        <v>1</v>
      </c>
      <c r="Q3090">
        <v>0</v>
      </c>
      <c r="R3090">
        <v>85.51000000000001</v>
      </c>
      <c r="U3090">
        <v>10680</v>
      </c>
      <c r="W3090">
        <v>2</v>
      </c>
      <c r="X3090" t="s">
        <v>614</v>
      </c>
      <c r="Y3090" t="s">
        <v>10888</v>
      </c>
      <c r="AA3090" t="s">
        <v>10974</v>
      </c>
      <c r="AB3090" t="s">
        <v>614</v>
      </c>
      <c r="AD3090" t="s">
        <v>11086</v>
      </c>
      <c r="AF3090" t="s">
        <v>11121</v>
      </c>
      <c r="AH3090" t="s">
        <v>10975</v>
      </c>
      <c r="AI3090" t="s">
        <v>11126</v>
      </c>
      <c r="AK3090" t="s">
        <v>7225</v>
      </c>
      <c r="AM3090">
        <v>511</v>
      </c>
      <c r="AO3090">
        <v>4</v>
      </c>
      <c r="AQ3090" t="s">
        <v>11157</v>
      </c>
      <c r="AS3090" t="s">
        <v>11173</v>
      </c>
      <c r="AU3090">
        <v>52</v>
      </c>
      <c r="AW3090" t="s">
        <v>11210</v>
      </c>
      <c r="BA3090" t="s">
        <v>11222</v>
      </c>
      <c r="BE3090" t="s">
        <v>13480</v>
      </c>
      <c r="BF3090" t="s">
        <v>14364</v>
      </c>
      <c r="BM3090" t="s">
        <v>15650</v>
      </c>
    </row>
    <row r="3091" spans="1:65">
      <c r="A3091" s="1">
        <f>HYPERLINK("https://lsnyc.legalserver.org/matter/dynamic-profile/view/1906715","19-1906715")</f>
        <v>0</v>
      </c>
      <c r="B3091" t="s">
        <v>187</v>
      </c>
      <c r="C3091" t="s">
        <v>245</v>
      </c>
      <c r="D3091" t="s">
        <v>733</v>
      </c>
      <c r="F3091" t="s">
        <v>1513</v>
      </c>
      <c r="G3091" t="s">
        <v>3060</v>
      </c>
      <c r="H3091" t="s">
        <v>5861</v>
      </c>
      <c r="I3091">
        <v>64</v>
      </c>
      <c r="J3091" t="s">
        <v>7169</v>
      </c>
      <c r="K3091">
        <v>10031</v>
      </c>
      <c r="N3091" t="s">
        <v>7237</v>
      </c>
      <c r="O3091" t="s">
        <v>9252</v>
      </c>
      <c r="P3091">
        <v>5</v>
      </c>
      <c r="Q3091">
        <v>1</v>
      </c>
      <c r="R3091">
        <v>52.62</v>
      </c>
      <c r="U3091">
        <v>18200</v>
      </c>
      <c r="W3091">
        <v>7.2</v>
      </c>
      <c r="X3091" t="s">
        <v>798</v>
      </c>
      <c r="Y3091" t="s">
        <v>127</v>
      </c>
      <c r="Z3091" t="s">
        <v>10972</v>
      </c>
      <c r="AA3091" t="s">
        <v>10975</v>
      </c>
      <c r="AC3091" t="s">
        <v>11081</v>
      </c>
      <c r="AF3091" t="s">
        <v>11120</v>
      </c>
      <c r="AH3091" t="s">
        <v>10975</v>
      </c>
      <c r="AI3091" t="s">
        <v>11126</v>
      </c>
      <c r="AK3091" t="s">
        <v>7225</v>
      </c>
      <c r="AL3091" t="s">
        <v>11150</v>
      </c>
      <c r="AM3091">
        <v>0</v>
      </c>
      <c r="AN3091" t="s">
        <v>11151</v>
      </c>
      <c r="AO3091" t="s">
        <v>11153</v>
      </c>
      <c r="AQ3091" t="s">
        <v>11157</v>
      </c>
      <c r="AS3091" t="s">
        <v>11173</v>
      </c>
      <c r="AT3091" t="s">
        <v>11184</v>
      </c>
      <c r="AU3091">
        <v>0</v>
      </c>
      <c r="AV3091" t="s">
        <v>11186</v>
      </c>
      <c r="AX3091" t="s">
        <v>11212</v>
      </c>
      <c r="AZ3091" t="s">
        <v>11221</v>
      </c>
      <c r="BD3091" t="s">
        <v>11667</v>
      </c>
      <c r="BF3091" t="s">
        <v>14364</v>
      </c>
      <c r="BM3091" t="s">
        <v>15650</v>
      </c>
    </row>
    <row r="3092" spans="1:65">
      <c r="A3092" s="1">
        <f>HYPERLINK("https://lsnyc.legalserver.org/matter/dynamic-profile/view/1902191","19-1902191")</f>
        <v>0</v>
      </c>
      <c r="B3092" t="s">
        <v>187</v>
      </c>
      <c r="C3092" t="s">
        <v>245</v>
      </c>
      <c r="D3092" t="s">
        <v>629</v>
      </c>
      <c r="F3092" t="s">
        <v>1392</v>
      </c>
      <c r="G3092" t="s">
        <v>4166</v>
      </c>
      <c r="H3092" t="s">
        <v>5862</v>
      </c>
      <c r="I3092" t="s">
        <v>6955</v>
      </c>
      <c r="J3092" t="s">
        <v>7169</v>
      </c>
      <c r="K3092">
        <v>10033</v>
      </c>
      <c r="N3092" t="s">
        <v>7237</v>
      </c>
      <c r="O3092" t="s">
        <v>9253</v>
      </c>
      <c r="P3092">
        <v>1</v>
      </c>
      <c r="Q3092">
        <v>0</v>
      </c>
      <c r="R3092">
        <v>498.83</v>
      </c>
      <c r="U3092">
        <v>62304</v>
      </c>
      <c r="W3092">
        <v>0</v>
      </c>
      <c r="Y3092" t="s">
        <v>127</v>
      </c>
      <c r="AA3092" t="s">
        <v>10974</v>
      </c>
      <c r="AB3092" t="s">
        <v>629</v>
      </c>
      <c r="AC3092" t="s">
        <v>11081</v>
      </c>
      <c r="AF3092" t="s">
        <v>11119</v>
      </c>
      <c r="AH3092" t="s">
        <v>10975</v>
      </c>
      <c r="AJ3092" t="s">
        <v>11130</v>
      </c>
      <c r="AK3092" t="s">
        <v>7225</v>
      </c>
      <c r="AM3092">
        <v>2070</v>
      </c>
      <c r="AO3092">
        <v>91</v>
      </c>
      <c r="AQ3092" t="s">
        <v>11157</v>
      </c>
      <c r="AS3092" t="s">
        <v>11173</v>
      </c>
      <c r="AU3092">
        <v>7</v>
      </c>
      <c r="AW3092" t="s">
        <v>11187</v>
      </c>
      <c r="BA3092" t="s">
        <v>11222</v>
      </c>
      <c r="BE3092" t="s">
        <v>13481</v>
      </c>
      <c r="BF3092" t="s">
        <v>14364</v>
      </c>
      <c r="BM3092" t="s">
        <v>15650</v>
      </c>
    </row>
    <row r="3093" spans="1:65">
      <c r="A3093" s="1">
        <f>HYPERLINK("https://lsnyc.legalserver.org/matter/dynamic-profile/view/1912157","19-1912157")</f>
        <v>0</v>
      </c>
      <c r="B3093" t="s">
        <v>187</v>
      </c>
      <c r="C3093" t="s">
        <v>245</v>
      </c>
      <c r="D3093" t="s">
        <v>265</v>
      </c>
      <c r="F3093" t="s">
        <v>1155</v>
      </c>
      <c r="G3093" t="s">
        <v>3845</v>
      </c>
      <c r="H3093" t="s">
        <v>5858</v>
      </c>
      <c r="I3093">
        <v>3</v>
      </c>
      <c r="J3093" t="s">
        <v>7169</v>
      </c>
      <c r="K3093">
        <v>10033</v>
      </c>
      <c r="N3093" t="s">
        <v>7237</v>
      </c>
      <c r="O3093" t="s">
        <v>9254</v>
      </c>
      <c r="P3093">
        <v>2</v>
      </c>
      <c r="Q3093">
        <v>0</v>
      </c>
      <c r="R3093">
        <v>132.35</v>
      </c>
      <c r="U3093">
        <v>22380</v>
      </c>
      <c r="W3093">
        <v>5.3</v>
      </c>
      <c r="X3093" t="s">
        <v>801</v>
      </c>
      <c r="Y3093" t="s">
        <v>127</v>
      </c>
      <c r="AA3093" t="s">
        <v>10974</v>
      </c>
      <c r="AB3093" t="s">
        <v>265</v>
      </c>
      <c r="AD3093" t="s">
        <v>11103</v>
      </c>
      <c r="AF3093" t="s">
        <v>11122</v>
      </c>
      <c r="AH3093" t="s">
        <v>10975</v>
      </c>
      <c r="AJ3093" t="s">
        <v>11129</v>
      </c>
      <c r="AK3093" t="s">
        <v>7225</v>
      </c>
      <c r="AM3093">
        <v>923</v>
      </c>
      <c r="AO3093">
        <v>20</v>
      </c>
      <c r="AQ3093" t="s">
        <v>11157</v>
      </c>
      <c r="AS3093" t="s">
        <v>11173</v>
      </c>
      <c r="AU3093">
        <v>48</v>
      </c>
      <c r="AW3093" t="s">
        <v>11189</v>
      </c>
      <c r="BA3093" t="s">
        <v>11222</v>
      </c>
      <c r="BE3093" t="s">
        <v>13482</v>
      </c>
      <c r="BF3093" t="s">
        <v>14364</v>
      </c>
      <c r="BM3093" t="s">
        <v>15650</v>
      </c>
    </row>
    <row r="3094" spans="1:65">
      <c r="A3094" s="1">
        <f>HYPERLINK("https://lsnyc.legalserver.org/matter/dynamic-profile/view/1910842","19-1910842")</f>
        <v>0</v>
      </c>
      <c r="B3094" t="s">
        <v>187</v>
      </c>
      <c r="C3094" t="s">
        <v>245</v>
      </c>
      <c r="D3094" t="s">
        <v>728</v>
      </c>
      <c r="F3094" t="s">
        <v>1177</v>
      </c>
      <c r="G3094" t="s">
        <v>4167</v>
      </c>
      <c r="H3094" t="s">
        <v>5863</v>
      </c>
      <c r="J3094" t="s">
        <v>7169</v>
      </c>
      <c r="K3094">
        <v>10032</v>
      </c>
      <c r="N3094" t="s">
        <v>7237</v>
      </c>
      <c r="O3094" t="s">
        <v>9255</v>
      </c>
      <c r="P3094">
        <v>2</v>
      </c>
      <c r="Q3094">
        <v>0</v>
      </c>
      <c r="R3094">
        <v>431.7</v>
      </c>
      <c r="U3094">
        <v>73000</v>
      </c>
      <c r="W3094">
        <v>0.5</v>
      </c>
      <c r="X3094" t="s">
        <v>728</v>
      </c>
      <c r="Y3094" t="s">
        <v>127</v>
      </c>
      <c r="AA3094" t="s">
        <v>10974</v>
      </c>
      <c r="AB3094" t="s">
        <v>728</v>
      </c>
      <c r="AC3094" t="s">
        <v>11081</v>
      </c>
      <c r="AF3094" t="s">
        <v>11121</v>
      </c>
      <c r="AH3094" t="s">
        <v>10975</v>
      </c>
      <c r="AJ3094" t="s">
        <v>11130</v>
      </c>
      <c r="AK3094" t="s">
        <v>7225</v>
      </c>
      <c r="AM3094">
        <v>1650</v>
      </c>
      <c r="AO3094">
        <v>36</v>
      </c>
      <c r="AQ3094" t="s">
        <v>11157</v>
      </c>
      <c r="AS3094" t="s">
        <v>11173</v>
      </c>
      <c r="AU3094">
        <v>15</v>
      </c>
      <c r="AW3094" t="s">
        <v>11187</v>
      </c>
      <c r="BA3094" t="s">
        <v>11222</v>
      </c>
      <c r="BE3094" t="s">
        <v>13483</v>
      </c>
      <c r="BF3094" t="s">
        <v>14364</v>
      </c>
      <c r="BM3094" t="s">
        <v>15650</v>
      </c>
    </row>
    <row r="3095" spans="1:65">
      <c r="A3095" s="1">
        <f>HYPERLINK("https://lsnyc.legalserver.org/matter/dynamic-profile/view/1888028","19-1888028")</f>
        <v>0</v>
      </c>
      <c r="B3095" t="s">
        <v>187</v>
      </c>
      <c r="C3095" t="s">
        <v>245</v>
      </c>
      <c r="D3095" t="s">
        <v>588</v>
      </c>
      <c r="F3095" t="s">
        <v>1417</v>
      </c>
      <c r="G3095" t="s">
        <v>4168</v>
      </c>
      <c r="H3095" t="s">
        <v>4772</v>
      </c>
      <c r="I3095" t="s">
        <v>6491</v>
      </c>
      <c r="J3095" t="s">
        <v>7169</v>
      </c>
      <c r="K3095">
        <v>10032</v>
      </c>
      <c r="N3095" t="s">
        <v>7237</v>
      </c>
      <c r="O3095" t="s">
        <v>9256</v>
      </c>
      <c r="P3095">
        <v>3</v>
      </c>
      <c r="Q3095">
        <v>2</v>
      </c>
      <c r="R3095">
        <v>53.96</v>
      </c>
      <c r="U3095">
        <v>15876</v>
      </c>
      <c r="W3095">
        <v>0</v>
      </c>
      <c r="Y3095" t="s">
        <v>127</v>
      </c>
      <c r="AA3095" t="s">
        <v>10974</v>
      </c>
      <c r="AB3095" t="s">
        <v>588</v>
      </c>
      <c r="AC3095" t="s">
        <v>11081</v>
      </c>
      <c r="AF3095" t="s">
        <v>11118</v>
      </c>
      <c r="AH3095" t="s">
        <v>10974</v>
      </c>
      <c r="AJ3095" t="s">
        <v>11130</v>
      </c>
      <c r="AK3095" t="s">
        <v>7225</v>
      </c>
      <c r="AM3095">
        <v>689</v>
      </c>
      <c r="AO3095">
        <v>42</v>
      </c>
      <c r="AQ3095" t="s">
        <v>11157</v>
      </c>
      <c r="AS3095" t="s">
        <v>11173</v>
      </c>
      <c r="AU3095">
        <v>50</v>
      </c>
      <c r="AW3095" t="s">
        <v>11189</v>
      </c>
      <c r="BA3095" t="s">
        <v>11222</v>
      </c>
      <c r="BE3095" t="s">
        <v>13484</v>
      </c>
      <c r="BF3095" t="s">
        <v>14364</v>
      </c>
      <c r="BM3095" t="s">
        <v>15650</v>
      </c>
    </row>
    <row r="3096" spans="1:65">
      <c r="A3096" s="1">
        <f>HYPERLINK("https://lsnyc.legalserver.org/matter/dynamic-profile/view/1870852","18-1870852")</f>
        <v>0</v>
      </c>
      <c r="B3096" t="s">
        <v>187</v>
      </c>
      <c r="C3096" t="s">
        <v>245</v>
      </c>
      <c r="D3096" t="s">
        <v>726</v>
      </c>
      <c r="F3096" t="s">
        <v>2369</v>
      </c>
      <c r="G3096" t="s">
        <v>3162</v>
      </c>
      <c r="H3096" t="s">
        <v>5856</v>
      </c>
      <c r="I3096">
        <v>54</v>
      </c>
      <c r="J3096" t="s">
        <v>7169</v>
      </c>
      <c r="K3096">
        <v>10034</v>
      </c>
      <c r="N3096" t="s">
        <v>7237</v>
      </c>
      <c r="O3096" t="s">
        <v>9244</v>
      </c>
      <c r="P3096">
        <v>1</v>
      </c>
      <c r="Q3096">
        <v>0</v>
      </c>
      <c r="R3096">
        <v>128.5</v>
      </c>
      <c r="U3096">
        <v>15600</v>
      </c>
      <c r="W3096">
        <v>131.78</v>
      </c>
      <c r="X3096" t="s">
        <v>335</v>
      </c>
      <c r="Y3096" t="s">
        <v>10955</v>
      </c>
      <c r="AA3096" t="s">
        <v>10974</v>
      </c>
      <c r="AB3096" t="s">
        <v>726</v>
      </c>
      <c r="AD3096" t="s">
        <v>11082</v>
      </c>
      <c r="AF3096" t="s">
        <v>11118</v>
      </c>
      <c r="AH3096" t="s">
        <v>10975</v>
      </c>
      <c r="AJ3096" t="s">
        <v>11129</v>
      </c>
      <c r="AK3096" t="s">
        <v>7225</v>
      </c>
      <c r="AM3096">
        <v>856.55</v>
      </c>
      <c r="AO3096">
        <v>53</v>
      </c>
      <c r="AQ3096" t="s">
        <v>11157</v>
      </c>
      <c r="AS3096" t="s">
        <v>11173</v>
      </c>
      <c r="AU3096">
        <v>15</v>
      </c>
      <c r="AW3096" t="s">
        <v>11187</v>
      </c>
      <c r="AZ3096" t="s">
        <v>11221</v>
      </c>
      <c r="BE3096" t="s">
        <v>13474</v>
      </c>
      <c r="BG3096" t="s">
        <v>15179</v>
      </c>
      <c r="BM3096" t="s">
        <v>15650</v>
      </c>
    </row>
    <row r="3097" spans="1:65">
      <c r="A3097" s="1">
        <f>HYPERLINK("https://lsnyc.legalserver.org/matter/dynamic-profile/view/1877745","18-1877745")</f>
        <v>0</v>
      </c>
      <c r="B3097" t="s">
        <v>187</v>
      </c>
      <c r="C3097" t="s">
        <v>245</v>
      </c>
      <c r="D3097" t="s">
        <v>754</v>
      </c>
      <c r="F3097" t="s">
        <v>1213</v>
      </c>
      <c r="G3097" t="s">
        <v>4169</v>
      </c>
      <c r="H3097" t="s">
        <v>5864</v>
      </c>
      <c r="I3097" t="s">
        <v>6468</v>
      </c>
      <c r="J3097" t="s">
        <v>7169</v>
      </c>
      <c r="K3097">
        <v>10032</v>
      </c>
      <c r="N3097" t="s">
        <v>7237</v>
      </c>
      <c r="O3097" t="s">
        <v>9257</v>
      </c>
      <c r="P3097">
        <v>1</v>
      </c>
      <c r="Q3097">
        <v>0</v>
      </c>
      <c r="R3097">
        <v>21.25</v>
      </c>
      <c r="U3097">
        <v>2580</v>
      </c>
      <c r="W3097">
        <v>53.9</v>
      </c>
      <c r="X3097" t="s">
        <v>265</v>
      </c>
      <c r="Y3097" t="s">
        <v>127</v>
      </c>
      <c r="AA3097" t="s">
        <v>10974</v>
      </c>
      <c r="AB3097" t="s">
        <v>754</v>
      </c>
      <c r="AD3097" t="s">
        <v>11082</v>
      </c>
      <c r="AF3097" t="s">
        <v>11118</v>
      </c>
      <c r="AH3097" t="s">
        <v>10975</v>
      </c>
      <c r="AJ3097" t="s">
        <v>11138</v>
      </c>
      <c r="AK3097" t="s">
        <v>7225</v>
      </c>
      <c r="AM3097">
        <v>1258.6</v>
      </c>
      <c r="AN3097" t="s">
        <v>11151</v>
      </c>
      <c r="AO3097" t="s">
        <v>11153</v>
      </c>
      <c r="AQ3097" t="s">
        <v>11157</v>
      </c>
      <c r="AS3097" t="s">
        <v>11173</v>
      </c>
      <c r="AU3097">
        <v>39</v>
      </c>
      <c r="AW3097" t="s">
        <v>11187</v>
      </c>
      <c r="BA3097" t="s">
        <v>11222</v>
      </c>
      <c r="BE3097" t="s">
        <v>13485</v>
      </c>
      <c r="BF3097" t="s">
        <v>14364</v>
      </c>
      <c r="BM3097" t="s">
        <v>15650</v>
      </c>
    </row>
    <row r="3098" spans="1:65">
      <c r="A3098" s="1">
        <f>HYPERLINK("https://lsnyc.legalserver.org/matter/dynamic-profile/view/1898369","19-1898369")</f>
        <v>0</v>
      </c>
      <c r="B3098" t="s">
        <v>187</v>
      </c>
      <c r="C3098" t="s">
        <v>245</v>
      </c>
      <c r="D3098" t="s">
        <v>519</v>
      </c>
      <c r="F3098" t="s">
        <v>2372</v>
      </c>
      <c r="G3098" t="s">
        <v>4170</v>
      </c>
      <c r="H3098" t="s">
        <v>5865</v>
      </c>
      <c r="I3098">
        <v>67</v>
      </c>
      <c r="J3098" t="s">
        <v>7169</v>
      </c>
      <c r="K3098">
        <v>10032</v>
      </c>
      <c r="N3098" t="s">
        <v>7237</v>
      </c>
      <c r="O3098" t="s">
        <v>9258</v>
      </c>
      <c r="P3098">
        <v>2</v>
      </c>
      <c r="Q3098">
        <v>0</v>
      </c>
      <c r="R3098">
        <v>56.35</v>
      </c>
      <c r="U3098">
        <v>9528</v>
      </c>
      <c r="W3098">
        <v>1.8</v>
      </c>
      <c r="X3098" t="s">
        <v>650</v>
      </c>
      <c r="Y3098" t="s">
        <v>127</v>
      </c>
      <c r="AA3098" t="s">
        <v>10974</v>
      </c>
      <c r="AB3098" t="s">
        <v>519</v>
      </c>
      <c r="AD3098" t="s">
        <v>11090</v>
      </c>
      <c r="AF3098" t="s">
        <v>10384</v>
      </c>
      <c r="AH3098" t="s">
        <v>10975</v>
      </c>
      <c r="AJ3098" t="s">
        <v>11130</v>
      </c>
      <c r="AK3098" t="s">
        <v>7225</v>
      </c>
      <c r="AM3098">
        <v>1550</v>
      </c>
      <c r="AO3098">
        <v>55</v>
      </c>
      <c r="AQ3098" t="s">
        <v>11157</v>
      </c>
      <c r="AS3098" t="s">
        <v>11177</v>
      </c>
      <c r="AU3098">
        <v>7</v>
      </c>
      <c r="AW3098" t="s">
        <v>11189</v>
      </c>
      <c r="BA3098" t="s">
        <v>11222</v>
      </c>
      <c r="BE3098" t="s">
        <v>13486</v>
      </c>
      <c r="BF3098" t="s">
        <v>14364</v>
      </c>
      <c r="BM3098" t="s">
        <v>15650</v>
      </c>
    </row>
    <row r="3099" spans="1:65">
      <c r="A3099" s="1">
        <f>HYPERLINK("https://lsnyc.legalserver.org/matter/dynamic-profile/view/1911945","19-1911945")</f>
        <v>0</v>
      </c>
      <c r="B3099" t="s">
        <v>187</v>
      </c>
      <c r="C3099" t="s">
        <v>245</v>
      </c>
      <c r="D3099" t="s">
        <v>341</v>
      </c>
      <c r="F3099" t="s">
        <v>2113</v>
      </c>
      <c r="G3099" t="s">
        <v>1250</v>
      </c>
      <c r="H3099" t="s">
        <v>5596</v>
      </c>
      <c r="I3099" t="s">
        <v>6410</v>
      </c>
      <c r="J3099" t="s">
        <v>7169</v>
      </c>
      <c r="K3099">
        <v>10034</v>
      </c>
      <c r="N3099" t="s">
        <v>7237</v>
      </c>
      <c r="O3099" t="s">
        <v>9259</v>
      </c>
      <c r="P3099">
        <v>3</v>
      </c>
      <c r="Q3099">
        <v>2</v>
      </c>
      <c r="R3099">
        <v>361.14</v>
      </c>
      <c r="U3099">
        <v>108956.44</v>
      </c>
      <c r="W3099">
        <v>0.1</v>
      </c>
      <c r="X3099" t="s">
        <v>341</v>
      </c>
      <c r="Y3099" t="s">
        <v>127</v>
      </c>
      <c r="AA3099" t="s">
        <v>10974</v>
      </c>
      <c r="AB3099" t="s">
        <v>341</v>
      </c>
      <c r="AC3099" t="s">
        <v>11081</v>
      </c>
      <c r="AF3099" t="s">
        <v>11118</v>
      </c>
      <c r="AH3099" t="s">
        <v>10974</v>
      </c>
      <c r="AJ3099" t="s">
        <v>11129</v>
      </c>
      <c r="AK3099" t="s">
        <v>7225</v>
      </c>
      <c r="AM3099">
        <v>2430</v>
      </c>
      <c r="AO3099">
        <v>43</v>
      </c>
      <c r="AQ3099" t="s">
        <v>11157</v>
      </c>
      <c r="AS3099" t="s">
        <v>11173</v>
      </c>
      <c r="AU3099">
        <v>3</v>
      </c>
      <c r="AW3099" t="s">
        <v>11187</v>
      </c>
      <c r="BA3099" t="s">
        <v>11222</v>
      </c>
      <c r="BE3099" t="s">
        <v>13487</v>
      </c>
      <c r="BF3099" t="s">
        <v>14364</v>
      </c>
      <c r="BM3099" t="s">
        <v>15650</v>
      </c>
    </row>
    <row r="3100" spans="1:65">
      <c r="A3100" s="1">
        <f>HYPERLINK("https://lsnyc.legalserver.org/matter/dynamic-profile/view/1888044","19-1888044")</f>
        <v>0</v>
      </c>
      <c r="B3100" t="s">
        <v>187</v>
      </c>
      <c r="C3100" t="s">
        <v>245</v>
      </c>
      <c r="D3100" t="s">
        <v>588</v>
      </c>
      <c r="F3100" t="s">
        <v>1102</v>
      </c>
      <c r="G3100" t="s">
        <v>2894</v>
      </c>
      <c r="H3100" t="s">
        <v>4772</v>
      </c>
      <c r="I3100" t="s">
        <v>6409</v>
      </c>
      <c r="J3100" t="s">
        <v>7169</v>
      </c>
      <c r="K3100">
        <v>10032</v>
      </c>
      <c r="N3100" t="s">
        <v>7237</v>
      </c>
      <c r="O3100" t="s">
        <v>7271</v>
      </c>
      <c r="P3100">
        <v>1</v>
      </c>
      <c r="Q3100">
        <v>1</v>
      </c>
      <c r="R3100">
        <v>102.99</v>
      </c>
      <c r="U3100">
        <v>16952</v>
      </c>
      <c r="W3100">
        <v>1.6</v>
      </c>
      <c r="X3100" t="s">
        <v>421</v>
      </c>
      <c r="Y3100" t="s">
        <v>127</v>
      </c>
      <c r="AA3100" t="s">
        <v>10974</v>
      </c>
      <c r="AB3100" t="s">
        <v>588</v>
      </c>
      <c r="AC3100" t="s">
        <v>11081</v>
      </c>
      <c r="AF3100" t="s">
        <v>11118</v>
      </c>
      <c r="AH3100" t="s">
        <v>10974</v>
      </c>
      <c r="AJ3100" t="s">
        <v>11130</v>
      </c>
      <c r="AK3100" t="s">
        <v>7225</v>
      </c>
      <c r="AM3100">
        <v>858.16</v>
      </c>
      <c r="AO3100">
        <v>42</v>
      </c>
      <c r="AQ3100" t="s">
        <v>11157</v>
      </c>
      <c r="AS3100" t="s">
        <v>11173</v>
      </c>
      <c r="AU3100">
        <v>35</v>
      </c>
      <c r="AW3100" t="s">
        <v>11189</v>
      </c>
      <c r="AZ3100" t="s">
        <v>11221</v>
      </c>
      <c r="BE3100" t="s">
        <v>11686</v>
      </c>
      <c r="BF3100" t="s">
        <v>14364</v>
      </c>
      <c r="BM3100" t="s">
        <v>15650</v>
      </c>
    </row>
    <row r="3101" spans="1:65">
      <c r="A3101" s="1">
        <f>HYPERLINK("https://lsnyc.legalserver.org/matter/dynamic-profile/view/1909040","19-1909040")</f>
        <v>0</v>
      </c>
      <c r="B3101" t="s">
        <v>187</v>
      </c>
      <c r="C3101" t="s">
        <v>245</v>
      </c>
      <c r="D3101" t="s">
        <v>598</v>
      </c>
      <c r="F3101" t="s">
        <v>1122</v>
      </c>
      <c r="G3101" t="s">
        <v>3046</v>
      </c>
      <c r="H3101" t="s">
        <v>5858</v>
      </c>
      <c r="I3101">
        <v>24</v>
      </c>
      <c r="J3101" t="s">
        <v>7169</v>
      </c>
      <c r="K3101">
        <v>10033</v>
      </c>
      <c r="N3101" t="s">
        <v>7237</v>
      </c>
      <c r="O3101" t="s">
        <v>9260</v>
      </c>
      <c r="P3101">
        <v>1</v>
      </c>
      <c r="Q3101">
        <v>0</v>
      </c>
      <c r="R3101">
        <v>64.05</v>
      </c>
      <c r="U3101">
        <v>8000</v>
      </c>
      <c r="W3101">
        <v>0.3</v>
      </c>
      <c r="X3101" t="s">
        <v>384</v>
      </c>
      <c r="Y3101" t="s">
        <v>127</v>
      </c>
      <c r="AA3101" t="s">
        <v>10974</v>
      </c>
      <c r="AB3101" t="s">
        <v>598</v>
      </c>
      <c r="AD3101" t="s">
        <v>11101</v>
      </c>
      <c r="AF3101" t="s">
        <v>11118</v>
      </c>
      <c r="AH3101" t="s">
        <v>10974</v>
      </c>
      <c r="AJ3101" t="s">
        <v>11130</v>
      </c>
      <c r="AK3101" t="s">
        <v>7225</v>
      </c>
      <c r="AM3101">
        <v>838.08</v>
      </c>
      <c r="AO3101">
        <v>20</v>
      </c>
      <c r="AQ3101" t="s">
        <v>11157</v>
      </c>
      <c r="AS3101" t="s">
        <v>11175</v>
      </c>
      <c r="AU3101">
        <v>28</v>
      </c>
      <c r="AW3101" t="s">
        <v>11189</v>
      </c>
      <c r="BA3101" t="s">
        <v>11222</v>
      </c>
      <c r="BE3101" t="s">
        <v>13488</v>
      </c>
      <c r="BF3101" t="s">
        <v>14364</v>
      </c>
      <c r="BM3101" t="s">
        <v>15650</v>
      </c>
    </row>
    <row r="3102" spans="1:65">
      <c r="A3102" s="1">
        <f>HYPERLINK("https://lsnyc.legalserver.org/matter/dynamic-profile/view/1890698","19-1890698")</f>
        <v>0</v>
      </c>
      <c r="B3102" t="s">
        <v>187</v>
      </c>
      <c r="C3102" t="s">
        <v>245</v>
      </c>
      <c r="D3102" t="s">
        <v>367</v>
      </c>
      <c r="F3102" t="s">
        <v>2373</v>
      </c>
      <c r="G3102" t="s">
        <v>4171</v>
      </c>
      <c r="H3102" t="s">
        <v>5866</v>
      </c>
      <c r="I3102" t="s">
        <v>6919</v>
      </c>
      <c r="J3102" t="s">
        <v>7169</v>
      </c>
      <c r="K3102">
        <v>10033</v>
      </c>
      <c r="N3102" t="s">
        <v>7237</v>
      </c>
      <c r="O3102" t="s">
        <v>9261</v>
      </c>
      <c r="P3102">
        <v>1</v>
      </c>
      <c r="Q3102">
        <v>0</v>
      </c>
      <c r="R3102">
        <v>63.28</v>
      </c>
      <c r="U3102">
        <v>7904</v>
      </c>
      <c r="W3102">
        <v>164.1</v>
      </c>
      <c r="X3102" t="s">
        <v>266</v>
      </c>
      <c r="Y3102" t="s">
        <v>127</v>
      </c>
      <c r="AA3102" t="s">
        <v>10974</v>
      </c>
      <c r="AB3102" t="s">
        <v>367</v>
      </c>
      <c r="AC3102" t="s">
        <v>11081</v>
      </c>
      <c r="AF3102" t="s">
        <v>11118</v>
      </c>
      <c r="AH3102" t="s">
        <v>10975</v>
      </c>
      <c r="AJ3102" t="s">
        <v>11130</v>
      </c>
      <c r="AK3102" t="s">
        <v>7225</v>
      </c>
      <c r="AM3102">
        <v>1213</v>
      </c>
      <c r="AO3102">
        <v>24</v>
      </c>
      <c r="AQ3102" t="s">
        <v>11157</v>
      </c>
      <c r="AS3102" t="s">
        <v>11181</v>
      </c>
      <c r="AU3102">
        <v>3</v>
      </c>
      <c r="AW3102" t="s">
        <v>11187</v>
      </c>
      <c r="BA3102" t="s">
        <v>11222</v>
      </c>
      <c r="BE3102" t="s">
        <v>13489</v>
      </c>
      <c r="BF3102" t="s">
        <v>14364</v>
      </c>
      <c r="BM3102" t="s">
        <v>15650</v>
      </c>
    </row>
    <row r="3103" spans="1:65">
      <c r="A3103" s="1">
        <f>HYPERLINK("https://lsnyc.legalserver.org/matter/dynamic-profile/view/1883266","18-1883266")</f>
        <v>0</v>
      </c>
      <c r="B3103" t="s">
        <v>187</v>
      </c>
      <c r="C3103" t="s">
        <v>245</v>
      </c>
      <c r="D3103" t="s">
        <v>606</v>
      </c>
      <c r="F3103" t="s">
        <v>2374</v>
      </c>
      <c r="G3103" t="s">
        <v>4172</v>
      </c>
      <c r="H3103" t="s">
        <v>5867</v>
      </c>
      <c r="I3103" t="s">
        <v>6466</v>
      </c>
      <c r="J3103" t="s">
        <v>7169</v>
      </c>
      <c r="K3103">
        <v>10031</v>
      </c>
      <c r="N3103" t="s">
        <v>7237</v>
      </c>
      <c r="O3103" t="s">
        <v>9262</v>
      </c>
      <c r="P3103">
        <v>4</v>
      </c>
      <c r="Q3103">
        <v>0</v>
      </c>
      <c r="R3103">
        <v>63.11</v>
      </c>
      <c r="U3103">
        <v>15840</v>
      </c>
      <c r="W3103">
        <v>60.8</v>
      </c>
      <c r="X3103" t="s">
        <v>638</v>
      </c>
      <c r="Y3103" t="s">
        <v>127</v>
      </c>
      <c r="AA3103" t="s">
        <v>10974</v>
      </c>
      <c r="AB3103" t="s">
        <v>606</v>
      </c>
      <c r="AC3103" t="s">
        <v>11081</v>
      </c>
      <c r="AF3103" t="s">
        <v>11118</v>
      </c>
      <c r="AH3103" t="s">
        <v>10975</v>
      </c>
      <c r="AJ3103" t="s">
        <v>11130</v>
      </c>
      <c r="AK3103" t="s">
        <v>7225</v>
      </c>
      <c r="AM3103">
        <v>818</v>
      </c>
      <c r="AN3103" t="s">
        <v>11151</v>
      </c>
      <c r="AO3103" t="s">
        <v>11153</v>
      </c>
      <c r="AQ3103" t="s">
        <v>11157</v>
      </c>
      <c r="AS3103" t="s">
        <v>11173</v>
      </c>
      <c r="AT3103" t="s">
        <v>11184</v>
      </c>
      <c r="AU3103">
        <v>0</v>
      </c>
      <c r="AW3103" t="s">
        <v>11189</v>
      </c>
      <c r="BA3103" t="s">
        <v>11222</v>
      </c>
      <c r="BC3103" t="s">
        <v>11504</v>
      </c>
      <c r="BD3103" t="s">
        <v>11667</v>
      </c>
      <c r="BF3103" t="s">
        <v>14364</v>
      </c>
      <c r="BM3103" t="s">
        <v>15650</v>
      </c>
    </row>
    <row r="3104" spans="1:65">
      <c r="A3104" s="1">
        <f>HYPERLINK("https://lsnyc.legalserver.org/matter/dynamic-profile/view/1915456","19-1915456")</f>
        <v>0</v>
      </c>
      <c r="B3104" t="s">
        <v>187</v>
      </c>
      <c r="C3104" t="s">
        <v>245</v>
      </c>
      <c r="D3104" t="s">
        <v>669</v>
      </c>
      <c r="F3104" t="s">
        <v>2375</v>
      </c>
      <c r="G3104" t="s">
        <v>3060</v>
      </c>
      <c r="H3104" t="s">
        <v>5868</v>
      </c>
      <c r="I3104" t="s">
        <v>6477</v>
      </c>
      <c r="J3104" t="s">
        <v>7169</v>
      </c>
      <c r="K3104">
        <v>10002</v>
      </c>
      <c r="N3104" t="s">
        <v>7237</v>
      </c>
      <c r="O3104" t="s">
        <v>9263</v>
      </c>
      <c r="P3104">
        <v>1</v>
      </c>
      <c r="Q3104">
        <v>1</v>
      </c>
      <c r="R3104">
        <v>110.7</v>
      </c>
      <c r="U3104">
        <v>18720</v>
      </c>
      <c r="W3104">
        <v>0</v>
      </c>
      <c r="Y3104" t="s">
        <v>127</v>
      </c>
      <c r="AA3104" t="s">
        <v>10974</v>
      </c>
      <c r="AB3104" t="s">
        <v>669</v>
      </c>
      <c r="AD3104" t="s">
        <v>11105</v>
      </c>
      <c r="AF3104" t="s">
        <v>11121</v>
      </c>
      <c r="AH3104" t="s">
        <v>10975</v>
      </c>
      <c r="AJ3104" t="s">
        <v>11134</v>
      </c>
      <c r="AK3104" t="s">
        <v>7225</v>
      </c>
      <c r="AM3104">
        <v>477</v>
      </c>
      <c r="AO3104">
        <v>200</v>
      </c>
      <c r="AQ3104" t="s">
        <v>11166</v>
      </c>
      <c r="AS3104" t="s">
        <v>11173</v>
      </c>
      <c r="AU3104">
        <v>10</v>
      </c>
      <c r="AW3104" t="s">
        <v>11187</v>
      </c>
      <c r="BA3104" t="s">
        <v>11222</v>
      </c>
      <c r="BE3104" t="s">
        <v>13490</v>
      </c>
      <c r="BF3104" t="s">
        <v>14364</v>
      </c>
      <c r="BM3104" t="s">
        <v>15650</v>
      </c>
    </row>
    <row r="3105" spans="1:65">
      <c r="A3105" s="1">
        <f>HYPERLINK("https://lsnyc.legalserver.org/matter/dynamic-profile/view/1870969","18-1870969")</f>
        <v>0</v>
      </c>
      <c r="B3105" t="s">
        <v>187</v>
      </c>
      <c r="C3105" t="s">
        <v>245</v>
      </c>
      <c r="D3105" t="s">
        <v>975</v>
      </c>
      <c r="F3105" t="s">
        <v>2376</v>
      </c>
      <c r="G3105" t="s">
        <v>2890</v>
      </c>
      <c r="H3105" t="s">
        <v>4768</v>
      </c>
      <c r="I3105">
        <v>46</v>
      </c>
      <c r="J3105" t="s">
        <v>7169</v>
      </c>
      <c r="K3105">
        <v>10034</v>
      </c>
      <c r="N3105" t="s">
        <v>7237</v>
      </c>
      <c r="O3105" t="s">
        <v>9264</v>
      </c>
      <c r="P3105">
        <v>3</v>
      </c>
      <c r="Q3105">
        <v>0</v>
      </c>
      <c r="R3105">
        <v>169.18</v>
      </c>
      <c r="U3105">
        <v>35156</v>
      </c>
      <c r="W3105">
        <v>155.48</v>
      </c>
      <c r="X3105" t="s">
        <v>293</v>
      </c>
      <c r="Y3105" t="s">
        <v>10955</v>
      </c>
      <c r="AA3105" t="s">
        <v>10974</v>
      </c>
      <c r="AB3105" t="s">
        <v>975</v>
      </c>
      <c r="AD3105" t="s">
        <v>11083</v>
      </c>
      <c r="AF3105" t="s">
        <v>11118</v>
      </c>
      <c r="AH3105" t="s">
        <v>10975</v>
      </c>
      <c r="AJ3105" t="s">
        <v>11129</v>
      </c>
      <c r="AK3105" t="s">
        <v>7225</v>
      </c>
      <c r="AM3105">
        <v>846.78</v>
      </c>
      <c r="AO3105">
        <v>28</v>
      </c>
      <c r="AQ3105" t="s">
        <v>11157</v>
      </c>
      <c r="AS3105" t="s">
        <v>11173</v>
      </c>
      <c r="AU3105">
        <v>23</v>
      </c>
      <c r="AW3105" t="s">
        <v>11189</v>
      </c>
      <c r="AZ3105" t="s">
        <v>11221</v>
      </c>
      <c r="BE3105" t="s">
        <v>13491</v>
      </c>
      <c r="BG3105" t="s">
        <v>15180</v>
      </c>
      <c r="BM3105" t="s">
        <v>15650</v>
      </c>
    </row>
    <row r="3106" spans="1:65">
      <c r="A3106" s="1">
        <f>HYPERLINK("https://lsnyc.legalserver.org/matter/dynamic-profile/view/1903635","19-1903635")</f>
        <v>0</v>
      </c>
      <c r="B3106" t="s">
        <v>187</v>
      </c>
      <c r="C3106" t="s">
        <v>245</v>
      </c>
      <c r="D3106" t="s">
        <v>651</v>
      </c>
      <c r="F3106" t="s">
        <v>2377</v>
      </c>
      <c r="G3106" t="s">
        <v>3018</v>
      </c>
      <c r="H3106" t="s">
        <v>4864</v>
      </c>
      <c r="I3106" t="s">
        <v>6448</v>
      </c>
      <c r="J3106" t="s">
        <v>7169</v>
      </c>
      <c r="K3106">
        <v>10034</v>
      </c>
      <c r="N3106" t="s">
        <v>7237</v>
      </c>
      <c r="O3106" t="s">
        <v>9265</v>
      </c>
      <c r="P3106">
        <v>2</v>
      </c>
      <c r="Q3106">
        <v>1</v>
      </c>
      <c r="R3106">
        <v>839.1900000000001</v>
      </c>
      <c r="U3106">
        <v>179000</v>
      </c>
      <c r="W3106">
        <v>1.2</v>
      </c>
      <c r="X3106" t="s">
        <v>335</v>
      </c>
      <c r="Y3106" t="s">
        <v>127</v>
      </c>
      <c r="AA3106" t="s">
        <v>10974</v>
      </c>
      <c r="AB3106" t="s">
        <v>651</v>
      </c>
      <c r="AD3106" t="s">
        <v>11101</v>
      </c>
      <c r="AF3106" t="s">
        <v>11119</v>
      </c>
      <c r="AH3106" t="s">
        <v>10975</v>
      </c>
      <c r="AJ3106" t="s">
        <v>11130</v>
      </c>
      <c r="AK3106" t="s">
        <v>7225</v>
      </c>
      <c r="AM3106">
        <v>2450</v>
      </c>
      <c r="AO3106">
        <v>47</v>
      </c>
      <c r="AQ3106" t="s">
        <v>11157</v>
      </c>
      <c r="AS3106" t="s">
        <v>11173</v>
      </c>
      <c r="AU3106">
        <v>3</v>
      </c>
      <c r="AW3106" t="s">
        <v>11187</v>
      </c>
      <c r="BA3106" t="s">
        <v>11222</v>
      </c>
      <c r="BE3106" t="s">
        <v>13492</v>
      </c>
      <c r="BF3106" t="s">
        <v>14364</v>
      </c>
      <c r="BM3106" t="s">
        <v>15650</v>
      </c>
    </row>
    <row r="3107" spans="1:65">
      <c r="A3107" s="1">
        <f>HYPERLINK("https://lsnyc.legalserver.org/matter/dynamic-profile/view/1875941","18-1875941")</f>
        <v>0</v>
      </c>
      <c r="B3107" t="s">
        <v>187</v>
      </c>
      <c r="C3107" t="s">
        <v>245</v>
      </c>
      <c r="D3107" t="s">
        <v>469</v>
      </c>
      <c r="F3107" t="s">
        <v>2378</v>
      </c>
      <c r="G3107" t="s">
        <v>3155</v>
      </c>
      <c r="H3107" t="s">
        <v>5869</v>
      </c>
      <c r="I3107" t="s">
        <v>6468</v>
      </c>
      <c r="J3107" t="s">
        <v>7169</v>
      </c>
      <c r="K3107">
        <v>10033</v>
      </c>
      <c r="N3107" t="s">
        <v>7237</v>
      </c>
      <c r="O3107" t="s">
        <v>9266</v>
      </c>
      <c r="P3107">
        <v>2</v>
      </c>
      <c r="Q3107">
        <v>1</v>
      </c>
      <c r="R3107">
        <v>62.56</v>
      </c>
      <c r="S3107" t="s">
        <v>10254</v>
      </c>
      <c r="T3107" t="s">
        <v>10275</v>
      </c>
      <c r="U3107">
        <v>13000</v>
      </c>
      <c r="W3107">
        <v>10.6</v>
      </c>
      <c r="X3107" t="s">
        <v>344</v>
      </c>
      <c r="Y3107" t="s">
        <v>10887</v>
      </c>
      <c r="Z3107" t="s">
        <v>10972</v>
      </c>
      <c r="AA3107" t="s">
        <v>10976</v>
      </c>
      <c r="AC3107" t="s">
        <v>11081</v>
      </c>
      <c r="AF3107" t="s">
        <v>10384</v>
      </c>
      <c r="AH3107" t="s">
        <v>10975</v>
      </c>
      <c r="AI3107" t="s">
        <v>11126</v>
      </c>
      <c r="AK3107" t="s">
        <v>11149</v>
      </c>
      <c r="AL3107" t="s">
        <v>11150</v>
      </c>
      <c r="AM3107">
        <v>0</v>
      </c>
      <c r="AN3107" t="s">
        <v>11151</v>
      </c>
      <c r="AO3107" t="s">
        <v>11153</v>
      </c>
      <c r="AQ3107" t="s">
        <v>11157</v>
      </c>
      <c r="AR3107" t="s">
        <v>11172</v>
      </c>
      <c r="AU3107">
        <v>15</v>
      </c>
      <c r="AW3107" t="s">
        <v>11189</v>
      </c>
      <c r="AX3107" t="s">
        <v>11212</v>
      </c>
      <c r="AZ3107" t="s">
        <v>11221</v>
      </c>
      <c r="BD3107" t="s">
        <v>11667</v>
      </c>
      <c r="BF3107" t="s">
        <v>14364</v>
      </c>
      <c r="BM3107" t="s">
        <v>15650</v>
      </c>
    </row>
    <row r="3108" spans="1:65">
      <c r="A3108" s="1">
        <f>HYPERLINK("https://lsnyc.legalserver.org/matter/dynamic-profile/view/1901398","19-1901398")</f>
        <v>0</v>
      </c>
      <c r="B3108" t="s">
        <v>187</v>
      </c>
      <c r="C3108" t="s">
        <v>245</v>
      </c>
      <c r="D3108" t="s">
        <v>589</v>
      </c>
      <c r="F3108" t="s">
        <v>1102</v>
      </c>
      <c r="G3108" t="s">
        <v>2894</v>
      </c>
      <c r="H3108" t="s">
        <v>4772</v>
      </c>
      <c r="I3108" t="s">
        <v>6409</v>
      </c>
      <c r="J3108" t="s">
        <v>7169</v>
      </c>
      <c r="K3108">
        <v>10032</v>
      </c>
      <c r="N3108" t="s">
        <v>7237</v>
      </c>
      <c r="O3108" t="s">
        <v>7271</v>
      </c>
      <c r="P3108">
        <v>1</v>
      </c>
      <c r="Q3108">
        <v>1</v>
      </c>
      <c r="R3108">
        <v>100.25</v>
      </c>
      <c r="U3108">
        <v>16952</v>
      </c>
      <c r="W3108">
        <v>25.95</v>
      </c>
      <c r="X3108" t="s">
        <v>578</v>
      </c>
      <c r="Y3108" t="s">
        <v>127</v>
      </c>
      <c r="AA3108" t="s">
        <v>10974</v>
      </c>
      <c r="AB3108" t="s">
        <v>589</v>
      </c>
      <c r="AC3108" t="s">
        <v>11081</v>
      </c>
      <c r="AF3108" t="s">
        <v>11118</v>
      </c>
      <c r="AH3108" t="s">
        <v>10975</v>
      </c>
      <c r="AI3108" t="s">
        <v>11126</v>
      </c>
      <c r="AK3108" t="s">
        <v>7225</v>
      </c>
      <c r="AM3108">
        <v>858.16</v>
      </c>
      <c r="AO3108">
        <v>42</v>
      </c>
      <c r="AQ3108" t="s">
        <v>11157</v>
      </c>
      <c r="AS3108" t="s">
        <v>11173</v>
      </c>
      <c r="AU3108">
        <v>35</v>
      </c>
      <c r="AW3108" t="s">
        <v>11189</v>
      </c>
      <c r="BA3108" t="s">
        <v>11222</v>
      </c>
      <c r="BE3108" t="s">
        <v>11686</v>
      </c>
      <c r="BF3108" t="s">
        <v>14364</v>
      </c>
      <c r="BM3108" t="s">
        <v>15650</v>
      </c>
    </row>
    <row r="3109" spans="1:65">
      <c r="A3109" s="1">
        <f>HYPERLINK("https://lsnyc.legalserver.org/matter/dynamic-profile/view/1908544","19-1908544")</f>
        <v>0</v>
      </c>
      <c r="B3109" t="s">
        <v>187</v>
      </c>
      <c r="C3109" t="s">
        <v>245</v>
      </c>
      <c r="D3109" t="s">
        <v>635</v>
      </c>
      <c r="F3109" t="s">
        <v>1104</v>
      </c>
      <c r="G3109" t="s">
        <v>2896</v>
      </c>
      <c r="H3109" t="s">
        <v>4774</v>
      </c>
      <c r="I3109" t="s">
        <v>6410</v>
      </c>
      <c r="J3109" t="s">
        <v>7169</v>
      </c>
      <c r="K3109">
        <v>10027</v>
      </c>
      <c r="N3109" t="s">
        <v>7237</v>
      </c>
      <c r="O3109" t="s">
        <v>7273</v>
      </c>
      <c r="P3109">
        <v>1</v>
      </c>
      <c r="Q3109">
        <v>0</v>
      </c>
      <c r="R3109">
        <v>113.07</v>
      </c>
      <c r="U3109">
        <v>14122.8</v>
      </c>
      <c r="W3109">
        <v>5.5</v>
      </c>
      <c r="X3109" t="s">
        <v>272</v>
      </c>
      <c r="Y3109" t="s">
        <v>10885</v>
      </c>
      <c r="AA3109" t="s">
        <v>10974</v>
      </c>
      <c r="AB3109" t="s">
        <v>635</v>
      </c>
      <c r="AD3109" t="s">
        <v>11086</v>
      </c>
      <c r="AF3109" t="s">
        <v>11119</v>
      </c>
      <c r="AH3109" t="s">
        <v>10975</v>
      </c>
      <c r="AJ3109" t="s">
        <v>11141</v>
      </c>
      <c r="AK3109" t="s">
        <v>7225</v>
      </c>
      <c r="AM3109">
        <v>433.33</v>
      </c>
      <c r="AO3109">
        <v>23</v>
      </c>
      <c r="AQ3109" t="s">
        <v>11157</v>
      </c>
      <c r="AS3109" t="s">
        <v>11173</v>
      </c>
      <c r="AT3109" t="s">
        <v>11184</v>
      </c>
      <c r="AU3109">
        <v>0</v>
      </c>
      <c r="AV3109" t="s">
        <v>11186</v>
      </c>
      <c r="BA3109" t="s">
        <v>11222</v>
      </c>
      <c r="BE3109" t="s">
        <v>11688</v>
      </c>
      <c r="BF3109" t="s">
        <v>14364</v>
      </c>
      <c r="BM3109" t="s">
        <v>15650</v>
      </c>
    </row>
    <row r="3110" spans="1:65">
      <c r="A3110" s="1">
        <f>HYPERLINK("https://lsnyc.legalserver.org/matter/dynamic-profile/view/1912268","19-1912268")</f>
        <v>0</v>
      </c>
      <c r="B3110" t="s">
        <v>187</v>
      </c>
      <c r="C3110" t="s">
        <v>245</v>
      </c>
      <c r="D3110" t="s">
        <v>265</v>
      </c>
      <c r="F3110" t="s">
        <v>1167</v>
      </c>
      <c r="G3110" t="s">
        <v>4173</v>
      </c>
      <c r="H3110" t="s">
        <v>5858</v>
      </c>
      <c r="I3110">
        <v>1</v>
      </c>
      <c r="J3110" t="s">
        <v>7169</v>
      </c>
      <c r="K3110">
        <v>10033</v>
      </c>
      <c r="N3110" t="s">
        <v>7237</v>
      </c>
      <c r="O3110" t="s">
        <v>9267</v>
      </c>
      <c r="P3110">
        <v>2</v>
      </c>
      <c r="Q3110">
        <v>0</v>
      </c>
      <c r="R3110">
        <v>92.54000000000001</v>
      </c>
      <c r="U3110">
        <v>15648</v>
      </c>
      <c r="W3110">
        <v>0</v>
      </c>
      <c r="Y3110" t="s">
        <v>127</v>
      </c>
      <c r="AA3110" t="s">
        <v>10974</v>
      </c>
      <c r="AB3110" t="s">
        <v>265</v>
      </c>
      <c r="AD3110" t="s">
        <v>11103</v>
      </c>
      <c r="AF3110" t="s">
        <v>11118</v>
      </c>
      <c r="AH3110" t="s">
        <v>10975</v>
      </c>
      <c r="AJ3110" t="s">
        <v>11129</v>
      </c>
      <c r="AK3110" t="s">
        <v>7225</v>
      </c>
      <c r="AL3110" t="s">
        <v>11150</v>
      </c>
      <c r="AM3110">
        <v>0</v>
      </c>
      <c r="AO3110">
        <v>20</v>
      </c>
      <c r="AP3110" t="s">
        <v>11155</v>
      </c>
      <c r="AS3110" t="s">
        <v>11175</v>
      </c>
      <c r="AU3110">
        <v>29</v>
      </c>
      <c r="AW3110" t="s">
        <v>11189</v>
      </c>
      <c r="BA3110" t="s">
        <v>11222</v>
      </c>
      <c r="BE3110" t="s">
        <v>13493</v>
      </c>
      <c r="BF3110" t="s">
        <v>14364</v>
      </c>
      <c r="BM3110" t="s">
        <v>15650</v>
      </c>
    </row>
    <row r="3111" spans="1:65">
      <c r="A3111" s="1">
        <f>HYPERLINK("https://lsnyc.legalserver.org/matter/dynamic-profile/view/1885141","18-1885141")</f>
        <v>0</v>
      </c>
      <c r="B3111" t="s">
        <v>187</v>
      </c>
      <c r="C3111" t="s">
        <v>245</v>
      </c>
      <c r="D3111" t="s">
        <v>542</v>
      </c>
      <c r="F3111" t="s">
        <v>1354</v>
      </c>
      <c r="G3111" t="s">
        <v>4174</v>
      </c>
      <c r="H3111" t="s">
        <v>4876</v>
      </c>
      <c r="I3111" t="s">
        <v>6440</v>
      </c>
      <c r="J3111" t="s">
        <v>7169</v>
      </c>
      <c r="K3111">
        <v>10034</v>
      </c>
      <c r="N3111" t="s">
        <v>7237</v>
      </c>
      <c r="O3111" t="s">
        <v>8230</v>
      </c>
      <c r="P3111">
        <v>1</v>
      </c>
      <c r="Q3111">
        <v>0</v>
      </c>
      <c r="R3111">
        <v>114.66</v>
      </c>
      <c r="U3111">
        <v>13920</v>
      </c>
      <c r="W3111">
        <v>20.3</v>
      </c>
      <c r="X3111" t="s">
        <v>866</v>
      </c>
      <c r="Y3111" t="s">
        <v>127</v>
      </c>
      <c r="AA3111" t="s">
        <v>10974</v>
      </c>
      <c r="AB3111" t="s">
        <v>542</v>
      </c>
      <c r="AC3111" t="s">
        <v>11081</v>
      </c>
      <c r="AF3111" t="s">
        <v>11120</v>
      </c>
      <c r="AH3111" t="s">
        <v>10975</v>
      </c>
      <c r="AJ3111" t="s">
        <v>11130</v>
      </c>
      <c r="AK3111" t="s">
        <v>7225</v>
      </c>
      <c r="AM3111">
        <v>1231.91</v>
      </c>
      <c r="AN3111" t="s">
        <v>11151</v>
      </c>
      <c r="AO3111" t="s">
        <v>11153</v>
      </c>
      <c r="AQ3111" t="s">
        <v>11157</v>
      </c>
      <c r="AS3111" t="s">
        <v>11173</v>
      </c>
      <c r="AU3111">
        <v>14</v>
      </c>
      <c r="AW3111" t="s">
        <v>11189</v>
      </c>
      <c r="BA3111" t="s">
        <v>11222</v>
      </c>
      <c r="BE3111" t="s">
        <v>13494</v>
      </c>
      <c r="BF3111" t="s">
        <v>14364</v>
      </c>
      <c r="BM3111" t="s">
        <v>15650</v>
      </c>
    </row>
    <row r="3112" spans="1:65">
      <c r="A3112" s="1">
        <f>HYPERLINK("https://lsnyc.legalserver.org/matter/dynamic-profile/view/1890827","19-1890827")</f>
        <v>0</v>
      </c>
      <c r="B3112" t="s">
        <v>187</v>
      </c>
      <c r="C3112" t="s">
        <v>245</v>
      </c>
      <c r="D3112" t="s">
        <v>928</v>
      </c>
      <c r="F3112" t="s">
        <v>1122</v>
      </c>
      <c r="G3112" t="s">
        <v>4175</v>
      </c>
      <c r="H3112" t="s">
        <v>4772</v>
      </c>
      <c r="I3112" t="s">
        <v>6436</v>
      </c>
      <c r="J3112" t="s">
        <v>7169</v>
      </c>
      <c r="K3112">
        <v>10032</v>
      </c>
      <c r="N3112" t="s">
        <v>7237</v>
      </c>
      <c r="O3112" t="s">
        <v>9268</v>
      </c>
      <c r="P3112">
        <v>1</v>
      </c>
      <c r="Q3112">
        <v>0</v>
      </c>
      <c r="R3112">
        <v>190.71</v>
      </c>
      <c r="U3112">
        <v>23820</v>
      </c>
      <c r="W3112">
        <v>0</v>
      </c>
      <c r="Y3112" t="s">
        <v>127</v>
      </c>
      <c r="AA3112" t="s">
        <v>10974</v>
      </c>
      <c r="AB3112" t="s">
        <v>928</v>
      </c>
      <c r="AC3112" t="s">
        <v>11081</v>
      </c>
      <c r="AF3112" t="s">
        <v>11120</v>
      </c>
      <c r="AH3112" t="s">
        <v>10974</v>
      </c>
      <c r="AJ3112" t="s">
        <v>11130</v>
      </c>
      <c r="AK3112" t="s">
        <v>7225</v>
      </c>
      <c r="AM3112">
        <v>699.15</v>
      </c>
      <c r="AN3112" t="s">
        <v>11151</v>
      </c>
      <c r="AO3112" t="s">
        <v>11153</v>
      </c>
      <c r="AQ3112" t="s">
        <v>11157</v>
      </c>
      <c r="AS3112" t="s">
        <v>11175</v>
      </c>
      <c r="AU3112">
        <v>40</v>
      </c>
      <c r="AW3112" t="s">
        <v>11189</v>
      </c>
      <c r="BA3112" t="s">
        <v>11222</v>
      </c>
      <c r="BE3112" t="s">
        <v>13495</v>
      </c>
      <c r="BF3112" t="s">
        <v>14364</v>
      </c>
      <c r="BM3112" t="s">
        <v>15650</v>
      </c>
    </row>
    <row r="3113" spans="1:65">
      <c r="A3113" s="1">
        <f>HYPERLINK("https://lsnyc.legalserver.org/matter/dynamic-profile/view/1915454","19-1915454")</f>
        <v>0</v>
      </c>
      <c r="B3113" t="s">
        <v>187</v>
      </c>
      <c r="C3113" t="s">
        <v>245</v>
      </c>
      <c r="D3113" t="s">
        <v>669</v>
      </c>
      <c r="F3113" t="s">
        <v>1410</v>
      </c>
      <c r="G3113" t="s">
        <v>3226</v>
      </c>
      <c r="H3113" t="s">
        <v>5870</v>
      </c>
      <c r="I3113" t="s">
        <v>6479</v>
      </c>
      <c r="J3113" t="s">
        <v>7169</v>
      </c>
      <c r="K3113">
        <v>10002</v>
      </c>
      <c r="N3113" t="s">
        <v>7237</v>
      </c>
      <c r="O3113" t="s">
        <v>9269</v>
      </c>
      <c r="P3113">
        <v>1</v>
      </c>
      <c r="Q3113">
        <v>0</v>
      </c>
      <c r="R3113">
        <v>96.27</v>
      </c>
      <c r="U3113">
        <v>12024</v>
      </c>
      <c r="W3113">
        <v>0</v>
      </c>
      <c r="Y3113" t="s">
        <v>127</v>
      </c>
      <c r="AA3113" t="s">
        <v>10974</v>
      </c>
      <c r="AB3113" t="s">
        <v>669</v>
      </c>
      <c r="AD3113" t="s">
        <v>11086</v>
      </c>
      <c r="AF3113" t="s">
        <v>11121</v>
      </c>
      <c r="AH3113" t="s">
        <v>10975</v>
      </c>
      <c r="AJ3113" t="s">
        <v>11134</v>
      </c>
      <c r="AK3113" t="s">
        <v>7225</v>
      </c>
      <c r="AM3113">
        <v>311.6</v>
      </c>
      <c r="AO3113">
        <v>141</v>
      </c>
      <c r="AQ3113" t="s">
        <v>11157</v>
      </c>
      <c r="AS3113" t="s">
        <v>11173</v>
      </c>
      <c r="AU3113">
        <v>12</v>
      </c>
      <c r="AW3113" t="s">
        <v>11189</v>
      </c>
      <c r="BA3113" t="s">
        <v>11222</v>
      </c>
      <c r="BE3113" t="s">
        <v>13496</v>
      </c>
      <c r="BF3113" t="s">
        <v>14364</v>
      </c>
      <c r="BM3113" t="s">
        <v>15650</v>
      </c>
    </row>
    <row r="3114" spans="1:65">
      <c r="A3114" s="1">
        <f>HYPERLINK("https://lsnyc.legalserver.org/matter/dynamic-profile/view/1901322","19-1901322")</f>
        <v>0</v>
      </c>
      <c r="B3114" t="s">
        <v>187</v>
      </c>
      <c r="C3114" t="s">
        <v>245</v>
      </c>
      <c r="D3114" t="s">
        <v>701</v>
      </c>
      <c r="F3114" t="s">
        <v>1632</v>
      </c>
      <c r="G3114" t="s">
        <v>4176</v>
      </c>
      <c r="H3114" t="s">
        <v>5871</v>
      </c>
      <c r="I3114">
        <v>53</v>
      </c>
      <c r="J3114" t="s">
        <v>7169</v>
      </c>
      <c r="K3114">
        <v>10033</v>
      </c>
      <c r="N3114" t="s">
        <v>7237</v>
      </c>
      <c r="O3114" t="s">
        <v>9270</v>
      </c>
      <c r="P3114">
        <v>1</v>
      </c>
      <c r="Q3114">
        <v>0</v>
      </c>
      <c r="R3114">
        <v>240.19</v>
      </c>
      <c r="U3114">
        <v>30000</v>
      </c>
      <c r="W3114">
        <v>2.75</v>
      </c>
      <c r="X3114" t="s">
        <v>266</v>
      </c>
      <c r="Y3114" t="s">
        <v>127</v>
      </c>
      <c r="AA3114" t="s">
        <v>10974</v>
      </c>
      <c r="AB3114" t="s">
        <v>701</v>
      </c>
      <c r="AD3114" t="s">
        <v>11090</v>
      </c>
      <c r="AF3114" t="s">
        <v>10384</v>
      </c>
      <c r="AH3114" t="s">
        <v>10975</v>
      </c>
      <c r="AJ3114" t="s">
        <v>11130</v>
      </c>
      <c r="AK3114" t="s">
        <v>7225</v>
      </c>
      <c r="AM3114">
        <v>2050</v>
      </c>
      <c r="AO3114">
        <v>58</v>
      </c>
      <c r="AQ3114" t="s">
        <v>11157</v>
      </c>
      <c r="AS3114" t="s">
        <v>11173</v>
      </c>
      <c r="AU3114">
        <v>8</v>
      </c>
      <c r="AW3114" t="s">
        <v>11187</v>
      </c>
      <c r="BA3114" t="s">
        <v>11222</v>
      </c>
      <c r="BE3114" t="s">
        <v>13497</v>
      </c>
      <c r="BF3114" t="s">
        <v>14364</v>
      </c>
      <c r="BM3114" t="s">
        <v>15650</v>
      </c>
    </row>
    <row r="3115" spans="1:65">
      <c r="A3115" s="1">
        <f>HYPERLINK("https://lsnyc.legalserver.org/matter/dynamic-profile/view/1899127","19-1899127")</f>
        <v>0</v>
      </c>
      <c r="B3115" t="s">
        <v>187</v>
      </c>
      <c r="C3115" t="s">
        <v>245</v>
      </c>
      <c r="D3115" t="s">
        <v>880</v>
      </c>
      <c r="F3115" t="s">
        <v>1139</v>
      </c>
      <c r="G3115" t="s">
        <v>4177</v>
      </c>
      <c r="H3115" t="s">
        <v>4921</v>
      </c>
      <c r="I3115" t="s">
        <v>6417</v>
      </c>
      <c r="J3115" t="s">
        <v>7169</v>
      </c>
      <c r="K3115">
        <v>10034</v>
      </c>
      <c r="N3115" t="s">
        <v>7237</v>
      </c>
      <c r="O3115" t="s">
        <v>9271</v>
      </c>
      <c r="P3115">
        <v>1</v>
      </c>
      <c r="Q3115">
        <v>0</v>
      </c>
      <c r="R3115">
        <v>440.35</v>
      </c>
      <c r="U3115">
        <v>55000</v>
      </c>
      <c r="W3115">
        <v>1.3</v>
      </c>
      <c r="X3115" t="s">
        <v>280</v>
      </c>
      <c r="Y3115" t="s">
        <v>127</v>
      </c>
      <c r="AA3115" t="s">
        <v>10974</v>
      </c>
      <c r="AB3115" t="s">
        <v>880</v>
      </c>
      <c r="AD3115" t="s">
        <v>11086</v>
      </c>
      <c r="AF3115" t="s">
        <v>10384</v>
      </c>
      <c r="AH3115" t="s">
        <v>10975</v>
      </c>
      <c r="AJ3115" t="s">
        <v>11130</v>
      </c>
      <c r="AK3115" t="s">
        <v>7225</v>
      </c>
      <c r="AM3115">
        <v>1625</v>
      </c>
      <c r="AO3115">
        <v>28</v>
      </c>
      <c r="AQ3115" t="s">
        <v>11157</v>
      </c>
      <c r="AS3115" t="s">
        <v>11173</v>
      </c>
      <c r="AU3115">
        <v>1</v>
      </c>
      <c r="AW3115" t="s">
        <v>11187</v>
      </c>
      <c r="BA3115" t="s">
        <v>11222</v>
      </c>
      <c r="BE3115" t="s">
        <v>13498</v>
      </c>
      <c r="BF3115" t="s">
        <v>14364</v>
      </c>
      <c r="BM3115" t="s">
        <v>15650</v>
      </c>
    </row>
    <row r="3116" spans="1:65">
      <c r="A3116" s="1">
        <f>HYPERLINK("https://lsnyc.legalserver.org/matter/dynamic-profile/view/1911734","19-1911734")</f>
        <v>0</v>
      </c>
      <c r="B3116" t="s">
        <v>187</v>
      </c>
      <c r="C3116" t="s">
        <v>245</v>
      </c>
      <c r="D3116" t="s">
        <v>563</v>
      </c>
      <c r="F3116" t="s">
        <v>1931</v>
      </c>
      <c r="G3116" t="s">
        <v>3929</v>
      </c>
      <c r="H3116" t="s">
        <v>5872</v>
      </c>
      <c r="I3116" t="s">
        <v>6424</v>
      </c>
      <c r="J3116" t="s">
        <v>7169</v>
      </c>
      <c r="K3116">
        <v>10034</v>
      </c>
      <c r="N3116" t="s">
        <v>7238</v>
      </c>
      <c r="O3116" t="s">
        <v>9272</v>
      </c>
      <c r="P3116">
        <v>2</v>
      </c>
      <c r="Q3116">
        <v>0</v>
      </c>
      <c r="R3116">
        <v>93.94</v>
      </c>
      <c r="U3116">
        <v>15886</v>
      </c>
      <c r="W3116">
        <v>2.25</v>
      </c>
      <c r="X3116" t="s">
        <v>614</v>
      </c>
      <c r="Y3116" t="s">
        <v>10871</v>
      </c>
      <c r="AA3116" t="s">
        <v>10974</v>
      </c>
      <c r="AB3116" t="s">
        <v>614</v>
      </c>
      <c r="AC3116" t="s">
        <v>11081</v>
      </c>
      <c r="AF3116" t="s">
        <v>11121</v>
      </c>
      <c r="AG3116" t="s">
        <v>11124</v>
      </c>
      <c r="AJ3116" t="s">
        <v>11130</v>
      </c>
      <c r="AK3116" t="s">
        <v>7225</v>
      </c>
      <c r="AM3116">
        <v>829.75</v>
      </c>
      <c r="AO3116">
        <v>120</v>
      </c>
      <c r="AQ3116" t="s">
        <v>11157</v>
      </c>
      <c r="AS3116" t="s">
        <v>11173</v>
      </c>
      <c r="AU3116">
        <v>3</v>
      </c>
      <c r="AW3116" t="s">
        <v>11187</v>
      </c>
      <c r="BA3116" t="s">
        <v>11222</v>
      </c>
      <c r="BE3116" t="s">
        <v>13499</v>
      </c>
      <c r="BF3116" t="s">
        <v>14364</v>
      </c>
      <c r="BM3116" t="s">
        <v>15650</v>
      </c>
    </row>
    <row r="3117" spans="1:65">
      <c r="A3117" s="1">
        <f>HYPERLINK("https://lsnyc.legalserver.org/matter/dynamic-profile/view/1888033","19-1888033")</f>
        <v>0</v>
      </c>
      <c r="B3117" t="s">
        <v>187</v>
      </c>
      <c r="C3117" t="s">
        <v>245</v>
      </c>
      <c r="D3117" t="s">
        <v>588</v>
      </c>
      <c r="F3117" t="s">
        <v>1997</v>
      </c>
      <c r="G3117" t="s">
        <v>4178</v>
      </c>
      <c r="H3117" t="s">
        <v>4772</v>
      </c>
      <c r="I3117" t="s">
        <v>6440</v>
      </c>
      <c r="J3117" t="s">
        <v>7169</v>
      </c>
      <c r="K3117">
        <v>10032</v>
      </c>
      <c r="N3117" t="s">
        <v>7237</v>
      </c>
      <c r="O3117" t="s">
        <v>9273</v>
      </c>
      <c r="P3117">
        <v>2</v>
      </c>
      <c r="Q3117">
        <v>0</v>
      </c>
      <c r="R3117">
        <v>58.32</v>
      </c>
      <c r="U3117">
        <v>9600</v>
      </c>
      <c r="W3117">
        <v>0</v>
      </c>
      <c r="Y3117" t="s">
        <v>127</v>
      </c>
      <c r="AA3117" t="s">
        <v>10974</v>
      </c>
      <c r="AB3117" t="s">
        <v>588</v>
      </c>
      <c r="AC3117" t="s">
        <v>11081</v>
      </c>
      <c r="AF3117" t="s">
        <v>11118</v>
      </c>
      <c r="AH3117" t="s">
        <v>10974</v>
      </c>
      <c r="AJ3117" t="s">
        <v>11130</v>
      </c>
      <c r="AK3117" t="s">
        <v>7225</v>
      </c>
      <c r="AM3117">
        <v>982.2</v>
      </c>
      <c r="AO3117">
        <v>42</v>
      </c>
      <c r="AQ3117" t="s">
        <v>11157</v>
      </c>
      <c r="AS3117" t="s">
        <v>11174</v>
      </c>
      <c r="AU3117">
        <v>37</v>
      </c>
      <c r="AW3117" t="s">
        <v>11189</v>
      </c>
      <c r="BA3117" t="s">
        <v>11222</v>
      </c>
      <c r="BE3117" t="s">
        <v>13500</v>
      </c>
      <c r="BF3117" t="s">
        <v>14364</v>
      </c>
      <c r="BM3117" t="s">
        <v>15650</v>
      </c>
    </row>
    <row r="3118" spans="1:65">
      <c r="A3118" s="1">
        <f>HYPERLINK("https://lsnyc.legalserver.org/matter/dynamic-profile/view/1915479","19-1915479")</f>
        <v>0</v>
      </c>
      <c r="B3118" t="s">
        <v>187</v>
      </c>
      <c r="C3118" t="s">
        <v>245</v>
      </c>
      <c r="D3118" t="s">
        <v>669</v>
      </c>
      <c r="F3118" t="s">
        <v>2379</v>
      </c>
      <c r="G3118" t="s">
        <v>4179</v>
      </c>
      <c r="H3118" t="s">
        <v>5873</v>
      </c>
      <c r="I3118" t="s">
        <v>6415</v>
      </c>
      <c r="J3118" t="s">
        <v>7183</v>
      </c>
      <c r="K3118">
        <v>11372</v>
      </c>
      <c r="N3118" t="s">
        <v>7237</v>
      </c>
      <c r="O3118" t="s">
        <v>9274</v>
      </c>
      <c r="P3118">
        <v>1</v>
      </c>
      <c r="Q3118">
        <v>0</v>
      </c>
      <c r="R3118">
        <v>166.53</v>
      </c>
      <c r="U3118">
        <v>20800</v>
      </c>
      <c r="W3118">
        <v>0</v>
      </c>
      <c r="Y3118" t="s">
        <v>127</v>
      </c>
      <c r="AA3118" t="s">
        <v>10974</v>
      </c>
      <c r="AB3118" t="s">
        <v>669</v>
      </c>
      <c r="AC3118" t="s">
        <v>11081</v>
      </c>
      <c r="AF3118" t="s">
        <v>11121</v>
      </c>
      <c r="AH3118" t="s">
        <v>10975</v>
      </c>
      <c r="AJ3118" t="s">
        <v>11134</v>
      </c>
      <c r="AK3118" t="s">
        <v>7225</v>
      </c>
      <c r="AM3118">
        <v>1300</v>
      </c>
      <c r="AN3118" t="s">
        <v>11151</v>
      </c>
      <c r="AO3118" t="s">
        <v>11153</v>
      </c>
      <c r="AQ3118" t="s">
        <v>11156</v>
      </c>
      <c r="AS3118" t="s">
        <v>11173</v>
      </c>
      <c r="AT3118" t="s">
        <v>11184</v>
      </c>
      <c r="AU3118">
        <v>0</v>
      </c>
      <c r="AW3118" t="s">
        <v>11192</v>
      </c>
      <c r="BA3118" t="s">
        <v>11222</v>
      </c>
      <c r="BE3118" t="s">
        <v>13501</v>
      </c>
      <c r="BF3118" t="s">
        <v>14364</v>
      </c>
      <c r="BM3118" t="s">
        <v>15650</v>
      </c>
    </row>
    <row r="3119" spans="1:65">
      <c r="A3119" s="1">
        <f>HYPERLINK("https://lsnyc.legalserver.org/matter/dynamic-profile/view/1904974","19-1904974")</f>
        <v>0</v>
      </c>
      <c r="B3119" t="s">
        <v>187</v>
      </c>
      <c r="C3119" t="s">
        <v>245</v>
      </c>
      <c r="D3119" t="s">
        <v>328</v>
      </c>
      <c r="F3119" t="s">
        <v>2380</v>
      </c>
      <c r="G3119" t="s">
        <v>4180</v>
      </c>
      <c r="H3119" t="s">
        <v>4880</v>
      </c>
      <c r="I3119" t="s">
        <v>6580</v>
      </c>
      <c r="J3119" t="s">
        <v>7169</v>
      </c>
      <c r="K3119">
        <v>10034</v>
      </c>
      <c r="N3119" t="s">
        <v>7237</v>
      </c>
      <c r="O3119" t="s">
        <v>9275</v>
      </c>
      <c r="P3119">
        <v>3</v>
      </c>
      <c r="Q3119">
        <v>0</v>
      </c>
      <c r="R3119">
        <v>120.68</v>
      </c>
      <c r="U3119">
        <v>25740</v>
      </c>
      <c r="W3119">
        <v>17.6</v>
      </c>
      <c r="X3119" t="s">
        <v>297</v>
      </c>
      <c r="Y3119" t="s">
        <v>127</v>
      </c>
      <c r="AA3119" t="s">
        <v>10974</v>
      </c>
      <c r="AB3119" t="s">
        <v>328</v>
      </c>
      <c r="AC3119" t="s">
        <v>11081</v>
      </c>
      <c r="AF3119" t="s">
        <v>11121</v>
      </c>
      <c r="AH3119" t="s">
        <v>10975</v>
      </c>
      <c r="AJ3119" t="s">
        <v>11130</v>
      </c>
      <c r="AK3119" t="s">
        <v>7225</v>
      </c>
      <c r="AM3119">
        <v>640</v>
      </c>
      <c r="AO3119">
        <v>126</v>
      </c>
      <c r="AQ3119" t="s">
        <v>11157</v>
      </c>
      <c r="AS3119" t="s">
        <v>11174</v>
      </c>
      <c r="AU3119">
        <v>15</v>
      </c>
      <c r="AW3119" t="s">
        <v>11189</v>
      </c>
      <c r="BA3119" t="s">
        <v>11222</v>
      </c>
      <c r="BE3119" t="s">
        <v>13502</v>
      </c>
      <c r="BF3119" t="s">
        <v>14364</v>
      </c>
      <c r="BM3119" t="s">
        <v>15650</v>
      </c>
    </row>
    <row r="3120" spans="1:65">
      <c r="A3120" s="1">
        <f>HYPERLINK("https://lsnyc.legalserver.org/matter/dynamic-profile/view/1902199","19-1902199")</f>
        <v>0</v>
      </c>
      <c r="B3120" t="s">
        <v>187</v>
      </c>
      <c r="C3120" t="s">
        <v>245</v>
      </c>
      <c r="D3120" t="s">
        <v>629</v>
      </c>
      <c r="F3120" t="s">
        <v>2381</v>
      </c>
      <c r="G3120" t="s">
        <v>4181</v>
      </c>
      <c r="H3120" t="s">
        <v>5874</v>
      </c>
      <c r="I3120">
        <v>55</v>
      </c>
      <c r="J3120" t="s">
        <v>7169</v>
      </c>
      <c r="K3120">
        <v>10033</v>
      </c>
      <c r="N3120" t="s">
        <v>7237</v>
      </c>
      <c r="O3120" t="s">
        <v>9276</v>
      </c>
      <c r="P3120">
        <v>2</v>
      </c>
      <c r="Q3120">
        <v>0</v>
      </c>
      <c r="R3120">
        <v>177.41</v>
      </c>
      <c r="U3120">
        <v>30000</v>
      </c>
      <c r="W3120">
        <v>21.9</v>
      </c>
      <c r="X3120" t="s">
        <v>497</v>
      </c>
      <c r="Y3120" t="s">
        <v>127</v>
      </c>
      <c r="AA3120" t="s">
        <v>10974</v>
      </c>
      <c r="AB3120" t="s">
        <v>629</v>
      </c>
      <c r="AC3120" t="s">
        <v>11081</v>
      </c>
      <c r="AF3120" t="s">
        <v>10384</v>
      </c>
      <c r="AH3120" t="s">
        <v>10975</v>
      </c>
      <c r="AJ3120" t="s">
        <v>11130</v>
      </c>
      <c r="AK3120" t="s">
        <v>7225</v>
      </c>
      <c r="AM3120">
        <v>2275</v>
      </c>
      <c r="AO3120">
        <v>32</v>
      </c>
      <c r="AQ3120" t="s">
        <v>11157</v>
      </c>
      <c r="AS3120" t="s">
        <v>11173</v>
      </c>
      <c r="AU3120">
        <v>5</v>
      </c>
      <c r="AW3120" t="s">
        <v>11187</v>
      </c>
      <c r="BA3120" t="s">
        <v>11222</v>
      </c>
      <c r="BD3120" t="s">
        <v>11667</v>
      </c>
      <c r="BF3120" t="s">
        <v>14364</v>
      </c>
      <c r="BM3120" t="s">
        <v>15650</v>
      </c>
    </row>
    <row r="3121" spans="1:65">
      <c r="A3121" s="1">
        <f>HYPERLINK("https://lsnyc.legalserver.org/matter/dynamic-profile/view/1909027","19-1909027")</f>
        <v>0</v>
      </c>
      <c r="B3121" t="s">
        <v>187</v>
      </c>
      <c r="C3121" t="s">
        <v>245</v>
      </c>
      <c r="D3121" t="s">
        <v>598</v>
      </c>
      <c r="F3121" t="s">
        <v>1167</v>
      </c>
      <c r="G3121" t="s">
        <v>4173</v>
      </c>
      <c r="H3121" t="s">
        <v>5858</v>
      </c>
      <c r="I3121">
        <v>1</v>
      </c>
      <c r="J3121" t="s">
        <v>7169</v>
      </c>
      <c r="K3121">
        <v>10033</v>
      </c>
      <c r="N3121" t="s">
        <v>7237</v>
      </c>
      <c r="O3121" t="s">
        <v>9267</v>
      </c>
      <c r="P3121">
        <v>2</v>
      </c>
      <c r="Q3121">
        <v>0</v>
      </c>
      <c r="R3121">
        <v>92.54000000000001</v>
      </c>
      <c r="U3121">
        <v>15648</v>
      </c>
      <c r="W3121">
        <v>0</v>
      </c>
      <c r="Y3121" t="s">
        <v>127</v>
      </c>
      <c r="AA3121" t="s">
        <v>10974</v>
      </c>
      <c r="AB3121" t="s">
        <v>598</v>
      </c>
      <c r="AC3121" t="s">
        <v>11081</v>
      </c>
      <c r="AF3121" t="s">
        <v>11121</v>
      </c>
      <c r="AH3121" t="s">
        <v>10974</v>
      </c>
      <c r="AJ3121" t="s">
        <v>11129</v>
      </c>
      <c r="AK3121" t="s">
        <v>7225</v>
      </c>
      <c r="AL3121" t="s">
        <v>11150</v>
      </c>
      <c r="AM3121">
        <v>0</v>
      </c>
      <c r="AO3121">
        <v>20</v>
      </c>
      <c r="AQ3121" t="s">
        <v>11157</v>
      </c>
      <c r="AS3121" t="s">
        <v>11175</v>
      </c>
      <c r="AU3121">
        <v>2</v>
      </c>
      <c r="AW3121" t="s">
        <v>11189</v>
      </c>
      <c r="BA3121" t="s">
        <v>11222</v>
      </c>
      <c r="BE3121" t="s">
        <v>13493</v>
      </c>
      <c r="BF3121" t="s">
        <v>14364</v>
      </c>
      <c r="BM3121" t="s">
        <v>15650</v>
      </c>
    </row>
    <row r="3122" spans="1:65">
      <c r="A3122" s="1">
        <f>HYPERLINK("https://lsnyc.legalserver.org/matter/dynamic-profile/view/1880269","18-1880269")</f>
        <v>0</v>
      </c>
      <c r="B3122" t="s">
        <v>187</v>
      </c>
      <c r="C3122" t="s">
        <v>245</v>
      </c>
      <c r="D3122" t="s">
        <v>531</v>
      </c>
      <c r="F3122" t="s">
        <v>1802</v>
      </c>
      <c r="G3122" t="s">
        <v>1149</v>
      </c>
      <c r="H3122" t="s">
        <v>5875</v>
      </c>
      <c r="I3122" t="s">
        <v>6501</v>
      </c>
      <c r="J3122" t="s">
        <v>7169</v>
      </c>
      <c r="K3122">
        <v>10463</v>
      </c>
      <c r="N3122" t="s">
        <v>7237</v>
      </c>
      <c r="O3122" t="s">
        <v>9277</v>
      </c>
      <c r="P3122">
        <v>1</v>
      </c>
      <c r="Q3122">
        <v>0</v>
      </c>
      <c r="R3122">
        <v>658.98</v>
      </c>
      <c r="U3122">
        <v>80000</v>
      </c>
      <c r="W3122">
        <v>20.6</v>
      </c>
      <c r="X3122" t="s">
        <v>380</v>
      </c>
      <c r="Y3122" t="s">
        <v>127</v>
      </c>
      <c r="AA3122" t="s">
        <v>10974</v>
      </c>
      <c r="AB3122" t="s">
        <v>531</v>
      </c>
      <c r="AD3122" t="s">
        <v>11101</v>
      </c>
      <c r="AF3122" t="s">
        <v>11118</v>
      </c>
      <c r="AH3122" t="s">
        <v>10974</v>
      </c>
      <c r="AJ3122" t="s">
        <v>11130</v>
      </c>
      <c r="AK3122" t="s">
        <v>7225</v>
      </c>
      <c r="AM3122">
        <v>1652</v>
      </c>
      <c r="AO3122">
        <v>84</v>
      </c>
      <c r="AQ3122" t="s">
        <v>11157</v>
      </c>
      <c r="AS3122" t="s">
        <v>11173</v>
      </c>
      <c r="AU3122">
        <v>10</v>
      </c>
      <c r="AW3122" t="s">
        <v>11187</v>
      </c>
      <c r="AZ3122" t="s">
        <v>11221</v>
      </c>
      <c r="BA3122" t="s">
        <v>11173</v>
      </c>
      <c r="BD3122" t="s">
        <v>11667</v>
      </c>
      <c r="BF3122" t="s">
        <v>14364</v>
      </c>
      <c r="BM3122" t="s">
        <v>15650</v>
      </c>
    </row>
    <row r="3123" spans="1:65">
      <c r="A3123" s="1">
        <f>HYPERLINK("https://lsnyc.legalserver.org/matter/dynamic-profile/view/1888040","19-1888040")</f>
        <v>0</v>
      </c>
      <c r="B3123" t="s">
        <v>187</v>
      </c>
      <c r="C3123" t="s">
        <v>245</v>
      </c>
      <c r="D3123" t="s">
        <v>588</v>
      </c>
      <c r="F3123" t="s">
        <v>1119</v>
      </c>
      <c r="G3123" t="s">
        <v>4182</v>
      </c>
      <c r="H3123" t="s">
        <v>4772</v>
      </c>
      <c r="I3123" t="s">
        <v>6420</v>
      </c>
      <c r="J3123" t="s">
        <v>7169</v>
      </c>
      <c r="K3123">
        <v>10032</v>
      </c>
      <c r="N3123" t="s">
        <v>7237</v>
      </c>
      <c r="O3123" t="s">
        <v>9278</v>
      </c>
      <c r="P3123">
        <v>4</v>
      </c>
      <c r="Q3123">
        <v>0</v>
      </c>
      <c r="R3123">
        <v>59.76</v>
      </c>
      <c r="U3123">
        <v>15000</v>
      </c>
      <c r="W3123">
        <v>0</v>
      </c>
      <c r="Y3123" t="s">
        <v>127</v>
      </c>
      <c r="AA3123" t="s">
        <v>10974</v>
      </c>
      <c r="AB3123" t="s">
        <v>588</v>
      </c>
      <c r="AC3123" t="s">
        <v>11081</v>
      </c>
      <c r="AF3123" t="s">
        <v>11118</v>
      </c>
      <c r="AH3123" t="s">
        <v>10974</v>
      </c>
      <c r="AJ3123" t="s">
        <v>11130</v>
      </c>
      <c r="AK3123" t="s">
        <v>7225</v>
      </c>
      <c r="AM3123">
        <v>1299</v>
      </c>
      <c r="AO3123">
        <v>42</v>
      </c>
      <c r="AQ3123" t="s">
        <v>11157</v>
      </c>
      <c r="AS3123" t="s">
        <v>11174</v>
      </c>
      <c r="AT3123" t="s">
        <v>11184</v>
      </c>
      <c r="AU3123">
        <v>0</v>
      </c>
      <c r="AW3123" t="s">
        <v>11189</v>
      </c>
      <c r="BA3123" t="s">
        <v>11222</v>
      </c>
      <c r="BD3123" t="s">
        <v>11667</v>
      </c>
      <c r="BF3123" t="s">
        <v>14364</v>
      </c>
      <c r="BM3123" t="s">
        <v>15650</v>
      </c>
    </row>
    <row r="3124" spans="1:65">
      <c r="A3124" s="1">
        <f>HYPERLINK("https://lsnyc.legalserver.org/matter/dynamic-profile/view/1897759","19-1897759")</f>
        <v>0</v>
      </c>
      <c r="B3124" t="s">
        <v>187</v>
      </c>
      <c r="C3124" t="s">
        <v>245</v>
      </c>
      <c r="D3124" t="s">
        <v>633</v>
      </c>
      <c r="F3124" t="s">
        <v>1814</v>
      </c>
      <c r="G3124" t="s">
        <v>4183</v>
      </c>
      <c r="H3124" t="s">
        <v>4772</v>
      </c>
      <c r="I3124" t="s">
        <v>6449</v>
      </c>
      <c r="J3124" t="s">
        <v>7169</v>
      </c>
      <c r="K3124">
        <v>10032</v>
      </c>
      <c r="N3124" t="s">
        <v>7237</v>
      </c>
      <c r="O3124" t="s">
        <v>9279</v>
      </c>
      <c r="P3124">
        <v>2</v>
      </c>
      <c r="Q3124">
        <v>3</v>
      </c>
      <c r="R3124">
        <v>326.15</v>
      </c>
      <c r="U3124">
        <v>98400</v>
      </c>
      <c r="W3124">
        <v>3.55</v>
      </c>
      <c r="X3124" t="s">
        <v>447</v>
      </c>
      <c r="Y3124" t="s">
        <v>127</v>
      </c>
      <c r="AA3124" t="s">
        <v>10974</v>
      </c>
      <c r="AB3124" t="s">
        <v>633</v>
      </c>
      <c r="AD3124" t="s">
        <v>11090</v>
      </c>
      <c r="AF3124" t="s">
        <v>11118</v>
      </c>
      <c r="AH3124" t="s">
        <v>10975</v>
      </c>
      <c r="AJ3124" t="s">
        <v>11130</v>
      </c>
      <c r="AK3124" t="s">
        <v>7225</v>
      </c>
      <c r="AM3124">
        <v>894.05</v>
      </c>
      <c r="AO3124">
        <v>48</v>
      </c>
      <c r="AQ3124" t="s">
        <v>11157</v>
      </c>
      <c r="AS3124" t="s">
        <v>11173</v>
      </c>
      <c r="AU3124">
        <v>19</v>
      </c>
      <c r="AW3124" t="s">
        <v>11187</v>
      </c>
      <c r="BA3124" t="s">
        <v>11222</v>
      </c>
      <c r="BE3124" t="s">
        <v>13503</v>
      </c>
      <c r="BF3124" t="s">
        <v>14364</v>
      </c>
      <c r="BM3124" t="s">
        <v>15650</v>
      </c>
    </row>
    <row r="3125" spans="1:65">
      <c r="A3125" s="1">
        <f>HYPERLINK("https://lsnyc.legalserver.org/matter/dynamic-profile/view/1911581","19-1911581")</f>
        <v>0</v>
      </c>
      <c r="B3125" t="s">
        <v>187</v>
      </c>
      <c r="C3125" t="s">
        <v>245</v>
      </c>
      <c r="D3125" t="s">
        <v>798</v>
      </c>
      <c r="F3125" t="s">
        <v>2382</v>
      </c>
      <c r="G3125" t="s">
        <v>4184</v>
      </c>
      <c r="H3125" t="s">
        <v>5595</v>
      </c>
      <c r="I3125" t="s">
        <v>6448</v>
      </c>
      <c r="J3125" t="s">
        <v>7169</v>
      </c>
      <c r="K3125">
        <v>10034</v>
      </c>
      <c r="N3125" t="s">
        <v>7237</v>
      </c>
      <c r="O3125" t="s">
        <v>9280</v>
      </c>
      <c r="P3125">
        <v>2</v>
      </c>
      <c r="Q3125">
        <v>0</v>
      </c>
      <c r="R3125">
        <v>279.91</v>
      </c>
      <c r="S3125" t="s">
        <v>297</v>
      </c>
      <c r="T3125" t="s">
        <v>10276</v>
      </c>
      <c r="U3125">
        <v>47333</v>
      </c>
      <c r="W3125">
        <v>0.1</v>
      </c>
      <c r="X3125" t="s">
        <v>341</v>
      </c>
      <c r="Y3125" t="s">
        <v>127</v>
      </c>
      <c r="AA3125" t="s">
        <v>10974</v>
      </c>
      <c r="AB3125" t="s">
        <v>798</v>
      </c>
      <c r="AD3125" t="s">
        <v>11101</v>
      </c>
      <c r="AF3125" t="s">
        <v>11118</v>
      </c>
      <c r="AH3125" t="s">
        <v>10974</v>
      </c>
      <c r="AJ3125" t="s">
        <v>11130</v>
      </c>
      <c r="AK3125" t="s">
        <v>7225</v>
      </c>
      <c r="AM3125">
        <v>1500</v>
      </c>
      <c r="AO3125">
        <v>43</v>
      </c>
      <c r="AQ3125" t="s">
        <v>11157</v>
      </c>
      <c r="AS3125" t="s">
        <v>11173</v>
      </c>
      <c r="AU3125">
        <v>1</v>
      </c>
      <c r="AW3125" t="s">
        <v>11187</v>
      </c>
      <c r="BA3125" t="s">
        <v>11222</v>
      </c>
      <c r="BE3125" t="s">
        <v>13504</v>
      </c>
      <c r="BF3125" t="s">
        <v>14364</v>
      </c>
      <c r="BM3125" t="s">
        <v>15650</v>
      </c>
    </row>
    <row r="3126" spans="1:65">
      <c r="A3126" s="1">
        <f>HYPERLINK("https://lsnyc.legalserver.org/matter/dynamic-profile/view/1904914","19-1904914")</f>
        <v>0</v>
      </c>
      <c r="B3126" t="s">
        <v>187</v>
      </c>
      <c r="C3126" t="s">
        <v>245</v>
      </c>
      <c r="D3126" t="s">
        <v>328</v>
      </c>
      <c r="F3126" t="s">
        <v>2383</v>
      </c>
      <c r="G3126" t="s">
        <v>3680</v>
      </c>
      <c r="H3126" t="s">
        <v>5858</v>
      </c>
      <c r="I3126">
        <v>4</v>
      </c>
      <c r="J3126" t="s">
        <v>7169</v>
      </c>
      <c r="K3126">
        <v>10033</v>
      </c>
      <c r="N3126" t="s">
        <v>7237</v>
      </c>
      <c r="O3126" t="s">
        <v>9281</v>
      </c>
      <c r="P3126">
        <v>1</v>
      </c>
      <c r="Q3126">
        <v>0</v>
      </c>
      <c r="R3126">
        <v>124.9</v>
      </c>
      <c r="U3126">
        <v>15600</v>
      </c>
      <c r="W3126">
        <v>1.2</v>
      </c>
      <c r="X3126" t="s">
        <v>470</v>
      </c>
      <c r="Y3126" t="s">
        <v>127</v>
      </c>
      <c r="AA3126" t="s">
        <v>10974</v>
      </c>
      <c r="AB3126" t="s">
        <v>328</v>
      </c>
      <c r="AD3126" t="s">
        <v>11090</v>
      </c>
      <c r="AF3126" t="s">
        <v>11119</v>
      </c>
      <c r="AH3126" t="s">
        <v>10975</v>
      </c>
      <c r="AJ3126" t="s">
        <v>11130</v>
      </c>
      <c r="AK3126" t="s">
        <v>7225</v>
      </c>
      <c r="AM3126">
        <v>529</v>
      </c>
      <c r="AO3126">
        <v>20</v>
      </c>
      <c r="AQ3126" t="s">
        <v>11157</v>
      </c>
      <c r="AS3126" t="s">
        <v>11173</v>
      </c>
      <c r="AU3126">
        <v>2</v>
      </c>
      <c r="AW3126" t="s">
        <v>11187</v>
      </c>
      <c r="BA3126" t="s">
        <v>11222</v>
      </c>
      <c r="BE3126" t="s">
        <v>13505</v>
      </c>
      <c r="BF3126" t="s">
        <v>14364</v>
      </c>
      <c r="BM3126" t="s">
        <v>15650</v>
      </c>
    </row>
    <row r="3127" spans="1:65">
      <c r="A3127" s="1">
        <f>HYPERLINK("https://lsnyc.legalserver.org/matter/dynamic-profile/view/1914718","19-1914718")</f>
        <v>0</v>
      </c>
      <c r="B3127" t="s">
        <v>187</v>
      </c>
      <c r="C3127" t="s">
        <v>245</v>
      </c>
      <c r="D3127" t="s">
        <v>614</v>
      </c>
      <c r="F3127" t="s">
        <v>1241</v>
      </c>
      <c r="G3127" t="s">
        <v>4185</v>
      </c>
      <c r="H3127" t="s">
        <v>5511</v>
      </c>
      <c r="I3127" t="s">
        <v>6504</v>
      </c>
      <c r="J3127" t="s">
        <v>7169</v>
      </c>
      <c r="K3127">
        <v>10034</v>
      </c>
      <c r="N3127" t="s">
        <v>7237</v>
      </c>
      <c r="O3127" t="s">
        <v>9282</v>
      </c>
      <c r="P3127">
        <v>1</v>
      </c>
      <c r="Q3127">
        <v>0</v>
      </c>
      <c r="R3127">
        <v>139.31</v>
      </c>
      <c r="U3127">
        <v>17400</v>
      </c>
      <c r="W3127">
        <v>0.85</v>
      </c>
      <c r="X3127" t="s">
        <v>614</v>
      </c>
      <c r="Y3127" t="s">
        <v>127</v>
      </c>
      <c r="AA3127" t="s">
        <v>10974</v>
      </c>
      <c r="AB3127" t="s">
        <v>614</v>
      </c>
      <c r="AD3127" t="s">
        <v>11086</v>
      </c>
      <c r="AF3127" t="s">
        <v>11121</v>
      </c>
      <c r="AH3127" t="s">
        <v>10975</v>
      </c>
      <c r="AJ3127" t="s">
        <v>11130</v>
      </c>
      <c r="AK3127" t="s">
        <v>7225</v>
      </c>
      <c r="AM3127">
        <v>1275.99</v>
      </c>
      <c r="AO3127">
        <v>73</v>
      </c>
      <c r="AQ3127" t="s">
        <v>11157</v>
      </c>
      <c r="AS3127" t="s">
        <v>11173</v>
      </c>
      <c r="AU3127">
        <v>39</v>
      </c>
      <c r="AW3127" t="s">
        <v>11189</v>
      </c>
      <c r="BA3127" t="s">
        <v>11222</v>
      </c>
      <c r="BE3127" t="s">
        <v>13506</v>
      </c>
      <c r="BF3127" t="s">
        <v>14364</v>
      </c>
      <c r="BM3127" t="s">
        <v>15650</v>
      </c>
    </row>
    <row r="3128" spans="1:65">
      <c r="A3128" s="1">
        <f>HYPERLINK("https://lsnyc.legalserver.org/matter/dynamic-profile/view/1900732","19-1900732")</f>
        <v>0</v>
      </c>
      <c r="B3128" t="s">
        <v>187</v>
      </c>
      <c r="C3128" t="s">
        <v>245</v>
      </c>
      <c r="D3128" t="s">
        <v>582</v>
      </c>
      <c r="F3128" t="s">
        <v>1404</v>
      </c>
      <c r="G3128" t="s">
        <v>4186</v>
      </c>
      <c r="H3128" t="s">
        <v>5876</v>
      </c>
      <c r="I3128">
        <v>62</v>
      </c>
      <c r="J3128" t="s">
        <v>7169</v>
      </c>
      <c r="K3128">
        <v>10032</v>
      </c>
      <c r="N3128" t="s">
        <v>7237</v>
      </c>
      <c r="O3128" t="s">
        <v>9283</v>
      </c>
      <c r="P3128">
        <v>2</v>
      </c>
      <c r="Q3128">
        <v>0</v>
      </c>
      <c r="R3128">
        <v>0</v>
      </c>
      <c r="U3128">
        <v>0</v>
      </c>
      <c r="W3128">
        <v>1.6</v>
      </c>
      <c r="X3128" t="s">
        <v>701</v>
      </c>
      <c r="Y3128" t="s">
        <v>127</v>
      </c>
      <c r="AA3128" t="s">
        <v>10974</v>
      </c>
      <c r="AB3128" t="s">
        <v>582</v>
      </c>
      <c r="AC3128" t="s">
        <v>11081</v>
      </c>
      <c r="AF3128" t="s">
        <v>10384</v>
      </c>
      <c r="AH3128" t="s">
        <v>10975</v>
      </c>
      <c r="AJ3128" t="s">
        <v>11130</v>
      </c>
      <c r="AK3128" t="s">
        <v>7225</v>
      </c>
      <c r="AM3128">
        <v>3990</v>
      </c>
      <c r="AO3128">
        <v>35</v>
      </c>
      <c r="AQ3128" t="s">
        <v>11157</v>
      </c>
      <c r="AS3128" t="s">
        <v>11173</v>
      </c>
      <c r="AU3128">
        <v>1</v>
      </c>
      <c r="AW3128" t="s">
        <v>11187</v>
      </c>
      <c r="BA3128" t="s">
        <v>11222</v>
      </c>
      <c r="BE3128" t="s">
        <v>13507</v>
      </c>
      <c r="BF3128" t="s">
        <v>14364</v>
      </c>
      <c r="BM3128" t="s">
        <v>15650</v>
      </c>
    </row>
    <row r="3129" spans="1:65">
      <c r="A3129" s="1">
        <f>HYPERLINK("https://lsnyc.legalserver.org/matter/dynamic-profile/view/1889022","19-1889022")</f>
        <v>0</v>
      </c>
      <c r="B3129" t="s">
        <v>187</v>
      </c>
      <c r="C3129" t="s">
        <v>245</v>
      </c>
      <c r="D3129" t="s">
        <v>321</v>
      </c>
      <c r="F3129" t="s">
        <v>2384</v>
      </c>
      <c r="G3129" t="s">
        <v>4187</v>
      </c>
      <c r="H3129" t="s">
        <v>5877</v>
      </c>
      <c r="I3129" t="s">
        <v>6466</v>
      </c>
      <c r="J3129" t="s">
        <v>7169</v>
      </c>
      <c r="K3129">
        <v>10032</v>
      </c>
      <c r="N3129" t="s">
        <v>7237</v>
      </c>
      <c r="O3129" t="s">
        <v>9284</v>
      </c>
      <c r="P3129">
        <v>3</v>
      </c>
      <c r="Q3129">
        <v>0</v>
      </c>
      <c r="R3129">
        <v>0</v>
      </c>
      <c r="U3129">
        <v>0</v>
      </c>
      <c r="W3129">
        <v>2</v>
      </c>
      <c r="X3129" t="s">
        <v>586</v>
      </c>
      <c r="Y3129" t="s">
        <v>127</v>
      </c>
      <c r="AA3129" t="s">
        <v>10974</v>
      </c>
      <c r="AB3129" t="s">
        <v>321</v>
      </c>
      <c r="AD3129" t="s">
        <v>11090</v>
      </c>
      <c r="AF3129" t="s">
        <v>10384</v>
      </c>
      <c r="AG3129" t="s">
        <v>11124</v>
      </c>
      <c r="AJ3129" t="s">
        <v>11130</v>
      </c>
      <c r="AK3129" t="s">
        <v>7225</v>
      </c>
      <c r="AM3129">
        <v>2297.05</v>
      </c>
      <c r="AN3129" t="s">
        <v>11151</v>
      </c>
      <c r="AO3129" t="s">
        <v>11153</v>
      </c>
      <c r="AQ3129" t="s">
        <v>11160</v>
      </c>
      <c r="AS3129" t="s">
        <v>11173</v>
      </c>
      <c r="AU3129">
        <v>20</v>
      </c>
      <c r="AW3129" t="s">
        <v>11187</v>
      </c>
      <c r="AZ3129" t="s">
        <v>11221</v>
      </c>
      <c r="BE3129" t="s">
        <v>13508</v>
      </c>
      <c r="BF3129" t="s">
        <v>14364</v>
      </c>
      <c r="BM3129" t="s">
        <v>15650</v>
      </c>
    </row>
    <row r="3130" spans="1:65">
      <c r="A3130" s="1">
        <f>HYPERLINK("https://lsnyc.legalserver.org/matter/dynamic-profile/view/1899724","19-1899724")</f>
        <v>0</v>
      </c>
      <c r="B3130" t="s">
        <v>187</v>
      </c>
      <c r="C3130" t="s">
        <v>245</v>
      </c>
      <c r="D3130" t="s">
        <v>584</v>
      </c>
      <c r="F3130" t="s">
        <v>1637</v>
      </c>
      <c r="G3130" t="s">
        <v>3013</v>
      </c>
      <c r="H3130" t="s">
        <v>5878</v>
      </c>
      <c r="I3130" t="s">
        <v>6595</v>
      </c>
      <c r="J3130" t="s">
        <v>7169</v>
      </c>
      <c r="K3130">
        <v>10034</v>
      </c>
      <c r="N3130" t="s">
        <v>7237</v>
      </c>
      <c r="O3130" t="s">
        <v>9285</v>
      </c>
      <c r="P3130">
        <v>2</v>
      </c>
      <c r="Q3130">
        <v>0</v>
      </c>
      <c r="R3130">
        <v>47.31</v>
      </c>
      <c r="U3130">
        <v>8000</v>
      </c>
      <c r="W3130">
        <v>2.3</v>
      </c>
      <c r="X3130" t="s">
        <v>430</v>
      </c>
      <c r="Y3130" t="s">
        <v>127</v>
      </c>
      <c r="AA3130" t="s">
        <v>10974</v>
      </c>
      <c r="AB3130" t="s">
        <v>584</v>
      </c>
      <c r="AC3130" t="s">
        <v>11081</v>
      </c>
      <c r="AF3130" t="s">
        <v>10384</v>
      </c>
      <c r="AH3130" t="s">
        <v>10975</v>
      </c>
      <c r="AJ3130" t="s">
        <v>11129</v>
      </c>
      <c r="AK3130" t="s">
        <v>7225</v>
      </c>
      <c r="AM3130">
        <v>149</v>
      </c>
      <c r="AO3130">
        <v>95</v>
      </c>
      <c r="AQ3130" t="s">
        <v>11157</v>
      </c>
      <c r="AS3130" t="s">
        <v>11173</v>
      </c>
      <c r="AU3130">
        <v>5</v>
      </c>
      <c r="AW3130" t="s">
        <v>11189</v>
      </c>
      <c r="BA3130" t="s">
        <v>11222</v>
      </c>
      <c r="BE3130" t="s">
        <v>13509</v>
      </c>
      <c r="BF3130" t="s">
        <v>14364</v>
      </c>
      <c r="BM3130" t="s">
        <v>15650</v>
      </c>
    </row>
    <row r="3131" spans="1:65">
      <c r="A3131" s="1">
        <f>HYPERLINK("https://lsnyc.legalserver.org/matter/dynamic-profile/view/1915267","19-1915267")</f>
        <v>0</v>
      </c>
      <c r="B3131" t="s">
        <v>187</v>
      </c>
      <c r="C3131" t="s">
        <v>245</v>
      </c>
      <c r="D3131" t="s">
        <v>426</v>
      </c>
      <c r="F3131" t="s">
        <v>2385</v>
      </c>
      <c r="G3131" t="s">
        <v>1636</v>
      </c>
      <c r="H3131" t="s">
        <v>5870</v>
      </c>
      <c r="I3131" t="s">
        <v>6497</v>
      </c>
      <c r="J3131" t="s">
        <v>7169</v>
      </c>
      <c r="K3131">
        <v>10002</v>
      </c>
      <c r="N3131" t="s">
        <v>7237</v>
      </c>
      <c r="O3131" t="s">
        <v>9286</v>
      </c>
      <c r="P3131">
        <v>1</v>
      </c>
      <c r="Q3131">
        <v>2</v>
      </c>
      <c r="R3131">
        <v>43.32</v>
      </c>
      <c r="U3131">
        <v>9240</v>
      </c>
      <c r="W3131">
        <v>0</v>
      </c>
      <c r="Y3131" t="s">
        <v>127</v>
      </c>
      <c r="AA3131" t="s">
        <v>10974</v>
      </c>
      <c r="AB3131" t="s">
        <v>426</v>
      </c>
      <c r="AC3131" t="s">
        <v>11081</v>
      </c>
      <c r="AF3131" t="s">
        <v>11121</v>
      </c>
      <c r="AH3131" t="s">
        <v>10975</v>
      </c>
      <c r="AJ3131" t="s">
        <v>11141</v>
      </c>
      <c r="AK3131" t="s">
        <v>7225</v>
      </c>
      <c r="AM3131">
        <v>205</v>
      </c>
      <c r="AN3131" t="s">
        <v>11151</v>
      </c>
      <c r="AO3131" t="s">
        <v>11153</v>
      </c>
      <c r="AQ3131" t="s">
        <v>11157</v>
      </c>
      <c r="AS3131" t="s">
        <v>11173</v>
      </c>
      <c r="AU3131">
        <v>15</v>
      </c>
      <c r="AW3131" t="s">
        <v>11187</v>
      </c>
      <c r="BA3131" t="s">
        <v>11222</v>
      </c>
      <c r="BE3131" t="s">
        <v>13510</v>
      </c>
      <c r="BF3131" t="s">
        <v>14364</v>
      </c>
      <c r="BM3131" t="s">
        <v>15650</v>
      </c>
    </row>
    <row r="3132" spans="1:65">
      <c r="A3132" s="1">
        <f>HYPERLINK("https://lsnyc.legalserver.org/matter/dynamic-profile/view/1887510","19-1887510")</f>
        <v>0</v>
      </c>
      <c r="B3132" t="s">
        <v>187</v>
      </c>
      <c r="C3132" t="s">
        <v>245</v>
      </c>
      <c r="D3132" t="s">
        <v>290</v>
      </c>
      <c r="F3132" t="s">
        <v>1661</v>
      </c>
      <c r="G3132" t="s">
        <v>4188</v>
      </c>
      <c r="H3132" t="s">
        <v>5879</v>
      </c>
      <c r="I3132" t="s">
        <v>6409</v>
      </c>
      <c r="J3132" t="s">
        <v>7169</v>
      </c>
      <c r="K3132">
        <v>10034</v>
      </c>
      <c r="N3132" t="s">
        <v>7237</v>
      </c>
      <c r="O3132" t="s">
        <v>9287</v>
      </c>
      <c r="P3132">
        <v>1</v>
      </c>
      <c r="Q3132">
        <v>2</v>
      </c>
      <c r="R3132">
        <v>40.14</v>
      </c>
      <c r="U3132">
        <v>8341.200000000001</v>
      </c>
      <c r="W3132">
        <v>28.85</v>
      </c>
      <c r="X3132" t="s">
        <v>435</v>
      </c>
      <c r="Y3132" t="s">
        <v>10862</v>
      </c>
      <c r="AA3132" t="s">
        <v>10974</v>
      </c>
      <c r="AB3132" t="s">
        <v>290</v>
      </c>
      <c r="AD3132" t="s">
        <v>11082</v>
      </c>
      <c r="AF3132" t="s">
        <v>11118</v>
      </c>
      <c r="AH3132" t="s">
        <v>10975</v>
      </c>
      <c r="AJ3132" t="s">
        <v>11138</v>
      </c>
      <c r="AK3132" t="s">
        <v>7225</v>
      </c>
      <c r="AM3132">
        <v>1223.79</v>
      </c>
      <c r="AN3132" t="s">
        <v>11151</v>
      </c>
      <c r="AO3132" t="s">
        <v>11153</v>
      </c>
      <c r="AQ3132" t="s">
        <v>11164</v>
      </c>
      <c r="AS3132" t="s">
        <v>11174</v>
      </c>
      <c r="AU3132">
        <v>14</v>
      </c>
      <c r="AW3132" t="s">
        <v>11187</v>
      </c>
      <c r="AY3132" t="s">
        <v>11218</v>
      </c>
      <c r="AZ3132" t="s">
        <v>11221</v>
      </c>
      <c r="BC3132" t="s">
        <v>11505</v>
      </c>
      <c r="BE3132" t="s">
        <v>13511</v>
      </c>
      <c r="BG3132" t="s">
        <v>15181</v>
      </c>
      <c r="BM3132" t="s">
        <v>15650</v>
      </c>
    </row>
    <row r="3133" spans="1:65">
      <c r="A3133" s="1">
        <f>HYPERLINK("https://lsnyc.legalserver.org/matter/dynamic-profile/view/1915483","19-1915483")</f>
        <v>0</v>
      </c>
      <c r="B3133" t="s">
        <v>187</v>
      </c>
      <c r="C3133" t="s">
        <v>245</v>
      </c>
      <c r="D3133" t="s">
        <v>669</v>
      </c>
      <c r="F3133" t="s">
        <v>1839</v>
      </c>
      <c r="G3133" t="s">
        <v>4189</v>
      </c>
      <c r="H3133" t="s">
        <v>5880</v>
      </c>
      <c r="I3133" t="s">
        <v>6414</v>
      </c>
      <c r="J3133" t="s">
        <v>7169</v>
      </c>
      <c r="K3133">
        <v>10002</v>
      </c>
      <c r="N3133" t="s">
        <v>7237</v>
      </c>
      <c r="O3133" t="s">
        <v>9288</v>
      </c>
      <c r="P3133">
        <v>3</v>
      </c>
      <c r="Q3133">
        <v>0</v>
      </c>
      <c r="R3133">
        <v>39.38</v>
      </c>
      <c r="U3133">
        <v>8400</v>
      </c>
      <c r="W3133">
        <v>0</v>
      </c>
      <c r="Y3133" t="s">
        <v>127</v>
      </c>
      <c r="AA3133" t="s">
        <v>10974</v>
      </c>
      <c r="AB3133" t="s">
        <v>669</v>
      </c>
      <c r="AC3133" t="s">
        <v>11081</v>
      </c>
      <c r="AF3133" t="s">
        <v>11121</v>
      </c>
      <c r="AH3133" t="s">
        <v>10975</v>
      </c>
      <c r="AJ3133" t="s">
        <v>11134</v>
      </c>
      <c r="AK3133" t="s">
        <v>7225</v>
      </c>
      <c r="AL3133" t="s">
        <v>11150</v>
      </c>
      <c r="AM3133">
        <v>0</v>
      </c>
      <c r="AO3133">
        <v>200</v>
      </c>
      <c r="AQ3133" t="s">
        <v>11164</v>
      </c>
      <c r="AS3133" t="s">
        <v>11174</v>
      </c>
      <c r="AU3133">
        <v>40</v>
      </c>
      <c r="AW3133" t="s">
        <v>11187</v>
      </c>
      <c r="BA3133" t="s">
        <v>11222</v>
      </c>
      <c r="BD3133" t="s">
        <v>11667</v>
      </c>
      <c r="BF3133" t="s">
        <v>14364</v>
      </c>
      <c r="BM3133" t="s">
        <v>15650</v>
      </c>
    </row>
    <row r="3134" spans="1:65">
      <c r="A3134" s="1">
        <f>HYPERLINK("https://lsnyc.legalserver.org/matter/dynamic-profile/view/1910056","19-1910056")</f>
        <v>0</v>
      </c>
      <c r="B3134" t="s">
        <v>187</v>
      </c>
      <c r="C3134" t="s">
        <v>245</v>
      </c>
      <c r="D3134" t="s">
        <v>335</v>
      </c>
      <c r="F3134" t="s">
        <v>1284</v>
      </c>
      <c r="G3134" t="s">
        <v>1813</v>
      </c>
      <c r="H3134" t="s">
        <v>5858</v>
      </c>
      <c r="J3134" t="s">
        <v>7169</v>
      </c>
      <c r="K3134">
        <v>10033</v>
      </c>
      <c r="N3134" t="s">
        <v>7237</v>
      </c>
      <c r="O3134" t="s">
        <v>9289</v>
      </c>
      <c r="P3134">
        <v>2</v>
      </c>
      <c r="Q3134">
        <v>0</v>
      </c>
      <c r="R3134">
        <v>147.89</v>
      </c>
      <c r="U3134">
        <v>25008</v>
      </c>
      <c r="W3134">
        <v>14.8</v>
      </c>
      <c r="X3134" t="s">
        <v>305</v>
      </c>
      <c r="Y3134" t="s">
        <v>127</v>
      </c>
      <c r="AA3134" t="s">
        <v>10974</v>
      </c>
      <c r="AB3134" t="s">
        <v>335</v>
      </c>
      <c r="AD3134" t="s">
        <v>11101</v>
      </c>
      <c r="AF3134" t="s">
        <v>11118</v>
      </c>
      <c r="AH3134" t="s">
        <v>10974</v>
      </c>
      <c r="AJ3134" t="s">
        <v>11130</v>
      </c>
      <c r="AK3134" t="s">
        <v>7225</v>
      </c>
      <c r="AL3134" t="s">
        <v>11150</v>
      </c>
      <c r="AM3134">
        <v>0</v>
      </c>
      <c r="AO3134">
        <v>20</v>
      </c>
      <c r="AQ3134" t="s">
        <v>11157</v>
      </c>
      <c r="AS3134" t="s">
        <v>11173</v>
      </c>
      <c r="AT3134" t="s">
        <v>11184</v>
      </c>
      <c r="AU3134">
        <v>0</v>
      </c>
      <c r="AW3134" t="s">
        <v>11187</v>
      </c>
      <c r="BA3134" t="s">
        <v>11222</v>
      </c>
      <c r="BE3134" t="s">
        <v>13512</v>
      </c>
      <c r="BF3134" t="s">
        <v>14364</v>
      </c>
      <c r="BM3134" t="s">
        <v>15650</v>
      </c>
    </row>
    <row r="3135" spans="1:65">
      <c r="A3135" s="1">
        <f>HYPERLINK("https://lsnyc.legalserver.org/matter/dynamic-profile/view/1913103","19-1913103")</f>
        <v>0</v>
      </c>
      <c r="B3135" t="s">
        <v>187</v>
      </c>
      <c r="C3135" t="s">
        <v>245</v>
      </c>
      <c r="D3135" t="s">
        <v>801</v>
      </c>
      <c r="F3135" t="s">
        <v>1137</v>
      </c>
      <c r="G3135" t="s">
        <v>4190</v>
      </c>
      <c r="H3135" t="s">
        <v>5881</v>
      </c>
      <c r="I3135" t="s">
        <v>6686</v>
      </c>
      <c r="J3135" t="s">
        <v>7169</v>
      </c>
      <c r="K3135">
        <v>10034</v>
      </c>
      <c r="N3135" t="s">
        <v>7237</v>
      </c>
      <c r="O3135" t="s">
        <v>9290</v>
      </c>
      <c r="P3135">
        <v>1</v>
      </c>
      <c r="Q3135">
        <v>0</v>
      </c>
      <c r="R3135">
        <v>82.43000000000001</v>
      </c>
      <c r="U3135">
        <v>10296</v>
      </c>
      <c r="W3135">
        <v>0.5</v>
      </c>
      <c r="X3135" t="s">
        <v>801</v>
      </c>
      <c r="Y3135" t="s">
        <v>127</v>
      </c>
      <c r="AA3135" t="s">
        <v>10974</v>
      </c>
      <c r="AB3135" t="s">
        <v>801</v>
      </c>
      <c r="AC3135" t="s">
        <v>11081</v>
      </c>
      <c r="AF3135" t="s">
        <v>11121</v>
      </c>
      <c r="AH3135" t="s">
        <v>10975</v>
      </c>
      <c r="AJ3135" t="s">
        <v>11129</v>
      </c>
      <c r="AK3135" t="s">
        <v>7225</v>
      </c>
      <c r="AM3135">
        <v>236</v>
      </c>
      <c r="AO3135">
        <v>1167</v>
      </c>
      <c r="AQ3135" t="s">
        <v>11157</v>
      </c>
      <c r="AS3135" t="s">
        <v>11174</v>
      </c>
      <c r="AU3135">
        <v>14</v>
      </c>
      <c r="AW3135" t="s">
        <v>11187</v>
      </c>
      <c r="BA3135" t="s">
        <v>11222</v>
      </c>
      <c r="BD3135" t="s">
        <v>11667</v>
      </c>
      <c r="BF3135" t="s">
        <v>14364</v>
      </c>
      <c r="BM3135" t="s">
        <v>15650</v>
      </c>
    </row>
    <row r="3136" spans="1:65">
      <c r="A3136" s="1">
        <f>HYPERLINK("https://lsnyc.legalserver.org/matter/dynamic-profile/view/1902038","19-1902038")</f>
        <v>0</v>
      </c>
      <c r="B3136" t="s">
        <v>187</v>
      </c>
      <c r="C3136" t="s">
        <v>245</v>
      </c>
      <c r="D3136" t="s">
        <v>590</v>
      </c>
      <c r="F3136" t="s">
        <v>1497</v>
      </c>
      <c r="G3136" t="s">
        <v>2877</v>
      </c>
      <c r="H3136" t="s">
        <v>4880</v>
      </c>
      <c r="I3136" t="s">
        <v>6485</v>
      </c>
      <c r="J3136" t="s">
        <v>7169</v>
      </c>
      <c r="K3136">
        <v>10034</v>
      </c>
      <c r="N3136" t="s">
        <v>7237</v>
      </c>
      <c r="O3136" t="s">
        <v>9291</v>
      </c>
      <c r="P3136">
        <v>2</v>
      </c>
      <c r="Q3136">
        <v>1</v>
      </c>
      <c r="R3136">
        <v>157.69</v>
      </c>
      <c r="U3136">
        <v>33636</v>
      </c>
      <c r="W3136">
        <v>27</v>
      </c>
      <c r="X3136" t="s">
        <v>614</v>
      </c>
      <c r="Y3136" t="s">
        <v>127</v>
      </c>
      <c r="AA3136" t="s">
        <v>10974</v>
      </c>
      <c r="AB3136" t="s">
        <v>590</v>
      </c>
      <c r="AD3136" t="s">
        <v>11086</v>
      </c>
      <c r="AF3136" t="s">
        <v>10384</v>
      </c>
      <c r="AH3136" t="s">
        <v>10975</v>
      </c>
      <c r="AJ3136" t="s">
        <v>11130</v>
      </c>
      <c r="AK3136" t="s">
        <v>7225</v>
      </c>
      <c r="AM3136">
        <v>156</v>
      </c>
      <c r="AO3136">
        <v>126</v>
      </c>
      <c r="AQ3136" t="s">
        <v>11157</v>
      </c>
      <c r="AS3136" t="s">
        <v>11173</v>
      </c>
      <c r="AU3136">
        <v>7</v>
      </c>
      <c r="AW3136" t="s">
        <v>11187</v>
      </c>
      <c r="BA3136" t="s">
        <v>11222</v>
      </c>
      <c r="BE3136" t="s">
        <v>13513</v>
      </c>
      <c r="BF3136" t="s">
        <v>14364</v>
      </c>
      <c r="BM3136" t="s">
        <v>15650</v>
      </c>
    </row>
    <row r="3137" spans="1:65">
      <c r="A3137" s="1">
        <f>HYPERLINK("https://lsnyc.legalserver.org/matter/dynamic-profile/view/1910161","19-1910161")</f>
        <v>0</v>
      </c>
      <c r="B3137" t="s">
        <v>187</v>
      </c>
      <c r="C3137" t="s">
        <v>245</v>
      </c>
      <c r="D3137" t="s">
        <v>976</v>
      </c>
      <c r="F3137" t="s">
        <v>1452</v>
      </c>
      <c r="G3137" t="s">
        <v>3315</v>
      </c>
      <c r="H3137" t="s">
        <v>5866</v>
      </c>
      <c r="I3137" t="s">
        <v>6956</v>
      </c>
      <c r="J3137" t="s">
        <v>7169</v>
      </c>
      <c r="K3137">
        <v>10033</v>
      </c>
      <c r="N3137" t="s">
        <v>7237</v>
      </c>
      <c r="O3137" t="s">
        <v>9292</v>
      </c>
      <c r="P3137">
        <v>1</v>
      </c>
      <c r="Q3137">
        <v>0</v>
      </c>
      <c r="R3137">
        <v>144.12</v>
      </c>
      <c r="U3137">
        <v>18000</v>
      </c>
      <c r="W3137">
        <v>0.2</v>
      </c>
      <c r="X3137" t="s">
        <v>335</v>
      </c>
      <c r="Y3137" t="s">
        <v>127</v>
      </c>
      <c r="AA3137" t="s">
        <v>10974</v>
      </c>
      <c r="AB3137" t="s">
        <v>976</v>
      </c>
      <c r="AC3137" t="s">
        <v>11081</v>
      </c>
      <c r="AF3137" t="s">
        <v>11121</v>
      </c>
      <c r="AH3137" t="s">
        <v>10974</v>
      </c>
      <c r="AJ3137" t="s">
        <v>11130</v>
      </c>
      <c r="AK3137" t="s">
        <v>7225</v>
      </c>
      <c r="AM3137">
        <v>3250</v>
      </c>
      <c r="AO3137">
        <v>24</v>
      </c>
      <c r="AQ3137" t="s">
        <v>11157</v>
      </c>
      <c r="AS3137" t="s">
        <v>11173</v>
      </c>
      <c r="AU3137">
        <v>1</v>
      </c>
      <c r="AW3137" t="s">
        <v>11187</v>
      </c>
      <c r="BA3137" t="s">
        <v>11222</v>
      </c>
      <c r="BE3137" t="s">
        <v>13514</v>
      </c>
      <c r="BF3137" t="s">
        <v>14364</v>
      </c>
      <c r="BM3137" t="s">
        <v>15650</v>
      </c>
    </row>
    <row r="3138" spans="1:65">
      <c r="A3138" s="1">
        <f>HYPERLINK("https://lsnyc.legalserver.org/matter/dynamic-profile/view/1885138","18-1885138")</f>
        <v>0</v>
      </c>
      <c r="B3138" t="s">
        <v>187</v>
      </c>
      <c r="C3138" t="s">
        <v>245</v>
      </c>
      <c r="D3138" t="s">
        <v>542</v>
      </c>
      <c r="F3138" t="s">
        <v>1525</v>
      </c>
      <c r="G3138" t="s">
        <v>3621</v>
      </c>
      <c r="H3138" t="s">
        <v>4772</v>
      </c>
      <c r="I3138" t="s">
        <v>6419</v>
      </c>
      <c r="J3138" t="s">
        <v>7169</v>
      </c>
      <c r="K3138">
        <v>10032</v>
      </c>
      <c r="N3138" t="s">
        <v>7237</v>
      </c>
      <c r="O3138" t="s">
        <v>9293</v>
      </c>
      <c r="P3138">
        <v>3</v>
      </c>
      <c r="Q3138">
        <v>0</v>
      </c>
      <c r="R3138">
        <v>144.37</v>
      </c>
      <c r="U3138">
        <v>30000</v>
      </c>
      <c r="W3138">
        <v>126.4</v>
      </c>
      <c r="X3138" t="s">
        <v>528</v>
      </c>
      <c r="Y3138" t="s">
        <v>127</v>
      </c>
      <c r="AA3138" t="s">
        <v>10974</v>
      </c>
      <c r="AB3138" t="s">
        <v>542</v>
      </c>
      <c r="AC3138" t="s">
        <v>11081</v>
      </c>
      <c r="AF3138" t="s">
        <v>11118</v>
      </c>
      <c r="AH3138" t="s">
        <v>10975</v>
      </c>
      <c r="AJ3138" t="s">
        <v>11130</v>
      </c>
      <c r="AK3138" t="s">
        <v>7225</v>
      </c>
      <c r="AM3138">
        <v>775</v>
      </c>
      <c r="AO3138">
        <v>48</v>
      </c>
      <c r="AQ3138" t="s">
        <v>11157</v>
      </c>
      <c r="AS3138" t="s">
        <v>11173</v>
      </c>
      <c r="AU3138">
        <v>20</v>
      </c>
      <c r="AW3138" t="s">
        <v>11187</v>
      </c>
      <c r="BA3138" t="s">
        <v>11222</v>
      </c>
      <c r="BE3138" t="s">
        <v>13515</v>
      </c>
      <c r="BF3138" t="s">
        <v>14364</v>
      </c>
      <c r="BM3138" t="s">
        <v>15650</v>
      </c>
    </row>
    <row r="3139" spans="1:65">
      <c r="A3139" s="1">
        <f>HYPERLINK("https://lsnyc.legalserver.org/matter/dynamic-profile/view/1908249","19-1908249")</f>
        <v>0</v>
      </c>
      <c r="B3139" t="s">
        <v>187</v>
      </c>
      <c r="C3139" t="s">
        <v>245</v>
      </c>
      <c r="D3139" t="s">
        <v>578</v>
      </c>
      <c r="F3139" t="s">
        <v>1282</v>
      </c>
      <c r="G3139" t="s">
        <v>3922</v>
      </c>
      <c r="H3139" t="s">
        <v>5590</v>
      </c>
      <c r="I3139" t="s">
        <v>6407</v>
      </c>
      <c r="J3139" t="s">
        <v>7169</v>
      </c>
      <c r="K3139">
        <v>10034</v>
      </c>
      <c r="N3139" t="s">
        <v>7237</v>
      </c>
      <c r="O3139" t="s">
        <v>8803</v>
      </c>
      <c r="P3139">
        <v>1</v>
      </c>
      <c r="Q3139">
        <v>0</v>
      </c>
      <c r="R3139">
        <v>80.06</v>
      </c>
      <c r="U3139">
        <v>10000</v>
      </c>
      <c r="W3139">
        <v>7.95</v>
      </c>
      <c r="X3139" t="s">
        <v>336</v>
      </c>
      <c r="Y3139" t="s">
        <v>10885</v>
      </c>
      <c r="AA3139" t="s">
        <v>10974</v>
      </c>
      <c r="AD3139" t="s">
        <v>11082</v>
      </c>
      <c r="AF3139" t="s">
        <v>11118</v>
      </c>
      <c r="AH3139" t="s">
        <v>10975</v>
      </c>
      <c r="AJ3139" t="s">
        <v>11129</v>
      </c>
      <c r="AK3139" t="s">
        <v>7225</v>
      </c>
      <c r="AM3139">
        <v>1270</v>
      </c>
      <c r="AO3139">
        <v>44</v>
      </c>
      <c r="AQ3139" t="s">
        <v>11157</v>
      </c>
      <c r="AR3139" t="s">
        <v>11172</v>
      </c>
      <c r="AU3139">
        <v>5</v>
      </c>
      <c r="AW3139" t="s">
        <v>11187</v>
      </c>
      <c r="AX3139" t="s">
        <v>11212</v>
      </c>
      <c r="BA3139" t="s">
        <v>11223</v>
      </c>
      <c r="BC3139" t="s">
        <v>11426</v>
      </c>
      <c r="BE3139" t="s">
        <v>13061</v>
      </c>
      <c r="BG3139" t="s">
        <v>15182</v>
      </c>
      <c r="BM3139" t="s">
        <v>15650</v>
      </c>
    </row>
    <row r="3140" spans="1:65">
      <c r="A3140" s="1">
        <f>HYPERLINK("https://lsnyc.legalserver.org/matter/dynamic-profile/view/1907892","19-1907892")</f>
        <v>0</v>
      </c>
      <c r="B3140" t="s">
        <v>187</v>
      </c>
      <c r="C3140" t="s">
        <v>245</v>
      </c>
      <c r="D3140" t="s">
        <v>293</v>
      </c>
      <c r="F3140" t="s">
        <v>2386</v>
      </c>
      <c r="G3140" t="s">
        <v>4191</v>
      </c>
      <c r="H3140" t="s">
        <v>5882</v>
      </c>
      <c r="I3140">
        <v>45</v>
      </c>
      <c r="J3140" t="s">
        <v>7169</v>
      </c>
      <c r="K3140">
        <v>10032</v>
      </c>
      <c r="N3140" t="s">
        <v>7237</v>
      </c>
      <c r="P3140">
        <v>1</v>
      </c>
      <c r="Q3140">
        <v>2</v>
      </c>
      <c r="R3140">
        <v>145.34</v>
      </c>
      <c r="U3140">
        <v>31000</v>
      </c>
      <c r="W3140">
        <v>0</v>
      </c>
      <c r="Y3140" t="s">
        <v>10956</v>
      </c>
      <c r="AA3140" t="s">
        <v>10974</v>
      </c>
      <c r="AB3140" t="s">
        <v>637</v>
      </c>
      <c r="AC3140" t="s">
        <v>11081</v>
      </c>
      <c r="AF3140" t="s">
        <v>11121</v>
      </c>
      <c r="AH3140" t="s">
        <v>10974</v>
      </c>
      <c r="AJ3140" t="s">
        <v>11130</v>
      </c>
      <c r="AK3140" t="s">
        <v>7225</v>
      </c>
      <c r="AM3140">
        <v>1400</v>
      </c>
      <c r="AO3140">
        <v>46</v>
      </c>
      <c r="AQ3140" t="s">
        <v>11157</v>
      </c>
      <c r="AR3140" t="s">
        <v>11172</v>
      </c>
      <c r="AU3140">
        <v>4</v>
      </c>
      <c r="AW3140" t="s">
        <v>11187</v>
      </c>
      <c r="BA3140" t="s">
        <v>11222</v>
      </c>
      <c r="BE3140" t="s">
        <v>13516</v>
      </c>
      <c r="BF3140" t="s">
        <v>14364</v>
      </c>
      <c r="BM3140" t="s">
        <v>15650</v>
      </c>
    </row>
    <row r="3141" spans="1:65">
      <c r="A3141" s="1">
        <f>HYPERLINK("https://lsnyc.legalserver.org/matter/dynamic-profile/view/1868446","18-1868446")</f>
        <v>0</v>
      </c>
      <c r="B3141" t="s">
        <v>187</v>
      </c>
      <c r="C3141" t="s">
        <v>245</v>
      </c>
      <c r="D3141" t="s">
        <v>937</v>
      </c>
      <c r="F3141" t="s">
        <v>1266</v>
      </c>
      <c r="G3141" t="s">
        <v>4192</v>
      </c>
      <c r="H3141" t="s">
        <v>5883</v>
      </c>
      <c r="I3141" t="s">
        <v>6410</v>
      </c>
      <c r="J3141" t="s">
        <v>7169</v>
      </c>
      <c r="K3141">
        <v>10034</v>
      </c>
      <c r="N3141" t="s">
        <v>7237</v>
      </c>
      <c r="O3141" t="s">
        <v>9294</v>
      </c>
      <c r="P3141">
        <v>1</v>
      </c>
      <c r="Q3141">
        <v>0</v>
      </c>
      <c r="R3141">
        <v>45.3</v>
      </c>
      <c r="U3141">
        <v>5500</v>
      </c>
      <c r="W3141">
        <v>70.40000000000001</v>
      </c>
      <c r="X3141" t="s">
        <v>337</v>
      </c>
      <c r="Y3141" t="s">
        <v>127</v>
      </c>
      <c r="AA3141" t="s">
        <v>10974</v>
      </c>
      <c r="AB3141" t="s">
        <v>937</v>
      </c>
      <c r="AD3141" t="s">
        <v>11082</v>
      </c>
      <c r="AF3141" t="s">
        <v>11118</v>
      </c>
      <c r="AH3141" t="s">
        <v>10975</v>
      </c>
      <c r="AJ3141" t="s">
        <v>11130</v>
      </c>
      <c r="AK3141" t="s">
        <v>7225</v>
      </c>
      <c r="AM3141">
        <v>1098.91</v>
      </c>
      <c r="AO3141">
        <v>52</v>
      </c>
      <c r="AQ3141" t="s">
        <v>11157</v>
      </c>
      <c r="AS3141" t="s">
        <v>11173</v>
      </c>
      <c r="AU3141">
        <v>18</v>
      </c>
      <c r="AW3141" t="s">
        <v>11187</v>
      </c>
      <c r="AZ3141" t="s">
        <v>11221</v>
      </c>
      <c r="BB3141" t="s">
        <v>11224</v>
      </c>
      <c r="BC3141" t="s">
        <v>11506</v>
      </c>
      <c r="BE3141" t="s">
        <v>13517</v>
      </c>
      <c r="BG3141" t="s">
        <v>15183</v>
      </c>
      <c r="BM3141" t="s">
        <v>15650</v>
      </c>
    </row>
    <row r="3142" spans="1:65">
      <c r="A3142" s="1">
        <f>HYPERLINK("https://lsnyc.legalserver.org/matter/dynamic-profile/view/1913177","19-1913177")</f>
        <v>0</v>
      </c>
      <c r="B3142" t="s">
        <v>187</v>
      </c>
      <c r="C3142" t="s">
        <v>245</v>
      </c>
      <c r="D3142" t="s">
        <v>801</v>
      </c>
      <c r="F3142" t="s">
        <v>1814</v>
      </c>
      <c r="G3142" t="s">
        <v>4183</v>
      </c>
      <c r="H3142" t="s">
        <v>4772</v>
      </c>
      <c r="I3142" t="s">
        <v>6449</v>
      </c>
      <c r="J3142" t="s">
        <v>7169</v>
      </c>
      <c r="K3142">
        <v>10032</v>
      </c>
      <c r="N3142" t="s">
        <v>7237</v>
      </c>
      <c r="O3142" t="s">
        <v>9279</v>
      </c>
      <c r="P3142">
        <v>2</v>
      </c>
      <c r="Q3142">
        <v>3</v>
      </c>
      <c r="R3142">
        <v>326.15</v>
      </c>
      <c r="S3142" t="s">
        <v>297</v>
      </c>
      <c r="T3142" t="s">
        <v>10276</v>
      </c>
      <c r="U3142">
        <v>98400</v>
      </c>
      <c r="W3142">
        <v>0.4</v>
      </c>
      <c r="X3142" t="s">
        <v>297</v>
      </c>
      <c r="Y3142" t="s">
        <v>127</v>
      </c>
      <c r="AA3142" t="s">
        <v>10974</v>
      </c>
      <c r="AB3142" t="s">
        <v>801</v>
      </c>
      <c r="AD3142" t="s">
        <v>11101</v>
      </c>
      <c r="AF3142" t="s">
        <v>11118</v>
      </c>
      <c r="AH3142" t="s">
        <v>10974</v>
      </c>
      <c r="AJ3142" t="s">
        <v>11129</v>
      </c>
      <c r="AK3142" t="s">
        <v>7225</v>
      </c>
      <c r="AM3142">
        <v>894.05</v>
      </c>
      <c r="AO3142">
        <v>48</v>
      </c>
      <c r="AQ3142" t="s">
        <v>11157</v>
      </c>
      <c r="AS3142" t="s">
        <v>11173</v>
      </c>
      <c r="AU3142">
        <v>19</v>
      </c>
      <c r="AW3142" t="s">
        <v>11187</v>
      </c>
      <c r="BA3142" t="s">
        <v>11222</v>
      </c>
      <c r="BE3142" t="s">
        <v>13503</v>
      </c>
      <c r="BF3142" t="s">
        <v>14364</v>
      </c>
      <c r="BM3142" t="s">
        <v>15650</v>
      </c>
    </row>
    <row r="3143" spans="1:65">
      <c r="A3143" s="1">
        <f>HYPERLINK("https://lsnyc.legalserver.org/matter/dynamic-profile/view/1913119","19-1913119")</f>
        <v>0</v>
      </c>
      <c r="B3143" t="s">
        <v>187</v>
      </c>
      <c r="C3143" t="s">
        <v>245</v>
      </c>
      <c r="D3143" t="s">
        <v>801</v>
      </c>
      <c r="F3143" t="s">
        <v>2387</v>
      </c>
      <c r="G3143" t="s">
        <v>4193</v>
      </c>
      <c r="H3143" t="s">
        <v>5884</v>
      </c>
      <c r="I3143" t="s">
        <v>6437</v>
      </c>
      <c r="J3143" t="s">
        <v>7169</v>
      </c>
      <c r="K3143">
        <v>10040</v>
      </c>
      <c r="N3143" t="s">
        <v>7237</v>
      </c>
      <c r="O3143" t="s">
        <v>9295</v>
      </c>
      <c r="P3143">
        <v>1</v>
      </c>
      <c r="Q3143">
        <v>0</v>
      </c>
      <c r="R3143">
        <v>0</v>
      </c>
      <c r="U3143">
        <v>0</v>
      </c>
      <c r="W3143">
        <v>1.8</v>
      </c>
      <c r="X3143" t="s">
        <v>266</v>
      </c>
      <c r="Y3143" t="s">
        <v>127</v>
      </c>
      <c r="AA3143" t="s">
        <v>10974</v>
      </c>
      <c r="AB3143" t="s">
        <v>801</v>
      </c>
      <c r="AC3143" t="s">
        <v>11081</v>
      </c>
      <c r="AF3143" t="s">
        <v>11121</v>
      </c>
      <c r="AH3143" t="s">
        <v>10975</v>
      </c>
      <c r="AJ3143" t="s">
        <v>11130</v>
      </c>
      <c r="AK3143" t="s">
        <v>7225</v>
      </c>
      <c r="AM3143">
        <v>1075</v>
      </c>
      <c r="AO3143">
        <v>150</v>
      </c>
      <c r="AQ3143" t="s">
        <v>11157</v>
      </c>
      <c r="AS3143" t="s">
        <v>11173</v>
      </c>
      <c r="AU3143">
        <v>3</v>
      </c>
      <c r="AW3143" t="s">
        <v>11187</v>
      </c>
      <c r="BA3143" t="s">
        <v>11222</v>
      </c>
      <c r="BE3143" t="s">
        <v>13518</v>
      </c>
      <c r="BF3143" t="s">
        <v>14364</v>
      </c>
      <c r="BM3143" t="s">
        <v>15650</v>
      </c>
    </row>
    <row r="3144" spans="1:65">
      <c r="A3144" s="1">
        <f>HYPERLINK("https://lsnyc.legalserver.org/matter/dynamic-profile/view/1914413","19-1914413")</f>
        <v>0</v>
      </c>
      <c r="B3144" t="s">
        <v>187</v>
      </c>
      <c r="C3144" t="s">
        <v>245</v>
      </c>
      <c r="D3144" t="s">
        <v>497</v>
      </c>
      <c r="F3144" t="s">
        <v>2388</v>
      </c>
      <c r="G3144" t="s">
        <v>1636</v>
      </c>
      <c r="H3144" t="s">
        <v>5885</v>
      </c>
      <c r="I3144" t="s">
        <v>6418</v>
      </c>
      <c r="J3144" t="s">
        <v>7169</v>
      </c>
      <c r="K3144">
        <v>10034</v>
      </c>
      <c r="N3144" t="s">
        <v>7237</v>
      </c>
      <c r="O3144" t="s">
        <v>9296</v>
      </c>
      <c r="P3144">
        <v>1</v>
      </c>
      <c r="Q3144">
        <v>2</v>
      </c>
      <c r="R3144">
        <v>46.32</v>
      </c>
      <c r="U3144">
        <v>9880</v>
      </c>
      <c r="W3144">
        <v>1.6</v>
      </c>
      <c r="X3144" t="s">
        <v>436</v>
      </c>
      <c r="Y3144" t="s">
        <v>10890</v>
      </c>
      <c r="AA3144" t="s">
        <v>10974</v>
      </c>
      <c r="AB3144" t="s">
        <v>528</v>
      </c>
      <c r="AD3144" t="s">
        <v>11082</v>
      </c>
      <c r="AF3144" t="s">
        <v>11121</v>
      </c>
      <c r="AH3144" t="s">
        <v>10975</v>
      </c>
      <c r="AJ3144" t="s">
        <v>11143</v>
      </c>
      <c r="AK3144" t="s">
        <v>7225</v>
      </c>
      <c r="AM3144">
        <v>1750</v>
      </c>
      <c r="AO3144">
        <v>40</v>
      </c>
      <c r="AQ3144" t="s">
        <v>11157</v>
      </c>
      <c r="AS3144" t="s">
        <v>11176</v>
      </c>
      <c r="AU3144">
        <v>2</v>
      </c>
      <c r="AW3144" t="s">
        <v>11189</v>
      </c>
      <c r="BA3144" t="s">
        <v>11222</v>
      </c>
      <c r="BE3144" t="s">
        <v>13519</v>
      </c>
      <c r="BF3144" t="s">
        <v>14364</v>
      </c>
      <c r="BG3144" t="s">
        <v>15184</v>
      </c>
      <c r="BM3144" t="s">
        <v>15650</v>
      </c>
    </row>
    <row r="3145" spans="1:65">
      <c r="A3145" s="1">
        <f>HYPERLINK("https://lsnyc.legalserver.org/matter/dynamic-profile/view/1913365","19-1913365")</f>
        <v>0</v>
      </c>
      <c r="B3145" t="s">
        <v>187</v>
      </c>
      <c r="C3145" t="s">
        <v>245</v>
      </c>
      <c r="D3145" t="s">
        <v>273</v>
      </c>
      <c r="F3145" t="s">
        <v>2386</v>
      </c>
      <c r="G3145" t="s">
        <v>4194</v>
      </c>
      <c r="H3145" t="s">
        <v>5886</v>
      </c>
      <c r="I3145" t="s">
        <v>6477</v>
      </c>
      <c r="J3145" t="s">
        <v>7169</v>
      </c>
      <c r="K3145">
        <v>10034</v>
      </c>
      <c r="N3145" t="s">
        <v>7237</v>
      </c>
      <c r="O3145" t="s">
        <v>9297</v>
      </c>
      <c r="P3145">
        <v>1</v>
      </c>
      <c r="Q3145">
        <v>0</v>
      </c>
      <c r="R3145">
        <v>145.72</v>
      </c>
      <c r="U3145">
        <v>18200</v>
      </c>
      <c r="W3145">
        <v>2</v>
      </c>
      <c r="X3145" t="s">
        <v>614</v>
      </c>
      <c r="Y3145" t="s">
        <v>10877</v>
      </c>
      <c r="AA3145" t="s">
        <v>10974</v>
      </c>
      <c r="AB3145" t="s">
        <v>614</v>
      </c>
      <c r="AC3145" t="s">
        <v>11081</v>
      </c>
      <c r="AF3145" t="s">
        <v>11119</v>
      </c>
      <c r="AH3145" t="s">
        <v>10975</v>
      </c>
      <c r="AJ3145" t="s">
        <v>11137</v>
      </c>
      <c r="AK3145" t="s">
        <v>7225</v>
      </c>
      <c r="AM3145">
        <v>1400</v>
      </c>
      <c r="AO3145">
        <v>60</v>
      </c>
      <c r="AQ3145" t="s">
        <v>11157</v>
      </c>
      <c r="AS3145" t="s">
        <v>11173</v>
      </c>
      <c r="AU3145">
        <v>7</v>
      </c>
      <c r="AW3145" t="s">
        <v>11187</v>
      </c>
      <c r="BA3145" t="s">
        <v>11222</v>
      </c>
      <c r="BE3145" t="s">
        <v>13520</v>
      </c>
      <c r="BF3145" t="s">
        <v>14364</v>
      </c>
      <c r="BM3145" t="s">
        <v>15650</v>
      </c>
    </row>
    <row r="3146" spans="1:65">
      <c r="A3146" s="1">
        <f>HYPERLINK("https://lsnyc.legalserver.org/matter/dynamic-profile/view/1890794","19-1890794")</f>
        <v>0</v>
      </c>
      <c r="B3146" t="s">
        <v>187</v>
      </c>
      <c r="C3146" t="s">
        <v>245</v>
      </c>
      <c r="D3146" t="s">
        <v>928</v>
      </c>
      <c r="F3146" t="s">
        <v>2389</v>
      </c>
      <c r="G3146" t="s">
        <v>3314</v>
      </c>
      <c r="H3146" t="s">
        <v>4772</v>
      </c>
      <c r="I3146" t="s">
        <v>6609</v>
      </c>
      <c r="J3146" t="s">
        <v>7169</v>
      </c>
      <c r="K3146">
        <v>10032</v>
      </c>
      <c r="N3146" t="s">
        <v>7237</v>
      </c>
      <c r="O3146" t="s">
        <v>9298</v>
      </c>
      <c r="P3146">
        <v>3</v>
      </c>
      <c r="Q3146">
        <v>1</v>
      </c>
      <c r="R3146">
        <v>139.04</v>
      </c>
      <c r="U3146">
        <v>35804</v>
      </c>
      <c r="W3146">
        <v>0</v>
      </c>
      <c r="Y3146" t="s">
        <v>127</v>
      </c>
      <c r="AA3146" t="s">
        <v>10974</v>
      </c>
      <c r="AB3146" t="s">
        <v>928</v>
      </c>
      <c r="AC3146" t="s">
        <v>11081</v>
      </c>
      <c r="AF3146" t="s">
        <v>11119</v>
      </c>
      <c r="AH3146" t="s">
        <v>10974</v>
      </c>
      <c r="AJ3146" t="s">
        <v>11130</v>
      </c>
      <c r="AK3146" t="s">
        <v>7225</v>
      </c>
      <c r="AM3146">
        <v>650</v>
      </c>
      <c r="AO3146">
        <v>42</v>
      </c>
      <c r="AQ3146" t="s">
        <v>11157</v>
      </c>
      <c r="AS3146" t="s">
        <v>11173</v>
      </c>
      <c r="AU3146">
        <v>25</v>
      </c>
      <c r="AW3146" t="s">
        <v>11189</v>
      </c>
      <c r="BA3146" t="s">
        <v>11222</v>
      </c>
      <c r="BE3146" t="s">
        <v>13521</v>
      </c>
      <c r="BF3146" t="s">
        <v>14364</v>
      </c>
      <c r="BM3146" t="s">
        <v>15650</v>
      </c>
    </row>
    <row r="3147" spans="1:65">
      <c r="A3147" s="1">
        <f>HYPERLINK("https://lsnyc.legalserver.org/matter/dynamic-profile/view/1915632","19-1915632")</f>
        <v>0</v>
      </c>
      <c r="B3147" t="s">
        <v>187</v>
      </c>
      <c r="C3147" t="s">
        <v>245</v>
      </c>
      <c r="D3147" t="s">
        <v>528</v>
      </c>
      <c r="F3147" t="s">
        <v>2390</v>
      </c>
      <c r="G3147" t="s">
        <v>2921</v>
      </c>
      <c r="H3147" t="s">
        <v>5339</v>
      </c>
      <c r="I3147" t="s">
        <v>6480</v>
      </c>
      <c r="J3147" t="s">
        <v>7169</v>
      </c>
      <c r="K3147">
        <v>10034</v>
      </c>
      <c r="N3147" t="s">
        <v>7237</v>
      </c>
      <c r="O3147" t="s">
        <v>9299</v>
      </c>
      <c r="P3147">
        <v>1</v>
      </c>
      <c r="Q3147">
        <v>0</v>
      </c>
      <c r="R3147">
        <v>81.67</v>
      </c>
      <c r="U3147">
        <v>10200</v>
      </c>
      <c r="W3147">
        <v>0</v>
      </c>
      <c r="Y3147" t="s">
        <v>127</v>
      </c>
      <c r="AA3147" t="s">
        <v>10974</v>
      </c>
      <c r="AB3147" t="s">
        <v>528</v>
      </c>
      <c r="AD3147" t="s">
        <v>11086</v>
      </c>
      <c r="AF3147" t="s">
        <v>11119</v>
      </c>
      <c r="AH3147" t="s">
        <v>10975</v>
      </c>
      <c r="AJ3147" t="s">
        <v>11130</v>
      </c>
      <c r="AK3147" t="s">
        <v>7225</v>
      </c>
      <c r="AM3147">
        <v>1100</v>
      </c>
      <c r="AO3147">
        <v>100</v>
      </c>
      <c r="AQ3147" t="s">
        <v>11157</v>
      </c>
      <c r="AS3147" t="s">
        <v>11174</v>
      </c>
      <c r="AU3147">
        <v>27</v>
      </c>
      <c r="AW3147" t="s">
        <v>11187</v>
      </c>
      <c r="BA3147" t="s">
        <v>11222</v>
      </c>
      <c r="BB3147" t="s">
        <v>11224</v>
      </c>
      <c r="BC3147" t="s">
        <v>11507</v>
      </c>
      <c r="BE3147" t="s">
        <v>13522</v>
      </c>
      <c r="BF3147" t="s">
        <v>14364</v>
      </c>
      <c r="BM3147" t="s">
        <v>15650</v>
      </c>
    </row>
    <row r="3148" spans="1:65">
      <c r="A3148" s="1">
        <f>HYPERLINK("https://lsnyc.legalserver.org/matter/dynamic-profile/view/1888148","19-1888148")</f>
        <v>0</v>
      </c>
      <c r="B3148" t="s">
        <v>187</v>
      </c>
      <c r="C3148" t="s">
        <v>245</v>
      </c>
      <c r="D3148" t="s">
        <v>681</v>
      </c>
      <c r="F3148" t="s">
        <v>1270</v>
      </c>
      <c r="G3148" t="s">
        <v>2877</v>
      </c>
      <c r="H3148" t="s">
        <v>4772</v>
      </c>
      <c r="I3148" t="s">
        <v>6448</v>
      </c>
      <c r="J3148" t="s">
        <v>7169</v>
      </c>
      <c r="K3148">
        <v>10032</v>
      </c>
      <c r="N3148" t="s">
        <v>7237</v>
      </c>
      <c r="O3148" t="s">
        <v>9300</v>
      </c>
      <c r="P3148">
        <v>1</v>
      </c>
      <c r="Q3148">
        <v>0</v>
      </c>
      <c r="R3148">
        <v>79.87</v>
      </c>
      <c r="U3148">
        <v>9696</v>
      </c>
      <c r="W3148">
        <v>0</v>
      </c>
      <c r="Y3148" t="s">
        <v>127</v>
      </c>
      <c r="AA3148" t="s">
        <v>10974</v>
      </c>
      <c r="AB3148" t="s">
        <v>681</v>
      </c>
      <c r="AC3148" t="s">
        <v>11081</v>
      </c>
      <c r="AF3148" t="s">
        <v>11118</v>
      </c>
      <c r="AH3148" t="s">
        <v>10974</v>
      </c>
      <c r="AJ3148" t="s">
        <v>11130</v>
      </c>
      <c r="AK3148" t="s">
        <v>7225</v>
      </c>
      <c r="AM3148">
        <v>510.85</v>
      </c>
      <c r="AO3148">
        <v>42</v>
      </c>
      <c r="AQ3148" t="s">
        <v>11157</v>
      </c>
      <c r="AS3148" t="s">
        <v>11175</v>
      </c>
      <c r="AU3148">
        <v>32</v>
      </c>
      <c r="AW3148" t="s">
        <v>11189</v>
      </c>
      <c r="BA3148" t="s">
        <v>11222</v>
      </c>
      <c r="BE3148" t="s">
        <v>13523</v>
      </c>
      <c r="BF3148" t="s">
        <v>14364</v>
      </c>
      <c r="BM3148" t="s">
        <v>15650</v>
      </c>
    </row>
    <row r="3149" spans="1:65">
      <c r="A3149" s="1">
        <f>HYPERLINK("https://lsnyc.legalserver.org/matter/dynamic-profile/view/1904493","19-1904493")</f>
        <v>0</v>
      </c>
      <c r="B3149" t="s">
        <v>187</v>
      </c>
      <c r="C3149" t="s">
        <v>245</v>
      </c>
      <c r="D3149" t="s">
        <v>380</v>
      </c>
      <c r="F3149" t="s">
        <v>2373</v>
      </c>
      <c r="G3149" t="s">
        <v>4171</v>
      </c>
      <c r="H3149" t="s">
        <v>5866</v>
      </c>
      <c r="I3149" t="s">
        <v>6919</v>
      </c>
      <c r="J3149" t="s">
        <v>7169</v>
      </c>
      <c r="K3149">
        <v>10033</v>
      </c>
      <c r="N3149" t="s">
        <v>7237</v>
      </c>
      <c r="O3149" t="s">
        <v>9261</v>
      </c>
      <c r="P3149">
        <v>1</v>
      </c>
      <c r="Q3149">
        <v>0</v>
      </c>
      <c r="R3149">
        <v>39.41</v>
      </c>
      <c r="U3149">
        <v>4922</v>
      </c>
      <c r="W3149">
        <v>14.4</v>
      </c>
      <c r="X3149" t="s">
        <v>335</v>
      </c>
      <c r="Y3149" t="s">
        <v>127</v>
      </c>
      <c r="AA3149" t="s">
        <v>10974</v>
      </c>
      <c r="AB3149" t="s">
        <v>380</v>
      </c>
      <c r="AC3149" t="s">
        <v>11081</v>
      </c>
      <c r="AF3149" t="s">
        <v>11118</v>
      </c>
      <c r="AH3149" t="s">
        <v>10975</v>
      </c>
      <c r="AJ3149" t="s">
        <v>11129</v>
      </c>
      <c r="AK3149" t="s">
        <v>7225</v>
      </c>
      <c r="AM3149">
        <v>1213</v>
      </c>
      <c r="AO3149">
        <v>24</v>
      </c>
      <c r="AP3149" t="s">
        <v>11155</v>
      </c>
      <c r="AS3149" t="s">
        <v>11181</v>
      </c>
      <c r="AU3149">
        <v>4</v>
      </c>
      <c r="AW3149" t="s">
        <v>11187</v>
      </c>
      <c r="BA3149" t="s">
        <v>11222</v>
      </c>
      <c r="BE3149" t="s">
        <v>13489</v>
      </c>
      <c r="BF3149" t="s">
        <v>14364</v>
      </c>
      <c r="BM3149" t="s">
        <v>15650</v>
      </c>
    </row>
    <row r="3150" spans="1:65">
      <c r="A3150" s="1">
        <f>HYPERLINK("https://lsnyc.legalserver.org/matter/dynamic-profile/view/1888071","19-1888071")</f>
        <v>0</v>
      </c>
      <c r="B3150" t="s">
        <v>187</v>
      </c>
      <c r="C3150" t="s">
        <v>245</v>
      </c>
      <c r="D3150" t="s">
        <v>588</v>
      </c>
      <c r="F3150" t="s">
        <v>1307</v>
      </c>
      <c r="G3150" t="s">
        <v>3140</v>
      </c>
      <c r="H3150" t="s">
        <v>4772</v>
      </c>
      <c r="I3150" t="s">
        <v>6477</v>
      </c>
      <c r="J3150" t="s">
        <v>7169</v>
      </c>
      <c r="K3150">
        <v>10032</v>
      </c>
      <c r="N3150" t="s">
        <v>7237</v>
      </c>
      <c r="O3150" t="s">
        <v>9301</v>
      </c>
      <c r="P3150">
        <v>3</v>
      </c>
      <c r="Q3150">
        <v>0</v>
      </c>
      <c r="R3150">
        <v>78.42</v>
      </c>
      <c r="U3150">
        <v>16296</v>
      </c>
      <c r="W3150">
        <v>1.2</v>
      </c>
      <c r="X3150" t="s">
        <v>394</v>
      </c>
      <c r="Y3150" t="s">
        <v>127</v>
      </c>
      <c r="AA3150" t="s">
        <v>10974</v>
      </c>
      <c r="AB3150" t="s">
        <v>588</v>
      </c>
      <c r="AC3150" t="s">
        <v>11081</v>
      </c>
      <c r="AF3150" t="s">
        <v>11118</v>
      </c>
      <c r="AH3150" t="s">
        <v>10975</v>
      </c>
      <c r="AJ3150" t="s">
        <v>11130</v>
      </c>
      <c r="AK3150" t="s">
        <v>7225</v>
      </c>
      <c r="AM3150">
        <v>921.22</v>
      </c>
      <c r="AO3150">
        <v>42</v>
      </c>
      <c r="AQ3150" t="s">
        <v>11157</v>
      </c>
      <c r="AS3150" t="s">
        <v>11173</v>
      </c>
      <c r="AT3150" t="s">
        <v>11184</v>
      </c>
      <c r="AU3150">
        <v>0</v>
      </c>
      <c r="AW3150" t="s">
        <v>11189</v>
      </c>
      <c r="BA3150" t="s">
        <v>11222</v>
      </c>
      <c r="BE3150" t="s">
        <v>13524</v>
      </c>
      <c r="BF3150" t="s">
        <v>14364</v>
      </c>
      <c r="BM3150" t="s">
        <v>15650</v>
      </c>
    </row>
    <row r="3151" spans="1:65">
      <c r="A3151" s="1">
        <f>HYPERLINK("https://lsnyc.legalserver.org/matter/dynamic-profile/view/1907283","19-1907283")</f>
        <v>0</v>
      </c>
      <c r="B3151" t="s">
        <v>187</v>
      </c>
      <c r="C3151" t="s">
        <v>245</v>
      </c>
      <c r="D3151" t="s">
        <v>655</v>
      </c>
      <c r="F3151" t="s">
        <v>1424</v>
      </c>
      <c r="G3151" t="s">
        <v>3845</v>
      </c>
      <c r="H3151" t="s">
        <v>5887</v>
      </c>
      <c r="I3151">
        <v>51</v>
      </c>
      <c r="J3151" t="s">
        <v>7169</v>
      </c>
      <c r="K3151">
        <v>10034</v>
      </c>
      <c r="N3151" t="s">
        <v>7237</v>
      </c>
      <c r="O3151" t="s">
        <v>9302</v>
      </c>
      <c r="P3151">
        <v>3</v>
      </c>
      <c r="Q3151">
        <v>0</v>
      </c>
      <c r="R3151">
        <v>41.69</v>
      </c>
      <c r="U3151">
        <v>8892</v>
      </c>
      <c r="W3151">
        <v>1.5</v>
      </c>
      <c r="X3151" t="s">
        <v>302</v>
      </c>
      <c r="Y3151" t="s">
        <v>127</v>
      </c>
      <c r="AA3151" t="s">
        <v>10974</v>
      </c>
      <c r="AB3151" t="s">
        <v>655</v>
      </c>
      <c r="AD3151" t="s">
        <v>11090</v>
      </c>
      <c r="AF3151" t="s">
        <v>11121</v>
      </c>
      <c r="AH3151" t="s">
        <v>10975</v>
      </c>
      <c r="AJ3151" t="s">
        <v>11129</v>
      </c>
      <c r="AK3151" t="s">
        <v>7225</v>
      </c>
      <c r="AM3151">
        <v>1664.13</v>
      </c>
      <c r="AO3151">
        <v>26</v>
      </c>
      <c r="AQ3151" t="s">
        <v>11157</v>
      </c>
      <c r="AS3151" t="s">
        <v>11174</v>
      </c>
      <c r="AU3151">
        <v>26</v>
      </c>
      <c r="AW3151" t="s">
        <v>11189</v>
      </c>
      <c r="BA3151" t="s">
        <v>11222</v>
      </c>
      <c r="BE3151" t="s">
        <v>13525</v>
      </c>
      <c r="BF3151" t="s">
        <v>14364</v>
      </c>
      <c r="BM3151" t="s">
        <v>15650</v>
      </c>
    </row>
    <row r="3152" spans="1:65">
      <c r="A3152" s="1">
        <f>HYPERLINK("https://lsnyc.legalserver.org/matter/dynamic-profile/view/1902350","19-1902350")</f>
        <v>0</v>
      </c>
      <c r="B3152" t="s">
        <v>187</v>
      </c>
      <c r="C3152" t="s">
        <v>245</v>
      </c>
      <c r="D3152" t="s">
        <v>447</v>
      </c>
      <c r="F3152" t="s">
        <v>2050</v>
      </c>
      <c r="G3152" t="s">
        <v>2992</v>
      </c>
      <c r="H3152" t="s">
        <v>5879</v>
      </c>
      <c r="I3152" t="s">
        <v>6491</v>
      </c>
      <c r="J3152" t="s">
        <v>7169</v>
      </c>
      <c r="K3152">
        <v>10034</v>
      </c>
      <c r="N3152" t="s">
        <v>7237</v>
      </c>
      <c r="O3152" t="s">
        <v>9303</v>
      </c>
      <c r="P3152">
        <v>2</v>
      </c>
      <c r="Q3152">
        <v>0</v>
      </c>
      <c r="R3152">
        <v>83.81</v>
      </c>
      <c r="U3152">
        <v>14172</v>
      </c>
      <c r="W3152">
        <v>3.4</v>
      </c>
      <c r="X3152" t="s">
        <v>449</v>
      </c>
      <c r="Y3152" t="s">
        <v>127</v>
      </c>
      <c r="AA3152" t="s">
        <v>10974</v>
      </c>
      <c r="AB3152" t="s">
        <v>447</v>
      </c>
      <c r="AD3152" t="s">
        <v>11101</v>
      </c>
      <c r="AF3152" t="s">
        <v>10384</v>
      </c>
      <c r="AH3152" t="s">
        <v>10975</v>
      </c>
      <c r="AJ3152" t="s">
        <v>11130</v>
      </c>
      <c r="AK3152" t="s">
        <v>7225</v>
      </c>
      <c r="AM3152">
        <v>865.75</v>
      </c>
      <c r="AO3152">
        <v>48</v>
      </c>
      <c r="AQ3152" t="s">
        <v>11157</v>
      </c>
      <c r="AS3152" t="s">
        <v>11173</v>
      </c>
      <c r="AU3152">
        <v>39</v>
      </c>
      <c r="AW3152" t="s">
        <v>11189</v>
      </c>
      <c r="BA3152" t="s">
        <v>11222</v>
      </c>
      <c r="BE3152" t="s">
        <v>13526</v>
      </c>
      <c r="BF3152" t="s">
        <v>14364</v>
      </c>
      <c r="BM3152" t="s">
        <v>15650</v>
      </c>
    </row>
    <row r="3153" spans="1:67">
      <c r="A3153" s="1">
        <f>HYPERLINK("https://lsnyc.legalserver.org/matter/dynamic-profile/view/1885142","18-1885142")</f>
        <v>0</v>
      </c>
      <c r="B3153" t="s">
        <v>188</v>
      </c>
      <c r="C3153" t="s">
        <v>247</v>
      </c>
      <c r="D3153" t="s">
        <v>542</v>
      </c>
      <c r="F3153" t="s">
        <v>2391</v>
      </c>
      <c r="G3153" t="s">
        <v>4195</v>
      </c>
      <c r="H3153" t="s">
        <v>5888</v>
      </c>
      <c r="I3153" t="s">
        <v>6417</v>
      </c>
      <c r="J3153" t="s">
        <v>7173</v>
      </c>
      <c r="K3153">
        <v>11358</v>
      </c>
      <c r="N3153" t="s">
        <v>7237</v>
      </c>
      <c r="O3153" t="s">
        <v>9304</v>
      </c>
      <c r="P3153">
        <v>1</v>
      </c>
      <c r="Q3153">
        <v>0</v>
      </c>
      <c r="R3153">
        <v>118.62</v>
      </c>
      <c r="U3153">
        <v>14400</v>
      </c>
      <c r="W3153">
        <v>75.75</v>
      </c>
      <c r="X3153" t="s">
        <v>321</v>
      </c>
      <c r="Y3153" t="s">
        <v>10940</v>
      </c>
      <c r="AA3153" t="s">
        <v>10974</v>
      </c>
      <c r="AB3153" t="s">
        <v>11061</v>
      </c>
      <c r="AD3153" t="s">
        <v>11102</v>
      </c>
      <c r="AF3153" t="s">
        <v>11118</v>
      </c>
      <c r="AH3153" t="s">
        <v>10975</v>
      </c>
      <c r="AJ3153" t="s">
        <v>11130</v>
      </c>
      <c r="AK3153" t="s">
        <v>7225</v>
      </c>
      <c r="AM3153">
        <v>937</v>
      </c>
      <c r="AO3153">
        <v>20</v>
      </c>
      <c r="AQ3153" t="s">
        <v>11157</v>
      </c>
      <c r="AS3153" t="s">
        <v>11173</v>
      </c>
      <c r="AU3153">
        <v>10</v>
      </c>
      <c r="AW3153" t="s">
        <v>11187</v>
      </c>
      <c r="AY3153" t="s">
        <v>11213</v>
      </c>
      <c r="AZ3153" t="s">
        <v>11221</v>
      </c>
      <c r="BE3153" t="s">
        <v>13527</v>
      </c>
      <c r="BG3153" t="s">
        <v>15185</v>
      </c>
      <c r="BI3153" t="s">
        <v>15611</v>
      </c>
      <c r="BK3153" t="s">
        <v>15640</v>
      </c>
      <c r="BM3153" t="s">
        <v>15650</v>
      </c>
      <c r="BN3153" t="s">
        <v>15653</v>
      </c>
      <c r="BO3153" t="s">
        <v>15725</v>
      </c>
    </row>
    <row r="3154" spans="1:67">
      <c r="A3154" s="1">
        <f>HYPERLINK("https://lsnyc.legalserver.org/matter/dynamic-profile/view/0830990","17-0830990")</f>
        <v>0</v>
      </c>
      <c r="B3154" t="s">
        <v>188</v>
      </c>
      <c r="C3154" t="s">
        <v>247</v>
      </c>
      <c r="D3154" t="s">
        <v>977</v>
      </c>
      <c r="F3154" t="s">
        <v>1284</v>
      </c>
      <c r="G3154" t="s">
        <v>2885</v>
      </c>
      <c r="H3154" t="s">
        <v>5524</v>
      </c>
      <c r="I3154" t="s">
        <v>6413</v>
      </c>
      <c r="J3154" t="s">
        <v>7182</v>
      </c>
      <c r="K3154">
        <v>11101</v>
      </c>
      <c r="N3154" t="s">
        <v>7237</v>
      </c>
      <c r="O3154" t="s">
        <v>8709</v>
      </c>
      <c r="P3154">
        <v>1</v>
      </c>
      <c r="Q3154">
        <v>1</v>
      </c>
      <c r="R3154">
        <v>1477.83</v>
      </c>
      <c r="U3154">
        <v>240000</v>
      </c>
      <c r="W3154">
        <v>172.1</v>
      </c>
      <c r="X3154" t="s">
        <v>1039</v>
      </c>
      <c r="Y3154" t="s">
        <v>188</v>
      </c>
      <c r="AA3154" t="s">
        <v>10974</v>
      </c>
      <c r="AB3154" t="s">
        <v>977</v>
      </c>
      <c r="AD3154" t="s">
        <v>11082</v>
      </c>
      <c r="AF3154" t="s">
        <v>11118</v>
      </c>
      <c r="AH3154" t="s">
        <v>10975</v>
      </c>
      <c r="AJ3154" t="s">
        <v>11129</v>
      </c>
      <c r="AK3154" t="s">
        <v>7225</v>
      </c>
      <c r="AM3154">
        <v>753</v>
      </c>
      <c r="AO3154">
        <v>45</v>
      </c>
      <c r="AQ3154" t="s">
        <v>11157</v>
      </c>
      <c r="AS3154" t="s">
        <v>11173</v>
      </c>
      <c r="AU3154">
        <v>10</v>
      </c>
      <c r="AW3154" t="s">
        <v>11187</v>
      </c>
      <c r="AZ3154" t="s">
        <v>11221</v>
      </c>
      <c r="BC3154" t="s">
        <v>11508</v>
      </c>
      <c r="BE3154" t="s">
        <v>12971</v>
      </c>
      <c r="BF3154" t="s">
        <v>14364</v>
      </c>
      <c r="BG3154" t="s">
        <v>15186</v>
      </c>
      <c r="BM3154" t="s">
        <v>15650</v>
      </c>
    </row>
    <row r="3155" spans="1:67">
      <c r="A3155" s="1">
        <f>HYPERLINK("https://lsnyc.legalserver.org/matter/dynamic-profile/view/0811672","16-0811672")</f>
        <v>0</v>
      </c>
      <c r="B3155" t="s">
        <v>188</v>
      </c>
      <c r="C3155" t="s">
        <v>247</v>
      </c>
      <c r="D3155" t="s">
        <v>941</v>
      </c>
      <c r="F3155" t="s">
        <v>2392</v>
      </c>
      <c r="G3155" t="s">
        <v>4196</v>
      </c>
      <c r="H3155" t="s">
        <v>5889</v>
      </c>
      <c r="I3155" t="s">
        <v>6957</v>
      </c>
      <c r="J3155" t="s">
        <v>7173</v>
      </c>
      <c r="K3155">
        <v>11355</v>
      </c>
      <c r="N3155" t="s">
        <v>7237</v>
      </c>
      <c r="O3155" t="s">
        <v>9305</v>
      </c>
      <c r="P3155">
        <v>6</v>
      </c>
      <c r="Q3155">
        <v>0</v>
      </c>
      <c r="R3155">
        <v>11.17</v>
      </c>
      <c r="S3155" t="s">
        <v>10271</v>
      </c>
      <c r="U3155">
        <v>3640</v>
      </c>
      <c r="W3155">
        <v>17.8</v>
      </c>
      <c r="X3155" t="s">
        <v>726</v>
      </c>
      <c r="Y3155" t="s">
        <v>188</v>
      </c>
      <c r="AA3155" t="s">
        <v>10974</v>
      </c>
      <c r="AB3155" t="s">
        <v>11062</v>
      </c>
      <c r="AD3155" t="s">
        <v>11096</v>
      </c>
      <c r="AF3155" t="s">
        <v>11122</v>
      </c>
      <c r="AH3155" t="s">
        <v>10975</v>
      </c>
      <c r="AJ3155" t="s">
        <v>11136</v>
      </c>
      <c r="AK3155" t="s">
        <v>7225</v>
      </c>
      <c r="AM3155">
        <v>1450</v>
      </c>
      <c r="AO3155">
        <v>53</v>
      </c>
      <c r="AQ3155" t="s">
        <v>11157</v>
      </c>
      <c r="AS3155" t="s">
        <v>11173</v>
      </c>
      <c r="AU3155">
        <v>10</v>
      </c>
      <c r="AW3155" t="s">
        <v>11192</v>
      </c>
      <c r="AZ3155" t="s">
        <v>11221</v>
      </c>
      <c r="BC3155" t="s">
        <v>11508</v>
      </c>
      <c r="BE3155" t="s">
        <v>13528</v>
      </c>
      <c r="BF3155" t="s">
        <v>14364</v>
      </c>
      <c r="BG3155" t="s">
        <v>11508</v>
      </c>
      <c r="BM3155" t="s">
        <v>15650</v>
      </c>
    </row>
    <row r="3156" spans="1:67">
      <c r="A3156" s="1">
        <f>HYPERLINK("https://lsnyc.legalserver.org/matter/dynamic-profile/view/0798326","16-0798326")</f>
        <v>0</v>
      </c>
      <c r="B3156" t="s">
        <v>188</v>
      </c>
      <c r="C3156" t="s">
        <v>247</v>
      </c>
      <c r="D3156" t="s">
        <v>978</v>
      </c>
      <c r="F3156" t="s">
        <v>1284</v>
      </c>
      <c r="G3156" t="s">
        <v>2885</v>
      </c>
      <c r="H3156" t="s">
        <v>5524</v>
      </c>
      <c r="I3156" t="s">
        <v>6413</v>
      </c>
      <c r="J3156" t="s">
        <v>7182</v>
      </c>
      <c r="K3156">
        <v>11101</v>
      </c>
      <c r="N3156" t="s">
        <v>7237</v>
      </c>
      <c r="O3156" t="s">
        <v>8709</v>
      </c>
      <c r="P3156">
        <v>1</v>
      </c>
      <c r="Q3156">
        <v>1</v>
      </c>
      <c r="R3156">
        <v>124.84</v>
      </c>
      <c r="U3156">
        <v>20000</v>
      </c>
      <c r="W3156">
        <v>35.1</v>
      </c>
      <c r="X3156" t="s">
        <v>763</v>
      </c>
      <c r="Y3156" t="s">
        <v>202</v>
      </c>
      <c r="AA3156" t="s">
        <v>10974</v>
      </c>
      <c r="AB3156" t="s">
        <v>945</v>
      </c>
      <c r="AD3156" t="s">
        <v>11082</v>
      </c>
      <c r="AF3156" t="s">
        <v>11118</v>
      </c>
      <c r="AG3156" t="s">
        <v>11124</v>
      </c>
      <c r="AJ3156" t="s">
        <v>11136</v>
      </c>
      <c r="AK3156" t="s">
        <v>7225</v>
      </c>
      <c r="AM3156">
        <v>753.64</v>
      </c>
      <c r="AO3156">
        <v>45</v>
      </c>
      <c r="AQ3156" t="s">
        <v>11157</v>
      </c>
      <c r="AS3156" t="s">
        <v>11173</v>
      </c>
      <c r="AU3156">
        <v>10</v>
      </c>
      <c r="AW3156" t="s">
        <v>11187</v>
      </c>
      <c r="AZ3156" t="s">
        <v>11221</v>
      </c>
      <c r="BE3156" t="s">
        <v>12971</v>
      </c>
      <c r="BF3156" t="s">
        <v>14364</v>
      </c>
      <c r="BG3156" t="s">
        <v>15187</v>
      </c>
      <c r="BM3156" t="s">
        <v>15650</v>
      </c>
    </row>
    <row r="3157" spans="1:67">
      <c r="A3157" s="1">
        <f>HYPERLINK("https://lsnyc.legalserver.org/matter/dynamic-profile/view/0814120","16-0814120")</f>
        <v>0</v>
      </c>
      <c r="B3157" t="s">
        <v>188</v>
      </c>
      <c r="C3157" t="s">
        <v>247</v>
      </c>
      <c r="D3157" t="s">
        <v>934</v>
      </c>
      <c r="F3157" t="s">
        <v>2393</v>
      </c>
      <c r="G3157" t="s">
        <v>4197</v>
      </c>
      <c r="H3157" t="s">
        <v>5890</v>
      </c>
      <c r="I3157" t="s">
        <v>6479</v>
      </c>
      <c r="J3157" t="s">
        <v>7173</v>
      </c>
      <c r="K3157">
        <v>11354</v>
      </c>
      <c r="N3157" t="s">
        <v>7237</v>
      </c>
      <c r="O3157" t="s">
        <v>9306</v>
      </c>
      <c r="P3157">
        <v>2</v>
      </c>
      <c r="Q3157">
        <v>0</v>
      </c>
      <c r="R3157">
        <v>6.24</v>
      </c>
      <c r="U3157">
        <v>1000</v>
      </c>
      <c r="W3157">
        <v>0.5</v>
      </c>
      <c r="X3157" t="s">
        <v>934</v>
      </c>
      <c r="Y3157" t="s">
        <v>188</v>
      </c>
      <c r="AA3157" t="s">
        <v>10974</v>
      </c>
      <c r="AB3157" t="s">
        <v>934</v>
      </c>
      <c r="AD3157" t="s">
        <v>11086</v>
      </c>
      <c r="AF3157" t="s">
        <v>11119</v>
      </c>
      <c r="AH3157" t="s">
        <v>10975</v>
      </c>
      <c r="AJ3157" t="s">
        <v>11139</v>
      </c>
      <c r="AK3157" t="s">
        <v>7225</v>
      </c>
      <c r="AM3157">
        <v>2700</v>
      </c>
      <c r="AO3157">
        <v>61</v>
      </c>
      <c r="AQ3157" t="s">
        <v>11157</v>
      </c>
      <c r="AS3157" t="s">
        <v>11173</v>
      </c>
      <c r="AU3157">
        <v>1</v>
      </c>
      <c r="AW3157" t="s">
        <v>11202</v>
      </c>
      <c r="AZ3157" t="s">
        <v>11221</v>
      </c>
      <c r="BC3157" t="s">
        <v>11508</v>
      </c>
      <c r="BD3157" t="s">
        <v>11667</v>
      </c>
      <c r="BF3157" t="s">
        <v>14364</v>
      </c>
      <c r="BG3157" t="s">
        <v>14410</v>
      </c>
      <c r="BM3157" t="s">
        <v>15650</v>
      </c>
    </row>
    <row r="3158" spans="1:67">
      <c r="A3158" s="1">
        <f>HYPERLINK("https://lsnyc.legalserver.org/matter/dynamic-profile/view/1870372","18-1870372")</f>
        <v>0</v>
      </c>
      <c r="B3158" t="s">
        <v>188</v>
      </c>
      <c r="C3158" t="s">
        <v>247</v>
      </c>
      <c r="D3158" t="s">
        <v>895</v>
      </c>
      <c r="F3158" t="s">
        <v>2394</v>
      </c>
      <c r="G3158" t="s">
        <v>4198</v>
      </c>
      <c r="H3158" t="s">
        <v>5891</v>
      </c>
      <c r="I3158" t="s">
        <v>6513</v>
      </c>
      <c r="J3158" t="s">
        <v>7173</v>
      </c>
      <c r="K3158">
        <v>11358</v>
      </c>
      <c r="N3158" t="s">
        <v>7237</v>
      </c>
      <c r="O3158" t="s">
        <v>8058</v>
      </c>
      <c r="P3158">
        <v>1</v>
      </c>
      <c r="Q3158">
        <v>0</v>
      </c>
      <c r="R3158">
        <v>179.9</v>
      </c>
      <c r="U3158">
        <v>21840</v>
      </c>
      <c r="W3158">
        <v>1.1</v>
      </c>
      <c r="X3158" t="s">
        <v>702</v>
      </c>
      <c r="Y3158" t="s">
        <v>202</v>
      </c>
      <c r="AA3158" t="s">
        <v>10974</v>
      </c>
      <c r="AB3158" t="s">
        <v>895</v>
      </c>
      <c r="AD3158" t="s">
        <v>11083</v>
      </c>
      <c r="AF3158" t="s">
        <v>11119</v>
      </c>
      <c r="AH3158" t="s">
        <v>10975</v>
      </c>
      <c r="AJ3158" t="s">
        <v>11136</v>
      </c>
      <c r="AK3158" t="s">
        <v>7225</v>
      </c>
      <c r="AM3158">
        <v>900</v>
      </c>
      <c r="AO3158">
        <v>3</v>
      </c>
      <c r="AQ3158" t="s">
        <v>11156</v>
      </c>
      <c r="AS3158" t="s">
        <v>11173</v>
      </c>
      <c r="AU3158">
        <v>8</v>
      </c>
      <c r="AW3158" t="s">
        <v>11187</v>
      </c>
      <c r="AZ3158" t="s">
        <v>11221</v>
      </c>
      <c r="BC3158" t="s">
        <v>11228</v>
      </c>
      <c r="BE3158" t="s">
        <v>13529</v>
      </c>
      <c r="BG3158" t="s">
        <v>15188</v>
      </c>
      <c r="BM3158" t="s">
        <v>15650</v>
      </c>
    </row>
    <row r="3159" spans="1:67">
      <c r="A3159" s="1">
        <f>HYPERLINK("https://lsnyc.legalserver.org/matter/dynamic-profile/view/1846572","17-1846572")</f>
        <v>0</v>
      </c>
      <c r="B3159" t="s">
        <v>188</v>
      </c>
      <c r="C3159" t="s">
        <v>247</v>
      </c>
      <c r="D3159" t="s">
        <v>898</v>
      </c>
      <c r="F3159" t="s">
        <v>1122</v>
      </c>
      <c r="G3159" t="s">
        <v>2885</v>
      </c>
      <c r="H3159" t="s">
        <v>5892</v>
      </c>
      <c r="I3159" t="s">
        <v>6493</v>
      </c>
      <c r="J3159" t="s">
        <v>7173</v>
      </c>
      <c r="K3159">
        <v>11358</v>
      </c>
      <c r="N3159" t="s">
        <v>7238</v>
      </c>
      <c r="O3159" t="s">
        <v>9307</v>
      </c>
      <c r="P3159">
        <v>1</v>
      </c>
      <c r="Q3159">
        <v>1</v>
      </c>
      <c r="R3159">
        <v>180.25</v>
      </c>
      <c r="U3159">
        <v>29944</v>
      </c>
      <c r="W3159">
        <v>59.6</v>
      </c>
      <c r="X3159" t="s">
        <v>290</v>
      </c>
      <c r="Y3159" t="s">
        <v>10926</v>
      </c>
      <c r="AA3159" t="s">
        <v>10974</v>
      </c>
      <c r="AB3159" t="s">
        <v>898</v>
      </c>
      <c r="AD3159" t="s">
        <v>11083</v>
      </c>
      <c r="AF3159" t="s">
        <v>11118</v>
      </c>
      <c r="AH3159" t="s">
        <v>10975</v>
      </c>
      <c r="AJ3159" t="s">
        <v>11129</v>
      </c>
      <c r="AK3159" t="s">
        <v>7225</v>
      </c>
      <c r="AM3159">
        <v>1237</v>
      </c>
      <c r="AO3159">
        <v>7</v>
      </c>
      <c r="AQ3159" t="s">
        <v>11157</v>
      </c>
      <c r="AS3159" t="s">
        <v>11173</v>
      </c>
      <c r="AU3159">
        <v>3</v>
      </c>
      <c r="AW3159" t="s">
        <v>11189</v>
      </c>
      <c r="AZ3159" t="s">
        <v>11221</v>
      </c>
      <c r="BB3159" t="s">
        <v>11224</v>
      </c>
      <c r="BC3159" t="s">
        <v>11333</v>
      </c>
      <c r="BE3159" t="s">
        <v>13530</v>
      </c>
      <c r="BF3159" t="s">
        <v>14364</v>
      </c>
      <c r="BG3159" t="s">
        <v>15189</v>
      </c>
      <c r="BM3159" t="s">
        <v>15650</v>
      </c>
    </row>
    <row r="3160" spans="1:67">
      <c r="A3160" s="1">
        <f>HYPERLINK("https://lsnyc.legalserver.org/matter/dynamic-profile/view/1880650","18-1880650")</f>
        <v>0</v>
      </c>
      <c r="B3160" t="s">
        <v>188</v>
      </c>
      <c r="C3160" t="s">
        <v>247</v>
      </c>
      <c r="D3160" t="s">
        <v>365</v>
      </c>
      <c r="F3160" t="s">
        <v>2395</v>
      </c>
      <c r="G3160" t="s">
        <v>4199</v>
      </c>
      <c r="H3160" t="s">
        <v>5893</v>
      </c>
      <c r="I3160">
        <v>14</v>
      </c>
      <c r="J3160" t="s">
        <v>7181</v>
      </c>
      <c r="K3160">
        <v>11101</v>
      </c>
      <c r="N3160" t="s">
        <v>7237</v>
      </c>
      <c r="O3160" t="s">
        <v>9308</v>
      </c>
      <c r="P3160">
        <v>2</v>
      </c>
      <c r="Q3160">
        <v>3</v>
      </c>
      <c r="R3160">
        <v>88.38</v>
      </c>
      <c r="U3160">
        <v>26000</v>
      </c>
      <c r="W3160">
        <v>3.6</v>
      </c>
      <c r="X3160" t="s">
        <v>616</v>
      </c>
      <c r="Y3160" t="s">
        <v>10940</v>
      </c>
      <c r="AA3160" t="s">
        <v>10974</v>
      </c>
      <c r="AB3160" t="s">
        <v>365</v>
      </c>
      <c r="AD3160" t="s">
        <v>11082</v>
      </c>
      <c r="AF3160" t="s">
        <v>11118</v>
      </c>
      <c r="AH3160" t="s">
        <v>10975</v>
      </c>
      <c r="AJ3160" t="s">
        <v>11138</v>
      </c>
      <c r="AK3160" t="s">
        <v>7225</v>
      </c>
      <c r="AM3160">
        <v>2000</v>
      </c>
      <c r="AO3160">
        <v>18</v>
      </c>
      <c r="AQ3160" t="s">
        <v>11157</v>
      </c>
      <c r="AS3160" t="s">
        <v>11173</v>
      </c>
      <c r="AU3160">
        <v>5</v>
      </c>
      <c r="AW3160" t="s">
        <v>11187</v>
      </c>
      <c r="AY3160" t="s">
        <v>11214</v>
      </c>
      <c r="AZ3160" t="s">
        <v>11221</v>
      </c>
      <c r="BC3160" t="s">
        <v>11509</v>
      </c>
      <c r="BE3160" t="s">
        <v>13531</v>
      </c>
      <c r="BG3160" t="s">
        <v>15190</v>
      </c>
      <c r="BI3160" t="s">
        <v>15611</v>
      </c>
      <c r="BK3160" t="s">
        <v>15618</v>
      </c>
      <c r="BM3160" t="s">
        <v>15650</v>
      </c>
      <c r="BN3160" t="s">
        <v>15653</v>
      </c>
      <c r="BO3160" t="s">
        <v>15726</v>
      </c>
    </row>
    <row r="3161" spans="1:67">
      <c r="A3161" s="1">
        <f>HYPERLINK("https://lsnyc.legalserver.org/matter/dynamic-profile/view/1866430","18-1866430")</f>
        <v>0</v>
      </c>
      <c r="B3161" t="s">
        <v>188</v>
      </c>
      <c r="C3161" t="s">
        <v>247</v>
      </c>
      <c r="D3161" t="s">
        <v>829</v>
      </c>
      <c r="F3161" t="s">
        <v>2396</v>
      </c>
      <c r="G3161" t="s">
        <v>3999</v>
      </c>
      <c r="H3161" t="s">
        <v>5894</v>
      </c>
      <c r="I3161" t="s">
        <v>6679</v>
      </c>
      <c r="J3161" t="s">
        <v>7173</v>
      </c>
      <c r="K3161">
        <v>11354</v>
      </c>
      <c r="N3161" t="s">
        <v>7248</v>
      </c>
      <c r="O3161" t="s">
        <v>9309</v>
      </c>
      <c r="P3161">
        <v>5</v>
      </c>
      <c r="Q3161">
        <v>0</v>
      </c>
      <c r="R3161">
        <v>197.14</v>
      </c>
      <c r="U3161">
        <v>58000</v>
      </c>
      <c r="V3161" t="s">
        <v>10561</v>
      </c>
      <c r="W3161">
        <v>0.55</v>
      </c>
      <c r="X3161" t="s">
        <v>757</v>
      </c>
      <c r="Y3161" t="s">
        <v>188</v>
      </c>
      <c r="AA3161" t="s">
        <v>10974</v>
      </c>
      <c r="AB3161" t="s">
        <v>829</v>
      </c>
      <c r="AD3161" t="s">
        <v>11086</v>
      </c>
      <c r="AF3161" t="s">
        <v>11119</v>
      </c>
      <c r="AH3161" t="s">
        <v>10975</v>
      </c>
      <c r="AI3161" t="s">
        <v>11126</v>
      </c>
      <c r="AK3161" t="s">
        <v>7225</v>
      </c>
      <c r="AM3161">
        <v>2205</v>
      </c>
      <c r="AO3161">
        <v>64</v>
      </c>
      <c r="AQ3161" t="s">
        <v>11164</v>
      </c>
      <c r="AS3161" t="s">
        <v>11173</v>
      </c>
      <c r="AU3161">
        <v>4</v>
      </c>
      <c r="AW3161" t="s">
        <v>11190</v>
      </c>
      <c r="AZ3161" t="s">
        <v>11221</v>
      </c>
      <c r="BC3161" t="s">
        <v>11228</v>
      </c>
      <c r="BD3161" t="s">
        <v>11667</v>
      </c>
      <c r="BF3161" t="s">
        <v>14364</v>
      </c>
      <c r="BG3161" t="s">
        <v>14410</v>
      </c>
      <c r="BM3161" t="s">
        <v>15650</v>
      </c>
    </row>
    <row r="3162" spans="1:67">
      <c r="A3162" s="1">
        <f>HYPERLINK("https://lsnyc.legalserver.org/matter/dynamic-profile/view/1915112","19-1915112")</f>
        <v>0</v>
      </c>
      <c r="B3162" t="s">
        <v>189</v>
      </c>
      <c r="C3162" t="s">
        <v>246</v>
      </c>
      <c r="D3162" t="s">
        <v>449</v>
      </c>
      <c r="F3162" t="s">
        <v>1122</v>
      </c>
      <c r="G3162" t="s">
        <v>2985</v>
      </c>
      <c r="H3162" t="s">
        <v>5895</v>
      </c>
      <c r="I3162" t="s">
        <v>6686</v>
      </c>
      <c r="J3162" t="s">
        <v>7170</v>
      </c>
      <c r="K3162">
        <v>10457</v>
      </c>
      <c r="N3162" t="s">
        <v>7237</v>
      </c>
      <c r="O3162" t="s">
        <v>9310</v>
      </c>
      <c r="P3162">
        <v>2</v>
      </c>
      <c r="Q3162">
        <v>1</v>
      </c>
      <c r="R3162">
        <v>45.79</v>
      </c>
      <c r="U3162">
        <v>9768</v>
      </c>
      <c r="W3162">
        <v>3.2</v>
      </c>
      <c r="X3162" t="s">
        <v>638</v>
      </c>
      <c r="Y3162" t="s">
        <v>10897</v>
      </c>
      <c r="Z3162" t="s">
        <v>10972</v>
      </c>
      <c r="AA3162" t="s">
        <v>10975</v>
      </c>
      <c r="AD3162" t="s">
        <v>11100</v>
      </c>
      <c r="AF3162" t="s">
        <v>11120</v>
      </c>
      <c r="AH3162" t="s">
        <v>10974</v>
      </c>
      <c r="AI3162" t="s">
        <v>11126</v>
      </c>
      <c r="AK3162" t="s">
        <v>7225</v>
      </c>
      <c r="AM3162">
        <v>1255.98</v>
      </c>
      <c r="AN3162" t="s">
        <v>11151</v>
      </c>
      <c r="AO3162" t="s">
        <v>11153</v>
      </c>
      <c r="AQ3162" t="s">
        <v>11157</v>
      </c>
      <c r="AS3162" t="s">
        <v>11173</v>
      </c>
      <c r="AU3162">
        <v>17</v>
      </c>
      <c r="AW3162" t="s">
        <v>11189</v>
      </c>
      <c r="AX3162" t="s">
        <v>11212</v>
      </c>
      <c r="BA3162" t="s">
        <v>11222</v>
      </c>
      <c r="BE3162" t="s">
        <v>13532</v>
      </c>
      <c r="BF3162" t="s">
        <v>14364</v>
      </c>
      <c r="BM3162" t="s">
        <v>15650</v>
      </c>
    </row>
    <row r="3163" spans="1:67">
      <c r="A3163" s="1">
        <f>HYPERLINK("https://lsnyc.legalserver.org/matter/dynamic-profile/view/1914803","19-1914803")</f>
        <v>0</v>
      </c>
      <c r="B3163" t="s">
        <v>189</v>
      </c>
      <c r="C3163" t="s">
        <v>246</v>
      </c>
      <c r="D3163" t="s">
        <v>614</v>
      </c>
      <c r="F3163" t="s">
        <v>2357</v>
      </c>
      <c r="G3163" t="s">
        <v>3112</v>
      </c>
      <c r="H3163" t="s">
        <v>4844</v>
      </c>
      <c r="I3163" t="s">
        <v>6666</v>
      </c>
      <c r="J3163" t="s">
        <v>7170</v>
      </c>
      <c r="K3163">
        <v>10452</v>
      </c>
      <c r="N3163" t="s">
        <v>7237</v>
      </c>
      <c r="O3163" t="s">
        <v>9311</v>
      </c>
      <c r="P3163">
        <v>1</v>
      </c>
      <c r="Q3163">
        <v>0</v>
      </c>
      <c r="R3163">
        <v>326.41</v>
      </c>
      <c r="U3163">
        <v>40768</v>
      </c>
      <c r="W3163">
        <v>2</v>
      </c>
      <c r="X3163" t="s">
        <v>426</v>
      </c>
      <c r="Y3163" t="s">
        <v>10897</v>
      </c>
      <c r="AA3163" t="s">
        <v>10974</v>
      </c>
      <c r="AB3163" t="s">
        <v>11063</v>
      </c>
      <c r="AD3163" t="s">
        <v>11082</v>
      </c>
      <c r="AF3163" t="s">
        <v>11118</v>
      </c>
      <c r="AH3163" t="s">
        <v>10975</v>
      </c>
      <c r="AJ3163" t="s">
        <v>11129</v>
      </c>
      <c r="AK3163" t="s">
        <v>7225</v>
      </c>
      <c r="AM3163">
        <v>849</v>
      </c>
      <c r="AO3163">
        <v>60</v>
      </c>
      <c r="AQ3163" t="s">
        <v>11157</v>
      </c>
      <c r="AR3163" t="s">
        <v>11172</v>
      </c>
      <c r="AU3163">
        <v>28</v>
      </c>
      <c r="AW3163" t="s">
        <v>11187</v>
      </c>
      <c r="AY3163" t="s">
        <v>11213</v>
      </c>
      <c r="BA3163" t="s">
        <v>11222</v>
      </c>
      <c r="BE3163" t="s">
        <v>13533</v>
      </c>
      <c r="BG3163" t="s">
        <v>15191</v>
      </c>
      <c r="BM3163" t="s">
        <v>15650</v>
      </c>
    </row>
    <row r="3164" spans="1:67">
      <c r="A3164" s="1">
        <f>HYPERLINK("https://lsnyc.legalserver.org/matter/dynamic-profile/view/1863635","18-1863635")</f>
        <v>0</v>
      </c>
      <c r="B3164" t="s">
        <v>189</v>
      </c>
      <c r="C3164" t="s">
        <v>246</v>
      </c>
      <c r="D3164" t="s">
        <v>832</v>
      </c>
      <c r="F3164" t="s">
        <v>1525</v>
      </c>
      <c r="G3164" t="s">
        <v>4200</v>
      </c>
      <c r="H3164" t="s">
        <v>5896</v>
      </c>
      <c r="I3164" t="s">
        <v>6437</v>
      </c>
      <c r="J3164" t="s">
        <v>7170</v>
      </c>
      <c r="K3164">
        <v>10472</v>
      </c>
      <c r="N3164" t="s">
        <v>7241</v>
      </c>
      <c r="O3164" t="s">
        <v>9312</v>
      </c>
      <c r="P3164">
        <v>1</v>
      </c>
      <c r="Q3164">
        <v>4</v>
      </c>
      <c r="R3164">
        <v>99.42</v>
      </c>
      <c r="U3164">
        <v>29249.76</v>
      </c>
      <c r="W3164">
        <v>11.6</v>
      </c>
      <c r="X3164" t="s">
        <v>265</v>
      </c>
      <c r="Y3164" t="s">
        <v>10897</v>
      </c>
      <c r="AA3164" t="s">
        <v>10974</v>
      </c>
      <c r="AB3164" t="s">
        <v>939</v>
      </c>
      <c r="AD3164" t="s">
        <v>11114</v>
      </c>
      <c r="AF3164" t="s">
        <v>11120</v>
      </c>
      <c r="AG3164" t="s">
        <v>11124</v>
      </c>
      <c r="AJ3164" t="s">
        <v>11132</v>
      </c>
      <c r="AK3164" t="s">
        <v>7225</v>
      </c>
      <c r="AM3164">
        <v>1108.87</v>
      </c>
      <c r="AN3164" t="s">
        <v>11151</v>
      </c>
      <c r="AO3164" t="s">
        <v>11153</v>
      </c>
      <c r="AQ3164" t="s">
        <v>11157</v>
      </c>
      <c r="AS3164" t="s">
        <v>11174</v>
      </c>
      <c r="AU3164">
        <v>7</v>
      </c>
      <c r="AW3164" t="s">
        <v>11187</v>
      </c>
      <c r="AZ3164" t="s">
        <v>11221</v>
      </c>
      <c r="BC3164" t="s">
        <v>11510</v>
      </c>
      <c r="BE3164" t="s">
        <v>13534</v>
      </c>
      <c r="BF3164" t="s">
        <v>14364</v>
      </c>
      <c r="BM3164" t="s">
        <v>15650</v>
      </c>
    </row>
    <row r="3165" spans="1:67">
      <c r="A3165" s="1">
        <f>HYPERLINK("https://lsnyc.legalserver.org/matter/dynamic-profile/view/1860289","18-1860289")</f>
        <v>0</v>
      </c>
      <c r="B3165" t="s">
        <v>189</v>
      </c>
      <c r="C3165" t="s">
        <v>246</v>
      </c>
      <c r="D3165" t="s">
        <v>871</v>
      </c>
      <c r="F3165" t="s">
        <v>1127</v>
      </c>
      <c r="G3165" t="s">
        <v>3059</v>
      </c>
      <c r="H3165" t="s">
        <v>5897</v>
      </c>
      <c r="I3165">
        <v>41</v>
      </c>
      <c r="J3165" t="s">
        <v>7170</v>
      </c>
      <c r="K3165">
        <v>10453</v>
      </c>
      <c r="N3165" t="s">
        <v>7237</v>
      </c>
      <c r="O3165" t="s">
        <v>9313</v>
      </c>
      <c r="P3165">
        <v>3</v>
      </c>
      <c r="Q3165">
        <v>8</v>
      </c>
      <c r="R3165">
        <v>38.04</v>
      </c>
      <c r="U3165">
        <v>20488</v>
      </c>
      <c r="W3165">
        <v>96.3</v>
      </c>
      <c r="X3165" t="s">
        <v>528</v>
      </c>
      <c r="Y3165" t="s">
        <v>216</v>
      </c>
      <c r="AA3165" t="s">
        <v>10974</v>
      </c>
      <c r="AB3165" t="s">
        <v>871</v>
      </c>
      <c r="AD3165" t="s">
        <v>11082</v>
      </c>
      <c r="AF3165" t="s">
        <v>11118</v>
      </c>
      <c r="AH3165" t="s">
        <v>10975</v>
      </c>
      <c r="AJ3165" t="s">
        <v>11136</v>
      </c>
      <c r="AK3165" t="s">
        <v>7225</v>
      </c>
      <c r="AM3165">
        <v>1366.27</v>
      </c>
      <c r="AO3165">
        <v>32</v>
      </c>
      <c r="AQ3165" t="s">
        <v>11157</v>
      </c>
      <c r="AS3165" t="s">
        <v>11173</v>
      </c>
      <c r="AU3165">
        <v>16</v>
      </c>
      <c r="AW3165" t="s">
        <v>11189</v>
      </c>
      <c r="AY3165" t="s">
        <v>11214</v>
      </c>
      <c r="AZ3165" t="s">
        <v>11221</v>
      </c>
      <c r="BD3165" t="s">
        <v>11667</v>
      </c>
      <c r="BG3165" t="s">
        <v>15192</v>
      </c>
      <c r="BI3165" t="s">
        <v>15612</v>
      </c>
      <c r="BK3165" t="s">
        <v>15641</v>
      </c>
      <c r="BM3165" t="s">
        <v>15650</v>
      </c>
      <c r="BN3165" t="s">
        <v>15652</v>
      </c>
      <c r="BO3165" t="s">
        <v>15727</v>
      </c>
    </row>
    <row r="3166" spans="1:67">
      <c r="A3166" s="1">
        <f>HYPERLINK("https://lsnyc.legalserver.org/matter/dynamic-profile/view/1896674","19-1896674")</f>
        <v>0</v>
      </c>
      <c r="B3166" t="s">
        <v>189</v>
      </c>
      <c r="C3166" t="s">
        <v>246</v>
      </c>
      <c r="D3166" t="s">
        <v>585</v>
      </c>
      <c r="F3166" t="s">
        <v>2397</v>
      </c>
      <c r="G3166" t="s">
        <v>4201</v>
      </c>
      <c r="H3166" t="s">
        <v>5898</v>
      </c>
      <c r="I3166">
        <v>302</v>
      </c>
      <c r="J3166" t="s">
        <v>7170</v>
      </c>
      <c r="K3166">
        <v>10457</v>
      </c>
      <c r="N3166" t="s">
        <v>7237</v>
      </c>
      <c r="O3166" t="s">
        <v>8605</v>
      </c>
      <c r="P3166">
        <v>2</v>
      </c>
      <c r="Q3166">
        <v>5</v>
      </c>
      <c r="R3166">
        <v>62.65</v>
      </c>
      <c r="U3166">
        <v>24440</v>
      </c>
      <c r="W3166">
        <v>32.7</v>
      </c>
      <c r="X3166" t="s">
        <v>638</v>
      </c>
      <c r="Y3166" t="s">
        <v>93</v>
      </c>
      <c r="AA3166" t="s">
        <v>10974</v>
      </c>
      <c r="AB3166" t="s">
        <v>274</v>
      </c>
      <c r="AD3166" t="s">
        <v>11082</v>
      </c>
      <c r="AF3166" t="s">
        <v>11118</v>
      </c>
      <c r="AH3166" t="s">
        <v>10975</v>
      </c>
      <c r="AJ3166" t="s">
        <v>11135</v>
      </c>
      <c r="AK3166" t="s">
        <v>7225</v>
      </c>
      <c r="AM3166">
        <v>2000</v>
      </c>
      <c r="AO3166">
        <v>48</v>
      </c>
      <c r="AQ3166" t="s">
        <v>11161</v>
      </c>
      <c r="AS3166" t="s">
        <v>11174</v>
      </c>
      <c r="AU3166">
        <v>10</v>
      </c>
      <c r="AW3166" t="s">
        <v>11187</v>
      </c>
      <c r="AY3166" t="s">
        <v>11213</v>
      </c>
      <c r="AZ3166" t="s">
        <v>11221</v>
      </c>
      <c r="BC3166" t="s">
        <v>11511</v>
      </c>
      <c r="BE3166" t="s">
        <v>13535</v>
      </c>
      <c r="BG3166" t="s">
        <v>15193</v>
      </c>
      <c r="BM3166" t="s">
        <v>15650</v>
      </c>
    </row>
    <row r="3167" spans="1:67">
      <c r="A3167" s="1">
        <f>HYPERLINK("https://lsnyc.legalserver.org/matter/dynamic-profile/view/1915344","19-1915344")</f>
        <v>0</v>
      </c>
      <c r="B3167" t="s">
        <v>190</v>
      </c>
      <c r="C3167" t="s">
        <v>249</v>
      </c>
      <c r="D3167" t="s">
        <v>436</v>
      </c>
      <c r="F3167" t="s">
        <v>1093</v>
      </c>
      <c r="G3167" t="s">
        <v>2938</v>
      </c>
      <c r="H3167" t="s">
        <v>5363</v>
      </c>
      <c r="I3167" t="s">
        <v>6550</v>
      </c>
      <c r="J3167" t="s">
        <v>7179</v>
      </c>
      <c r="K3167">
        <v>10304</v>
      </c>
      <c r="N3167" t="s">
        <v>7237</v>
      </c>
      <c r="O3167" t="s">
        <v>9314</v>
      </c>
      <c r="P3167">
        <v>1</v>
      </c>
      <c r="Q3167">
        <v>0</v>
      </c>
      <c r="R3167">
        <v>70.42</v>
      </c>
      <c r="U3167">
        <v>8796</v>
      </c>
      <c r="W3167">
        <v>0.3</v>
      </c>
      <c r="X3167" t="s">
        <v>436</v>
      </c>
      <c r="Y3167" t="s">
        <v>10881</v>
      </c>
      <c r="Z3167" t="s">
        <v>10972</v>
      </c>
      <c r="AA3167" t="s">
        <v>10976</v>
      </c>
      <c r="AD3167" t="s">
        <v>11101</v>
      </c>
      <c r="AE3167" t="s">
        <v>11117</v>
      </c>
      <c r="AG3167" t="s">
        <v>11124</v>
      </c>
      <c r="AJ3167" t="s">
        <v>11144</v>
      </c>
      <c r="AK3167" t="s">
        <v>7225</v>
      </c>
      <c r="AL3167" t="s">
        <v>11150</v>
      </c>
      <c r="AM3167">
        <v>0</v>
      </c>
      <c r="AN3167" t="s">
        <v>11151</v>
      </c>
      <c r="AO3167" t="s">
        <v>11153</v>
      </c>
      <c r="AP3167" t="s">
        <v>11155</v>
      </c>
      <c r="AR3167" t="s">
        <v>11172</v>
      </c>
      <c r="AU3167">
        <v>2</v>
      </c>
      <c r="AW3167" t="s">
        <v>11187</v>
      </c>
      <c r="AX3167" t="s">
        <v>11212</v>
      </c>
      <c r="AZ3167" t="s">
        <v>11221</v>
      </c>
      <c r="BE3167" t="s">
        <v>13536</v>
      </c>
      <c r="BF3167" t="s">
        <v>14364</v>
      </c>
      <c r="BG3167" t="s">
        <v>14411</v>
      </c>
      <c r="BM3167" t="s">
        <v>15650</v>
      </c>
    </row>
    <row r="3168" spans="1:67">
      <c r="A3168" s="1">
        <f>HYPERLINK("https://lsnyc.legalserver.org/matter/dynamic-profile/view/1913932","19-1913932")</f>
        <v>0</v>
      </c>
      <c r="B3168" t="s">
        <v>190</v>
      </c>
      <c r="C3168" t="s">
        <v>249</v>
      </c>
      <c r="D3168" t="s">
        <v>264</v>
      </c>
      <c r="F3168" t="s">
        <v>2398</v>
      </c>
      <c r="G3168" t="s">
        <v>3717</v>
      </c>
      <c r="H3168" t="s">
        <v>5899</v>
      </c>
      <c r="I3168" t="s">
        <v>6958</v>
      </c>
      <c r="J3168" t="s">
        <v>7179</v>
      </c>
      <c r="K3168">
        <v>10301</v>
      </c>
      <c r="N3168" t="s">
        <v>7237</v>
      </c>
      <c r="O3168" t="s">
        <v>9315</v>
      </c>
      <c r="P3168">
        <v>2</v>
      </c>
      <c r="Q3168">
        <v>0</v>
      </c>
      <c r="R3168">
        <v>0</v>
      </c>
      <c r="U3168">
        <v>0</v>
      </c>
      <c r="W3168">
        <v>2.9</v>
      </c>
      <c r="X3168" t="s">
        <v>436</v>
      </c>
      <c r="Y3168" t="s">
        <v>10881</v>
      </c>
      <c r="Z3168" t="s">
        <v>10972</v>
      </c>
      <c r="AA3168" t="s">
        <v>10976</v>
      </c>
      <c r="AD3168" t="s">
        <v>11083</v>
      </c>
      <c r="AE3168" t="s">
        <v>11117</v>
      </c>
      <c r="AH3168" t="s">
        <v>10975</v>
      </c>
      <c r="AJ3168" t="s">
        <v>11135</v>
      </c>
      <c r="AK3168" t="s">
        <v>7225</v>
      </c>
      <c r="AM3168">
        <v>1040</v>
      </c>
      <c r="AO3168">
        <v>10</v>
      </c>
      <c r="AQ3168" t="s">
        <v>11156</v>
      </c>
      <c r="AS3168" t="s">
        <v>11173</v>
      </c>
      <c r="AU3168">
        <v>-1</v>
      </c>
      <c r="AW3168" t="s">
        <v>11187</v>
      </c>
      <c r="AY3168" t="s">
        <v>11213</v>
      </c>
      <c r="AZ3168" t="s">
        <v>11221</v>
      </c>
      <c r="BE3168" t="s">
        <v>13537</v>
      </c>
      <c r="BG3168" t="s">
        <v>15194</v>
      </c>
      <c r="BM3168" t="s">
        <v>15650</v>
      </c>
    </row>
    <row r="3169" spans="1:65">
      <c r="A3169" s="1">
        <f>HYPERLINK("https://lsnyc.legalserver.org/matter/dynamic-profile/view/1915347","19-1915347")</f>
        <v>0</v>
      </c>
      <c r="B3169" t="s">
        <v>190</v>
      </c>
      <c r="C3169" t="s">
        <v>249</v>
      </c>
      <c r="D3169" t="s">
        <v>436</v>
      </c>
      <c r="F3169" t="s">
        <v>1276</v>
      </c>
      <c r="G3169" t="s">
        <v>4202</v>
      </c>
      <c r="H3169" t="s">
        <v>5216</v>
      </c>
      <c r="I3169" t="s">
        <v>6959</v>
      </c>
      <c r="J3169" t="s">
        <v>7179</v>
      </c>
      <c r="K3169">
        <v>10304</v>
      </c>
      <c r="N3169" t="s">
        <v>7237</v>
      </c>
      <c r="O3169" t="s">
        <v>9316</v>
      </c>
      <c r="P3169">
        <v>2</v>
      </c>
      <c r="Q3169">
        <v>1</v>
      </c>
      <c r="R3169">
        <v>0</v>
      </c>
      <c r="U3169">
        <v>0</v>
      </c>
      <c r="W3169">
        <v>0.3</v>
      </c>
      <c r="X3169" t="s">
        <v>436</v>
      </c>
      <c r="Y3169" t="s">
        <v>10881</v>
      </c>
      <c r="Z3169" t="s">
        <v>10972</v>
      </c>
      <c r="AA3169" t="s">
        <v>10976</v>
      </c>
      <c r="AD3169" t="s">
        <v>11101</v>
      </c>
      <c r="AE3169" t="s">
        <v>11117</v>
      </c>
      <c r="AH3169" t="s">
        <v>10974</v>
      </c>
      <c r="AJ3169" t="s">
        <v>11144</v>
      </c>
      <c r="AK3169" t="s">
        <v>7225</v>
      </c>
      <c r="AL3169" t="s">
        <v>11150</v>
      </c>
      <c r="AM3169">
        <v>0</v>
      </c>
      <c r="AN3169" t="s">
        <v>11151</v>
      </c>
      <c r="AO3169" t="s">
        <v>11153</v>
      </c>
      <c r="AP3169" t="s">
        <v>11155</v>
      </c>
      <c r="AR3169" t="s">
        <v>11172</v>
      </c>
      <c r="AT3169" t="s">
        <v>11184</v>
      </c>
      <c r="AU3169">
        <v>0</v>
      </c>
      <c r="AW3169" t="s">
        <v>11187</v>
      </c>
      <c r="AX3169" t="s">
        <v>11212</v>
      </c>
      <c r="AZ3169" t="s">
        <v>11221</v>
      </c>
      <c r="BE3169" t="s">
        <v>13538</v>
      </c>
      <c r="BF3169" t="s">
        <v>14364</v>
      </c>
      <c r="BG3169" t="s">
        <v>14411</v>
      </c>
      <c r="BM3169" t="s">
        <v>15650</v>
      </c>
    </row>
    <row r="3170" spans="1:65">
      <c r="A3170" s="1">
        <f>HYPERLINK("https://lsnyc.legalserver.org/matter/dynamic-profile/view/1912173","19-1912173")</f>
        <v>0</v>
      </c>
      <c r="B3170" t="s">
        <v>190</v>
      </c>
      <c r="C3170" t="s">
        <v>249</v>
      </c>
      <c r="D3170" t="s">
        <v>273</v>
      </c>
      <c r="F3170" t="s">
        <v>2399</v>
      </c>
      <c r="G3170" t="s">
        <v>4203</v>
      </c>
      <c r="H3170" t="s">
        <v>5900</v>
      </c>
      <c r="J3170" t="s">
        <v>7179</v>
      </c>
      <c r="K3170">
        <v>10304</v>
      </c>
      <c r="N3170" t="s">
        <v>7237</v>
      </c>
      <c r="O3170" t="s">
        <v>9317</v>
      </c>
      <c r="P3170">
        <v>1</v>
      </c>
      <c r="Q3170">
        <v>1</v>
      </c>
      <c r="R3170">
        <v>248.37</v>
      </c>
      <c r="S3170" t="s">
        <v>336</v>
      </c>
      <c r="T3170" t="s">
        <v>10276</v>
      </c>
      <c r="U3170">
        <v>42000</v>
      </c>
      <c r="W3170">
        <v>1.4</v>
      </c>
      <c r="X3170" t="s">
        <v>735</v>
      </c>
      <c r="Y3170" t="s">
        <v>10895</v>
      </c>
      <c r="Z3170" t="s">
        <v>10972</v>
      </c>
      <c r="AA3170" t="s">
        <v>10976</v>
      </c>
      <c r="AD3170" t="s">
        <v>11086</v>
      </c>
      <c r="AE3170" t="s">
        <v>11117</v>
      </c>
      <c r="AH3170" t="s">
        <v>10975</v>
      </c>
      <c r="AI3170" t="s">
        <v>11126</v>
      </c>
      <c r="AK3170" t="s">
        <v>7225</v>
      </c>
      <c r="AL3170" t="s">
        <v>11150</v>
      </c>
      <c r="AM3170">
        <v>0</v>
      </c>
      <c r="AN3170" t="s">
        <v>11151</v>
      </c>
      <c r="AO3170" t="s">
        <v>11153</v>
      </c>
      <c r="AP3170" t="s">
        <v>11155</v>
      </c>
      <c r="AS3170" t="s">
        <v>11173</v>
      </c>
      <c r="AU3170">
        <v>15</v>
      </c>
      <c r="AW3170" t="s">
        <v>11187</v>
      </c>
      <c r="AX3170" t="s">
        <v>11212</v>
      </c>
      <c r="AZ3170" t="s">
        <v>11221</v>
      </c>
      <c r="BE3170" t="s">
        <v>13539</v>
      </c>
      <c r="BF3170" t="s">
        <v>14364</v>
      </c>
      <c r="BG3170" t="s">
        <v>14411</v>
      </c>
      <c r="BM3170" t="s">
        <v>15650</v>
      </c>
    </row>
    <row r="3171" spans="1:65">
      <c r="A3171" s="1">
        <f>HYPERLINK("https://lsnyc.legalserver.org/matter/dynamic-profile/view/1908712","19-1908712")</f>
        <v>0</v>
      </c>
      <c r="B3171" t="s">
        <v>190</v>
      </c>
      <c r="C3171" t="s">
        <v>249</v>
      </c>
      <c r="D3171" t="s">
        <v>270</v>
      </c>
      <c r="F3171" t="s">
        <v>1087</v>
      </c>
      <c r="G3171" t="s">
        <v>2911</v>
      </c>
      <c r="H3171" t="s">
        <v>5901</v>
      </c>
      <c r="I3171">
        <v>2</v>
      </c>
      <c r="J3171" t="s">
        <v>7179</v>
      </c>
      <c r="K3171">
        <v>10304</v>
      </c>
      <c r="N3171" t="s">
        <v>7237</v>
      </c>
      <c r="O3171" t="s">
        <v>9318</v>
      </c>
      <c r="P3171">
        <v>1</v>
      </c>
      <c r="Q3171">
        <v>1</v>
      </c>
      <c r="R3171">
        <v>175.28</v>
      </c>
      <c r="U3171">
        <v>29640</v>
      </c>
      <c r="W3171">
        <v>2</v>
      </c>
      <c r="X3171" t="s">
        <v>270</v>
      </c>
      <c r="Y3171" t="s">
        <v>10881</v>
      </c>
      <c r="AA3171" t="s">
        <v>10974</v>
      </c>
      <c r="AB3171" t="s">
        <v>270</v>
      </c>
      <c r="AD3171" t="s">
        <v>11086</v>
      </c>
      <c r="AF3171" t="s">
        <v>11120</v>
      </c>
      <c r="AG3171" t="s">
        <v>11124</v>
      </c>
      <c r="AJ3171" t="s">
        <v>11130</v>
      </c>
      <c r="AK3171" t="s">
        <v>7225</v>
      </c>
      <c r="AM3171">
        <v>1200</v>
      </c>
      <c r="AO3171">
        <v>2</v>
      </c>
      <c r="AQ3171" t="s">
        <v>11156</v>
      </c>
      <c r="AS3171" t="s">
        <v>11173</v>
      </c>
      <c r="AU3171">
        <v>14</v>
      </c>
      <c r="AW3171" t="s">
        <v>11189</v>
      </c>
      <c r="BA3171" t="s">
        <v>11222</v>
      </c>
      <c r="BE3171" t="s">
        <v>11236</v>
      </c>
      <c r="BF3171" t="s">
        <v>14364</v>
      </c>
      <c r="BG3171" t="s">
        <v>14411</v>
      </c>
      <c r="BM3171" t="s">
        <v>15650</v>
      </c>
    </row>
    <row r="3172" spans="1:65">
      <c r="A3172" s="1">
        <f>HYPERLINK("https://lsnyc.legalserver.org/matter/dynamic-profile/view/1909942","19-1909942")</f>
        <v>0</v>
      </c>
      <c r="B3172" t="s">
        <v>190</v>
      </c>
      <c r="C3172" t="s">
        <v>249</v>
      </c>
      <c r="D3172" t="s">
        <v>728</v>
      </c>
      <c r="F3172" t="s">
        <v>2400</v>
      </c>
      <c r="G3172" t="s">
        <v>4204</v>
      </c>
      <c r="H3172" t="s">
        <v>5902</v>
      </c>
      <c r="J3172" t="s">
        <v>7179</v>
      </c>
      <c r="K3172">
        <v>10310</v>
      </c>
      <c r="N3172" t="s">
        <v>7237</v>
      </c>
      <c r="O3172" t="s">
        <v>9319</v>
      </c>
      <c r="P3172">
        <v>1</v>
      </c>
      <c r="Q3172">
        <v>0</v>
      </c>
      <c r="R3172">
        <v>200.16</v>
      </c>
      <c r="S3172" t="s">
        <v>10254</v>
      </c>
      <c r="T3172" t="s">
        <v>10275</v>
      </c>
      <c r="U3172">
        <v>25000</v>
      </c>
      <c r="W3172">
        <v>2.3</v>
      </c>
      <c r="X3172" t="s">
        <v>634</v>
      </c>
      <c r="Y3172" t="s">
        <v>190</v>
      </c>
      <c r="AA3172" t="s">
        <v>10974</v>
      </c>
      <c r="AB3172" t="s">
        <v>624</v>
      </c>
      <c r="AD3172" t="s">
        <v>11086</v>
      </c>
      <c r="AF3172" t="s">
        <v>11119</v>
      </c>
      <c r="AH3172" t="s">
        <v>10975</v>
      </c>
      <c r="AJ3172" t="s">
        <v>11133</v>
      </c>
      <c r="AK3172" t="s">
        <v>11149</v>
      </c>
      <c r="AM3172">
        <v>1500</v>
      </c>
      <c r="AO3172">
        <v>2</v>
      </c>
      <c r="AQ3172" t="s">
        <v>11156</v>
      </c>
      <c r="AS3172" t="s">
        <v>11176</v>
      </c>
      <c r="AT3172" t="s">
        <v>11184</v>
      </c>
      <c r="AU3172">
        <v>0</v>
      </c>
      <c r="AW3172" t="s">
        <v>11187</v>
      </c>
      <c r="AY3172" t="s">
        <v>11213</v>
      </c>
      <c r="BA3172" t="s">
        <v>11222</v>
      </c>
      <c r="BE3172" t="s">
        <v>13540</v>
      </c>
      <c r="BF3172" t="s">
        <v>14364</v>
      </c>
      <c r="BG3172" t="s">
        <v>14411</v>
      </c>
      <c r="BM3172" t="s">
        <v>15650</v>
      </c>
    </row>
    <row r="3173" spans="1:65">
      <c r="A3173" s="1">
        <f>HYPERLINK("https://lsnyc.legalserver.org/matter/dynamic-profile/view/1912414","19-1912414")</f>
        <v>0</v>
      </c>
      <c r="B3173" t="s">
        <v>190</v>
      </c>
      <c r="C3173" t="s">
        <v>249</v>
      </c>
      <c r="D3173" t="s">
        <v>536</v>
      </c>
      <c r="F3173" t="s">
        <v>2401</v>
      </c>
      <c r="G3173" t="s">
        <v>4205</v>
      </c>
      <c r="H3173" t="s">
        <v>5903</v>
      </c>
      <c r="J3173" t="s">
        <v>7179</v>
      </c>
      <c r="K3173">
        <v>10309</v>
      </c>
      <c r="N3173" t="s">
        <v>7237</v>
      </c>
      <c r="O3173" t="s">
        <v>9320</v>
      </c>
      <c r="P3173">
        <v>1</v>
      </c>
      <c r="Q3173">
        <v>1</v>
      </c>
      <c r="R3173">
        <v>0</v>
      </c>
      <c r="S3173" t="s">
        <v>10254</v>
      </c>
      <c r="T3173" t="s">
        <v>10275</v>
      </c>
      <c r="U3173">
        <v>0</v>
      </c>
      <c r="W3173">
        <v>7.25</v>
      </c>
      <c r="X3173" t="s">
        <v>426</v>
      </c>
      <c r="Y3173" t="s">
        <v>190</v>
      </c>
      <c r="AA3173" t="s">
        <v>10974</v>
      </c>
      <c r="AB3173" t="s">
        <v>925</v>
      </c>
      <c r="AD3173" t="s">
        <v>11083</v>
      </c>
      <c r="AF3173" t="s">
        <v>11119</v>
      </c>
      <c r="AH3173" t="s">
        <v>10975</v>
      </c>
      <c r="AJ3173" t="s">
        <v>11133</v>
      </c>
      <c r="AK3173" t="s">
        <v>11149</v>
      </c>
      <c r="AL3173" t="s">
        <v>11150</v>
      </c>
      <c r="AM3173">
        <v>0</v>
      </c>
      <c r="AO3173">
        <v>1</v>
      </c>
      <c r="AQ3173" t="s">
        <v>11156</v>
      </c>
      <c r="AS3173" t="s">
        <v>11173</v>
      </c>
      <c r="AU3173">
        <v>6</v>
      </c>
      <c r="AW3173" t="s">
        <v>11187</v>
      </c>
      <c r="BA3173" t="s">
        <v>11222</v>
      </c>
      <c r="BD3173" t="s">
        <v>11667</v>
      </c>
      <c r="BG3173" t="s">
        <v>15195</v>
      </c>
      <c r="BM3173" t="s">
        <v>15650</v>
      </c>
    </row>
    <row r="3174" spans="1:65">
      <c r="A3174" s="1">
        <f>HYPERLINK("https://lsnyc.legalserver.org/matter/dynamic-profile/view/1914688","19-1914688")</f>
        <v>0</v>
      </c>
      <c r="B3174" t="s">
        <v>190</v>
      </c>
      <c r="C3174" t="s">
        <v>249</v>
      </c>
      <c r="D3174" t="s">
        <v>297</v>
      </c>
      <c r="F3174" t="s">
        <v>1545</v>
      </c>
      <c r="G3174" t="s">
        <v>4206</v>
      </c>
      <c r="H3174" t="s">
        <v>5904</v>
      </c>
      <c r="I3174" t="s">
        <v>6960</v>
      </c>
      <c r="J3174" t="s">
        <v>7179</v>
      </c>
      <c r="K3174">
        <v>10301</v>
      </c>
      <c r="N3174" t="s">
        <v>7237</v>
      </c>
      <c r="O3174" t="s">
        <v>9321</v>
      </c>
      <c r="P3174">
        <v>1</v>
      </c>
      <c r="Q3174">
        <v>0</v>
      </c>
      <c r="R3174">
        <v>189.43</v>
      </c>
      <c r="U3174">
        <v>23660</v>
      </c>
      <c r="W3174">
        <v>1.65</v>
      </c>
      <c r="X3174" t="s">
        <v>548</v>
      </c>
      <c r="Y3174" t="s">
        <v>10911</v>
      </c>
      <c r="Z3174" t="s">
        <v>10972</v>
      </c>
      <c r="AA3174" t="s">
        <v>10976</v>
      </c>
      <c r="AD3174" t="s">
        <v>11082</v>
      </c>
      <c r="AF3174" t="s">
        <v>10384</v>
      </c>
      <c r="AH3174" t="s">
        <v>10975</v>
      </c>
      <c r="AJ3174" t="s">
        <v>11137</v>
      </c>
      <c r="AK3174" t="s">
        <v>7225</v>
      </c>
      <c r="AM3174">
        <v>1747.09</v>
      </c>
      <c r="AO3174">
        <v>100</v>
      </c>
      <c r="AQ3174" t="s">
        <v>11157</v>
      </c>
      <c r="AS3174" t="s">
        <v>11173</v>
      </c>
      <c r="AU3174">
        <v>18</v>
      </c>
      <c r="AW3174" t="s">
        <v>11187</v>
      </c>
      <c r="AX3174" t="s">
        <v>11212</v>
      </c>
      <c r="AZ3174" t="s">
        <v>11221</v>
      </c>
      <c r="BE3174" t="s">
        <v>13541</v>
      </c>
      <c r="BF3174" t="s">
        <v>14364</v>
      </c>
      <c r="BG3174" t="s">
        <v>15196</v>
      </c>
      <c r="BM3174" t="s">
        <v>15650</v>
      </c>
    </row>
    <row r="3175" spans="1:65">
      <c r="A3175" s="1">
        <f>HYPERLINK("https://lsnyc.legalserver.org/matter/dynamic-profile/view/0826016","17-0826016")</f>
        <v>0</v>
      </c>
      <c r="B3175" t="s">
        <v>191</v>
      </c>
      <c r="C3175" t="s">
        <v>246</v>
      </c>
      <c r="D3175" t="s">
        <v>623</v>
      </c>
      <c r="F3175" t="s">
        <v>2402</v>
      </c>
      <c r="G3175" t="s">
        <v>1541</v>
      </c>
      <c r="H3175" t="s">
        <v>4781</v>
      </c>
      <c r="I3175" t="s">
        <v>6407</v>
      </c>
      <c r="J3175" t="s">
        <v>7170</v>
      </c>
      <c r="K3175">
        <v>10467</v>
      </c>
      <c r="N3175" t="s">
        <v>7237</v>
      </c>
      <c r="O3175" t="s">
        <v>9322</v>
      </c>
      <c r="P3175">
        <v>1</v>
      </c>
      <c r="Q3175">
        <v>0</v>
      </c>
      <c r="R3175">
        <v>0</v>
      </c>
      <c r="S3175" t="s">
        <v>283</v>
      </c>
      <c r="U3175">
        <v>0</v>
      </c>
      <c r="V3175" t="s">
        <v>10562</v>
      </c>
      <c r="W3175">
        <v>0.5</v>
      </c>
      <c r="X3175" t="s">
        <v>10845</v>
      </c>
      <c r="Y3175" t="s">
        <v>10899</v>
      </c>
      <c r="AA3175" t="s">
        <v>10974</v>
      </c>
      <c r="AB3175" t="s">
        <v>374</v>
      </c>
      <c r="AD3175" t="s">
        <v>11093</v>
      </c>
      <c r="AF3175" t="s">
        <v>11118</v>
      </c>
      <c r="AH3175" t="s">
        <v>10974</v>
      </c>
      <c r="AJ3175" t="s">
        <v>11130</v>
      </c>
      <c r="AK3175" t="s">
        <v>7225</v>
      </c>
      <c r="AL3175" t="s">
        <v>11150</v>
      </c>
      <c r="AM3175">
        <v>0</v>
      </c>
      <c r="AO3175">
        <v>30</v>
      </c>
      <c r="AQ3175" t="s">
        <v>11157</v>
      </c>
      <c r="AS3175" t="s">
        <v>11174</v>
      </c>
      <c r="AU3175">
        <v>3</v>
      </c>
      <c r="AW3175" t="s">
        <v>11187</v>
      </c>
      <c r="AZ3175" t="s">
        <v>11221</v>
      </c>
      <c r="BB3175" t="s">
        <v>11224</v>
      </c>
      <c r="BC3175">
        <v>5575353</v>
      </c>
      <c r="BE3175" t="s">
        <v>13542</v>
      </c>
      <c r="BF3175" t="s">
        <v>14364</v>
      </c>
      <c r="BG3175" t="s">
        <v>14371</v>
      </c>
      <c r="BM3175" t="s">
        <v>15650</v>
      </c>
    </row>
    <row r="3176" spans="1:65">
      <c r="A3176" s="1">
        <f>HYPERLINK("https://lsnyc.legalserver.org/matter/dynamic-profile/view/0816107","16-0816107")</f>
        <v>0</v>
      </c>
      <c r="B3176" t="s">
        <v>191</v>
      </c>
      <c r="C3176" t="s">
        <v>246</v>
      </c>
      <c r="D3176" t="s">
        <v>951</v>
      </c>
      <c r="F3176" t="s">
        <v>1770</v>
      </c>
      <c r="G3176" t="s">
        <v>4207</v>
      </c>
      <c r="H3176" t="s">
        <v>4781</v>
      </c>
      <c r="I3176" t="s">
        <v>6423</v>
      </c>
      <c r="J3176" t="s">
        <v>7170</v>
      </c>
      <c r="K3176">
        <v>10467</v>
      </c>
      <c r="N3176" t="s">
        <v>7237</v>
      </c>
      <c r="O3176" t="s">
        <v>9323</v>
      </c>
      <c r="P3176">
        <v>2</v>
      </c>
      <c r="Q3176">
        <v>0</v>
      </c>
      <c r="R3176">
        <v>41.95</v>
      </c>
      <c r="S3176" t="s">
        <v>283</v>
      </c>
      <c r="U3176">
        <v>6720</v>
      </c>
      <c r="W3176">
        <v>233.05</v>
      </c>
      <c r="X3176" t="s">
        <v>548</v>
      </c>
      <c r="Y3176" t="s">
        <v>10899</v>
      </c>
      <c r="AA3176" t="s">
        <v>10974</v>
      </c>
      <c r="AB3176" t="s">
        <v>838</v>
      </c>
      <c r="AD3176" t="s">
        <v>11093</v>
      </c>
      <c r="AF3176" t="s">
        <v>11118</v>
      </c>
      <c r="AH3176" t="s">
        <v>10974</v>
      </c>
      <c r="AJ3176" t="s">
        <v>11130</v>
      </c>
      <c r="AK3176" t="s">
        <v>7225</v>
      </c>
      <c r="AM3176">
        <v>900</v>
      </c>
      <c r="AO3176">
        <v>30</v>
      </c>
      <c r="AQ3176" t="s">
        <v>11157</v>
      </c>
      <c r="AS3176" t="s">
        <v>11173</v>
      </c>
      <c r="AU3176">
        <v>4</v>
      </c>
      <c r="AW3176" t="s">
        <v>11187</v>
      </c>
      <c r="AZ3176" t="s">
        <v>11221</v>
      </c>
      <c r="BE3176" t="s">
        <v>13543</v>
      </c>
      <c r="BF3176" t="s">
        <v>14364</v>
      </c>
      <c r="BG3176" t="s">
        <v>14371</v>
      </c>
      <c r="BM3176" t="s">
        <v>15650</v>
      </c>
    </row>
    <row r="3177" spans="1:65">
      <c r="A3177" s="1">
        <f>HYPERLINK("https://lsnyc.legalserver.org/matter/dynamic-profile/view/0821525","16-0821525")</f>
        <v>0</v>
      </c>
      <c r="B3177" t="s">
        <v>191</v>
      </c>
      <c r="C3177" t="s">
        <v>246</v>
      </c>
      <c r="D3177" t="s">
        <v>514</v>
      </c>
      <c r="F3177" t="s">
        <v>2403</v>
      </c>
      <c r="G3177" t="s">
        <v>4176</v>
      </c>
      <c r="H3177" t="s">
        <v>4781</v>
      </c>
      <c r="I3177" t="s">
        <v>6468</v>
      </c>
      <c r="J3177" t="s">
        <v>7170</v>
      </c>
      <c r="K3177">
        <v>10467</v>
      </c>
      <c r="N3177" t="s">
        <v>7237</v>
      </c>
      <c r="O3177" t="s">
        <v>9324</v>
      </c>
      <c r="P3177">
        <v>1</v>
      </c>
      <c r="Q3177">
        <v>0</v>
      </c>
      <c r="R3177">
        <v>151.52</v>
      </c>
      <c r="S3177" t="s">
        <v>283</v>
      </c>
      <c r="U3177">
        <v>18000</v>
      </c>
      <c r="W3177">
        <v>1.1</v>
      </c>
      <c r="X3177" t="s">
        <v>782</v>
      </c>
      <c r="Y3177" t="s">
        <v>10868</v>
      </c>
      <c r="AA3177" t="s">
        <v>10974</v>
      </c>
      <c r="AB3177" t="s">
        <v>10978</v>
      </c>
      <c r="AD3177" t="s">
        <v>11093</v>
      </c>
      <c r="AF3177" t="s">
        <v>11118</v>
      </c>
      <c r="AH3177" t="s">
        <v>10974</v>
      </c>
      <c r="AJ3177" t="s">
        <v>11130</v>
      </c>
      <c r="AK3177" t="s">
        <v>7225</v>
      </c>
      <c r="AM3177">
        <v>1010</v>
      </c>
      <c r="AO3177">
        <v>30</v>
      </c>
      <c r="AQ3177" t="s">
        <v>11157</v>
      </c>
      <c r="AS3177" t="s">
        <v>11173</v>
      </c>
      <c r="AU3177">
        <v>4</v>
      </c>
      <c r="AV3177" t="s">
        <v>11186</v>
      </c>
      <c r="AZ3177" t="s">
        <v>11221</v>
      </c>
      <c r="BE3177" t="s">
        <v>13544</v>
      </c>
      <c r="BF3177" t="s">
        <v>14364</v>
      </c>
      <c r="BG3177" t="s">
        <v>14371</v>
      </c>
      <c r="BM3177" t="s">
        <v>15650</v>
      </c>
    </row>
    <row r="3178" spans="1:65">
      <c r="A3178" s="1">
        <f>HYPERLINK("https://lsnyc.legalserver.org/matter/dynamic-profile/view/0821540","16-0821540")</f>
        <v>0</v>
      </c>
      <c r="B3178" t="s">
        <v>191</v>
      </c>
      <c r="C3178" t="s">
        <v>246</v>
      </c>
      <c r="D3178" t="s">
        <v>514</v>
      </c>
      <c r="F3178" t="s">
        <v>1868</v>
      </c>
      <c r="G3178" t="s">
        <v>4208</v>
      </c>
      <c r="H3178" t="s">
        <v>4781</v>
      </c>
      <c r="I3178" t="s">
        <v>6502</v>
      </c>
      <c r="J3178" t="s">
        <v>7170</v>
      </c>
      <c r="K3178">
        <v>10467</v>
      </c>
      <c r="N3178" t="s">
        <v>7237</v>
      </c>
      <c r="O3178" t="s">
        <v>9325</v>
      </c>
      <c r="P3178">
        <v>2</v>
      </c>
      <c r="Q3178">
        <v>0</v>
      </c>
      <c r="R3178">
        <v>74.01000000000001</v>
      </c>
      <c r="S3178" t="s">
        <v>283</v>
      </c>
      <c r="U3178">
        <v>11856</v>
      </c>
      <c r="W3178">
        <v>1.6</v>
      </c>
      <c r="X3178" t="s">
        <v>712</v>
      </c>
      <c r="Y3178" t="s">
        <v>10868</v>
      </c>
      <c r="AA3178" t="s">
        <v>10974</v>
      </c>
      <c r="AB3178" t="s">
        <v>10978</v>
      </c>
      <c r="AD3178" t="s">
        <v>11093</v>
      </c>
      <c r="AF3178" t="s">
        <v>11118</v>
      </c>
      <c r="AH3178" t="s">
        <v>10974</v>
      </c>
      <c r="AJ3178" t="s">
        <v>11130</v>
      </c>
      <c r="AK3178" t="s">
        <v>7225</v>
      </c>
      <c r="AM3178">
        <v>900</v>
      </c>
      <c r="AO3178">
        <v>30</v>
      </c>
      <c r="AQ3178" t="s">
        <v>11157</v>
      </c>
      <c r="AS3178" t="s">
        <v>11173</v>
      </c>
      <c r="AU3178">
        <v>2</v>
      </c>
      <c r="AW3178" t="s">
        <v>11187</v>
      </c>
      <c r="AZ3178" t="s">
        <v>11221</v>
      </c>
      <c r="BB3178" t="s">
        <v>11224</v>
      </c>
      <c r="BC3178" t="s">
        <v>11512</v>
      </c>
      <c r="BE3178" t="s">
        <v>13545</v>
      </c>
      <c r="BF3178" t="s">
        <v>14364</v>
      </c>
      <c r="BG3178" t="s">
        <v>14371</v>
      </c>
      <c r="BM3178" t="s">
        <v>15650</v>
      </c>
    </row>
    <row r="3179" spans="1:65">
      <c r="A3179" s="1">
        <f>HYPERLINK("https://lsnyc.legalserver.org/matter/dynamic-profile/view/1910089","19-1910089")</f>
        <v>0</v>
      </c>
      <c r="B3179" t="s">
        <v>192</v>
      </c>
      <c r="C3179" t="s">
        <v>246</v>
      </c>
      <c r="D3179" t="s">
        <v>335</v>
      </c>
      <c r="F3179" t="s">
        <v>1090</v>
      </c>
      <c r="G3179" t="s">
        <v>3397</v>
      </c>
      <c r="H3179" t="s">
        <v>5905</v>
      </c>
      <c r="I3179" t="s">
        <v>6750</v>
      </c>
      <c r="J3179" t="s">
        <v>7170</v>
      </c>
      <c r="K3179">
        <v>10451</v>
      </c>
      <c r="N3179" t="s">
        <v>7237</v>
      </c>
      <c r="O3179" t="s">
        <v>9326</v>
      </c>
      <c r="P3179">
        <v>1</v>
      </c>
      <c r="Q3179">
        <v>0</v>
      </c>
      <c r="R3179">
        <v>77.34</v>
      </c>
      <c r="U3179">
        <v>9660</v>
      </c>
      <c r="W3179">
        <v>1.3</v>
      </c>
      <c r="X3179" t="s">
        <v>497</v>
      </c>
      <c r="Y3179" t="s">
        <v>192</v>
      </c>
      <c r="AA3179" t="s">
        <v>10974</v>
      </c>
      <c r="AC3179" t="s">
        <v>11081</v>
      </c>
      <c r="AF3179" t="s">
        <v>11119</v>
      </c>
      <c r="AG3179" t="s">
        <v>11124</v>
      </c>
      <c r="AJ3179" t="s">
        <v>11141</v>
      </c>
      <c r="AK3179" t="s">
        <v>7225</v>
      </c>
      <c r="AM3179">
        <v>191</v>
      </c>
      <c r="AN3179" t="s">
        <v>11151</v>
      </c>
      <c r="AO3179" t="s">
        <v>11153</v>
      </c>
      <c r="AQ3179" t="s">
        <v>11164</v>
      </c>
      <c r="AS3179" t="s">
        <v>11174</v>
      </c>
      <c r="AU3179">
        <v>10</v>
      </c>
      <c r="AW3179" t="s">
        <v>11187</v>
      </c>
      <c r="AX3179" t="s">
        <v>11212</v>
      </c>
      <c r="BA3179" t="s">
        <v>11222</v>
      </c>
      <c r="BE3179" t="s">
        <v>13546</v>
      </c>
      <c r="BF3179" t="s">
        <v>14364</v>
      </c>
      <c r="BM3179" t="s">
        <v>15650</v>
      </c>
    </row>
    <row r="3180" spans="1:65">
      <c r="A3180" s="1">
        <f>HYPERLINK("https://lsnyc.legalserver.org/matter/dynamic-profile/view/1888048","19-1888048")</f>
        <v>0</v>
      </c>
      <c r="B3180" t="s">
        <v>192</v>
      </c>
      <c r="C3180" t="s">
        <v>246</v>
      </c>
      <c r="D3180" t="s">
        <v>588</v>
      </c>
      <c r="F3180" t="s">
        <v>2404</v>
      </c>
      <c r="G3180" t="s">
        <v>3280</v>
      </c>
      <c r="H3180" t="s">
        <v>5906</v>
      </c>
      <c r="I3180" t="s">
        <v>6495</v>
      </c>
      <c r="J3180" t="s">
        <v>7170</v>
      </c>
      <c r="K3180">
        <v>10452</v>
      </c>
      <c r="N3180" t="s">
        <v>7237</v>
      </c>
      <c r="O3180" t="s">
        <v>9327</v>
      </c>
      <c r="P3180">
        <v>1</v>
      </c>
      <c r="Q3180">
        <v>0</v>
      </c>
      <c r="R3180">
        <v>219.93</v>
      </c>
      <c r="U3180">
        <v>26700</v>
      </c>
      <c r="W3180">
        <v>111.4</v>
      </c>
      <c r="X3180" t="s">
        <v>436</v>
      </c>
      <c r="Y3180" t="s">
        <v>210</v>
      </c>
      <c r="AA3180" t="s">
        <v>10974</v>
      </c>
      <c r="AB3180" t="s">
        <v>10987</v>
      </c>
      <c r="AD3180" t="s">
        <v>11085</v>
      </c>
      <c r="AF3180" t="s">
        <v>11118</v>
      </c>
      <c r="AH3180" t="s">
        <v>10974</v>
      </c>
      <c r="AJ3180" t="s">
        <v>11141</v>
      </c>
      <c r="AK3180" t="s">
        <v>7225</v>
      </c>
      <c r="AM3180">
        <v>1042</v>
      </c>
      <c r="AN3180" t="s">
        <v>11151</v>
      </c>
      <c r="AO3180" t="s">
        <v>11153</v>
      </c>
      <c r="AQ3180" t="s">
        <v>11157</v>
      </c>
      <c r="AS3180" t="s">
        <v>11173</v>
      </c>
      <c r="AU3180">
        <v>33</v>
      </c>
      <c r="AV3180" t="s">
        <v>11186</v>
      </c>
      <c r="BA3180" t="s">
        <v>11222</v>
      </c>
      <c r="BE3180" t="s">
        <v>13547</v>
      </c>
      <c r="BG3180" t="s">
        <v>15197</v>
      </c>
      <c r="BM3180" t="s">
        <v>15650</v>
      </c>
    </row>
    <row r="3181" spans="1:65">
      <c r="A3181" s="1">
        <f>HYPERLINK("https://lsnyc.legalserver.org/matter/dynamic-profile/view/1909345","19-1909345")</f>
        <v>0</v>
      </c>
      <c r="B3181" t="s">
        <v>192</v>
      </c>
      <c r="C3181" t="s">
        <v>246</v>
      </c>
      <c r="D3181" t="s">
        <v>375</v>
      </c>
      <c r="F3181" t="s">
        <v>2405</v>
      </c>
      <c r="G3181" t="s">
        <v>3386</v>
      </c>
      <c r="H3181" t="s">
        <v>4971</v>
      </c>
      <c r="I3181" t="s">
        <v>6961</v>
      </c>
      <c r="J3181" t="s">
        <v>7170</v>
      </c>
      <c r="K3181">
        <v>10460</v>
      </c>
      <c r="N3181" t="s">
        <v>7237</v>
      </c>
      <c r="O3181" t="s">
        <v>9328</v>
      </c>
      <c r="P3181">
        <v>1</v>
      </c>
      <c r="Q3181">
        <v>0</v>
      </c>
      <c r="R3181">
        <v>187.35</v>
      </c>
      <c r="U3181">
        <v>23400</v>
      </c>
      <c r="W3181">
        <v>0.6</v>
      </c>
      <c r="X3181" t="s">
        <v>375</v>
      </c>
      <c r="Y3181" t="s">
        <v>10872</v>
      </c>
      <c r="AA3181" t="s">
        <v>10974</v>
      </c>
      <c r="AC3181" t="s">
        <v>11081</v>
      </c>
      <c r="AF3181" t="s">
        <v>11119</v>
      </c>
      <c r="AH3181" t="s">
        <v>10975</v>
      </c>
      <c r="AJ3181" t="s">
        <v>11140</v>
      </c>
      <c r="AK3181" t="s">
        <v>7225</v>
      </c>
      <c r="AM3181">
        <v>1120</v>
      </c>
      <c r="AO3181">
        <v>168</v>
      </c>
      <c r="AQ3181" t="s">
        <v>11162</v>
      </c>
      <c r="AR3181" t="s">
        <v>11172</v>
      </c>
      <c r="AT3181" t="s">
        <v>11184</v>
      </c>
      <c r="AU3181">
        <v>0</v>
      </c>
      <c r="AW3181" t="s">
        <v>11187</v>
      </c>
      <c r="AX3181" t="s">
        <v>11212</v>
      </c>
      <c r="BA3181" t="s">
        <v>11222</v>
      </c>
      <c r="BD3181" t="s">
        <v>11667</v>
      </c>
      <c r="BF3181" t="s">
        <v>14364</v>
      </c>
      <c r="BM3181" t="s">
        <v>15650</v>
      </c>
    </row>
    <row r="3182" spans="1:65">
      <c r="A3182" s="1">
        <f>HYPERLINK("https://lsnyc.legalserver.org/matter/dynamic-profile/view/1910075","19-1910075")</f>
        <v>0</v>
      </c>
      <c r="B3182" t="s">
        <v>192</v>
      </c>
      <c r="C3182" t="s">
        <v>246</v>
      </c>
      <c r="D3182" t="s">
        <v>335</v>
      </c>
      <c r="F3182" t="s">
        <v>1144</v>
      </c>
      <c r="G3182" t="s">
        <v>4209</v>
      </c>
      <c r="H3182" t="s">
        <v>5907</v>
      </c>
      <c r="J3182" t="s">
        <v>7170</v>
      </c>
      <c r="K3182">
        <v>10456</v>
      </c>
      <c r="N3182" t="s">
        <v>7237</v>
      </c>
      <c r="O3182" t="s">
        <v>9329</v>
      </c>
      <c r="P3182">
        <v>1</v>
      </c>
      <c r="Q3182">
        <v>0</v>
      </c>
      <c r="R3182">
        <v>199.36</v>
      </c>
      <c r="U3182">
        <v>24900</v>
      </c>
      <c r="W3182">
        <v>0</v>
      </c>
      <c r="Y3182" t="s">
        <v>192</v>
      </c>
      <c r="AA3182" t="s">
        <v>10974</v>
      </c>
      <c r="AD3182" t="s">
        <v>11086</v>
      </c>
      <c r="AF3182" t="s">
        <v>11119</v>
      </c>
      <c r="AH3182" t="s">
        <v>10975</v>
      </c>
      <c r="AJ3182" t="s">
        <v>11141</v>
      </c>
      <c r="AK3182" t="s">
        <v>7225</v>
      </c>
      <c r="AL3182" t="s">
        <v>11150</v>
      </c>
      <c r="AM3182">
        <v>0</v>
      </c>
      <c r="AN3182" t="s">
        <v>11151</v>
      </c>
      <c r="AO3182" t="s">
        <v>11153</v>
      </c>
      <c r="AP3182" t="s">
        <v>11155</v>
      </c>
      <c r="AR3182" t="s">
        <v>11172</v>
      </c>
      <c r="AT3182" t="s">
        <v>11184</v>
      </c>
      <c r="AU3182">
        <v>0</v>
      </c>
      <c r="AV3182" t="s">
        <v>11186</v>
      </c>
      <c r="AX3182" t="s">
        <v>11212</v>
      </c>
      <c r="BA3182" t="s">
        <v>11222</v>
      </c>
      <c r="BE3182" t="s">
        <v>13548</v>
      </c>
      <c r="BF3182" t="s">
        <v>14364</v>
      </c>
      <c r="BM3182" t="s">
        <v>15650</v>
      </c>
    </row>
    <row r="3183" spans="1:65">
      <c r="A3183" s="1">
        <f>HYPERLINK("https://lsnyc.legalserver.org/matter/dynamic-profile/view/0820503","16-0820503")</f>
        <v>0</v>
      </c>
      <c r="B3183" t="s">
        <v>192</v>
      </c>
      <c r="C3183" t="s">
        <v>246</v>
      </c>
      <c r="D3183" t="s">
        <v>979</v>
      </c>
      <c r="F3183" t="s">
        <v>1108</v>
      </c>
      <c r="G3183" t="s">
        <v>4210</v>
      </c>
      <c r="H3183" t="s">
        <v>4975</v>
      </c>
      <c r="I3183" t="s">
        <v>6962</v>
      </c>
      <c r="J3183" t="s">
        <v>7170</v>
      </c>
      <c r="K3183">
        <v>10452</v>
      </c>
      <c r="N3183" t="s">
        <v>7237</v>
      </c>
      <c r="O3183" t="s">
        <v>9330</v>
      </c>
      <c r="P3183">
        <v>1</v>
      </c>
      <c r="Q3183">
        <v>2</v>
      </c>
      <c r="R3183">
        <v>140.58</v>
      </c>
      <c r="U3183">
        <v>28340</v>
      </c>
      <c r="W3183">
        <v>709.62</v>
      </c>
      <c r="X3183" t="s">
        <v>266</v>
      </c>
      <c r="Y3183" t="s">
        <v>10899</v>
      </c>
      <c r="AA3183" t="s">
        <v>10974</v>
      </c>
      <c r="AB3183" t="s">
        <v>11064</v>
      </c>
      <c r="AD3183" t="s">
        <v>11085</v>
      </c>
      <c r="AF3183" t="s">
        <v>11118</v>
      </c>
      <c r="AH3183" t="s">
        <v>10974</v>
      </c>
      <c r="AJ3183" t="s">
        <v>11130</v>
      </c>
      <c r="AK3183" t="s">
        <v>7225</v>
      </c>
      <c r="AM3183">
        <v>1109</v>
      </c>
      <c r="AO3183">
        <v>130</v>
      </c>
      <c r="AQ3183" t="s">
        <v>11157</v>
      </c>
      <c r="AS3183" t="s">
        <v>11173</v>
      </c>
      <c r="AU3183">
        <v>3</v>
      </c>
      <c r="AW3183" t="s">
        <v>11187</v>
      </c>
      <c r="AZ3183" t="s">
        <v>11221</v>
      </c>
      <c r="BE3183" t="s">
        <v>13549</v>
      </c>
      <c r="BG3183" t="s">
        <v>14477</v>
      </c>
      <c r="BM3183" t="s">
        <v>15650</v>
      </c>
    </row>
    <row r="3184" spans="1:65">
      <c r="A3184" s="1">
        <f>HYPERLINK("https://lsnyc.legalserver.org/matter/dynamic-profile/view/1888949","19-1888949")</f>
        <v>0</v>
      </c>
      <c r="B3184" t="s">
        <v>192</v>
      </c>
      <c r="C3184" t="s">
        <v>246</v>
      </c>
      <c r="D3184" t="s">
        <v>593</v>
      </c>
      <c r="F3184" t="s">
        <v>1459</v>
      </c>
      <c r="G3184" t="s">
        <v>2992</v>
      </c>
      <c r="H3184" t="s">
        <v>5906</v>
      </c>
      <c r="I3184" t="s">
        <v>6565</v>
      </c>
      <c r="J3184" t="s">
        <v>7170</v>
      </c>
      <c r="K3184">
        <v>10452</v>
      </c>
      <c r="N3184" t="s">
        <v>7237</v>
      </c>
      <c r="O3184" t="s">
        <v>9331</v>
      </c>
      <c r="P3184">
        <v>2</v>
      </c>
      <c r="Q3184">
        <v>1</v>
      </c>
      <c r="R3184">
        <v>23.57</v>
      </c>
      <c r="U3184">
        <v>5028</v>
      </c>
      <c r="W3184">
        <v>0.6</v>
      </c>
      <c r="X3184" t="s">
        <v>334</v>
      </c>
      <c r="Y3184" t="s">
        <v>210</v>
      </c>
      <c r="AA3184" t="s">
        <v>10974</v>
      </c>
      <c r="AB3184" t="s">
        <v>10979</v>
      </c>
      <c r="AD3184" t="s">
        <v>11085</v>
      </c>
      <c r="AF3184" t="s">
        <v>11118</v>
      </c>
      <c r="AH3184" t="s">
        <v>10974</v>
      </c>
      <c r="AJ3184" t="s">
        <v>11141</v>
      </c>
      <c r="AK3184" t="s">
        <v>7225</v>
      </c>
      <c r="AM3184">
        <v>1377.86</v>
      </c>
      <c r="AN3184" t="s">
        <v>11151</v>
      </c>
      <c r="AO3184" t="s">
        <v>11153</v>
      </c>
      <c r="AQ3184" t="s">
        <v>11157</v>
      </c>
      <c r="AS3184" t="s">
        <v>11174</v>
      </c>
      <c r="AU3184">
        <v>11</v>
      </c>
      <c r="AW3184" t="s">
        <v>11187</v>
      </c>
      <c r="BA3184" t="s">
        <v>11222</v>
      </c>
      <c r="BE3184" t="s">
        <v>13550</v>
      </c>
      <c r="BG3184" t="s">
        <v>15197</v>
      </c>
      <c r="BM3184" t="s">
        <v>15650</v>
      </c>
    </row>
    <row r="3185" spans="1:65">
      <c r="A3185" s="1">
        <f>HYPERLINK("https://lsnyc.legalserver.org/matter/dynamic-profile/view/1888941","19-1888941")</f>
        <v>0</v>
      </c>
      <c r="B3185" t="s">
        <v>192</v>
      </c>
      <c r="C3185" t="s">
        <v>246</v>
      </c>
      <c r="D3185" t="s">
        <v>593</v>
      </c>
      <c r="F3185" t="s">
        <v>2406</v>
      </c>
      <c r="G3185" t="s">
        <v>4211</v>
      </c>
      <c r="H3185" t="s">
        <v>5906</v>
      </c>
      <c r="I3185" t="s">
        <v>6479</v>
      </c>
      <c r="J3185" t="s">
        <v>7170</v>
      </c>
      <c r="K3185">
        <v>10452</v>
      </c>
      <c r="N3185" t="s">
        <v>7237</v>
      </c>
      <c r="O3185" t="s">
        <v>9332</v>
      </c>
      <c r="P3185">
        <v>2</v>
      </c>
      <c r="Q3185">
        <v>0</v>
      </c>
      <c r="R3185">
        <v>138.38</v>
      </c>
      <c r="U3185">
        <v>23400</v>
      </c>
      <c r="W3185">
        <v>0</v>
      </c>
      <c r="Y3185" t="s">
        <v>210</v>
      </c>
      <c r="AA3185" t="s">
        <v>10974</v>
      </c>
      <c r="AB3185" t="s">
        <v>10987</v>
      </c>
      <c r="AD3185" t="s">
        <v>11085</v>
      </c>
      <c r="AF3185" t="s">
        <v>11118</v>
      </c>
      <c r="AH3185" t="s">
        <v>10974</v>
      </c>
      <c r="AJ3185" t="s">
        <v>11141</v>
      </c>
      <c r="AK3185" t="s">
        <v>7225</v>
      </c>
      <c r="AM3185">
        <v>1200</v>
      </c>
      <c r="AN3185" t="s">
        <v>11151</v>
      </c>
      <c r="AO3185" t="s">
        <v>11153</v>
      </c>
      <c r="AQ3185" t="s">
        <v>11157</v>
      </c>
      <c r="AS3185" t="s">
        <v>11173</v>
      </c>
      <c r="AU3185">
        <v>13</v>
      </c>
      <c r="AW3185" t="s">
        <v>11187</v>
      </c>
      <c r="BA3185" t="s">
        <v>11222</v>
      </c>
      <c r="BE3185" t="s">
        <v>13551</v>
      </c>
      <c r="BG3185" t="s">
        <v>15197</v>
      </c>
      <c r="BM3185" t="s">
        <v>15650</v>
      </c>
    </row>
    <row r="3186" spans="1:65">
      <c r="A3186" s="1">
        <f>HYPERLINK("https://lsnyc.legalserver.org/matter/dynamic-profile/view/1888455","19-1888455")</f>
        <v>0</v>
      </c>
      <c r="B3186" t="s">
        <v>192</v>
      </c>
      <c r="C3186" t="s">
        <v>246</v>
      </c>
      <c r="D3186" t="s">
        <v>621</v>
      </c>
      <c r="F3186" t="s">
        <v>1459</v>
      </c>
      <c r="G3186" t="s">
        <v>2992</v>
      </c>
      <c r="H3186" t="s">
        <v>5906</v>
      </c>
      <c r="I3186" t="s">
        <v>6565</v>
      </c>
      <c r="J3186" t="s">
        <v>7170</v>
      </c>
      <c r="K3186">
        <v>10452</v>
      </c>
      <c r="N3186" t="s">
        <v>7237</v>
      </c>
      <c r="O3186" t="s">
        <v>9331</v>
      </c>
      <c r="P3186">
        <v>2</v>
      </c>
      <c r="Q3186">
        <v>1</v>
      </c>
      <c r="R3186">
        <v>24.2</v>
      </c>
      <c r="U3186">
        <v>5028</v>
      </c>
      <c r="W3186">
        <v>1</v>
      </c>
      <c r="X3186" t="s">
        <v>557</v>
      </c>
      <c r="Y3186" t="s">
        <v>216</v>
      </c>
      <c r="AA3186" t="s">
        <v>10974</v>
      </c>
      <c r="AB3186" t="s">
        <v>621</v>
      </c>
      <c r="AD3186" t="s">
        <v>11086</v>
      </c>
      <c r="AF3186" t="s">
        <v>11119</v>
      </c>
      <c r="AH3186" t="s">
        <v>10975</v>
      </c>
      <c r="AJ3186" t="s">
        <v>11141</v>
      </c>
      <c r="AK3186" t="s">
        <v>7225</v>
      </c>
      <c r="AM3186">
        <v>219</v>
      </c>
      <c r="AO3186">
        <v>77</v>
      </c>
      <c r="AQ3186" t="s">
        <v>11157</v>
      </c>
      <c r="AS3186" t="s">
        <v>11174</v>
      </c>
      <c r="AU3186">
        <v>11</v>
      </c>
      <c r="AW3186" t="s">
        <v>11187</v>
      </c>
      <c r="AZ3186" t="s">
        <v>11221</v>
      </c>
      <c r="BE3186" t="s">
        <v>13550</v>
      </c>
      <c r="BF3186" t="s">
        <v>14364</v>
      </c>
      <c r="BM3186" t="s">
        <v>15650</v>
      </c>
    </row>
    <row r="3187" spans="1:65">
      <c r="A3187" s="1">
        <f>HYPERLINK("https://lsnyc.legalserver.org/matter/dynamic-profile/view/1888942","19-1888942")</f>
        <v>0</v>
      </c>
      <c r="B3187" t="s">
        <v>192</v>
      </c>
      <c r="C3187" t="s">
        <v>246</v>
      </c>
      <c r="D3187" t="s">
        <v>593</v>
      </c>
      <c r="F3187" t="s">
        <v>1722</v>
      </c>
      <c r="G3187" t="s">
        <v>4212</v>
      </c>
      <c r="H3187" t="s">
        <v>5906</v>
      </c>
      <c r="I3187" t="s">
        <v>6666</v>
      </c>
      <c r="J3187" t="s">
        <v>7170</v>
      </c>
      <c r="K3187">
        <v>10452</v>
      </c>
      <c r="N3187" t="s">
        <v>7237</v>
      </c>
      <c r="O3187" t="s">
        <v>9333</v>
      </c>
      <c r="P3187">
        <v>1</v>
      </c>
      <c r="Q3187">
        <v>0</v>
      </c>
      <c r="R3187">
        <v>79.73999999999999</v>
      </c>
      <c r="U3187">
        <v>9960</v>
      </c>
      <c r="W3187">
        <v>0.5</v>
      </c>
      <c r="X3187" t="s">
        <v>380</v>
      </c>
      <c r="Y3187" t="s">
        <v>210</v>
      </c>
      <c r="AA3187" t="s">
        <v>10974</v>
      </c>
      <c r="AB3187" t="s">
        <v>10987</v>
      </c>
      <c r="AD3187" t="s">
        <v>11085</v>
      </c>
      <c r="AF3187" t="s">
        <v>11118</v>
      </c>
      <c r="AH3187" t="s">
        <v>10974</v>
      </c>
      <c r="AJ3187" t="s">
        <v>11141</v>
      </c>
      <c r="AK3187" t="s">
        <v>7225</v>
      </c>
      <c r="AM3187">
        <v>1100</v>
      </c>
      <c r="AN3187" t="s">
        <v>11151</v>
      </c>
      <c r="AO3187" t="s">
        <v>11153</v>
      </c>
      <c r="AQ3187" t="s">
        <v>11157</v>
      </c>
      <c r="AS3187" t="s">
        <v>11104</v>
      </c>
      <c r="AU3187">
        <v>4</v>
      </c>
      <c r="AW3187" t="s">
        <v>11187</v>
      </c>
      <c r="BA3187" t="s">
        <v>11222</v>
      </c>
      <c r="BE3187" t="s">
        <v>13552</v>
      </c>
      <c r="BG3187" t="s">
        <v>15197</v>
      </c>
      <c r="BM3187" t="s">
        <v>15650</v>
      </c>
    </row>
    <row r="3188" spans="1:65">
      <c r="A3188" s="1">
        <f>HYPERLINK("https://lsnyc.legalserver.org/matter/dynamic-profile/view/1910121","19-1910121")</f>
        <v>0</v>
      </c>
      <c r="B3188" t="s">
        <v>192</v>
      </c>
      <c r="C3188" t="s">
        <v>246</v>
      </c>
      <c r="D3188" t="s">
        <v>335</v>
      </c>
      <c r="F3188" t="s">
        <v>2407</v>
      </c>
      <c r="G3188" t="s">
        <v>3062</v>
      </c>
      <c r="H3188" t="s">
        <v>5908</v>
      </c>
      <c r="I3188" t="s">
        <v>6437</v>
      </c>
      <c r="J3188" t="s">
        <v>7170</v>
      </c>
      <c r="K3188">
        <v>10463</v>
      </c>
      <c r="N3188" t="s">
        <v>7237</v>
      </c>
      <c r="O3188" t="s">
        <v>9334</v>
      </c>
      <c r="P3188">
        <v>2</v>
      </c>
      <c r="Q3188">
        <v>0</v>
      </c>
      <c r="R3188">
        <v>1096.89</v>
      </c>
      <c r="U3188">
        <v>185484</v>
      </c>
      <c r="W3188">
        <v>0</v>
      </c>
      <c r="Y3188" t="s">
        <v>192</v>
      </c>
      <c r="AA3188" t="s">
        <v>10974</v>
      </c>
      <c r="AC3188" t="s">
        <v>11081</v>
      </c>
      <c r="AF3188" t="s">
        <v>10384</v>
      </c>
      <c r="AH3188" t="s">
        <v>10975</v>
      </c>
      <c r="AJ3188" t="s">
        <v>11141</v>
      </c>
      <c r="AK3188" t="s">
        <v>7225</v>
      </c>
      <c r="AM3188">
        <v>1200</v>
      </c>
      <c r="AN3188" t="s">
        <v>11151</v>
      </c>
      <c r="AO3188" t="s">
        <v>11153</v>
      </c>
      <c r="AQ3188" t="s">
        <v>11166</v>
      </c>
      <c r="AR3188" t="s">
        <v>11172</v>
      </c>
      <c r="AU3188">
        <v>24</v>
      </c>
      <c r="AW3188" t="s">
        <v>11189</v>
      </c>
      <c r="AX3188" t="s">
        <v>11212</v>
      </c>
      <c r="BA3188" t="s">
        <v>11222</v>
      </c>
      <c r="BE3188" t="s">
        <v>13553</v>
      </c>
      <c r="BF3188" t="s">
        <v>14364</v>
      </c>
      <c r="BM3188" t="s">
        <v>15650</v>
      </c>
    </row>
    <row r="3189" spans="1:65">
      <c r="A3189" s="1">
        <f>HYPERLINK("https://lsnyc.legalserver.org/matter/dynamic-profile/view/0812516","16-0812516")</f>
        <v>0</v>
      </c>
      <c r="B3189" t="s">
        <v>192</v>
      </c>
      <c r="C3189" t="s">
        <v>246</v>
      </c>
      <c r="D3189" t="s">
        <v>703</v>
      </c>
      <c r="F3189" t="s">
        <v>1149</v>
      </c>
      <c r="G3189" t="s">
        <v>4213</v>
      </c>
      <c r="H3189" t="s">
        <v>5909</v>
      </c>
      <c r="I3189" t="s">
        <v>6963</v>
      </c>
      <c r="J3189" t="s">
        <v>7170</v>
      </c>
      <c r="K3189">
        <v>10453</v>
      </c>
      <c r="N3189" t="s">
        <v>7237</v>
      </c>
      <c r="O3189" t="s">
        <v>7543</v>
      </c>
      <c r="P3189">
        <v>2</v>
      </c>
      <c r="Q3189">
        <v>1</v>
      </c>
      <c r="R3189">
        <v>107.04</v>
      </c>
      <c r="U3189">
        <v>28080</v>
      </c>
      <c r="W3189">
        <v>79.90000000000001</v>
      </c>
      <c r="X3189" t="s">
        <v>667</v>
      </c>
      <c r="Y3189" t="s">
        <v>10868</v>
      </c>
      <c r="AA3189" t="s">
        <v>10974</v>
      </c>
      <c r="AB3189" t="s">
        <v>924</v>
      </c>
      <c r="AD3189" t="s">
        <v>11085</v>
      </c>
      <c r="AF3189" t="s">
        <v>11118</v>
      </c>
      <c r="AH3189" t="s">
        <v>10975</v>
      </c>
      <c r="AJ3189" t="s">
        <v>11129</v>
      </c>
      <c r="AK3189" t="s">
        <v>7225</v>
      </c>
      <c r="AM3189">
        <v>1127</v>
      </c>
      <c r="AO3189">
        <v>41</v>
      </c>
      <c r="AQ3189" t="s">
        <v>11157</v>
      </c>
      <c r="AR3189" t="s">
        <v>11172</v>
      </c>
      <c r="AU3189">
        <v>13</v>
      </c>
      <c r="AW3189" t="s">
        <v>11189</v>
      </c>
      <c r="AZ3189" t="s">
        <v>11221</v>
      </c>
      <c r="BB3189" t="s">
        <v>11224</v>
      </c>
      <c r="BC3189" t="s">
        <v>11513</v>
      </c>
      <c r="BE3189" t="s">
        <v>13554</v>
      </c>
      <c r="BF3189" t="s">
        <v>14364</v>
      </c>
      <c r="BM3189" t="s">
        <v>15650</v>
      </c>
    </row>
    <row r="3190" spans="1:65">
      <c r="A3190" s="1">
        <f>HYPERLINK("https://lsnyc.legalserver.org/matter/dynamic-profile/view/1910142","19-1910142")</f>
        <v>0</v>
      </c>
      <c r="B3190" t="s">
        <v>192</v>
      </c>
      <c r="C3190" t="s">
        <v>246</v>
      </c>
      <c r="D3190" t="s">
        <v>335</v>
      </c>
      <c r="F3190" t="s">
        <v>1280</v>
      </c>
      <c r="G3190" t="s">
        <v>2877</v>
      </c>
      <c r="H3190" t="s">
        <v>5910</v>
      </c>
      <c r="I3190" t="s">
        <v>6495</v>
      </c>
      <c r="J3190" t="s">
        <v>7170</v>
      </c>
      <c r="K3190">
        <v>10452</v>
      </c>
      <c r="N3190" t="s">
        <v>7237</v>
      </c>
      <c r="O3190" t="s">
        <v>7788</v>
      </c>
      <c r="P3190">
        <v>2</v>
      </c>
      <c r="Q3190">
        <v>0</v>
      </c>
      <c r="R3190">
        <v>69.47</v>
      </c>
      <c r="U3190">
        <v>11748</v>
      </c>
      <c r="W3190">
        <v>0</v>
      </c>
      <c r="Y3190" t="s">
        <v>192</v>
      </c>
      <c r="AA3190" t="s">
        <v>10974</v>
      </c>
      <c r="AB3190" t="s">
        <v>305</v>
      </c>
      <c r="AD3190" t="s">
        <v>11082</v>
      </c>
      <c r="AF3190" t="s">
        <v>11119</v>
      </c>
      <c r="AH3190" t="s">
        <v>10975</v>
      </c>
      <c r="AJ3190" t="s">
        <v>11141</v>
      </c>
      <c r="AK3190" t="s">
        <v>7225</v>
      </c>
      <c r="AM3190">
        <v>1169.2</v>
      </c>
      <c r="AO3190">
        <v>61</v>
      </c>
      <c r="AP3190" t="s">
        <v>11155</v>
      </c>
      <c r="AS3190" t="s">
        <v>11175</v>
      </c>
      <c r="AU3190">
        <v>30</v>
      </c>
      <c r="AW3190" t="s">
        <v>11189</v>
      </c>
      <c r="BA3190" t="s">
        <v>11222</v>
      </c>
      <c r="BE3190" t="s">
        <v>13555</v>
      </c>
      <c r="BG3190" t="s">
        <v>15198</v>
      </c>
      <c r="BM3190" t="s">
        <v>15650</v>
      </c>
    </row>
    <row r="3191" spans="1:65">
      <c r="A3191" s="1">
        <f>HYPERLINK("https://lsnyc.legalserver.org/matter/dynamic-profile/view/1888917","19-1888917")</f>
        <v>0</v>
      </c>
      <c r="B3191" t="s">
        <v>192</v>
      </c>
      <c r="C3191" t="s">
        <v>246</v>
      </c>
      <c r="D3191" t="s">
        <v>593</v>
      </c>
      <c r="F3191" t="s">
        <v>1175</v>
      </c>
      <c r="G3191" t="s">
        <v>4214</v>
      </c>
      <c r="H3191" t="s">
        <v>5906</v>
      </c>
      <c r="I3191" t="s">
        <v>6598</v>
      </c>
      <c r="J3191" t="s">
        <v>7170</v>
      </c>
      <c r="K3191">
        <v>10452</v>
      </c>
      <c r="N3191" t="s">
        <v>7237</v>
      </c>
      <c r="O3191" t="s">
        <v>9335</v>
      </c>
      <c r="P3191">
        <v>2</v>
      </c>
      <c r="Q3191">
        <v>1</v>
      </c>
      <c r="R3191">
        <v>487.58</v>
      </c>
      <c r="U3191">
        <v>104000</v>
      </c>
      <c r="W3191">
        <v>8</v>
      </c>
      <c r="X3191" t="s">
        <v>800</v>
      </c>
      <c r="Y3191" t="s">
        <v>210</v>
      </c>
      <c r="AA3191" t="s">
        <v>10974</v>
      </c>
      <c r="AB3191" t="s">
        <v>10987</v>
      </c>
      <c r="AD3191" t="s">
        <v>11085</v>
      </c>
      <c r="AF3191" t="s">
        <v>11118</v>
      </c>
      <c r="AH3191" t="s">
        <v>10974</v>
      </c>
      <c r="AJ3191" t="s">
        <v>11141</v>
      </c>
      <c r="AK3191" t="s">
        <v>7225</v>
      </c>
      <c r="AM3191">
        <v>771</v>
      </c>
      <c r="AN3191" t="s">
        <v>11151</v>
      </c>
      <c r="AO3191" t="s">
        <v>11153</v>
      </c>
      <c r="AQ3191" t="s">
        <v>11157</v>
      </c>
      <c r="AS3191" t="s">
        <v>11173</v>
      </c>
      <c r="AU3191">
        <v>31</v>
      </c>
      <c r="AW3191" t="s">
        <v>11187</v>
      </c>
      <c r="BA3191" t="s">
        <v>11222</v>
      </c>
      <c r="BE3191" t="s">
        <v>13556</v>
      </c>
      <c r="BG3191" t="s">
        <v>15197</v>
      </c>
      <c r="BM3191" t="s">
        <v>15650</v>
      </c>
    </row>
    <row r="3192" spans="1:65">
      <c r="A3192" s="1">
        <f>HYPERLINK("https://lsnyc.legalserver.org/matter/dynamic-profile/view/1910045","19-1910045")</f>
        <v>0</v>
      </c>
      <c r="B3192" t="s">
        <v>192</v>
      </c>
      <c r="C3192" t="s">
        <v>246</v>
      </c>
      <c r="D3192" t="s">
        <v>335</v>
      </c>
      <c r="F3192" t="s">
        <v>2408</v>
      </c>
      <c r="G3192" t="s">
        <v>4215</v>
      </c>
      <c r="H3192" t="s">
        <v>5911</v>
      </c>
      <c r="I3192" t="s">
        <v>6527</v>
      </c>
      <c r="J3192" t="s">
        <v>7170</v>
      </c>
      <c r="K3192">
        <v>10456</v>
      </c>
      <c r="N3192" t="s">
        <v>7237</v>
      </c>
      <c r="O3192" t="s">
        <v>9336</v>
      </c>
      <c r="P3192">
        <v>1</v>
      </c>
      <c r="Q3192">
        <v>3</v>
      </c>
      <c r="R3192">
        <v>37.28</v>
      </c>
      <c r="U3192">
        <v>9600</v>
      </c>
      <c r="W3192">
        <v>0</v>
      </c>
      <c r="Y3192" t="s">
        <v>192</v>
      </c>
      <c r="AA3192" t="s">
        <v>10974</v>
      </c>
      <c r="AC3192" t="s">
        <v>11081</v>
      </c>
      <c r="AF3192" t="s">
        <v>11119</v>
      </c>
      <c r="AH3192" t="s">
        <v>10975</v>
      </c>
      <c r="AJ3192" t="s">
        <v>11141</v>
      </c>
      <c r="AK3192" t="s">
        <v>7225</v>
      </c>
      <c r="AM3192">
        <v>83</v>
      </c>
      <c r="AN3192" t="s">
        <v>11151</v>
      </c>
      <c r="AO3192" t="s">
        <v>11153</v>
      </c>
      <c r="AQ3192" t="s">
        <v>11169</v>
      </c>
      <c r="AR3192" t="s">
        <v>11172</v>
      </c>
      <c r="AU3192">
        <v>5</v>
      </c>
      <c r="AW3192" t="s">
        <v>11189</v>
      </c>
      <c r="AX3192" t="s">
        <v>11212</v>
      </c>
      <c r="BA3192" t="s">
        <v>11222</v>
      </c>
      <c r="BE3192" t="s">
        <v>13557</v>
      </c>
      <c r="BF3192" t="s">
        <v>14364</v>
      </c>
      <c r="BG3192" t="s">
        <v>15199</v>
      </c>
      <c r="BM3192" t="s">
        <v>15650</v>
      </c>
    </row>
    <row r="3193" spans="1:65">
      <c r="A3193" s="1">
        <f>HYPERLINK("https://lsnyc.legalserver.org/matter/dynamic-profile/view/1910141","19-1910141")</f>
        <v>0</v>
      </c>
      <c r="B3193" t="s">
        <v>192</v>
      </c>
      <c r="C3193" t="s">
        <v>246</v>
      </c>
      <c r="D3193" t="s">
        <v>335</v>
      </c>
      <c r="F3193" t="s">
        <v>2381</v>
      </c>
      <c r="G3193" t="s">
        <v>4216</v>
      </c>
      <c r="H3193" t="s">
        <v>5912</v>
      </c>
      <c r="I3193" t="s">
        <v>6417</v>
      </c>
      <c r="J3193" t="s">
        <v>7170</v>
      </c>
      <c r="K3193">
        <v>10468</v>
      </c>
      <c r="N3193" t="s">
        <v>7237</v>
      </c>
      <c r="O3193" t="s">
        <v>9337</v>
      </c>
      <c r="P3193">
        <v>1</v>
      </c>
      <c r="Q3193">
        <v>0</v>
      </c>
      <c r="R3193">
        <v>75.13</v>
      </c>
      <c r="U3193">
        <v>9384</v>
      </c>
      <c r="W3193">
        <v>0</v>
      </c>
      <c r="Y3193" t="s">
        <v>192</v>
      </c>
      <c r="AA3193" t="s">
        <v>10974</v>
      </c>
      <c r="AB3193" t="s">
        <v>305</v>
      </c>
      <c r="AD3193" t="s">
        <v>11101</v>
      </c>
      <c r="AF3193" t="s">
        <v>11119</v>
      </c>
      <c r="AH3193" t="s">
        <v>10975</v>
      </c>
      <c r="AJ3193" t="s">
        <v>11141</v>
      </c>
      <c r="AK3193" t="s">
        <v>7225</v>
      </c>
      <c r="AM3193">
        <v>913.75</v>
      </c>
      <c r="AN3193" t="s">
        <v>11151</v>
      </c>
      <c r="AO3193" t="s">
        <v>11153</v>
      </c>
      <c r="AQ3193" t="s">
        <v>11157</v>
      </c>
      <c r="AS3193" t="s">
        <v>11175</v>
      </c>
      <c r="AU3193">
        <v>16</v>
      </c>
      <c r="AV3193" t="s">
        <v>11186</v>
      </c>
      <c r="BA3193" t="s">
        <v>11222</v>
      </c>
      <c r="BE3193" t="s">
        <v>13558</v>
      </c>
      <c r="BF3193" t="s">
        <v>14364</v>
      </c>
      <c r="BG3193" t="s">
        <v>15200</v>
      </c>
      <c r="BM3193" t="s">
        <v>15650</v>
      </c>
    </row>
    <row r="3194" spans="1:65">
      <c r="A3194" s="1">
        <f>HYPERLINK("https://lsnyc.legalserver.org/matter/dynamic-profile/view/1888939","19-1888939")</f>
        <v>0</v>
      </c>
      <c r="B3194" t="s">
        <v>192</v>
      </c>
      <c r="C3194" t="s">
        <v>246</v>
      </c>
      <c r="D3194" t="s">
        <v>593</v>
      </c>
      <c r="F3194" t="s">
        <v>2409</v>
      </c>
      <c r="G3194" t="s">
        <v>4217</v>
      </c>
      <c r="H3194" t="s">
        <v>5906</v>
      </c>
      <c r="I3194" t="s">
        <v>6421</v>
      </c>
      <c r="J3194" t="s">
        <v>7170</v>
      </c>
      <c r="K3194">
        <v>10452</v>
      </c>
      <c r="N3194" t="s">
        <v>7237</v>
      </c>
      <c r="O3194" t="s">
        <v>9338</v>
      </c>
      <c r="P3194">
        <v>1</v>
      </c>
      <c r="Q3194">
        <v>0</v>
      </c>
      <c r="R3194">
        <v>355.48</v>
      </c>
      <c r="U3194">
        <v>44400</v>
      </c>
      <c r="W3194">
        <v>0</v>
      </c>
      <c r="Y3194" t="s">
        <v>210</v>
      </c>
      <c r="AA3194" t="s">
        <v>10974</v>
      </c>
      <c r="AB3194" t="s">
        <v>10979</v>
      </c>
      <c r="AD3194" t="s">
        <v>11085</v>
      </c>
      <c r="AF3194" t="s">
        <v>11118</v>
      </c>
      <c r="AH3194" t="s">
        <v>10974</v>
      </c>
      <c r="AJ3194" t="s">
        <v>11141</v>
      </c>
      <c r="AK3194" t="s">
        <v>7225</v>
      </c>
      <c r="AM3194">
        <v>827.3099999999999</v>
      </c>
      <c r="AN3194" t="s">
        <v>11151</v>
      </c>
      <c r="AO3194" t="s">
        <v>11153</v>
      </c>
      <c r="AQ3194" t="s">
        <v>11157</v>
      </c>
      <c r="AS3194" t="s">
        <v>11173</v>
      </c>
      <c r="AU3194">
        <v>37</v>
      </c>
      <c r="AW3194" t="s">
        <v>11187</v>
      </c>
      <c r="BA3194" t="s">
        <v>11222</v>
      </c>
      <c r="BE3194" t="s">
        <v>13559</v>
      </c>
      <c r="BG3194" t="s">
        <v>15197</v>
      </c>
      <c r="BM3194" t="s">
        <v>15650</v>
      </c>
    </row>
    <row r="3195" spans="1:65">
      <c r="A3195" s="1">
        <f>HYPERLINK("https://lsnyc.legalserver.org/matter/dynamic-profile/view/1910070","19-1910070")</f>
        <v>0</v>
      </c>
      <c r="B3195" t="s">
        <v>192</v>
      </c>
      <c r="C3195" t="s">
        <v>246</v>
      </c>
      <c r="D3195" t="s">
        <v>335</v>
      </c>
      <c r="F3195" t="s">
        <v>1388</v>
      </c>
      <c r="G3195" t="s">
        <v>4218</v>
      </c>
      <c r="H3195" t="s">
        <v>5913</v>
      </c>
      <c r="I3195" t="s">
        <v>6471</v>
      </c>
      <c r="J3195" t="s">
        <v>7170</v>
      </c>
      <c r="K3195">
        <v>10457</v>
      </c>
      <c r="N3195" t="s">
        <v>7237</v>
      </c>
      <c r="O3195" t="s">
        <v>8596</v>
      </c>
      <c r="P3195">
        <v>1</v>
      </c>
      <c r="Q3195">
        <v>0</v>
      </c>
      <c r="R3195">
        <v>0</v>
      </c>
      <c r="U3195">
        <v>0</v>
      </c>
      <c r="W3195">
        <v>0</v>
      </c>
      <c r="Y3195" t="s">
        <v>192</v>
      </c>
      <c r="AA3195" t="s">
        <v>10974</v>
      </c>
      <c r="AD3195" t="s">
        <v>11098</v>
      </c>
      <c r="AF3195" t="s">
        <v>10384</v>
      </c>
      <c r="AH3195" t="s">
        <v>10975</v>
      </c>
      <c r="AJ3195" t="s">
        <v>11141</v>
      </c>
      <c r="AK3195" t="s">
        <v>7225</v>
      </c>
      <c r="AM3195">
        <v>1167</v>
      </c>
      <c r="AN3195" t="s">
        <v>11151</v>
      </c>
      <c r="AO3195" t="s">
        <v>11153</v>
      </c>
      <c r="AQ3195" t="s">
        <v>11157</v>
      </c>
      <c r="AS3195" t="s">
        <v>11173</v>
      </c>
      <c r="AU3195">
        <v>23</v>
      </c>
      <c r="AW3195" t="s">
        <v>11187</v>
      </c>
      <c r="AX3195" t="s">
        <v>11212</v>
      </c>
      <c r="BA3195" t="s">
        <v>11222</v>
      </c>
      <c r="BD3195" t="s">
        <v>11667</v>
      </c>
      <c r="BF3195" t="s">
        <v>14364</v>
      </c>
      <c r="BM3195" t="s">
        <v>15650</v>
      </c>
    </row>
    <row r="3196" spans="1:65">
      <c r="A3196" s="1">
        <f>HYPERLINK("https://lsnyc.legalserver.org/matter/dynamic-profile/view/1909422","19-1909422")</f>
        <v>0</v>
      </c>
      <c r="B3196" t="s">
        <v>192</v>
      </c>
      <c r="C3196" t="s">
        <v>246</v>
      </c>
      <c r="D3196" t="s">
        <v>270</v>
      </c>
      <c r="F3196" t="s">
        <v>2207</v>
      </c>
      <c r="G3196" t="s">
        <v>3485</v>
      </c>
      <c r="H3196" t="s">
        <v>5914</v>
      </c>
      <c r="I3196" t="s">
        <v>6409</v>
      </c>
      <c r="J3196" t="s">
        <v>7170</v>
      </c>
      <c r="K3196">
        <v>10453</v>
      </c>
      <c r="M3196" t="s">
        <v>7225</v>
      </c>
      <c r="N3196" t="s">
        <v>7237</v>
      </c>
      <c r="O3196" t="s">
        <v>9339</v>
      </c>
      <c r="P3196">
        <v>2</v>
      </c>
      <c r="Q3196">
        <v>0</v>
      </c>
      <c r="R3196">
        <v>8.460000000000001</v>
      </c>
      <c r="U3196">
        <v>1430</v>
      </c>
      <c r="W3196">
        <v>0.5</v>
      </c>
      <c r="X3196" t="s">
        <v>270</v>
      </c>
      <c r="Y3196" t="s">
        <v>10911</v>
      </c>
      <c r="AA3196" t="s">
        <v>10974</v>
      </c>
      <c r="AB3196" t="s">
        <v>341</v>
      </c>
      <c r="AD3196" t="s">
        <v>11082</v>
      </c>
      <c r="AF3196" t="s">
        <v>11119</v>
      </c>
      <c r="AG3196" t="s">
        <v>11124</v>
      </c>
      <c r="AJ3196" t="s">
        <v>11104</v>
      </c>
      <c r="AK3196" t="s">
        <v>7225</v>
      </c>
      <c r="AM3196">
        <v>889</v>
      </c>
      <c r="AO3196">
        <v>47</v>
      </c>
      <c r="AQ3196" t="s">
        <v>11157</v>
      </c>
      <c r="AS3196" t="s">
        <v>11180</v>
      </c>
      <c r="AU3196">
        <v>35</v>
      </c>
      <c r="AW3196" t="s">
        <v>11187</v>
      </c>
      <c r="BA3196" t="s">
        <v>11222</v>
      </c>
      <c r="BE3196" t="s">
        <v>13560</v>
      </c>
      <c r="BF3196" t="s">
        <v>14364</v>
      </c>
      <c r="BG3196">
        <v>6882</v>
      </c>
      <c r="BM3196" t="s">
        <v>15650</v>
      </c>
    </row>
    <row r="3197" spans="1:65">
      <c r="A3197" s="1">
        <f>HYPERLINK("https://lsnyc.legalserver.org/matter/dynamic-profile/view/1909220","19-1909220")</f>
        <v>0</v>
      </c>
      <c r="B3197" t="s">
        <v>192</v>
      </c>
      <c r="C3197" t="s">
        <v>246</v>
      </c>
      <c r="D3197" t="s">
        <v>568</v>
      </c>
      <c r="F3197" t="s">
        <v>2042</v>
      </c>
      <c r="G3197" t="s">
        <v>4219</v>
      </c>
      <c r="H3197" t="s">
        <v>5915</v>
      </c>
      <c r="I3197">
        <v>5</v>
      </c>
      <c r="J3197" t="s">
        <v>7170</v>
      </c>
      <c r="K3197">
        <v>10452</v>
      </c>
      <c r="N3197" t="s">
        <v>7237</v>
      </c>
      <c r="O3197" t="s">
        <v>9340</v>
      </c>
      <c r="P3197">
        <v>1</v>
      </c>
      <c r="Q3197">
        <v>0</v>
      </c>
      <c r="R3197">
        <v>72.06</v>
      </c>
      <c r="U3197">
        <v>9000</v>
      </c>
      <c r="W3197">
        <v>1</v>
      </c>
      <c r="X3197" t="s">
        <v>568</v>
      </c>
      <c r="Y3197" t="s">
        <v>10890</v>
      </c>
      <c r="AA3197" t="s">
        <v>10974</v>
      </c>
      <c r="AB3197" t="s">
        <v>341</v>
      </c>
      <c r="AD3197" t="s">
        <v>11082</v>
      </c>
      <c r="AF3197" t="s">
        <v>11119</v>
      </c>
      <c r="AH3197" t="s">
        <v>10975</v>
      </c>
      <c r="AJ3197" t="s">
        <v>11143</v>
      </c>
      <c r="AK3197" t="s">
        <v>7225</v>
      </c>
      <c r="AM3197">
        <v>938</v>
      </c>
      <c r="AO3197">
        <v>30</v>
      </c>
      <c r="AP3197" t="s">
        <v>11155</v>
      </c>
      <c r="AR3197" t="s">
        <v>11172</v>
      </c>
      <c r="AU3197">
        <v>34</v>
      </c>
      <c r="AW3197" t="s">
        <v>11189</v>
      </c>
      <c r="BA3197" t="s">
        <v>11222</v>
      </c>
      <c r="BE3197" t="s">
        <v>13561</v>
      </c>
      <c r="BG3197" t="s">
        <v>15201</v>
      </c>
      <c r="BM3197" t="s">
        <v>15650</v>
      </c>
    </row>
    <row r="3198" spans="1:65">
      <c r="A3198" s="1">
        <f>HYPERLINK("https://lsnyc.legalserver.org/matter/dynamic-profile/view/1898303","19-1898303")</f>
        <v>0</v>
      </c>
      <c r="B3198" t="s">
        <v>193</v>
      </c>
      <c r="C3198" t="s">
        <v>246</v>
      </c>
      <c r="D3198" t="s">
        <v>591</v>
      </c>
      <c r="F3198" t="s">
        <v>1900</v>
      </c>
      <c r="G3198" t="s">
        <v>4220</v>
      </c>
      <c r="H3198" t="s">
        <v>5916</v>
      </c>
      <c r="I3198" t="s">
        <v>6748</v>
      </c>
      <c r="J3198" t="s">
        <v>7170</v>
      </c>
      <c r="K3198">
        <v>10467</v>
      </c>
      <c r="N3198" t="s">
        <v>7237</v>
      </c>
      <c r="O3198" t="s">
        <v>9341</v>
      </c>
      <c r="P3198">
        <v>1</v>
      </c>
      <c r="Q3198">
        <v>0</v>
      </c>
      <c r="R3198">
        <v>72.06</v>
      </c>
      <c r="U3198">
        <v>9000</v>
      </c>
      <c r="W3198">
        <v>0</v>
      </c>
      <c r="Y3198" t="s">
        <v>10865</v>
      </c>
      <c r="AA3198" t="s">
        <v>10974</v>
      </c>
      <c r="AB3198" t="s">
        <v>10979</v>
      </c>
      <c r="AD3198" t="s">
        <v>11098</v>
      </c>
      <c r="AF3198" t="s">
        <v>11122</v>
      </c>
      <c r="AH3198" t="s">
        <v>10974</v>
      </c>
      <c r="AJ3198" t="s">
        <v>11141</v>
      </c>
      <c r="AK3198" t="s">
        <v>7225</v>
      </c>
      <c r="AM3198">
        <v>542.6900000000001</v>
      </c>
      <c r="AO3198">
        <v>60</v>
      </c>
      <c r="AQ3198" t="s">
        <v>11157</v>
      </c>
      <c r="AS3198" t="s">
        <v>11175</v>
      </c>
      <c r="AU3198">
        <v>43</v>
      </c>
      <c r="AW3198" t="s">
        <v>11187</v>
      </c>
      <c r="BA3198" t="s">
        <v>11222</v>
      </c>
      <c r="BE3198" t="s">
        <v>13562</v>
      </c>
      <c r="BF3198" t="s">
        <v>14364</v>
      </c>
      <c r="BM3198" t="s">
        <v>15650</v>
      </c>
    </row>
    <row r="3199" spans="1:65">
      <c r="A3199" s="1">
        <f>HYPERLINK("https://lsnyc.legalserver.org/matter/dynamic-profile/view/0822630","16-0822630")</f>
        <v>0</v>
      </c>
      <c r="B3199" t="s">
        <v>193</v>
      </c>
      <c r="C3199" t="s">
        <v>246</v>
      </c>
      <c r="D3199" t="s">
        <v>980</v>
      </c>
      <c r="F3199" t="s">
        <v>1262</v>
      </c>
      <c r="G3199" t="s">
        <v>3836</v>
      </c>
      <c r="H3199" t="s">
        <v>5917</v>
      </c>
      <c r="I3199" t="s">
        <v>6910</v>
      </c>
      <c r="J3199" t="s">
        <v>7170</v>
      </c>
      <c r="K3199">
        <v>10452</v>
      </c>
      <c r="N3199" t="s">
        <v>7237</v>
      </c>
      <c r="O3199" t="s">
        <v>9342</v>
      </c>
      <c r="P3199">
        <v>4</v>
      </c>
      <c r="Q3199">
        <v>1</v>
      </c>
      <c r="R3199">
        <v>174.26</v>
      </c>
      <c r="U3199">
        <v>79559.07000000001</v>
      </c>
      <c r="W3199">
        <v>6.1</v>
      </c>
      <c r="X3199" t="s">
        <v>597</v>
      </c>
      <c r="Y3199" t="s">
        <v>10899</v>
      </c>
      <c r="AA3199" t="s">
        <v>10974</v>
      </c>
      <c r="AB3199" t="s">
        <v>774</v>
      </c>
      <c r="AD3199" t="s">
        <v>11096</v>
      </c>
      <c r="AF3199" t="s">
        <v>11122</v>
      </c>
      <c r="AG3199" t="s">
        <v>11124</v>
      </c>
      <c r="AJ3199" t="s">
        <v>11141</v>
      </c>
      <c r="AK3199" t="s">
        <v>7225</v>
      </c>
      <c r="AM3199">
        <v>818.04</v>
      </c>
      <c r="AO3199">
        <v>62</v>
      </c>
      <c r="AQ3199" t="s">
        <v>11157</v>
      </c>
      <c r="AS3199" t="s">
        <v>11173</v>
      </c>
      <c r="AU3199">
        <v>41</v>
      </c>
      <c r="AW3199" t="s">
        <v>11189</v>
      </c>
      <c r="AZ3199" t="s">
        <v>11221</v>
      </c>
      <c r="BE3199" t="s">
        <v>13563</v>
      </c>
      <c r="BG3199" t="s">
        <v>15202</v>
      </c>
      <c r="BM3199" t="s">
        <v>15650</v>
      </c>
    </row>
    <row r="3200" spans="1:65">
      <c r="A3200" s="1">
        <f>HYPERLINK("https://lsnyc.legalserver.org/matter/dynamic-profile/view/1898227","19-1898227")</f>
        <v>0</v>
      </c>
      <c r="B3200" t="s">
        <v>193</v>
      </c>
      <c r="C3200" t="s">
        <v>246</v>
      </c>
      <c r="D3200" t="s">
        <v>591</v>
      </c>
      <c r="F3200" t="s">
        <v>1428</v>
      </c>
      <c r="G3200" t="s">
        <v>4221</v>
      </c>
      <c r="H3200" t="s">
        <v>5916</v>
      </c>
      <c r="I3200" t="s">
        <v>6527</v>
      </c>
      <c r="J3200" t="s">
        <v>7170</v>
      </c>
      <c r="K3200">
        <v>10467</v>
      </c>
      <c r="N3200" t="s">
        <v>7237</v>
      </c>
      <c r="O3200" t="s">
        <v>9343</v>
      </c>
      <c r="P3200">
        <v>1</v>
      </c>
      <c r="Q3200">
        <v>0</v>
      </c>
      <c r="R3200">
        <v>376.3</v>
      </c>
      <c r="U3200">
        <v>47000</v>
      </c>
      <c r="W3200">
        <v>0</v>
      </c>
      <c r="Y3200" t="s">
        <v>10865</v>
      </c>
      <c r="AA3200" t="s">
        <v>10974</v>
      </c>
      <c r="AB3200" t="s">
        <v>10979</v>
      </c>
      <c r="AD3200" t="s">
        <v>11100</v>
      </c>
      <c r="AF3200" t="s">
        <v>11120</v>
      </c>
      <c r="AH3200" t="s">
        <v>10974</v>
      </c>
      <c r="AJ3200" t="s">
        <v>11141</v>
      </c>
      <c r="AK3200" t="s">
        <v>7225</v>
      </c>
      <c r="AM3200">
        <v>700</v>
      </c>
      <c r="AO3200">
        <v>61</v>
      </c>
      <c r="AQ3200" t="s">
        <v>11164</v>
      </c>
      <c r="AS3200" t="s">
        <v>11173</v>
      </c>
      <c r="AU3200">
        <v>15</v>
      </c>
      <c r="AW3200" t="s">
        <v>11187</v>
      </c>
      <c r="BA3200" t="s">
        <v>11222</v>
      </c>
      <c r="BD3200" t="s">
        <v>11667</v>
      </c>
      <c r="BF3200" t="s">
        <v>14364</v>
      </c>
      <c r="BM3200" t="s">
        <v>15650</v>
      </c>
    </row>
    <row r="3201" spans="1:65">
      <c r="A3201" s="1">
        <f>HYPERLINK("https://lsnyc.legalserver.org/matter/dynamic-profile/view/1855062","18-1855062")</f>
        <v>0</v>
      </c>
      <c r="B3201" t="s">
        <v>193</v>
      </c>
      <c r="C3201" t="s">
        <v>246</v>
      </c>
      <c r="D3201" t="s">
        <v>413</v>
      </c>
      <c r="F3201" t="s">
        <v>1090</v>
      </c>
      <c r="G3201" t="s">
        <v>4222</v>
      </c>
      <c r="H3201" t="s">
        <v>5917</v>
      </c>
      <c r="I3201" t="s">
        <v>6421</v>
      </c>
      <c r="J3201" t="s">
        <v>7170</v>
      </c>
      <c r="K3201">
        <v>10452</v>
      </c>
      <c r="N3201" t="s">
        <v>7237</v>
      </c>
      <c r="O3201" t="s">
        <v>9344</v>
      </c>
      <c r="P3201">
        <v>1</v>
      </c>
      <c r="Q3201">
        <v>0</v>
      </c>
      <c r="R3201">
        <v>71.73999999999999</v>
      </c>
      <c r="U3201">
        <v>8652</v>
      </c>
      <c r="W3201">
        <v>0</v>
      </c>
      <c r="Y3201" t="s">
        <v>10899</v>
      </c>
      <c r="AA3201" t="s">
        <v>10974</v>
      </c>
      <c r="AB3201" t="s">
        <v>458</v>
      </c>
      <c r="AD3201" t="s">
        <v>11096</v>
      </c>
      <c r="AF3201" t="s">
        <v>11122</v>
      </c>
      <c r="AH3201" t="s">
        <v>10974</v>
      </c>
      <c r="AJ3201" t="s">
        <v>11141</v>
      </c>
      <c r="AK3201" t="s">
        <v>7225</v>
      </c>
      <c r="AM3201">
        <v>812</v>
      </c>
      <c r="AO3201">
        <v>62</v>
      </c>
      <c r="AQ3201" t="s">
        <v>11157</v>
      </c>
      <c r="AS3201" t="s">
        <v>11174</v>
      </c>
      <c r="AU3201">
        <v>35</v>
      </c>
      <c r="AW3201" t="s">
        <v>11189</v>
      </c>
      <c r="AZ3201" t="s">
        <v>11221</v>
      </c>
      <c r="BE3201" t="s">
        <v>13564</v>
      </c>
      <c r="BG3201" t="s">
        <v>15203</v>
      </c>
      <c r="BM3201" t="s">
        <v>15650</v>
      </c>
    </row>
    <row r="3202" spans="1:65">
      <c r="A3202" s="1">
        <f>HYPERLINK("https://lsnyc.legalserver.org/matter/dynamic-profile/view/0798995","16-0798995")</f>
        <v>0</v>
      </c>
      <c r="B3202" t="s">
        <v>193</v>
      </c>
      <c r="C3202" t="s">
        <v>246</v>
      </c>
      <c r="D3202" t="s">
        <v>981</v>
      </c>
      <c r="F3202" t="s">
        <v>1262</v>
      </c>
      <c r="G3202" t="s">
        <v>3836</v>
      </c>
      <c r="H3202" t="s">
        <v>5917</v>
      </c>
      <c r="I3202" t="s">
        <v>6910</v>
      </c>
      <c r="J3202" t="s">
        <v>7170</v>
      </c>
      <c r="K3202">
        <v>10452</v>
      </c>
      <c r="N3202" t="s">
        <v>7237</v>
      </c>
      <c r="O3202" t="s">
        <v>9342</v>
      </c>
      <c r="P3202">
        <v>4</v>
      </c>
      <c r="Q3202">
        <v>1</v>
      </c>
      <c r="R3202">
        <v>174.26</v>
      </c>
      <c r="U3202">
        <v>79559.07000000001</v>
      </c>
      <c r="W3202">
        <v>134.25</v>
      </c>
      <c r="X3202" t="s">
        <v>758</v>
      </c>
      <c r="Y3202" t="s">
        <v>138</v>
      </c>
      <c r="AA3202" t="s">
        <v>10974</v>
      </c>
      <c r="AB3202" t="s">
        <v>999</v>
      </c>
      <c r="AD3202" t="s">
        <v>11096</v>
      </c>
      <c r="AF3202" t="s">
        <v>11122</v>
      </c>
      <c r="AH3202" t="s">
        <v>10974</v>
      </c>
      <c r="AJ3202" t="s">
        <v>11141</v>
      </c>
      <c r="AK3202" t="s">
        <v>7225</v>
      </c>
      <c r="AM3202">
        <v>818.04</v>
      </c>
      <c r="AO3202">
        <v>61</v>
      </c>
      <c r="AQ3202" t="s">
        <v>11157</v>
      </c>
      <c r="AS3202" t="s">
        <v>11173</v>
      </c>
      <c r="AU3202">
        <v>41</v>
      </c>
      <c r="AW3202" t="s">
        <v>11189</v>
      </c>
      <c r="AZ3202" t="s">
        <v>11221</v>
      </c>
      <c r="BE3202" t="s">
        <v>13563</v>
      </c>
      <c r="BF3202" t="s">
        <v>14364</v>
      </c>
      <c r="BG3202" t="s">
        <v>15204</v>
      </c>
      <c r="BM3202" t="s">
        <v>15650</v>
      </c>
    </row>
    <row r="3203" spans="1:65">
      <c r="A3203" s="1">
        <f>HYPERLINK("https://lsnyc.legalserver.org/matter/dynamic-profile/view/1841218","17-1841218")</f>
        <v>0</v>
      </c>
      <c r="B3203" t="s">
        <v>193</v>
      </c>
      <c r="C3203" t="s">
        <v>246</v>
      </c>
      <c r="D3203" t="s">
        <v>694</v>
      </c>
      <c r="F3203" t="s">
        <v>2410</v>
      </c>
      <c r="G3203" t="s">
        <v>2938</v>
      </c>
      <c r="H3203" t="s">
        <v>5917</v>
      </c>
      <c r="I3203" t="s">
        <v>6905</v>
      </c>
      <c r="J3203" t="s">
        <v>7170</v>
      </c>
      <c r="K3203">
        <v>10452</v>
      </c>
      <c r="N3203" t="s">
        <v>7237</v>
      </c>
      <c r="O3203" t="s">
        <v>9345</v>
      </c>
      <c r="P3203">
        <v>1</v>
      </c>
      <c r="Q3203">
        <v>0</v>
      </c>
      <c r="R3203">
        <v>232.17</v>
      </c>
      <c r="U3203">
        <v>28000</v>
      </c>
      <c r="W3203">
        <v>0.2</v>
      </c>
      <c r="X3203" t="s">
        <v>758</v>
      </c>
      <c r="Y3203" t="s">
        <v>10897</v>
      </c>
      <c r="AA3203" t="s">
        <v>10974</v>
      </c>
      <c r="AB3203" t="s">
        <v>694</v>
      </c>
      <c r="AD3203" t="s">
        <v>11096</v>
      </c>
      <c r="AF3203" t="s">
        <v>11122</v>
      </c>
      <c r="AH3203" t="s">
        <v>10974</v>
      </c>
      <c r="AJ3203" t="s">
        <v>11141</v>
      </c>
      <c r="AK3203" t="s">
        <v>7225</v>
      </c>
      <c r="AM3203">
        <v>709.39</v>
      </c>
      <c r="AO3203">
        <v>62</v>
      </c>
      <c r="AQ3203" t="s">
        <v>11157</v>
      </c>
      <c r="AR3203" t="s">
        <v>11172</v>
      </c>
      <c r="AU3203">
        <v>42</v>
      </c>
      <c r="AW3203" t="s">
        <v>11187</v>
      </c>
      <c r="AZ3203" t="s">
        <v>11221</v>
      </c>
      <c r="BE3203" t="s">
        <v>13565</v>
      </c>
      <c r="BF3203" t="s">
        <v>14364</v>
      </c>
      <c r="BG3203" t="s">
        <v>15205</v>
      </c>
      <c r="BM3203" t="s">
        <v>15650</v>
      </c>
    </row>
    <row r="3204" spans="1:65">
      <c r="A3204" s="1">
        <f>HYPERLINK("https://lsnyc.legalserver.org/matter/dynamic-profile/view/0816944","16-0816944")</f>
        <v>0</v>
      </c>
      <c r="B3204" t="s">
        <v>193</v>
      </c>
      <c r="C3204" t="s">
        <v>246</v>
      </c>
      <c r="D3204" t="s">
        <v>494</v>
      </c>
      <c r="F3204" t="s">
        <v>1262</v>
      </c>
      <c r="G3204" t="s">
        <v>3836</v>
      </c>
      <c r="H3204" t="s">
        <v>5917</v>
      </c>
      <c r="I3204" t="s">
        <v>6910</v>
      </c>
      <c r="J3204" t="s">
        <v>7170</v>
      </c>
      <c r="K3204">
        <v>10452</v>
      </c>
      <c r="N3204" t="s">
        <v>7237</v>
      </c>
      <c r="O3204" t="s">
        <v>9342</v>
      </c>
      <c r="P3204">
        <v>4</v>
      </c>
      <c r="Q3204">
        <v>1</v>
      </c>
      <c r="R3204">
        <v>174.26</v>
      </c>
      <c r="U3204">
        <v>79559.07000000001</v>
      </c>
      <c r="W3204">
        <v>5.35</v>
      </c>
      <c r="X3204" t="s">
        <v>758</v>
      </c>
      <c r="Y3204" t="s">
        <v>10899</v>
      </c>
      <c r="AA3204" t="s">
        <v>10974</v>
      </c>
      <c r="AB3204" t="s">
        <v>838</v>
      </c>
      <c r="AD3204" t="s">
        <v>11096</v>
      </c>
      <c r="AF3204" t="s">
        <v>11122</v>
      </c>
      <c r="AH3204" t="s">
        <v>10974</v>
      </c>
      <c r="AJ3204" t="s">
        <v>11141</v>
      </c>
      <c r="AK3204" t="s">
        <v>7225</v>
      </c>
      <c r="AM3204">
        <v>818.04</v>
      </c>
      <c r="AO3204">
        <v>62</v>
      </c>
      <c r="AQ3204" t="s">
        <v>11157</v>
      </c>
      <c r="AS3204" t="s">
        <v>11173</v>
      </c>
      <c r="AU3204">
        <v>41</v>
      </c>
      <c r="AW3204" t="s">
        <v>11189</v>
      </c>
      <c r="AZ3204" t="s">
        <v>11221</v>
      </c>
      <c r="BE3204" t="s">
        <v>13563</v>
      </c>
      <c r="BG3204" t="s">
        <v>15206</v>
      </c>
      <c r="BM3204" t="s">
        <v>15650</v>
      </c>
    </row>
    <row r="3205" spans="1:65">
      <c r="A3205" s="1">
        <f>HYPERLINK("https://lsnyc.legalserver.org/matter/dynamic-profile/view/1854896","17-1854896")</f>
        <v>0</v>
      </c>
      <c r="B3205" t="s">
        <v>193</v>
      </c>
      <c r="C3205" t="s">
        <v>246</v>
      </c>
      <c r="D3205" t="s">
        <v>523</v>
      </c>
      <c r="F3205" t="s">
        <v>1545</v>
      </c>
      <c r="G3205" t="s">
        <v>4223</v>
      </c>
      <c r="H3205" t="s">
        <v>5917</v>
      </c>
      <c r="I3205" t="s">
        <v>6964</v>
      </c>
      <c r="J3205" t="s">
        <v>7170</v>
      </c>
      <c r="K3205">
        <v>10452</v>
      </c>
      <c r="N3205" t="s">
        <v>7237</v>
      </c>
      <c r="O3205" t="s">
        <v>9346</v>
      </c>
      <c r="P3205">
        <v>1</v>
      </c>
      <c r="Q3205">
        <v>0</v>
      </c>
      <c r="R3205">
        <v>14.73</v>
      </c>
      <c r="U3205">
        <v>1776</v>
      </c>
      <c r="W3205">
        <v>0.4</v>
      </c>
      <c r="X3205" t="s">
        <v>523</v>
      </c>
      <c r="Y3205" t="s">
        <v>210</v>
      </c>
      <c r="AA3205" t="s">
        <v>10974</v>
      </c>
      <c r="AB3205" t="s">
        <v>458</v>
      </c>
      <c r="AD3205" t="s">
        <v>11096</v>
      </c>
      <c r="AF3205" t="s">
        <v>11122</v>
      </c>
      <c r="AH3205" t="s">
        <v>10974</v>
      </c>
      <c r="AJ3205" t="s">
        <v>11141</v>
      </c>
      <c r="AK3205" t="s">
        <v>7225</v>
      </c>
      <c r="AM3205">
        <v>1233</v>
      </c>
      <c r="AO3205">
        <v>62</v>
      </c>
      <c r="AQ3205" t="s">
        <v>11157</v>
      </c>
      <c r="AS3205" t="s">
        <v>11177</v>
      </c>
      <c r="AU3205">
        <v>6</v>
      </c>
      <c r="AW3205" t="s">
        <v>11187</v>
      </c>
      <c r="AZ3205" t="s">
        <v>11221</v>
      </c>
      <c r="BC3205" t="s">
        <v>11514</v>
      </c>
      <c r="BE3205" t="s">
        <v>13566</v>
      </c>
      <c r="BF3205" t="s">
        <v>14364</v>
      </c>
      <c r="BG3205" t="s">
        <v>15205</v>
      </c>
      <c r="BM3205" t="s">
        <v>15650</v>
      </c>
    </row>
    <row r="3206" spans="1:65">
      <c r="A3206" s="1">
        <f>HYPERLINK("https://lsnyc.legalserver.org/matter/dynamic-profile/view/1863008","18-1863008")</f>
        <v>0</v>
      </c>
      <c r="B3206" t="s">
        <v>193</v>
      </c>
      <c r="C3206" t="s">
        <v>246</v>
      </c>
      <c r="D3206" t="s">
        <v>758</v>
      </c>
      <c r="F3206" t="s">
        <v>2411</v>
      </c>
      <c r="G3206" t="s">
        <v>4224</v>
      </c>
      <c r="H3206" t="s">
        <v>4846</v>
      </c>
      <c r="J3206" t="s">
        <v>7170</v>
      </c>
      <c r="K3206">
        <v>10452</v>
      </c>
      <c r="N3206" t="s">
        <v>7244</v>
      </c>
      <c r="O3206" t="s">
        <v>9347</v>
      </c>
      <c r="P3206">
        <v>1</v>
      </c>
      <c r="Q3206">
        <v>1</v>
      </c>
      <c r="R3206">
        <v>82.23999999999999</v>
      </c>
      <c r="U3206">
        <v>13536</v>
      </c>
      <c r="W3206">
        <v>964.4400000000001</v>
      </c>
      <c r="X3206" t="s">
        <v>539</v>
      </c>
      <c r="Y3206" t="s">
        <v>10920</v>
      </c>
      <c r="AA3206" t="s">
        <v>10974</v>
      </c>
      <c r="AB3206" t="s">
        <v>1047</v>
      </c>
      <c r="AD3206" t="s">
        <v>11090</v>
      </c>
      <c r="AF3206" t="s">
        <v>11123</v>
      </c>
      <c r="AH3206" t="s">
        <v>10974</v>
      </c>
      <c r="AJ3206" t="s">
        <v>11141</v>
      </c>
      <c r="AK3206" t="s">
        <v>7225</v>
      </c>
      <c r="AM3206">
        <v>230</v>
      </c>
      <c r="AO3206">
        <v>149</v>
      </c>
      <c r="AQ3206" t="s">
        <v>11164</v>
      </c>
      <c r="AS3206" t="s">
        <v>11177</v>
      </c>
      <c r="AU3206">
        <v>27</v>
      </c>
      <c r="AW3206" t="s">
        <v>11189</v>
      </c>
      <c r="AZ3206" t="s">
        <v>11221</v>
      </c>
      <c r="BE3206" t="s">
        <v>13567</v>
      </c>
      <c r="BF3206" t="s">
        <v>14364</v>
      </c>
      <c r="BG3206" t="s">
        <v>15207</v>
      </c>
      <c r="BM3206" t="s">
        <v>15650</v>
      </c>
    </row>
    <row r="3207" spans="1:65">
      <c r="A3207" s="1">
        <f>HYPERLINK("https://lsnyc.legalserver.org/matter/dynamic-profile/view/1898233","19-1898233")</f>
        <v>0</v>
      </c>
      <c r="B3207" t="s">
        <v>193</v>
      </c>
      <c r="C3207" t="s">
        <v>246</v>
      </c>
      <c r="D3207" t="s">
        <v>591</v>
      </c>
      <c r="F3207" t="s">
        <v>1496</v>
      </c>
      <c r="G3207" t="s">
        <v>4225</v>
      </c>
      <c r="H3207" t="s">
        <v>5916</v>
      </c>
      <c r="I3207" t="s">
        <v>6679</v>
      </c>
      <c r="J3207" t="s">
        <v>7170</v>
      </c>
      <c r="K3207">
        <v>10467</v>
      </c>
      <c r="N3207" t="s">
        <v>7237</v>
      </c>
      <c r="O3207" t="s">
        <v>9348</v>
      </c>
      <c r="P3207">
        <v>1</v>
      </c>
      <c r="Q3207">
        <v>0</v>
      </c>
      <c r="R3207">
        <v>100.28</v>
      </c>
      <c r="U3207">
        <v>12525</v>
      </c>
      <c r="W3207">
        <v>0</v>
      </c>
      <c r="Y3207" t="s">
        <v>10865</v>
      </c>
      <c r="AA3207" t="s">
        <v>10974</v>
      </c>
      <c r="AB3207" t="s">
        <v>10979</v>
      </c>
      <c r="AD3207" t="s">
        <v>11100</v>
      </c>
      <c r="AF3207" t="s">
        <v>11120</v>
      </c>
      <c r="AH3207" t="s">
        <v>10974</v>
      </c>
      <c r="AJ3207" t="s">
        <v>11141</v>
      </c>
      <c r="AK3207" t="s">
        <v>7225</v>
      </c>
      <c r="AL3207" t="s">
        <v>11150</v>
      </c>
      <c r="AM3207">
        <v>0</v>
      </c>
      <c r="AO3207">
        <v>37</v>
      </c>
      <c r="AQ3207" t="s">
        <v>11164</v>
      </c>
      <c r="AS3207" t="s">
        <v>11173</v>
      </c>
      <c r="AU3207">
        <v>37</v>
      </c>
      <c r="AW3207" t="s">
        <v>11187</v>
      </c>
      <c r="BA3207" t="s">
        <v>11222</v>
      </c>
      <c r="BE3207" t="s">
        <v>13562</v>
      </c>
      <c r="BF3207" t="s">
        <v>14364</v>
      </c>
      <c r="BM3207" t="s">
        <v>15650</v>
      </c>
    </row>
    <row r="3208" spans="1:65">
      <c r="A3208" s="1">
        <f>HYPERLINK("https://lsnyc.legalserver.org/matter/dynamic-profile/view/0794247","15-0794247")</f>
        <v>0</v>
      </c>
      <c r="B3208" t="s">
        <v>193</v>
      </c>
      <c r="C3208" t="s">
        <v>246</v>
      </c>
      <c r="D3208" t="s">
        <v>982</v>
      </c>
      <c r="F3208" t="s">
        <v>2412</v>
      </c>
      <c r="G3208" t="s">
        <v>4176</v>
      </c>
      <c r="H3208" t="s">
        <v>5233</v>
      </c>
      <c r="I3208" t="s">
        <v>6965</v>
      </c>
      <c r="J3208" t="s">
        <v>7170</v>
      </c>
      <c r="K3208">
        <v>10453</v>
      </c>
      <c r="N3208" t="s">
        <v>7237</v>
      </c>
      <c r="O3208" t="s">
        <v>9349</v>
      </c>
      <c r="P3208">
        <v>1</v>
      </c>
      <c r="Q3208">
        <v>2</v>
      </c>
      <c r="R3208">
        <v>69.73</v>
      </c>
      <c r="U3208">
        <v>14008</v>
      </c>
      <c r="W3208">
        <v>3.35</v>
      </c>
      <c r="X3208" t="s">
        <v>411</v>
      </c>
      <c r="Y3208" t="s">
        <v>138</v>
      </c>
      <c r="AA3208" t="s">
        <v>10974</v>
      </c>
      <c r="AB3208" t="s">
        <v>10996</v>
      </c>
      <c r="AD3208" t="s">
        <v>11107</v>
      </c>
      <c r="AF3208" t="s">
        <v>11118</v>
      </c>
      <c r="AH3208" t="s">
        <v>10974</v>
      </c>
      <c r="AJ3208" t="s">
        <v>11130</v>
      </c>
      <c r="AK3208" t="s">
        <v>7225</v>
      </c>
      <c r="AM3208">
        <v>1050</v>
      </c>
      <c r="AN3208" t="s">
        <v>11151</v>
      </c>
      <c r="AO3208" t="s">
        <v>11153</v>
      </c>
      <c r="AQ3208" t="s">
        <v>11157</v>
      </c>
      <c r="AR3208" t="s">
        <v>11172</v>
      </c>
      <c r="AU3208">
        <v>1</v>
      </c>
      <c r="AW3208" t="s">
        <v>11187</v>
      </c>
      <c r="AZ3208" t="s">
        <v>11221</v>
      </c>
      <c r="BB3208" t="s">
        <v>11224</v>
      </c>
      <c r="BC3208" t="s">
        <v>11515</v>
      </c>
      <c r="BE3208" t="s">
        <v>13568</v>
      </c>
      <c r="BF3208" t="s">
        <v>14364</v>
      </c>
      <c r="BG3208" t="s">
        <v>15208</v>
      </c>
      <c r="BM3208" t="s">
        <v>15650</v>
      </c>
    </row>
    <row r="3209" spans="1:65">
      <c r="A3209" s="1">
        <f>HYPERLINK("https://lsnyc.legalserver.org/matter/dynamic-profile/view/1839153","17-1839153")</f>
        <v>0</v>
      </c>
      <c r="B3209" t="s">
        <v>193</v>
      </c>
      <c r="C3209" t="s">
        <v>246</v>
      </c>
      <c r="D3209" t="s">
        <v>983</v>
      </c>
      <c r="F3209" t="s">
        <v>1262</v>
      </c>
      <c r="G3209" t="s">
        <v>3836</v>
      </c>
      <c r="H3209" t="s">
        <v>5917</v>
      </c>
      <c r="I3209" t="s">
        <v>6910</v>
      </c>
      <c r="J3209" t="s">
        <v>7170</v>
      </c>
      <c r="K3209">
        <v>10452</v>
      </c>
      <c r="N3209" t="s">
        <v>7237</v>
      </c>
      <c r="O3209" t="s">
        <v>9342</v>
      </c>
      <c r="P3209">
        <v>4</v>
      </c>
      <c r="Q3209">
        <v>1</v>
      </c>
      <c r="R3209">
        <v>172.2</v>
      </c>
      <c r="U3209">
        <v>79559.07000000001</v>
      </c>
      <c r="W3209">
        <v>4.7</v>
      </c>
      <c r="X3209" t="s">
        <v>758</v>
      </c>
      <c r="Y3209" t="s">
        <v>185</v>
      </c>
      <c r="AA3209" t="s">
        <v>10974</v>
      </c>
      <c r="AB3209" t="s">
        <v>694</v>
      </c>
      <c r="AD3209" t="s">
        <v>11096</v>
      </c>
      <c r="AF3209" t="s">
        <v>11122</v>
      </c>
      <c r="AH3209" t="s">
        <v>10974</v>
      </c>
      <c r="AJ3209" t="s">
        <v>11141</v>
      </c>
      <c r="AK3209" t="s">
        <v>7225</v>
      </c>
      <c r="AM3209">
        <v>818.04</v>
      </c>
      <c r="AO3209">
        <v>61</v>
      </c>
      <c r="AQ3209" t="s">
        <v>11157</v>
      </c>
      <c r="AS3209" t="s">
        <v>11173</v>
      </c>
      <c r="AU3209">
        <v>41</v>
      </c>
      <c r="AW3209" t="s">
        <v>11189</v>
      </c>
      <c r="AZ3209" t="s">
        <v>11221</v>
      </c>
      <c r="BE3209" t="s">
        <v>13563</v>
      </c>
      <c r="BF3209" t="s">
        <v>14364</v>
      </c>
      <c r="BG3209" t="s">
        <v>15205</v>
      </c>
      <c r="BM3209" t="s">
        <v>15650</v>
      </c>
    </row>
    <row r="3210" spans="1:65">
      <c r="A3210" s="1">
        <f>HYPERLINK("https://lsnyc.legalserver.org/matter/dynamic-profile/view/1853774","17-1853774")</f>
        <v>0</v>
      </c>
      <c r="B3210" t="s">
        <v>193</v>
      </c>
      <c r="C3210" t="s">
        <v>246</v>
      </c>
      <c r="D3210" t="s">
        <v>966</v>
      </c>
      <c r="F3210" t="s">
        <v>1262</v>
      </c>
      <c r="G3210" t="s">
        <v>3836</v>
      </c>
      <c r="H3210" t="s">
        <v>5917</v>
      </c>
      <c r="I3210" t="s">
        <v>6910</v>
      </c>
      <c r="J3210" t="s">
        <v>7170</v>
      </c>
      <c r="K3210">
        <v>10452</v>
      </c>
      <c r="N3210" t="s">
        <v>7237</v>
      </c>
      <c r="O3210" t="s">
        <v>9342</v>
      </c>
      <c r="P3210">
        <v>4</v>
      </c>
      <c r="Q3210">
        <v>1</v>
      </c>
      <c r="R3210">
        <v>172.2</v>
      </c>
      <c r="U3210">
        <v>79559.07000000001</v>
      </c>
      <c r="W3210">
        <v>5.8</v>
      </c>
      <c r="X3210" t="s">
        <v>10846</v>
      </c>
      <c r="Y3210" t="s">
        <v>10899</v>
      </c>
      <c r="AA3210" t="s">
        <v>10974</v>
      </c>
      <c r="AB3210" t="s">
        <v>458</v>
      </c>
      <c r="AD3210" t="s">
        <v>11096</v>
      </c>
      <c r="AF3210" t="s">
        <v>11122</v>
      </c>
      <c r="AH3210" t="s">
        <v>10974</v>
      </c>
      <c r="AJ3210" t="s">
        <v>11141</v>
      </c>
      <c r="AK3210" t="s">
        <v>7225</v>
      </c>
      <c r="AM3210">
        <v>818.04</v>
      </c>
      <c r="AO3210">
        <v>62</v>
      </c>
      <c r="AQ3210" t="s">
        <v>11157</v>
      </c>
      <c r="AS3210" t="s">
        <v>11173</v>
      </c>
      <c r="AU3210">
        <v>41</v>
      </c>
      <c r="AW3210" t="s">
        <v>11189</v>
      </c>
      <c r="AZ3210" t="s">
        <v>11221</v>
      </c>
      <c r="BE3210" t="s">
        <v>13563</v>
      </c>
      <c r="BF3210" t="s">
        <v>14364</v>
      </c>
      <c r="BM3210" t="s">
        <v>15650</v>
      </c>
    </row>
    <row r="3211" spans="1:65">
      <c r="A3211" s="1">
        <f>HYPERLINK("https://lsnyc.legalserver.org/matter/dynamic-profile/view/1860641","18-1860641")</f>
        <v>0</v>
      </c>
      <c r="B3211" t="s">
        <v>193</v>
      </c>
      <c r="C3211" t="s">
        <v>246</v>
      </c>
      <c r="D3211" t="s">
        <v>717</v>
      </c>
      <c r="F3211" t="s">
        <v>2412</v>
      </c>
      <c r="G3211" t="s">
        <v>4176</v>
      </c>
      <c r="H3211" t="s">
        <v>5233</v>
      </c>
      <c r="I3211" t="s">
        <v>6965</v>
      </c>
      <c r="J3211" t="s">
        <v>7170</v>
      </c>
      <c r="K3211">
        <v>10453</v>
      </c>
      <c r="N3211" t="s">
        <v>7237</v>
      </c>
      <c r="O3211" t="s">
        <v>9349</v>
      </c>
      <c r="P3211">
        <v>1</v>
      </c>
      <c r="Q3211">
        <v>2</v>
      </c>
      <c r="R3211">
        <v>80.95999999999999</v>
      </c>
      <c r="U3211">
        <v>16824</v>
      </c>
      <c r="W3211">
        <v>127.4</v>
      </c>
      <c r="X3211" t="s">
        <v>349</v>
      </c>
      <c r="Y3211" t="s">
        <v>193</v>
      </c>
      <c r="AA3211" t="s">
        <v>10974</v>
      </c>
      <c r="AB3211" t="s">
        <v>1047</v>
      </c>
      <c r="AD3211" t="s">
        <v>11101</v>
      </c>
      <c r="AF3211" t="s">
        <v>11118</v>
      </c>
      <c r="AH3211" t="s">
        <v>10974</v>
      </c>
      <c r="AJ3211" t="s">
        <v>11130</v>
      </c>
      <c r="AK3211" t="s">
        <v>7225</v>
      </c>
      <c r="AM3211">
        <v>1010</v>
      </c>
      <c r="AO3211">
        <v>46</v>
      </c>
      <c r="AQ3211" t="s">
        <v>11157</v>
      </c>
      <c r="AS3211" t="s">
        <v>11176</v>
      </c>
      <c r="AU3211">
        <v>5</v>
      </c>
      <c r="AW3211" t="s">
        <v>11187</v>
      </c>
      <c r="AZ3211" t="s">
        <v>11221</v>
      </c>
      <c r="BC3211" t="s">
        <v>11516</v>
      </c>
      <c r="BE3211" t="s">
        <v>13568</v>
      </c>
      <c r="BG3211" t="s">
        <v>15209</v>
      </c>
      <c r="BM3211" t="s">
        <v>15650</v>
      </c>
    </row>
    <row r="3212" spans="1:65">
      <c r="A3212" s="1">
        <f>HYPERLINK("https://lsnyc.legalserver.org/matter/dynamic-profile/view/1854350","17-1854350")</f>
        <v>0</v>
      </c>
      <c r="B3212" t="s">
        <v>193</v>
      </c>
      <c r="C3212" t="s">
        <v>246</v>
      </c>
      <c r="D3212" t="s">
        <v>902</v>
      </c>
      <c r="F3212" t="s">
        <v>1262</v>
      </c>
      <c r="G3212" t="s">
        <v>3836</v>
      </c>
      <c r="H3212" t="s">
        <v>5917</v>
      </c>
      <c r="I3212" t="s">
        <v>6910</v>
      </c>
      <c r="J3212" t="s">
        <v>7170</v>
      </c>
      <c r="K3212">
        <v>10452</v>
      </c>
      <c r="N3212" t="s">
        <v>7237</v>
      </c>
      <c r="O3212" t="s">
        <v>9342</v>
      </c>
      <c r="P3212">
        <v>4</v>
      </c>
      <c r="Q3212">
        <v>1</v>
      </c>
      <c r="R3212">
        <v>172.2</v>
      </c>
      <c r="U3212">
        <v>79559.07000000001</v>
      </c>
      <c r="W3212">
        <v>81.5</v>
      </c>
      <c r="X3212" t="s">
        <v>342</v>
      </c>
      <c r="Y3212" t="s">
        <v>210</v>
      </c>
      <c r="AA3212" t="s">
        <v>10974</v>
      </c>
      <c r="AB3212" t="s">
        <v>10992</v>
      </c>
      <c r="AD3212" t="s">
        <v>11096</v>
      </c>
      <c r="AF3212" t="s">
        <v>11122</v>
      </c>
      <c r="AH3212" t="s">
        <v>10974</v>
      </c>
      <c r="AJ3212" t="s">
        <v>11141</v>
      </c>
      <c r="AK3212" t="s">
        <v>7225</v>
      </c>
      <c r="AM3212">
        <v>818.04</v>
      </c>
      <c r="AO3212">
        <v>63</v>
      </c>
      <c r="AQ3212" t="s">
        <v>11157</v>
      </c>
      <c r="AS3212" t="s">
        <v>11173</v>
      </c>
      <c r="AU3212">
        <v>41</v>
      </c>
      <c r="AW3212" t="s">
        <v>11189</v>
      </c>
      <c r="AZ3212" t="s">
        <v>11221</v>
      </c>
      <c r="BE3212" t="s">
        <v>13563</v>
      </c>
      <c r="BG3212" t="s">
        <v>15203</v>
      </c>
      <c r="BM3212" t="s">
        <v>15650</v>
      </c>
    </row>
    <row r="3213" spans="1:65">
      <c r="A3213" s="1">
        <f>HYPERLINK("https://lsnyc.legalserver.org/matter/dynamic-profile/view/1854940","18-1854940")</f>
        <v>0</v>
      </c>
      <c r="B3213" t="s">
        <v>193</v>
      </c>
      <c r="C3213" t="s">
        <v>246</v>
      </c>
      <c r="D3213" t="s">
        <v>360</v>
      </c>
      <c r="F3213" t="s">
        <v>1407</v>
      </c>
      <c r="G3213" t="s">
        <v>4226</v>
      </c>
      <c r="H3213" t="s">
        <v>5917</v>
      </c>
      <c r="I3213" t="s">
        <v>6502</v>
      </c>
      <c r="J3213" t="s">
        <v>7170</v>
      </c>
      <c r="K3213">
        <v>10452</v>
      </c>
      <c r="N3213" t="s">
        <v>7237</v>
      </c>
      <c r="O3213" t="s">
        <v>9350</v>
      </c>
      <c r="P3213">
        <v>3</v>
      </c>
      <c r="Q3213">
        <v>0</v>
      </c>
      <c r="R3213">
        <v>68.56</v>
      </c>
      <c r="U3213">
        <v>14000</v>
      </c>
      <c r="W3213">
        <v>0</v>
      </c>
      <c r="Y3213" t="s">
        <v>10899</v>
      </c>
      <c r="AA3213" t="s">
        <v>10974</v>
      </c>
      <c r="AB3213" t="s">
        <v>458</v>
      </c>
      <c r="AD3213" t="s">
        <v>11096</v>
      </c>
      <c r="AF3213" t="s">
        <v>11122</v>
      </c>
      <c r="AH3213" t="s">
        <v>10974</v>
      </c>
      <c r="AJ3213" t="s">
        <v>11141</v>
      </c>
      <c r="AK3213" t="s">
        <v>7225</v>
      </c>
      <c r="AM3213">
        <v>1906</v>
      </c>
      <c r="AO3213">
        <v>62</v>
      </c>
      <c r="AQ3213" t="s">
        <v>11157</v>
      </c>
      <c r="AS3213" t="s">
        <v>11173</v>
      </c>
      <c r="AU3213">
        <v>10</v>
      </c>
      <c r="AW3213" t="s">
        <v>11189</v>
      </c>
      <c r="AZ3213" t="s">
        <v>11221</v>
      </c>
      <c r="BE3213" t="s">
        <v>13569</v>
      </c>
      <c r="BG3213" t="s">
        <v>15203</v>
      </c>
      <c r="BM3213" t="s">
        <v>15650</v>
      </c>
    </row>
    <row r="3214" spans="1:65">
      <c r="A3214" s="1">
        <f>HYPERLINK("https://lsnyc.legalserver.org/matter/dynamic-profile/view/1896649","19-1896649")</f>
        <v>0</v>
      </c>
      <c r="B3214" t="s">
        <v>193</v>
      </c>
      <c r="C3214" t="s">
        <v>246</v>
      </c>
      <c r="D3214" t="s">
        <v>585</v>
      </c>
      <c r="F3214" t="s">
        <v>1428</v>
      </c>
      <c r="G3214" t="s">
        <v>4221</v>
      </c>
      <c r="H3214" t="s">
        <v>5916</v>
      </c>
      <c r="I3214" t="s">
        <v>6527</v>
      </c>
      <c r="J3214" t="s">
        <v>7170</v>
      </c>
      <c r="K3214">
        <v>10467</v>
      </c>
      <c r="N3214" t="s">
        <v>7237</v>
      </c>
      <c r="O3214" t="s">
        <v>9343</v>
      </c>
      <c r="P3214">
        <v>1</v>
      </c>
      <c r="Q3214">
        <v>0</v>
      </c>
      <c r="R3214">
        <v>376.3</v>
      </c>
      <c r="U3214">
        <v>47000</v>
      </c>
      <c r="W3214">
        <v>1.5</v>
      </c>
      <c r="X3214" t="s">
        <v>528</v>
      </c>
      <c r="Y3214" t="s">
        <v>10865</v>
      </c>
      <c r="AA3214" t="s">
        <v>10974</v>
      </c>
      <c r="AB3214" t="s">
        <v>10979</v>
      </c>
      <c r="AD3214" t="s">
        <v>11098</v>
      </c>
      <c r="AF3214" t="s">
        <v>11122</v>
      </c>
      <c r="AH3214" t="s">
        <v>10974</v>
      </c>
      <c r="AJ3214" t="s">
        <v>11141</v>
      </c>
      <c r="AK3214" t="s">
        <v>7225</v>
      </c>
      <c r="AM3214">
        <v>700</v>
      </c>
      <c r="AO3214">
        <v>59</v>
      </c>
      <c r="AQ3214" t="s">
        <v>11157</v>
      </c>
      <c r="AS3214" t="s">
        <v>11173</v>
      </c>
      <c r="AU3214">
        <v>15</v>
      </c>
      <c r="AW3214" t="s">
        <v>11187</v>
      </c>
      <c r="BA3214" t="s">
        <v>11222</v>
      </c>
      <c r="BD3214" t="s">
        <v>11667</v>
      </c>
      <c r="BF3214" t="s">
        <v>14364</v>
      </c>
      <c r="BM3214" t="s">
        <v>15650</v>
      </c>
    </row>
    <row r="3215" spans="1:65">
      <c r="A3215" s="1">
        <f>HYPERLINK("https://lsnyc.legalserver.org/matter/dynamic-profile/view/1880671","18-1880671")</f>
        <v>0</v>
      </c>
      <c r="B3215" t="s">
        <v>193</v>
      </c>
      <c r="C3215" t="s">
        <v>246</v>
      </c>
      <c r="D3215" t="s">
        <v>365</v>
      </c>
      <c r="F3215" t="s">
        <v>1545</v>
      </c>
      <c r="G3215" t="s">
        <v>3308</v>
      </c>
      <c r="H3215" t="s">
        <v>4846</v>
      </c>
      <c r="I3215" t="s">
        <v>6437</v>
      </c>
      <c r="J3215" t="s">
        <v>7170</v>
      </c>
      <c r="K3215">
        <v>10452</v>
      </c>
      <c r="N3215" t="s">
        <v>7237</v>
      </c>
      <c r="O3215" t="s">
        <v>9351</v>
      </c>
      <c r="P3215">
        <v>1</v>
      </c>
      <c r="Q3215">
        <v>0</v>
      </c>
      <c r="R3215">
        <v>81.84999999999999</v>
      </c>
      <c r="U3215">
        <v>9936</v>
      </c>
      <c r="W3215">
        <v>0</v>
      </c>
      <c r="Y3215" t="s">
        <v>10897</v>
      </c>
      <c r="AA3215" t="s">
        <v>10974</v>
      </c>
      <c r="AB3215" t="s">
        <v>597</v>
      </c>
      <c r="AD3215" t="s">
        <v>11101</v>
      </c>
      <c r="AF3215" t="s">
        <v>11118</v>
      </c>
      <c r="AH3215" t="s">
        <v>10974</v>
      </c>
      <c r="AJ3215" t="s">
        <v>11141</v>
      </c>
      <c r="AK3215" t="s">
        <v>7225</v>
      </c>
      <c r="AM3215">
        <v>828</v>
      </c>
      <c r="AO3215">
        <v>149</v>
      </c>
      <c r="AQ3215" t="s">
        <v>11157</v>
      </c>
      <c r="AR3215" t="s">
        <v>11172</v>
      </c>
      <c r="AU3215">
        <v>2</v>
      </c>
      <c r="AW3215" t="s">
        <v>11187</v>
      </c>
      <c r="AZ3215" t="s">
        <v>11221</v>
      </c>
      <c r="BC3215" t="s">
        <v>11517</v>
      </c>
      <c r="BE3215" t="s">
        <v>13570</v>
      </c>
      <c r="BG3215" t="s">
        <v>15210</v>
      </c>
      <c r="BM3215" t="s">
        <v>15650</v>
      </c>
    </row>
    <row r="3216" spans="1:65">
      <c r="A3216" s="1">
        <f>HYPERLINK("https://lsnyc.legalserver.org/matter/dynamic-profile/view/0799602","16-0799602")</f>
        <v>0</v>
      </c>
      <c r="B3216" t="s">
        <v>193</v>
      </c>
      <c r="C3216" t="s">
        <v>246</v>
      </c>
      <c r="D3216" t="s">
        <v>984</v>
      </c>
      <c r="F3216" t="s">
        <v>2413</v>
      </c>
      <c r="G3216" t="s">
        <v>2308</v>
      </c>
      <c r="H3216" t="s">
        <v>5233</v>
      </c>
      <c r="I3216" t="s">
        <v>6966</v>
      </c>
      <c r="J3216" t="s">
        <v>7170</v>
      </c>
      <c r="K3216">
        <v>10453</v>
      </c>
      <c r="N3216" t="s">
        <v>7237</v>
      </c>
      <c r="O3216" t="s">
        <v>9352</v>
      </c>
      <c r="P3216">
        <v>2</v>
      </c>
      <c r="Q3216">
        <v>3</v>
      </c>
      <c r="R3216">
        <v>68.3</v>
      </c>
      <c r="U3216">
        <v>19424.4</v>
      </c>
      <c r="W3216">
        <v>2.5</v>
      </c>
      <c r="X3216" t="s">
        <v>593</v>
      </c>
      <c r="Y3216" t="s">
        <v>138</v>
      </c>
      <c r="AA3216" t="s">
        <v>10974</v>
      </c>
      <c r="AB3216" t="s">
        <v>398</v>
      </c>
      <c r="AD3216" t="s">
        <v>11085</v>
      </c>
      <c r="AF3216" t="s">
        <v>11118</v>
      </c>
      <c r="AH3216" t="s">
        <v>10974</v>
      </c>
      <c r="AJ3216" t="s">
        <v>11130</v>
      </c>
      <c r="AK3216" t="s">
        <v>7225</v>
      </c>
      <c r="AM3216">
        <v>1325</v>
      </c>
      <c r="AN3216" t="s">
        <v>11151</v>
      </c>
      <c r="AO3216" t="s">
        <v>11153</v>
      </c>
      <c r="AQ3216" t="s">
        <v>11157</v>
      </c>
      <c r="AS3216" t="s">
        <v>11176</v>
      </c>
      <c r="AU3216">
        <v>2</v>
      </c>
      <c r="AW3216" t="s">
        <v>11187</v>
      </c>
      <c r="AZ3216" t="s">
        <v>11221</v>
      </c>
      <c r="BE3216" t="s">
        <v>13571</v>
      </c>
      <c r="BG3216" t="s">
        <v>15211</v>
      </c>
      <c r="BM3216" t="s">
        <v>15650</v>
      </c>
    </row>
    <row r="3217" spans="1:65">
      <c r="A3217" s="1">
        <f>HYPERLINK("https://lsnyc.legalserver.org/matter/dynamic-profile/view/1880819","18-1880819")</f>
        <v>0</v>
      </c>
      <c r="B3217" t="s">
        <v>193</v>
      </c>
      <c r="C3217" t="s">
        <v>246</v>
      </c>
      <c r="D3217" t="s">
        <v>323</v>
      </c>
      <c r="F3217" t="s">
        <v>1545</v>
      </c>
      <c r="G3217" t="s">
        <v>3308</v>
      </c>
      <c r="H3217" t="s">
        <v>4846</v>
      </c>
      <c r="I3217" t="s">
        <v>6437</v>
      </c>
      <c r="J3217" t="s">
        <v>7170</v>
      </c>
      <c r="K3217">
        <v>10452</v>
      </c>
      <c r="N3217" t="s">
        <v>7237</v>
      </c>
      <c r="O3217" t="s">
        <v>9351</v>
      </c>
      <c r="P3217">
        <v>1</v>
      </c>
      <c r="Q3217">
        <v>0</v>
      </c>
      <c r="R3217">
        <v>81.84999999999999</v>
      </c>
      <c r="U3217">
        <v>9936</v>
      </c>
      <c r="W3217">
        <v>0</v>
      </c>
      <c r="Y3217" t="s">
        <v>10897</v>
      </c>
      <c r="AA3217" t="s">
        <v>10974</v>
      </c>
      <c r="AB3217" t="s">
        <v>597</v>
      </c>
      <c r="AD3217" t="s">
        <v>11086</v>
      </c>
      <c r="AF3217" t="s">
        <v>11120</v>
      </c>
      <c r="AH3217" t="s">
        <v>10974</v>
      </c>
      <c r="AJ3217" t="s">
        <v>11141</v>
      </c>
      <c r="AK3217" t="s">
        <v>7225</v>
      </c>
      <c r="AM3217">
        <v>828</v>
      </c>
      <c r="AO3217">
        <v>149</v>
      </c>
      <c r="AQ3217" t="s">
        <v>11157</v>
      </c>
      <c r="AS3217" t="s">
        <v>11104</v>
      </c>
      <c r="AU3217">
        <v>2</v>
      </c>
      <c r="AW3217" t="s">
        <v>11187</v>
      </c>
      <c r="AZ3217" t="s">
        <v>11221</v>
      </c>
      <c r="BB3217" t="s">
        <v>11224</v>
      </c>
      <c r="BC3217" t="s">
        <v>11518</v>
      </c>
      <c r="BE3217" t="s">
        <v>13570</v>
      </c>
      <c r="BF3217" t="s">
        <v>14364</v>
      </c>
      <c r="BM3217" t="s">
        <v>15650</v>
      </c>
    </row>
    <row r="3218" spans="1:65">
      <c r="A3218" s="1">
        <f>HYPERLINK("https://lsnyc.legalserver.org/matter/dynamic-profile/view/1854341","17-1854341")</f>
        <v>0</v>
      </c>
      <c r="B3218" t="s">
        <v>193</v>
      </c>
      <c r="C3218" t="s">
        <v>246</v>
      </c>
      <c r="D3218" t="s">
        <v>985</v>
      </c>
      <c r="F3218" t="s">
        <v>1090</v>
      </c>
      <c r="G3218" t="s">
        <v>4222</v>
      </c>
      <c r="H3218" t="s">
        <v>5917</v>
      </c>
      <c r="I3218" t="s">
        <v>6421</v>
      </c>
      <c r="J3218" t="s">
        <v>7170</v>
      </c>
      <c r="K3218">
        <v>10452</v>
      </c>
      <c r="N3218" t="s">
        <v>7237</v>
      </c>
      <c r="O3218" t="s">
        <v>9344</v>
      </c>
      <c r="P3218">
        <v>1</v>
      </c>
      <c r="Q3218">
        <v>0</v>
      </c>
      <c r="R3218">
        <v>71.73999999999999</v>
      </c>
      <c r="U3218">
        <v>8652</v>
      </c>
      <c r="W3218">
        <v>0.8</v>
      </c>
      <c r="X3218" t="s">
        <v>758</v>
      </c>
      <c r="Y3218" t="s">
        <v>210</v>
      </c>
      <c r="AA3218" t="s">
        <v>10974</v>
      </c>
      <c r="AB3218" t="s">
        <v>458</v>
      </c>
      <c r="AD3218" t="s">
        <v>11096</v>
      </c>
      <c r="AF3218" t="s">
        <v>11122</v>
      </c>
      <c r="AH3218" t="s">
        <v>10974</v>
      </c>
      <c r="AJ3218" t="s">
        <v>11141</v>
      </c>
      <c r="AK3218" t="s">
        <v>7225</v>
      </c>
      <c r="AM3218">
        <v>812</v>
      </c>
      <c r="AO3218">
        <v>62</v>
      </c>
      <c r="AQ3218" t="s">
        <v>11157</v>
      </c>
      <c r="AS3218" t="s">
        <v>11174</v>
      </c>
      <c r="AU3218">
        <v>35</v>
      </c>
      <c r="AW3218" t="s">
        <v>11189</v>
      </c>
      <c r="AZ3218" t="s">
        <v>11221</v>
      </c>
      <c r="BE3218" t="s">
        <v>13564</v>
      </c>
      <c r="BF3218" t="s">
        <v>14364</v>
      </c>
      <c r="BG3218" t="s">
        <v>15205</v>
      </c>
      <c r="BM3218" t="s">
        <v>15650</v>
      </c>
    </row>
    <row r="3219" spans="1:65">
      <c r="A3219" s="1">
        <f>HYPERLINK("https://lsnyc.legalserver.org/matter/dynamic-profile/view/1901453","19-1901453")</f>
        <v>0</v>
      </c>
      <c r="B3219" t="s">
        <v>193</v>
      </c>
      <c r="C3219" t="s">
        <v>246</v>
      </c>
      <c r="D3219" t="s">
        <v>701</v>
      </c>
      <c r="F3219" t="s">
        <v>1419</v>
      </c>
      <c r="G3219" t="s">
        <v>4227</v>
      </c>
      <c r="H3219" t="s">
        <v>5918</v>
      </c>
      <c r="I3219" t="s">
        <v>6414</v>
      </c>
      <c r="J3219" t="s">
        <v>7170</v>
      </c>
      <c r="K3219">
        <v>10452</v>
      </c>
      <c r="N3219" t="s">
        <v>7237</v>
      </c>
      <c r="O3219" t="s">
        <v>9353</v>
      </c>
      <c r="P3219">
        <v>1</v>
      </c>
      <c r="Q3219">
        <v>1</v>
      </c>
      <c r="R3219">
        <v>266.11</v>
      </c>
      <c r="U3219">
        <v>45000</v>
      </c>
      <c r="W3219">
        <v>0</v>
      </c>
      <c r="Y3219" t="s">
        <v>93</v>
      </c>
      <c r="AA3219" t="s">
        <v>10974</v>
      </c>
      <c r="AB3219" t="s">
        <v>10979</v>
      </c>
      <c r="AD3219" t="s">
        <v>11098</v>
      </c>
      <c r="AF3219" t="s">
        <v>11122</v>
      </c>
      <c r="AH3219" t="s">
        <v>10974</v>
      </c>
      <c r="AJ3219" t="s">
        <v>11141</v>
      </c>
      <c r="AK3219" t="s">
        <v>7225</v>
      </c>
      <c r="AM3219">
        <v>837</v>
      </c>
      <c r="AO3219">
        <v>52</v>
      </c>
      <c r="AQ3219" t="s">
        <v>11157</v>
      </c>
      <c r="AS3219" t="s">
        <v>11173</v>
      </c>
      <c r="AU3219">
        <v>17</v>
      </c>
      <c r="AW3219" t="s">
        <v>11187</v>
      </c>
      <c r="BA3219" t="s">
        <v>11222</v>
      </c>
      <c r="BE3219" t="s">
        <v>13572</v>
      </c>
      <c r="BF3219" t="s">
        <v>14364</v>
      </c>
      <c r="BM3219" t="s">
        <v>15650</v>
      </c>
    </row>
    <row r="3220" spans="1:65">
      <c r="A3220" s="1">
        <f>HYPERLINK("https://lsnyc.legalserver.org/matter/dynamic-profile/view/1898305","19-1898305")</f>
        <v>0</v>
      </c>
      <c r="B3220" t="s">
        <v>193</v>
      </c>
      <c r="C3220" t="s">
        <v>246</v>
      </c>
      <c r="D3220" t="s">
        <v>591</v>
      </c>
      <c r="F3220" t="s">
        <v>1496</v>
      </c>
      <c r="G3220" t="s">
        <v>4225</v>
      </c>
      <c r="H3220" t="s">
        <v>5916</v>
      </c>
      <c r="I3220" t="s">
        <v>6679</v>
      </c>
      <c r="J3220" t="s">
        <v>7170</v>
      </c>
      <c r="K3220">
        <v>10467</v>
      </c>
      <c r="N3220" t="s">
        <v>7237</v>
      </c>
      <c r="O3220" t="s">
        <v>9348</v>
      </c>
      <c r="P3220">
        <v>1</v>
      </c>
      <c r="Q3220">
        <v>0</v>
      </c>
      <c r="R3220">
        <v>100.28</v>
      </c>
      <c r="U3220">
        <v>12525</v>
      </c>
      <c r="W3220">
        <v>0</v>
      </c>
      <c r="Y3220" t="s">
        <v>10865</v>
      </c>
      <c r="AA3220" t="s">
        <v>10974</v>
      </c>
      <c r="AB3220" t="s">
        <v>10979</v>
      </c>
      <c r="AD3220" t="s">
        <v>11098</v>
      </c>
      <c r="AF3220" t="s">
        <v>11122</v>
      </c>
      <c r="AH3220" t="s">
        <v>10974</v>
      </c>
      <c r="AJ3220" t="s">
        <v>11141</v>
      </c>
      <c r="AK3220" t="s">
        <v>7225</v>
      </c>
      <c r="AM3220">
        <v>685.67</v>
      </c>
      <c r="AO3220">
        <v>60</v>
      </c>
      <c r="AQ3220" t="s">
        <v>11164</v>
      </c>
      <c r="AS3220" t="s">
        <v>11173</v>
      </c>
      <c r="AU3220">
        <v>37</v>
      </c>
      <c r="AW3220" t="s">
        <v>11187</v>
      </c>
      <c r="AZ3220" t="s">
        <v>11221</v>
      </c>
      <c r="BE3220" t="s">
        <v>13562</v>
      </c>
      <c r="BF3220" t="s">
        <v>14364</v>
      </c>
      <c r="BM3220" t="s">
        <v>15650</v>
      </c>
    </row>
    <row r="3221" spans="1:65">
      <c r="A3221" s="1">
        <f>HYPERLINK("https://lsnyc.legalserver.org/matter/dynamic-profile/view/1877738","18-1877738")</f>
        <v>0</v>
      </c>
      <c r="B3221" t="s">
        <v>193</v>
      </c>
      <c r="C3221" t="s">
        <v>246</v>
      </c>
      <c r="D3221" t="s">
        <v>754</v>
      </c>
      <c r="F3221" t="s">
        <v>2381</v>
      </c>
      <c r="G3221" t="s">
        <v>4228</v>
      </c>
      <c r="H3221" t="s">
        <v>4846</v>
      </c>
      <c r="I3221">
        <v>41</v>
      </c>
      <c r="J3221" t="s">
        <v>7170</v>
      </c>
      <c r="K3221">
        <v>10452</v>
      </c>
      <c r="N3221" t="s">
        <v>7237</v>
      </c>
      <c r="O3221" t="s">
        <v>9354</v>
      </c>
      <c r="P3221">
        <v>1</v>
      </c>
      <c r="Q3221">
        <v>0</v>
      </c>
      <c r="R3221">
        <v>82.04000000000001</v>
      </c>
      <c r="U3221">
        <v>9960</v>
      </c>
      <c r="W3221">
        <v>0</v>
      </c>
      <c r="Y3221" t="s">
        <v>10897</v>
      </c>
      <c r="AA3221" t="s">
        <v>10974</v>
      </c>
      <c r="AB3221" t="s">
        <v>597</v>
      </c>
      <c r="AD3221" t="s">
        <v>11086</v>
      </c>
      <c r="AF3221" t="s">
        <v>11120</v>
      </c>
      <c r="AH3221" t="s">
        <v>10974</v>
      </c>
      <c r="AJ3221" t="s">
        <v>11141</v>
      </c>
      <c r="AK3221" t="s">
        <v>7225</v>
      </c>
      <c r="AM3221">
        <v>252</v>
      </c>
      <c r="AO3221">
        <v>149</v>
      </c>
      <c r="AQ3221" t="s">
        <v>11157</v>
      </c>
      <c r="AS3221" t="s">
        <v>11177</v>
      </c>
      <c r="AU3221">
        <v>2</v>
      </c>
      <c r="AW3221" t="s">
        <v>11187</v>
      </c>
      <c r="AZ3221" t="s">
        <v>11221</v>
      </c>
      <c r="BB3221" t="s">
        <v>11224</v>
      </c>
      <c r="BC3221" t="s">
        <v>11519</v>
      </c>
      <c r="BE3221" t="s">
        <v>13573</v>
      </c>
      <c r="BF3221" t="s">
        <v>14364</v>
      </c>
      <c r="BM3221" t="s">
        <v>15650</v>
      </c>
    </row>
    <row r="3222" spans="1:65">
      <c r="A3222" s="1">
        <f>HYPERLINK("https://lsnyc.legalserver.org/matter/dynamic-profile/view/0830048","17-0830048")</f>
        <v>0</v>
      </c>
      <c r="B3222" t="s">
        <v>193</v>
      </c>
      <c r="C3222" t="s">
        <v>246</v>
      </c>
      <c r="D3222" t="s">
        <v>986</v>
      </c>
      <c r="F3222" t="s">
        <v>1802</v>
      </c>
      <c r="G3222" t="s">
        <v>2877</v>
      </c>
      <c r="H3222" t="s">
        <v>4975</v>
      </c>
      <c r="I3222" t="s">
        <v>6495</v>
      </c>
      <c r="J3222" t="s">
        <v>7170</v>
      </c>
      <c r="K3222">
        <v>10452</v>
      </c>
      <c r="N3222" t="s">
        <v>7237</v>
      </c>
      <c r="O3222" t="s">
        <v>9355</v>
      </c>
      <c r="P3222">
        <v>1</v>
      </c>
      <c r="Q3222">
        <v>0</v>
      </c>
      <c r="R3222">
        <v>99.5</v>
      </c>
      <c r="U3222">
        <v>12000</v>
      </c>
      <c r="W3222">
        <v>0</v>
      </c>
      <c r="Y3222" t="s">
        <v>10899</v>
      </c>
      <c r="AA3222" t="s">
        <v>10974</v>
      </c>
      <c r="AB3222" t="s">
        <v>924</v>
      </c>
      <c r="AD3222" t="s">
        <v>11086</v>
      </c>
      <c r="AF3222" t="s">
        <v>11120</v>
      </c>
      <c r="AH3222" t="s">
        <v>10974</v>
      </c>
      <c r="AJ3222" t="s">
        <v>11141</v>
      </c>
      <c r="AK3222" t="s">
        <v>7225</v>
      </c>
      <c r="AM3222">
        <v>1123</v>
      </c>
      <c r="AO3222">
        <v>130</v>
      </c>
      <c r="AQ3222" t="s">
        <v>11157</v>
      </c>
      <c r="AS3222" t="s">
        <v>11173</v>
      </c>
      <c r="AU3222">
        <v>1</v>
      </c>
      <c r="AW3222" t="s">
        <v>11189</v>
      </c>
      <c r="AZ3222" t="s">
        <v>11221</v>
      </c>
      <c r="BC3222" t="s">
        <v>11520</v>
      </c>
      <c r="BE3222" t="s">
        <v>13574</v>
      </c>
      <c r="BF3222" t="s">
        <v>14364</v>
      </c>
      <c r="BM3222" t="s">
        <v>15650</v>
      </c>
    </row>
    <row r="3223" spans="1:65">
      <c r="A3223" s="1">
        <f>HYPERLINK("https://lsnyc.legalserver.org/matter/dynamic-profile/view/1890994","19-1890994")</f>
        <v>0</v>
      </c>
      <c r="B3223" t="s">
        <v>193</v>
      </c>
      <c r="C3223" t="s">
        <v>246</v>
      </c>
      <c r="D3223" t="s">
        <v>479</v>
      </c>
      <c r="F3223" t="s">
        <v>2152</v>
      </c>
      <c r="G3223" t="s">
        <v>4229</v>
      </c>
      <c r="H3223" t="s">
        <v>5919</v>
      </c>
      <c r="I3223" t="s">
        <v>6433</v>
      </c>
      <c r="J3223" t="s">
        <v>7170</v>
      </c>
      <c r="K3223">
        <v>10467</v>
      </c>
      <c r="N3223" t="s">
        <v>7237</v>
      </c>
      <c r="O3223" t="s">
        <v>9356</v>
      </c>
      <c r="P3223">
        <v>1</v>
      </c>
      <c r="Q3223">
        <v>0</v>
      </c>
      <c r="R3223">
        <v>448.36</v>
      </c>
      <c r="U3223">
        <v>56000</v>
      </c>
      <c r="W3223">
        <v>4.4</v>
      </c>
      <c r="X3223" t="s">
        <v>347</v>
      </c>
      <c r="Y3223" t="s">
        <v>82</v>
      </c>
      <c r="AA3223" t="s">
        <v>10974</v>
      </c>
      <c r="AB3223" t="s">
        <v>479</v>
      </c>
      <c r="AD3223" t="s">
        <v>11086</v>
      </c>
      <c r="AF3223" t="s">
        <v>11119</v>
      </c>
      <c r="AH3223" t="s">
        <v>10975</v>
      </c>
      <c r="AJ3223" t="s">
        <v>11141</v>
      </c>
      <c r="AK3223" t="s">
        <v>7225</v>
      </c>
      <c r="AM3223">
        <v>1164.51</v>
      </c>
      <c r="AO3223">
        <v>40</v>
      </c>
      <c r="AQ3223" t="s">
        <v>11157</v>
      </c>
      <c r="AS3223" t="s">
        <v>11173</v>
      </c>
      <c r="AU3223">
        <v>13</v>
      </c>
      <c r="AW3223" t="s">
        <v>11187</v>
      </c>
      <c r="AZ3223" t="s">
        <v>11221</v>
      </c>
      <c r="BD3223" t="s">
        <v>11667</v>
      </c>
      <c r="BF3223" t="s">
        <v>14364</v>
      </c>
      <c r="BM3223" t="s">
        <v>15650</v>
      </c>
    </row>
    <row r="3224" spans="1:65">
      <c r="A3224" s="1">
        <f>HYPERLINK("https://lsnyc.legalserver.org/matter/dynamic-profile/view/0820614","16-0820614")</f>
        <v>0</v>
      </c>
      <c r="B3224" t="s">
        <v>193</v>
      </c>
      <c r="C3224" t="s">
        <v>246</v>
      </c>
      <c r="D3224" t="s">
        <v>987</v>
      </c>
      <c r="F3224" t="s">
        <v>2414</v>
      </c>
      <c r="G3224" t="s">
        <v>1636</v>
      </c>
      <c r="H3224" t="s">
        <v>4975</v>
      </c>
      <c r="I3224" t="s">
        <v>6967</v>
      </c>
      <c r="J3224" t="s">
        <v>7170</v>
      </c>
      <c r="K3224">
        <v>10452</v>
      </c>
      <c r="N3224" t="s">
        <v>7237</v>
      </c>
      <c r="O3224" t="s">
        <v>9357</v>
      </c>
      <c r="P3224">
        <v>1</v>
      </c>
      <c r="Q3224">
        <v>0</v>
      </c>
      <c r="R3224">
        <v>172.75</v>
      </c>
      <c r="U3224">
        <v>20522.4</v>
      </c>
      <c r="W3224">
        <v>21.2</v>
      </c>
      <c r="X3224" t="s">
        <v>562</v>
      </c>
      <c r="Y3224" t="s">
        <v>10899</v>
      </c>
      <c r="AA3224" t="s">
        <v>10974</v>
      </c>
      <c r="AB3224" t="s">
        <v>11064</v>
      </c>
      <c r="AD3224" t="s">
        <v>11085</v>
      </c>
      <c r="AF3224" t="s">
        <v>11118</v>
      </c>
      <c r="AH3224" t="s">
        <v>10974</v>
      </c>
      <c r="AJ3224" t="s">
        <v>11130</v>
      </c>
      <c r="AK3224" t="s">
        <v>7225</v>
      </c>
      <c r="AM3224">
        <v>486</v>
      </c>
      <c r="AO3224">
        <v>130</v>
      </c>
      <c r="AQ3224" t="s">
        <v>11157</v>
      </c>
      <c r="AS3224" t="s">
        <v>11174</v>
      </c>
      <c r="AU3224">
        <v>6</v>
      </c>
      <c r="AW3224" t="s">
        <v>11189</v>
      </c>
      <c r="AZ3224" t="s">
        <v>11221</v>
      </c>
      <c r="BE3224" t="s">
        <v>13575</v>
      </c>
      <c r="BF3224" t="s">
        <v>14364</v>
      </c>
      <c r="BM3224" t="s">
        <v>15650</v>
      </c>
    </row>
    <row r="3225" spans="1:65">
      <c r="A3225" s="1">
        <f>HYPERLINK("https://lsnyc.legalserver.org/matter/dynamic-profile/view/1888489","19-1888489")</f>
        <v>0</v>
      </c>
      <c r="B3225" t="s">
        <v>193</v>
      </c>
      <c r="C3225" t="s">
        <v>246</v>
      </c>
      <c r="D3225" t="s">
        <v>558</v>
      </c>
      <c r="F3225" t="s">
        <v>2381</v>
      </c>
      <c r="G3225" t="s">
        <v>4228</v>
      </c>
      <c r="H3225" t="s">
        <v>4846</v>
      </c>
      <c r="I3225">
        <v>41</v>
      </c>
      <c r="J3225" t="s">
        <v>7170</v>
      </c>
      <c r="K3225">
        <v>10452</v>
      </c>
      <c r="N3225" t="s">
        <v>7244</v>
      </c>
      <c r="O3225" t="s">
        <v>9354</v>
      </c>
      <c r="P3225">
        <v>1</v>
      </c>
      <c r="Q3225">
        <v>0</v>
      </c>
      <c r="R3225">
        <v>82.04000000000001</v>
      </c>
      <c r="U3225">
        <v>9960</v>
      </c>
      <c r="W3225">
        <v>0</v>
      </c>
      <c r="Y3225" t="s">
        <v>10897</v>
      </c>
      <c r="AA3225" t="s">
        <v>10974</v>
      </c>
      <c r="AB3225" t="s">
        <v>659</v>
      </c>
      <c r="AD3225" t="s">
        <v>11090</v>
      </c>
      <c r="AF3225" t="s">
        <v>11123</v>
      </c>
      <c r="AH3225" t="s">
        <v>10974</v>
      </c>
      <c r="AJ3225" t="s">
        <v>11141</v>
      </c>
      <c r="AK3225" t="s">
        <v>7225</v>
      </c>
      <c r="AM3225">
        <v>252</v>
      </c>
      <c r="AO3225">
        <v>149</v>
      </c>
      <c r="AQ3225" t="s">
        <v>11157</v>
      </c>
      <c r="AS3225" t="s">
        <v>11177</v>
      </c>
      <c r="AU3225">
        <v>2</v>
      </c>
      <c r="AW3225" t="s">
        <v>11187</v>
      </c>
      <c r="BA3225" t="s">
        <v>11222</v>
      </c>
      <c r="BC3225" t="s">
        <v>11521</v>
      </c>
      <c r="BE3225" t="s">
        <v>13573</v>
      </c>
      <c r="BF3225" t="s">
        <v>14364</v>
      </c>
      <c r="BG3225" t="s">
        <v>15212</v>
      </c>
      <c r="BM3225" t="s">
        <v>15650</v>
      </c>
    </row>
    <row r="3226" spans="1:65">
      <c r="A3226" s="1">
        <f>HYPERLINK("https://lsnyc.legalserver.org/matter/dynamic-profile/view/1833941","17-1833941")</f>
        <v>0</v>
      </c>
      <c r="B3226" t="s">
        <v>193</v>
      </c>
      <c r="C3226" t="s">
        <v>246</v>
      </c>
      <c r="D3226" t="s">
        <v>988</v>
      </c>
      <c r="F3226" t="s">
        <v>2376</v>
      </c>
      <c r="G3226" t="s">
        <v>3480</v>
      </c>
      <c r="H3226" t="s">
        <v>5233</v>
      </c>
      <c r="I3226" t="s">
        <v>6909</v>
      </c>
      <c r="J3226" t="s">
        <v>7170</v>
      </c>
      <c r="K3226">
        <v>10453</v>
      </c>
      <c r="N3226" t="s">
        <v>7237</v>
      </c>
      <c r="O3226" t="s">
        <v>9358</v>
      </c>
      <c r="P3226">
        <v>1</v>
      </c>
      <c r="Q3226">
        <v>4</v>
      </c>
      <c r="R3226">
        <v>11.09</v>
      </c>
      <c r="U3226">
        <v>3192</v>
      </c>
      <c r="W3226">
        <v>62.7</v>
      </c>
      <c r="X3226" t="s">
        <v>442</v>
      </c>
      <c r="Y3226" t="s">
        <v>10899</v>
      </c>
      <c r="AA3226" t="s">
        <v>10974</v>
      </c>
      <c r="AB3226" t="s">
        <v>11007</v>
      </c>
      <c r="AD3226" t="s">
        <v>11101</v>
      </c>
      <c r="AF3226" t="s">
        <v>11118</v>
      </c>
      <c r="AH3226" t="s">
        <v>10974</v>
      </c>
      <c r="AJ3226" t="s">
        <v>11129</v>
      </c>
      <c r="AK3226" t="s">
        <v>7225</v>
      </c>
      <c r="AM3226">
        <v>1612</v>
      </c>
      <c r="AO3226">
        <v>46</v>
      </c>
      <c r="AQ3226" t="s">
        <v>11157</v>
      </c>
      <c r="AS3226" t="s">
        <v>11180</v>
      </c>
      <c r="AU3226">
        <v>11</v>
      </c>
      <c r="AW3226" t="s">
        <v>11189</v>
      </c>
      <c r="AZ3226" t="s">
        <v>11221</v>
      </c>
      <c r="BB3226" t="s">
        <v>11224</v>
      </c>
      <c r="BC3226" t="s">
        <v>11522</v>
      </c>
      <c r="BE3226" t="s">
        <v>13576</v>
      </c>
      <c r="BF3226" t="s">
        <v>14364</v>
      </c>
      <c r="BM3226" t="s">
        <v>15650</v>
      </c>
    </row>
    <row r="3227" spans="1:65">
      <c r="A3227" s="1">
        <f>HYPERLINK("https://lsnyc.legalserver.org/matter/dynamic-profile/view/0796919","16-0796919")</f>
        <v>0</v>
      </c>
      <c r="B3227" t="s">
        <v>193</v>
      </c>
      <c r="C3227" t="s">
        <v>246</v>
      </c>
      <c r="D3227" t="s">
        <v>989</v>
      </c>
      <c r="F3227" t="s">
        <v>2376</v>
      </c>
      <c r="G3227" t="s">
        <v>3480</v>
      </c>
      <c r="H3227" t="s">
        <v>5233</v>
      </c>
      <c r="I3227" t="s">
        <v>6909</v>
      </c>
      <c r="J3227" t="s">
        <v>7170</v>
      </c>
      <c r="K3227">
        <v>10453</v>
      </c>
      <c r="N3227" t="s">
        <v>7237</v>
      </c>
      <c r="O3227" t="s">
        <v>9358</v>
      </c>
      <c r="P3227">
        <v>1</v>
      </c>
      <c r="Q3227">
        <v>4</v>
      </c>
      <c r="R3227">
        <v>24.34</v>
      </c>
      <c r="U3227">
        <v>6916</v>
      </c>
      <c r="W3227">
        <v>0.15</v>
      </c>
      <c r="X3227" t="s">
        <v>812</v>
      </c>
      <c r="Y3227" t="s">
        <v>138</v>
      </c>
      <c r="AA3227" t="s">
        <v>10974</v>
      </c>
      <c r="AB3227" t="s">
        <v>791</v>
      </c>
      <c r="AD3227" t="s">
        <v>11107</v>
      </c>
      <c r="AF3227" t="s">
        <v>11118</v>
      </c>
      <c r="AH3227" t="s">
        <v>10974</v>
      </c>
      <c r="AJ3227" t="s">
        <v>11130</v>
      </c>
      <c r="AK3227" t="s">
        <v>7225</v>
      </c>
      <c r="AM3227">
        <v>1612</v>
      </c>
      <c r="AN3227" t="s">
        <v>11151</v>
      </c>
      <c r="AO3227" t="s">
        <v>11153</v>
      </c>
      <c r="AQ3227" t="s">
        <v>11157</v>
      </c>
      <c r="AR3227" t="s">
        <v>11172</v>
      </c>
      <c r="AU3227">
        <v>9</v>
      </c>
      <c r="AW3227" t="s">
        <v>11189</v>
      </c>
      <c r="AZ3227" t="s">
        <v>11221</v>
      </c>
      <c r="BE3227" t="s">
        <v>13576</v>
      </c>
      <c r="BF3227" t="s">
        <v>14364</v>
      </c>
      <c r="BG3227" t="s">
        <v>15213</v>
      </c>
      <c r="BM3227" t="s">
        <v>15650</v>
      </c>
    </row>
    <row r="3228" spans="1:65">
      <c r="A3228" s="1">
        <f>HYPERLINK("https://lsnyc.legalserver.org/matter/dynamic-profile/view/1861958","18-1861958")</f>
        <v>0</v>
      </c>
      <c r="B3228" t="s">
        <v>193</v>
      </c>
      <c r="C3228" t="s">
        <v>246</v>
      </c>
      <c r="D3228" t="s">
        <v>308</v>
      </c>
      <c r="F3228" t="s">
        <v>1456</v>
      </c>
      <c r="G3228" t="s">
        <v>3209</v>
      </c>
      <c r="H3228" t="s">
        <v>5233</v>
      </c>
      <c r="I3228" t="s">
        <v>6968</v>
      </c>
      <c r="J3228" t="s">
        <v>7170</v>
      </c>
      <c r="K3228">
        <v>10453</v>
      </c>
      <c r="N3228" t="s">
        <v>7237</v>
      </c>
      <c r="O3228" t="s">
        <v>9359</v>
      </c>
      <c r="P3228">
        <v>1</v>
      </c>
      <c r="Q3228">
        <v>0</v>
      </c>
      <c r="R3228">
        <v>28.27</v>
      </c>
      <c r="U3228">
        <v>3432</v>
      </c>
      <c r="W3228">
        <v>2.7</v>
      </c>
      <c r="X3228" t="s">
        <v>562</v>
      </c>
      <c r="Y3228" t="s">
        <v>210</v>
      </c>
      <c r="AA3228" t="s">
        <v>10974</v>
      </c>
      <c r="AB3228" t="s">
        <v>1047</v>
      </c>
      <c r="AD3228" t="s">
        <v>11101</v>
      </c>
      <c r="AF3228" t="s">
        <v>11118</v>
      </c>
      <c r="AH3228" t="s">
        <v>10974</v>
      </c>
      <c r="AJ3228" t="s">
        <v>11130</v>
      </c>
      <c r="AK3228" t="s">
        <v>7225</v>
      </c>
      <c r="AM3228">
        <v>533.61</v>
      </c>
      <c r="AO3228">
        <v>46</v>
      </c>
      <c r="AQ3228" t="s">
        <v>11157</v>
      </c>
      <c r="AS3228" t="s">
        <v>11173</v>
      </c>
      <c r="AU3228">
        <v>30</v>
      </c>
      <c r="AW3228" t="s">
        <v>11187</v>
      </c>
      <c r="AZ3228" t="s">
        <v>11221</v>
      </c>
      <c r="BE3228" t="s">
        <v>13577</v>
      </c>
      <c r="BG3228" t="s">
        <v>15209</v>
      </c>
      <c r="BM3228" t="s">
        <v>15650</v>
      </c>
    </row>
    <row r="3229" spans="1:65">
      <c r="A3229" s="1">
        <f>HYPERLINK("https://lsnyc.legalserver.org/matter/dynamic-profile/view/1888441","19-1888441")</f>
        <v>0</v>
      </c>
      <c r="B3229" t="s">
        <v>193</v>
      </c>
      <c r="C3229" t="s">
        <v>246</v>
      </c>
      <c r="D3229" t="s">
        <v>558</v>
      </c>
      <c r="F3229" t="s">
        <v>1545</v>
      </c>
      <c r="G3229" t="s">
        <v>3308</v>
      </c>
      <c r="H3229" t="s">
        <v>4846</v>
      </c>
      <c r="I3229" t="s">
        <v>6437</v>
      </c>
      <c r="J3229" t="s">
        <v>7170</v>
      </c>
      <c r="K3229">
        <v>10452</v>
      </c>
      <c r="N3229" t="s">
        <v>7237</v>
      </c>
      <c r="O3229" t="s">
        <v>9351</v>
      </c>
      <c r="P3229">
        <v>1</v>
      </c>
      <c r="Q3229">
        <v>0</v>
      </c>
      <c r="R3229">
        <v>81.84999999999999</v>
      </c>
      <c r="U3229">
        <v>9936</v>
      </c>
      <c r="W3229">
        <v>0</v>
      </c>
      <c r="Y3229" t="s">
        <v>10897</v>
      </c>
      <c r="AA3229" t="s">
        <v>10974</v>
      </c>
      <c r="AB3229" t="s">
        <v>659</v>
      </c>
      <c r="AD3229" t="s">
        <v>11090</v>
      </c>
      <c r="AF3229" t="s">
        <v>11123</v>
      </c>
      <c r="AH3229" t="s">
        <v>10974</v>
      </c>
      <c r="AJ3229" t="s">
        <v>11141</v>
      </c>
      <c r="AK3229" t="s">
        <v>7225</v>
      </c>
      <c r="AM3229">
        <v>828</v>
      </c>
      <c r="AO3229">
        <v>149</v>
      </c>
      <c r="AQ3229" t="s">
        <v>11157</v>
      </c>
      <c r="AR3229" t="s">
        <v>11172</v>
      </c>
      <c r="AU3229">
        <v>2</v>
      </c>
      <c r="AW3229" t="s">
        <v>11187</v>
      </c>
      <c r="BA3229" t="s">
        <v>11222</v>
      </c>
      <c r="BB3229" t="s">
        <v>11224</v>
      </c>
      <c r="BC3229" t="s">
        <v>11518</v>
      </c>
      <c r="BE3229" t="s">
        <v>13570</v>
      </c>
      <c r="BF3229" t="s">
        <v>14364</v>
      </c>
      <c r="BG3229" t="s">
        <v>15212</v>
      </c>
      <c r="BM3229" t="s">
        <v>15650</v>
      </c>
    </row>
    <row r="3230" spans="1:65">
      <c r="A3230" s="1">
        <f>HYPERLINK("https://lsnyc.legalserver.org/matter/dynamic-profile/view/1865284","18-1865284")</f>
        <v>0</v>
      </c>
      <c r="B3230" t="s">
        <v>193</v>
      </c>
      <c r="C3230" t="s">
        <v>246</v>
      </c>
      <c r="D3230" t="s">
        <v>308</v>
      </c>
      <c r="F3230" t="s">
        <v>2415</v>
      </c>
      <c r="G3230" t="s">
        <v>3007</v>
      </c>
      <c r="H3230" t="s">
        <v>5233</v>
      </c>
      <c r="I3230" t="s">
        <v>6969</v>
      </c>
      <c r="J3230" t="s">
        <v>7170</v>
      </c>
      <c r="K3230">
        <v>10453</v>
      </c>
      <c r="N3230" t="s">
        <v>7237</v>
      </c>
      <c r="O3230" t="s">
        <v>9360</v>
      </c>
      <c r="P3230">
        <v>1</v>
      </c>
      <c r="Q3230">
        <v>2</v>
      </c>
      <c r="R3230">
        <v>24.95</v>
      </c>
      <c r="U3230">
        <v>5184</v>
      </c>
      <c r="W3230">
        <v>0.8</v>
      </c>
      <c r="X3230" t="s">
        <v>674</v>
      </c>
      <c r="Y3230" t="s">
        <v>210</v>
      </c>
      <c r="AA3230" t="s">
        <v>10974</v>
      </c>
      <c r="AB3230" t="s">
        <v>939</v>
      </c>
      <c r="AD3230" t="s">
        <v>11101</v>
      </c>
      <c r="AF3230" t="s">
        <v>11118</v>
      </c>
      <c r="AH3230" t="s">
        <v>10974</v>
      </c>
      <c r="AJ3230" t="s">
        <v>11129</v>
      </c>
      <c r="AK3230" t="s">
        <v>7225</v>
      </c>
      <c r="AM3230">
        <v>1139.81</v>
      </c>
      <c r="AO3230">
        <v>46</v>
      </c>
      <c r="AQ3230" t="s">
        <v>11157</v>
      </c>
      <c r="AS3230" t="s">
        <v>11176</v>
      </c>
      <c r="AU3230">
        <v>7</v>
      </c>
      <c r="AW3230" t="s">
        <v>11189</v>
      </c>
      <c r="AZ3230" t="s">
        <v>11221</v>
      </c>
      <c r="BC3230" t="s">
        <v>11523</v>
      </c>
      <c r="BE3230" t="s">
        <v>13578</v>
      </c>
      <c r="BG3230" t="s">
        <v>15209</v>
      </c>
      <c r="BM3230" t="s">
        <v>15650</v>
      </c>
    </row>
    <row r="3231" spans="1:65">
      <c r="A3231" s="1">
        <f>HYPERLINK("https://lsnyc.legalserver.org/matter/dynamic-profile/view/0806846","16-0806846")</f>
        <v>0</v>
      </c>
      <c r="B3231" t="s">
        <v>193</v>
      </c>
      <c r="C3231" t="s">
        <v>246</v>
      </c>
      <c r="D3231" t="s">
        <v>901</v>
      </c>
      <c r="F3231" t="s">
        <v>1212</v>
      </c>
      <c r="G3231" t="s">
        <v>3165</v>
      </c>
      <c r="H3231" t="s">
        <v>5917</v>
      </c>
      <c r="I3231" t="s">
        <v>6420</v>
      </c>
      <c r="J3231" t="s">
        <v>7170</v>
      </c>
      <c r="K3231">
        <v>10452</v>
      </c>
      <c r="N3231" t="s">
        <v>7237</v>
      </c>
      <c r="O3231" t="s">
        <v>9361</v>
      </c>
      <c r="P3231">
        <v>3</v>
      </c>
      <c r="Q3231">
        <v>0</v>
      </c>
      <c r="R3231">
        <v>257.94</v>
      </c>
      <c r="U3231">
        <v>52000</v>
      </c>
      <c r="W3231">
        <v>0.9</v>
      </c>
      <c r="X3231" t="s">
        <v>383</v>
      </c>
      <c r="Y3231" t="s">
        <v>10897</v>
      </c>
      <c r="AA3231" t="s">
        <v>10974</v>
      </c>
      <c r="AB3231" t="s">
        <v>999</v>
      </c>
      <c r="AD3231" t="s">
        <v>11096</v>
      </c>
      <c r="AF3231" t="s">
        <v>11122</v>
      </c>
      <c r="AH3231" t="s">
        <v>10974</v>
      </c>
      <c r="AJ3231" t="s">
        <v>11141</v>
      </c>
      <c r="AK3231" t="s">
        <v>7225</v>
      </c>
      <c r="AM3231">
        <v>1200</v>
      </c>
      <c r="AO3231">
        <v>61</v>
      </c>
      <c r="AQ3231" t="s">
        <v>11157</v>
      </c>
      <c r="AS3231" t="s">
        <v>11173</v>
      </c>
      <c r="AU3231">
        <v>5</v>
      </c>
      <c r="AW3231" t="s">
        <v>11187</v>
      </c>
      <c r="AZ3231" t="s">
        <v>11221</v>
      </c>
      <c r="BE3231" t="s">
        <v>13579</v>
      </c>
      <c r="BF3231" t="s">
        <v>14364</v>
      </c>
      <c r="BG3231" t="s">
        <v>15204</v>
      </c>
      <c r="BM3231" t="s">
        <v>15650</v>
      </c>
    </row>
    <row r="3232" spans="1:65">
      <c r="A3232" s="1">
        <f>HYPERLINK("https://lsnyc.legalserver.org/matter/dynamic-profile/view/1854989","18-1854989")</f>
        <v>0</v>
      </c>
      <c r="B3232" t="s">
        <v>193</v>
      </c>
      <c r="C3232" t="s">
        <v>246</v>
      </c>
      <c r="D3232" t="s">
        <v>360</v>
      </c>
      <c r="F3232" t="s">
        <v>2416</v>
      </c>
      <c r="G3232" t="s">
        <v>3836</v>
      </c>
      <c r="H3232" t="s">
        <v>5917</v>
      </c>
      <c r="I3232" t="s">
        <v>6440</v>
      </c>
      <c r="J3232" t="s">
        <v>7170</v>
      </c>
      <c r="K3232">
        <v>10452</v>
      </c>
      <c r="N3232" t="s">
        <v>7237</v>
      </c>
      <c r="O3232" t="s">
        <v>9362</v>
      </c>
      <c r="P3232">
        <v>2</v>
      </c>
      <c r="Q3232">
        <v>0</v>
      </c>
      <c r="R3232">
        <v>174.82</v>
      </c>
      <c r="U3232">
        <v>37186</v>
      </c>
      <c r="W3232">
        <v>0</v>
      </c>
      <c r="Y3232" t="s">
        <v>10899</v>
      </c>
      <c r="AA3232" t="s">
        <v>10974</v>
      </c>
      <c r="AB3232" t="s">
        <v>458</v>
      </c>
      <c r="AD3232" t="s">
        <v>11096</v>
      </c>
      <c r="AF3232" t="s">
        <v>11122</v>
      </c>
      <c r="AH3232" t="s">
        <v>10974</v>
      </c>
      <c r="AJ3232" t="s">
        <v>11141</v>
      </c>
      <c r="AK3232" t="s">
        <v>7225</v>
      </c>
      <c r="AM3232">
        <v>752.71</v>
      </c>
      <c r="AO3232">
        <v>62</v>
      </c>
      <c r="AQ3232" t="s">
        <v>11157</v>
      </c>
      <c r="AS3232" t="s">
        <v>11173</v>
      </c>
      <c r="AU3232">
        <v>41</v>
      </c>
      <c r="AW3232" t="s">
        <v>11187</v>
      </c>
      <c r="AZ3232" t="s">
        <v>11221</v>
      </c>
      <c r="BE3232" t="s">
        <v>13580</v>
      </c>
      <c r="BG3232" t="s">
        <v>15203</v>
      </c>
      <c r="BM3232" t="s">
        <v>15650</v>
      </c>
    </row>
    <row r="3233" spans="1:65">
      <c r="A3233" s="1">
        <f>HYPERLINK("https://lsnyc.legalserver.org/matter/dynamic-profile/view/0828933","17-0828933")</f>
        <v>0</v>
      </c>
      <c r="B3233" t="s">
        <v>193</v>
      </c>
      <c r="C3233" t="s">
        <v>246</v>
      </c>
      <c r="D3233" t="s">
        <v>986</v>
      </c>
      <c r="F3233" t="s">
        <v>2417</v>
      </c>
      <c r="G3233" t="s">
        <v>4230</v>
      </c>
      <c r="H3233" t="s">
        <v>4975</v>
      </c>
      <c r="I3233" t="s">
        <v>6520</v>
      </c>
      <c r="J3233" t="s">
        <v>7170</v>
      </c>
      <c r="K3233">
        <v>10452</v>
      </c>
      <c r="N3233" t="s">
        <v>7237</v>
      </c>
      <c r="O3233" t="s">
        <v>9363</v>
      </c>
      <c r="P3233">
        <v>1</v>
      </c>
      <c r="Q3233">
        <v>0</v>
      </c>
      <c r="R3233">
        <v>286.57</v>
      </c>
      <c r="U3233">
        <v>34560</v>
      </c>
      <c r="W3233">
        <v>15</v>
      </c>
      <c r="X3233" t="s">
        <v>595</v>
      </c>
      <c r="Y3233" t="s">
        <v>10899</v>
      </c>
      <c r="AA3233" t="s">
        <v>10974</v>
      </c>
      <c r="AB3233" t="s">
        <v>694</v>
      </c>
      <c r="AD3233" t="s">
        <v>11086</v>
      </c>
      <c r="AF3233" t="s">
        <v>11120</v>
      </c>
      <c r="AH3233" t="s">
        <v>10974</v>
      </c>
      <c r="AJ3233" t="s">
        <v>11132</v>
      </c>
      <c r="AK3233" t="s">
        <v>7225</v>
      </c>
      <c r="AM3233">
        <v>1038.95</v>
      </c>
      <c r="AN3233" t="s">
        <v>11151</v>
      </c>
      <c r="AO3233" t="s">
        <v>11153</v>
      </c>
      <c r="AQ3233" t="s">
        <v>11157</v>
      </c>
      <c r="AS3233" t="s">
        <v>11173</v>
      </c>
      <c r="AU3233">
        <v>3</v>
      </c>
      <c r="AW3233" t="s">
        <v>11189</v>
      </c>
      <c r="AZ3233" t="s">
        <v>11221</v>
      </c>
      <c r="BE3233" t="s">
        <v>13581</v>
      </c>
      <c r="BF3233" t="s">
        <v>14364</v>
      </c>
      <c r="BM3233" t="s">
        <v>15650</v>
      </c>
    </row>
    <row r="3234" spans="1:65">
      <c r="A3234" s="1">
        <f>HYPERLINK("https://lsnyc.legalserver.org/matter/dynamic-profile/view/0781949","15-0781949")</f>
        <v>0</v>
      </c>
      <c r="B3234" t="s">
        <v>193</v>
      </c>
      <c r="C3234" t="s">
        <v>246</v>
      </c>
      <c r="D3234" t="s">
        <v>990</v>
      </c>
      <c r="F3234" t="s">
        <v>1613</v>
      </c>
      <c r="G3234" t="s">
        <v>4115</v>
      </c>
      <c r="H3234" t="s">
        <v>5264</v>
      </c>
      <c r="I3234" t="s">
        <v>6970</v>
      </c>
      <c r="J3234" t="s">
        <v>7170</v>
      </c>
      <c r="K3234">
        <v>10453</v>
      </c>
      <c r="N3234" t="s">
        <v>7241</v>
      </c>
      <c r="O3234" t="s">
        <v>8157</v>
      </c>
      <c r="P3234">
        <v>1</v>
      </c>
      <c r="Q3234">
        <v>0</v>
      </c>
      <c r="R3234">
        <v>74.73</v>
      </c>
      <c r="U3234">
        <v>8796</v>
      </c>
      <c r="W3234">
        <v>42</v>
      </c>
      <c r="X3234" t="s">
        <v>516</v>
      </c>
      <c r="Y3234" t="s">
        <v>10957</v>
      </c>
      <c r="AA3234" t="s">
        <v>10974</v>
      </c>
      <c r="AB3234" t="s">
        <v>10996</v>
      </c>
      <c r="AD3234" t="s">
        <v>11110</v>
      </c>
      <c r="AF3234" t="s">
        <v>11122</v>
      </c>
      <c r="AH3234" t="s">
        <v>10975</v>
      </c>
      <c r="AJ3234" t="s">
        <v>11130</v>
      </c>
      <c r="AK3234" t="s">
        <v>7225</v>
      </c>
      <c r="AM3234">
        <v>1600</v>
      </c>
      <c r="AN3234" t="s">
        <v>11151</v>
      </c>
      <c r="AO3234" t="s">
        <v>11153</v>
      </c>
      <c r="AP3234" t="s">
        <v>11155</v>
      </c>
      <c r="AR3234" t="s">
        <v>11172</v>
      </c>
      <c r="AU3234">
        <v>24</v>
      </c>
      <c r="AW3234" t="s">
        <v>11187</v>
      </c>
      <c r="AZ3234" t="s">
        <v>11221</v>
      </c>
      <c r="BE3234" t="s">
        <v>12457</v>
      </c>
      <c r="BF3234" t="s">
        <v>14364</v>
      </c>
      <c r="BM3234" t="s">
        <v>15650</v>
      </c>
    </row>
    <row r="3235" spans="1:65">
      <c r="A3235" s="1">
        <f>HYPERLINK("https://lsnyc.legalserver.org/matter/dynamic-profile/view/0799752","16-0799752")</f>
        <v>0</v>
      </c>
      <c r="B3235" t="s">
        <v>193</v>
      </c>
      <c r="C3235" t="s">
        <v>246</v>
      </c>
      <c r="D3235" t="s">
        <v>913</v>
      </c>
      <c r="F3235" t="s">
        <v>2418</v>
      </c>
      <c r="G3235" t="s">
        <v>4231</v>
      </c>
      <c r="H3235" t="s">
        <v>5233</v>
      </c>
      <c r="I3235" t="s">
        <v>6971</v>
      </c>
      <c r="J3235" t="s">
        <v>7170</v>
      </c>
      <c r="K3235">
        <v>10453</v>
      </c>
      <c r="N3235" t="s">
        <v>7237</v>
      </c>
      <c r="O3235" t="s">
        <v>9364</v>
      </c>
      <c r="P3235">
        <v>1</v>
      </c>
      <c r="Q3235">
        <v>2</v>
      </c>
      <c r="R3235">
        <v>67.06</v>
      </c>
      <c r="U3235">
        <v>13520</v>
      </c>
      <c r="W3235">
        <v>0.5</v>
      </c>
      <c r="X3235" t="s">
        <v>424</v>
      </c>
      <c r="Y3235" t="s">
        <v>138</v>
      </c>
      <c r="AA3235" t="s">
        <v>10974</v>
      </c>
      <c r="AB3235" t="s">
        <v>791</v>
      </c>
      <c r="AD3235" t="s">
        <v>11107</v>
      </c>
      <c r="AF3235" t="s">
        <v>11118</v>
      </c>
      <c r="AH3235" t="s">
        <v>10974</v>
      </c>
      <c r="AJ3235" t="s">
        <v>11141</v>
      </c>
      <c r="AK3235" t="s">
        <v>7225</v>
      </c>
      <c r="AM3235">
        <v>1050</v>
      </c>
      <c r="AN3235" t="s">
        <v>11151</v>
      </c>
      <c r="AO3235" t="s">
        <v>11153</v>
      </c>
      <c r="AQ3235" t="s">
        <v>11157</v>
      </c>
      <c r="AR3235" t="s">
        <v>11172</v>
      </c>
      <c r="AU3235">
        <v>1</v>
      </c>
      <c r="AW3235" t="s">
        <v>11187</v>
      </c>
      <c r="AZ3235" t="s">
        <v>11221</v>
      </c>
      <c r="BD3235" t="s">
        <v>11667</v>
      </c>
      <c r="BG3235" t="s">
        <v>15211</v>
      </c>
      <c r="BM3235" t="s">
        <v>15650</v>
      </c>
    </row>
    <row r="3236" spans="1:65">
      <c r="A3236" s="1">
        <f>HYPERLINK("https://lsnyc.legalserver.org/matter/dynamic-profile/view/0791455","15-0791455")</f>
        <v>0</v>
      </c>
      <c r="B3236" t="s">
        <v>193</v>
      </c>
      <c r="C3236" t="s">
        <v>246</v>
      </c>
      <c r="D3236" t="s">
        <v>697</v>
      </c>
      <c r="F3236" t="s">
        <v>2415</v>
      </c>
      <c r="G3236" t="s">
        <v>3007</v>
      </c>
      <c r="H3236" t="s">
        <v>5233</v>
      </c>
      <c r="I3236" t="s">
        <v>6969</v>
      </c>
      <c r="J3236" t="s">
        <v>7170</v>
      </c>
      <c r="K3236">
        <v>10453</v>
      </c>
      <c r="N3236" t="s">
        <v>7237</v>
      </c>
      <c r="O3236" t="s">
        <v>9360</v>
      </c>
      <c r="P3236">
        <v>1</v>
      </c>
      <c r="Q3236">
        <v>2</v>
      </c>
      <c r="R3236">
        <v>90.51000000000001</v>
      </c>
      <c r="U3236">
        <v>18184</v>
      </c>
      <c r="W3236">
        <v>0.05</v>
      </c>
      <c r="X3236" t="s">
        <v>10847</v>
      </c>
      <c r="Y3236" t="s">
        <v>138</v>
      </c>
      <c r="AA3236" t="s">
        <v>10974</v>
      </c>
      <c r="AB3236" t="s">
        <v>398</v>
      </c>
      <c r="AD3236" t="s">
        <v>11107</v>
      </c>
      <c r="AF3236" t="s">
        <v>11118</v>
      </c>
      <c r="AH3236" t="s">
        <v>10974</v>
      </c>
      <c r="AJ3236" t="s">
        <v>11130</v>
      </c>
      <c r="AK3236" t="s">
        <v>7225</v>
      </c>
      <c r="AM3236">
        <v>1138.81</v>
      </c>
      <c r="AN3236" t="s">
        <v>11151</v>
      </c>
      <c r="AO3236" t="s">
        <v>11153</v>
      </c>
      <c r="AQ3236" t="s">
        <v>11157</v>
      </c>
      <c r="AR3236" t="s">
        <v>11172</v>
      </c>
      <c r="AU3236">
        <v>5</v>
      </c>
      <c r="AW3236" t="s">
        <v>11189</v>
      </c>
      <c r="AZ3236" t="s">
        <v>11221</v>
      </c>
      <c r="BE3236" t="s">
        <v>13578</v>
      </c>
      <c r="BF3236" t="s">
        <v>14364</v>
      </c>
      <c r="BG3236" t="s">
        <v>15214</v>
      </c>
      <c r="BM3236" t="s">
        <v>15650</v>
      </c>
    </row>
    <row r="3237" spans="1:65">
      <c r="A3237" s="1">
        <f>HYPERLINK("https://lsnyc.legalserver.org/matter/dynamic-profile/view/0820608","16-0820608")</f>
        <v>0</v>
      </c>
      <c r="B3237" t="s">
        <v>193</v>
      </c>
      <c r="C3237" t="s">
        <v>246</v>
      </c>
      <c r="D3237" t="s">
        <v>987</v>
      </c>
      <c r="F3237" t="s">
        <v>2419</v>
      </c>
      <c r="G3237" t="s">
        <v>4232</v>
      </c>
      <c r="H3237" t="s">
        <v>4975</v>
      </c>
      <c r="I3237" t="s">
        <v>6438</v>
      </c>
      <c r="J3237" t="s">
        <v>7170</v>
      </c>
      <c r="K3237">
        <v>10452</v>
      </c>
      <c r="N3237" t="s">
        <v>7237</v>
      </c>
      <c r="O3237" t="s">
        <v>9365</v>
      </c>
      <c r="P3237">
        <v>1</v>
      </c>
      <c r="Q3237">
        <v>0</v>
      </c>
      <c r="R3237">
        <v>179.29</v>
      </c>
      <c r="U3237">
        <v>21300</v>
      </c>
      <c r="W3237">
        <v>0</v>
      </c>
      <c r="Y3237" t="s">
        <v>10899</v>
      </c>
      <c r="AA3237" t="s">
        <v>10974</v>
      </c>
      <c r="AB3237" t="s">
        <v>11064</v>
      </c>
      <c r="AD3237" t="s">
        <v>11085</v>
      </c>
      <c r="AF3237" t="s">
        <v>11118</v>
      </c>
      <c r="AH3237" t="s">
        <v>10974</v>
      </c>
      <c r="AJ3237" t="s">
        <v>11130</v>
      </c>
      <c r="AK3237" t="s">
        <v>7225</v>
      </c>
      <c r="AM3237">
        <v>515</v>
      </c>
      <c r="AO3237">
        <v>130</v>
      </c>
      <c r="AQ3237" t="s">
        <v>11157</v>
      </c>
      <c r="AS3237" t="s">
        <v>11174</v>
      </c>
      <c r="AU3237">
        <v>5</v>
      </c>
      <c r="AW3237" t="s">
        <v>11187</v>
      </c>
      <c r="AZ3237" t="s">
        <v>11221</v>
      </c>
      <c r="BE3237" t="s">
        <v>13582</v>
      </c>
      <c r="BF3237" t="s">
        <v>14364</v>
      </c>
      <c r="BM3237" t="s">
        <v>15650</v>
      </c>
    </row>
    <row r="3238" spans="1:65">
      <c r="A3238" s="1">
        <f>HYPERLINK("https://lsnyc.legalserver.org/matter/dynamic-profile/view/1904814","19-1904814")</f>
        <v>0</v>
      </c>
      <c r="B3238" t="s">
        <v>193</v>
      </c>
      <c r="C3238" t="s">
        <v>246</v>
      </c>
      <c r="D3238" t="s">
        <v>923</v>
      </c>
      <c r="F3238" t="s">
        <v>1183</v>
      </c>
      <c r="G3238" t="s">
        <v>4233</v>
      </c>
      <c r="H3238" t="s">
        <v>5920</v>
      </c>
      <c r="I3238" t="s">
        <v>6972</v>
      </c>
      <c r="J3238" t="s">
        <v>7170</v>
      </c>
      <c r="K3238">
        <v>10452</v>
      </c>
      <c r="N3238" t="s">
        <v>7237</v>
      </c>
      <c r="O3238" t="s">
        <v>9366</v>
      </c>
      <c r="P3238">
        <v>2</v>
      </c>
      <c r="Q3238">
        <v>0</v>
      </c>
      <c r="R3238">
        <v>179.49</v>
      </c>
      <c r="U3238">
        <v>30352</v>
      </c>
      <c r="W3238">
        <v>2</v>
      </c>
      <c r="X3238" t="s">
        <v>337</v>
      </c>
      <c r="Y3238" t="s">
        <v>10873</v>
      </c>
      <c r="AA3238" t="s">
        <v>10974</v>
      </c>
      <c r="AB3238" t="s">
        <v>575</v>
      </c>
      <c r="AC3238" t="s">
        <v>11081</v>
      </c>
      <c r="AF3238" t="s">
        <v>11119</v>
      </c>
      <c r="AG3238" t="s">
        <v>11124</v>
      </c>
      <c r="AI3238" t="s">
        <v>11126</v>
      </c>
      <c r="AK3238" t="s">
        <v>7225</v>
      </c>
      <c r="AM3238">
        <v>1350</v>
      </c>
      <c r="AO3238">
        <v>139</v>
      </c>
      <c r="AP3238" t="s">
        <v>11155</v>
      </c>
      <c r="AR3238" t="s">
        <v>11172</v>
      </c>
      <c r="AU3238">
        <v>12</v>
      </c>
      <c r="AW3238" t="s">
        <v>11187</v>
      </c>
      <c r="BA3238" t="s">
        <v>11222</v>
      </c>
      <c r="BE3238" t="s">
        <v>13583</v>
      </c>
      <c r="BF3238" t="s">
        <v>14364</v>
      </c>
      <c r="BG3238" t="s">
        <v>11228</v>
      </c>
      <c r="BM3238" t="s">
        <v>15650</v>
      </c>
    </row>
    <row r="3239" spans="1:65">
      <c r="A3239" s="1">
        <f>HYPERLINK("https://lsnyc.legalserver.org/matter/dynamic-profile/view/0820581","16-0820581")</f>
        <v>0</v>
      </c>
      <c r="B3239" t="s">
        <v>193</v>
      </c>
      <c r="C3239" t="s">
        <v>246</v>
      </c>
      <c r="D3239" t="s">
        <v>979</v>
      </c>
      <c r="F3239" t="s">
        <v>2420</v>
      </c>
      <c r="G3239" t="s">
        <v>1360</v>
      </c>
      <c r="H3239" t="s">
        <v>4975</v>
      </c>
      <c r="I3239" t="s">
        <v>6973</v>
      </c>
      <c r="J3239" t="s">
        <v>7170</v>
      </c>
      <c r="K3239">
        <v>10452</v>
      </c>
      <c r="N3239" t="s">
        <v>7237</v>
      </c>
      <c r="O3239" t="s">
        <v>9367</v>
      </c>
      <c r="P3239">
        <v>1</v>
      </c>
      <c r="Q3239">
        <v>0</v>
      </c>
      <c r="R3239">
        <v>75.15000000000001</v>
      </c>
      <c r="U3239">
        <v>8928</v>
      </c>
      <c r="W3239">
        <v>0</v>
      </c>
      <c r="Y3239" t="s">
        <v>10899</v>
      </c>
      <c r="AA3239" t="s">
        <v>10974</v>
      </c>
      <c r="AB3239" t="s">
        <v>11064</v>
      </c>
      <c r="AD3239" t="s">
        <v>11085</v>
      </c>
      <c r="AF3239" t="s">
        <v>11118</v>
      </c>
      <c r="AH3239" t="s">
        <v>10974</v>
      </c>
      <c r="AJ3239" t="s">
        <v>11141</v>
      </c>
      <c r="AK3239" t="s">
        <v>7225</v>
      </c>
      <c r="AM3239">
        <v>165</v>
      </c>
      <c r="AO3239">
        <v>130</v>
      </c>
      <c r="AQ3239" t="s">
        <v>11160</v>
      </c>
      <c r="AS3239" t="s">
        <v>11174</v>
      </c>
      <c r="AU3239">
        <v>1</v>
      </c>
      <c r="AW3239" t="s">
        <v>11187</v>
      </c>
      <c r="AZ3239" t="s">
        <v>11221</v>
      </c>
      <c r="BD3239" t="s">
        <v>11667</v>
      </c>
      <c r="BF3239" t="s">
        <v>14364</v>
      </c>
      <c r="BM3239" t="s">
        <v>15650</v>
      </c>
    </row>
    <row r="3240" spans="1:65">
      <c r="A3240" s="1">
        <f>HYPERLINK("https://lsnyc.legalserver.org/matter/dynamic-profile/view/0830060","17-0830060")</f>
        <v>0</v>
      </c>
      <c r="B3240" t="s">
        <v>193</v>
      </c>
      <c r="C3240" t="s">
        <v>246</v>
      </c>
      <c r="D3240" t="s">
        <v>986</v>
      </c>
      <c r="F3240" t="s">
        <v>2421</v>
      </c>
      <c r="G3240" t="s">
        <v>3116</v>
      </c>
      <c r="H3240" t="s">
        <v>4975</v>
      </c>
      <c r="I3240" t="s">
        <v>6541</v>
      </c>
      <c r="J3240" t="s">
        <v>7170</v>
      </c>
      <c r="K3240">
        <v>10452</v>
      </c>
      <c r="N3240" t="s">
        <v>7237</v>
      </c>
      <c r="O3240" t="s">
        <v>9368</v>
      </c>
      <c r="P3240">
        <v>2</v>
      </c>
      <c r="Q3240">
        <v>0</v>
      </c>
      <c r="R3240">
        <v>264.78</v>
      </c>
      <c r="U3240">
        <v>43000</v>
      </c>
      <c r="W3240">
        <v>0</v>
      </c>
      <c r="Y3240" t="s">
        <v>10899</v>
      </c>
      <c r="AA3240" t="s">
        <v>10974</v>
      </c>
      <c r="AB3240" t="s">
        <v>924</v>
      </c>
      <c r="AC3240" t="s">
        <v>11081</v>
      </c>
      <c r="AF3240" t="s">
        <v>11120</v>
      </c>
      <c r="AH3240" t="s">
        <v>10974</v>
      </c>
      <c r="AJ3240" t="s">
        <v>11141</v>
      </c>
      <c r="AK3240" t="s">
        <v>7225</v>
      </c>
      <c r="AM3240">
        <v>1053.7</v>
      </c>
      <c r="AO3240">
        <v>130</v>
      </c>
      <c r="AQ3240" t="s">
        <v>11157</v>
      </c>
      <c r="AS3240" t="s">
        <v>11173</v>
      </c>
      <c r="AU3240">
        <v>6</v>
      </c>
      <c r="AW3240" t="s">
        <v>11187</v>
      </c>
      <c r="AZ3240" t="s">
        <v>11221</v>
      </c>
      <c r="BE3240" t="s">
        <v>13584</v>
      </c>
      <c r="BF3240" t="s">
        <v>14364</v>
      </c>
      <c r="BM3240" t="s">
        <v>15650</v>
      </c>
    </row>
    <row r="3241" spans="1:65">
      <c r="A3241" s="1">
        <f>HYPERLINK("https://lsnyc.legalserver.org/matter/dynamic-profile/view/1901474","19-1901474")</f>
        <v>0</v>
      </c>
      <c r="B3241" t="s">
        <v>193</v>
      </c>
      <c r="C3241" t="s">
        <v>246</v>
      </c>
      <c r="D3241" t="s">
        <v>701</v>
      </c>
      <c r="F3241" t="s">
        <v>2422</v>
      </c>
      <c r="G3241" t="s">
        <v>4234</v>
      </c>
      <c r="H3241" t="s">
        <v>5918</v>
      </c>
      <c r="I3241" t="s">
        <v>6595</v>
      </c>
      <c r="J3241" t="s">
        <v>7170</v>
      </c>
      <c r="K3241">
        <v>10452</v>
      </c>
      <c r="N3241" t="s">
        <v>7237</v>
      </c>
      <c r="O3241" t="s">
        <v>9369</v>
      </c>
      <c r="P3241">
        <v>3</v>
      </c>
      <c r="Q3241">
        <v>0</v>
      </c>
      <c r="R3241">
        <v>609.47</v>
      </c>
      <c r="U3241">
        <v>130000</v>
      </c>
      <c r="W3241">
        <v>0</v>
      </c>
      <c r="Y3241" t="s">
        <v>93</v>
      </c>
      <c r="AA3241" t="s">
        <v>10974</v>
      </c>
      <c r="AB3241" t="s">
        <v>10979</v>
      </c>
      <c r="AD3241" t="s">
        <v>11098</v>
      </c>
      <c r="AF3241" t="s">
        <v>11122</v>
      </c>
      <c r="AH3241" t="s">
        <v>10974</v>
      </c>
      <c r="AJ3241" t="s">
        <v>11141</v>
      </c>
      <c r="AK3241" t="s">
        <v>7225</v>
      </c>
      <c r="AM3241">
        <v>2250</v>
      </c>
      <c r="AO3241">
        <v>52</v>
      </c>
      <c r="AQ3241" t="s">
        <v>11157</v>
      </c>
      <c r="AS3241" t="s">
        <v>11173</v>
      </c>
      <c r="AU3241">
        <v>1</v>
      </c>
      <c r="AW3241" t="s">
        <v>11189</v>
      </c>
      <c r="BA3241" t="s">
        <v>11222</v>
      </c>
      <c r="BE3241" t="s">
        <v>13585</v>
      </c>
      <c r="BF3241" t="s">
        <v>14364</v>
      </c>
      <c r="BM3241" t="s">
        <v>15650</v>
      </c>
    </row>
    <row r="3242" spans="1:65">
      <c r="A3242" s="1">
        <f>HYPERLINK("https://lsnyc.legalserver.org/matter/dynamic-profile/view/1863309","18-1863309")</f>
        <v>0</v>
      </c>
      <c r="B3242" t="s">
        <v>193</v>
      </c>
      <c r="C3242" t="s">
        <v>246</v>
      </c>
      <c r="D3242" t="s">
        <v>687</v>
      </c>
      <c r="F3242" t="s">
        <v>1858</v>
      </c>
      <c r="G3242" t="s">
        <v>4235</v>
      </c>
      <c r="H3242" t="s">
        <v>4846</v>
      </c>
      <c r="I3242" t="s">
        <v>6414</v>
      </c>
      <c r="J3242" t="s">
        <v>7170</v>
      </c>
      <c r="K3242">
        <v>10452</v>
      </c>
      <c r="N3242" t="s">
        <v>7237</v>
      </c>
      <c r="O3242" t="s">
        <v>9370</v>
      </c>
      <c r="P3242">
        <v>1</v>
      </c>
      <c r="Q3242">
        <v>0</v>
      </c>
      <c r="R3242">
        <v>88.95999999999999</v>
      </c>
      <c r="U3242">
        <v>10800</v>
      </c>
      <c r="W3242">
        <v>48.65</v>
      </c>
      <c r="X3242" t="s">
        <v>1020</v>
      </c>
      <c r="Y3242" t="s">
        <v>193</v>
      </c>
      <c r="AA3242" t="s">
        <v>10974</v>
      </c>
      <c r="AB3242" t="s">
        <v>11065</v>
      </c>
      <c r="AD3242" t="s">
        <v>11086</v>
      </c>
      <c r="AF3242" t="s">
        <v>11120</v>
      </c>
      <c r="AG3242" t="s">
        <v>11124</v>
      </c>
      <c r="AJ3242" t="s">
        <v>11141</v>
      </c>
      <c r="AK3242" t="s">
        <v>7225</v>
      </c>
      <c r="AM3242">
        <v>1200</v>
      </c>
      <c r="AO3242">
        <v>149</v>
      </c>
      <c r="AP3242" t="s">
        <v>11155</v>
      </c>
      <c r="AR3242" t="s">
        <v>11172</v>
      </c>
      <c r="AU3242">
        <v>13</v>
      </c>
      <c r="AW3242" t="s">
        <v>11187</v>
      </c>
      <c r="AZ3242" t="s">
        <v>11221</v>
      </c>
      <c r="BE3242" t="s">
        <v>13586</v>
      </c>
      <c r="BF3242" t="s">
        <v>14364</v>
      </c>
      <c r="BM3242" t="s">
        <v>15650</v>
      </c>
    </row>
    <row r="3243" spans="1:65">
      <c r="A3243" s="1">
        <f>HYPERLINK("https://lsnyc.legalserver.org/matter/dynamic-profile/view/1860901","18-1860901")</f>
        <v>0</v>
      </c>
      <c r="B3243" t="s">
        <v>193</v>
      </c>
      <c r="C3243" t="s">
        <v>246</v>
      </c>
      <c r="D3243" t="s">
        <v>944</v>
      </c>
      <c r="F3243" t="s">
        <v>2413</v>
      </c>
      <c r="G3243" t="s">
        <v>2308</v>
      </c>
      <c r="H3243" t="s">
        <v>5233</v>
      </c>
      <c r="I3243" t="s">
        <v>6974</v>
      </c>
      <c r="J3243" t="s">
        <v>7170</v>
      </c>
      <c r="K3243">
        <v>10453</v>
      </c>
      <c r="N3243" t="s">
        <v>7237</v>
      </c>
      <c r="O3243" t="s">
        <v>9352</v>
      </c>
      <c r="P3243">
        <v>2</v>
      </c>
      <c r="Q3243">
        <v>4</v>
      </c>
      <c r="R3243">
        <v>88.92</v>
      </c>
      <c r="U3243">
        <v>30000</v>
      </c>
      <c r="W3243">
        <v>1.2</v>
      </c>
      <c r="X3243" t="s">
        <v>438</v>
      </c>
      <c r="Y3243" t="s">
        <v>210</v>
      </c>
      <c r="AA3243" t="s">
        <v>10974</v>
      </c>
      <c r="AB3243" t="s">
        <v>1047</v>
      </c>
      <c r="AD3243" t="s">
        <v>11101</v>
      </c>
      <c r="AF3243" t="s">
        <v>11118</v>
      </c>
      <c r="AH3243" t="s">
        <v>10974</v>
      </c>
      <c r="AJ3243" t="s">
        <v>11130</v>
      </c>
      <c r="AK3243" t="s">
        <v>7225</v>
      </c>
      <c r="AM3243">
        <v>1325</v>
      </c>
      <c r="AO3243">
        <v>46</v>
      </c>
      <c r="AQ3243" t="s">
        <v>11157</v>
      </c>
      <c r="AS3243" t="s">
        <v>11176</v>
      </c>
      <c r="AU3243">
        <v>4</v>
      </c>
      <c r="AW3243" t="s">
        <v>11187</v>
      </c>
      <c r="AZ3243" t="s">
        <v>11221</v>
      </c>
      <c r="BB3243" t="s">
        <v>11224</v>
      </c>
      <c r="BC3243" t="s">
        <v>11524</v>
      </c>
      <c r="BE3243" t="s">
        <v>13571</v>
      </c>
      <c r="BG3243" t="s">
        <v>15209</v>
      </c>
      <c r="BM3243" t="s">
        <v>15650</v>
      </c>
    </row>
    <row r="3244" spans="1:65">
      <c r="A3244" s="1">
        <f>HYPERLINK("https://lsnyc.legalserver.org/matter/dynamic-profile/view/1873573","18-1873573")</f>
        <v>0</v>
      </c>
      <c r="B3244" t="s">
        <v>193</v>
      </c>
      <c r="C3244" t="s">
        <v>246</v>
      </c>
      <c r="D3244" t="s">
        <v>991</v>
      </c>
      <c r="F3244" t="s">
        <v>2423</v>
      </c>
      <c r="G3244" t="s">
        <v>3179</v>
      </c>
      <c r="H3244" t="s">
        <v>4846</v>
      </c>
      <c r="I3244" t="s">
        <v>6467</v>
      </c>
      <c r="J3244" t="s">
        <v>7170</v>
      </c>
      <c r="K3244">
        <v>10452</v>
      </c>
      <c r="N3244" t="s">
        <v>7237</v>
      </c>
      <c r="O3244" t="s">
        <v>9371</v>
      </c>
      <c r="P3244">
        <v>1</v>
      </c>
      <c r="Q3244">
        <v>0</v>
      </c>
      <c r="R3244">
        <v>83.62</v>
      </c>
      <c r="U3244">
        <v>10152</v>
      </c>
      <c r="W3244">
        <v>33.4</v>
      </c>
      <c r="X3244" t="s">
        <v>287</v>
      </c>
      <c r="Y3244" t="s">
        <v>10897</v>
      </c>
      <c r="AA3244" t="s">
        <v>10974</v>
      </c>
      <c r="AB3244" t="s">
        <v>802</v>
      </c>
      <c r="AD3244" t="s">
        <v>11101</v>
      </c>
      <c r="AF3244" t="s">
        <v>11118</v>
      </c>
      <c r="AH3244" t="s">
        <v>10974</v>
      </c>
      <c r="AJ3244" t="s">
        <v>11141</v>
      </c>
      <c r="AK3244" t="s">
        <v>7225</v>
      </c>
      <c r="AM3244">
        <v>177</v>
      </c>
      <c r="AO3244">
        <v>149</v>
      </c>
      <c r="AQ3244" t="s">
        <v>11157</v>
      </c>
      <c r="AS3244" t="s">
        <v>11175</v>
      </c>
      <c r="AU3244">
        <v>11</v>
      </c>
      <c r="AW3244" t="s">
        <v>11187</v>
      </c>
      <c r="AZ3244" t="s">
        <v>11221</v>
      </c>
      <c r="BD3244" t="s">
        <v>11667</v>
      </c>
      <c r="BG3244" t="s">
        <v>15210</v>
      </c>
      <c r="BM3244" t="s">
        <v>15650</v>
      </c>
    </row>
    <row r="3245" spans="1:65">
      <c r="A3245" s="1">
        <f>HYPERLINK("https://lsnyc.legalserver.org/matter/dynamic-profile/view/1876787","18-1876787")</f>
        <v>0</v>
      </c>
      <c r="B3245" t="s">
        <v>193</v>
      </c>
      <c r="C3245" t="s">
        <v>246</v>
      </c>
      <c r="D3245" t="s">
        <v>656</v>
      </c>
      <c r="F3245" t="s">
        <v>2423</v>
      </c>
      <c r="G3245" t="s">
        <v>3179</v>
      </c>
      <c r="H3245" t="s">
        <v>4846</v>
      </c>
      <c r="I3245" t="s">
        <v>6467</v>
      </c>
      <c r="J3245" t="s">
        <v>7170</v>
      </c>
      <c r="K3245">
        <v>10452</v>
      </c>
      <c r="N3245" t="s">
        <v>7237</v>
      </c>
      <c r="O3245" t="s">
        <v>9371</v>
      </c>
      <c r="P3245">
        <v>1</v>
      </c>
      <c r="Q3245">
        <v>0</v>
      </c>
      <c r="R3245">
        <v>83.62</v>
      </c>
      <c r="U3245">
        <v>10152</v>
      </c>
      <c r="W3245">
        <v>0</v>
      </c>
      <c r="Y3245" t="s">
        <v>10897</v>
      </c>
      <c r="AA3245" t="s">
        <v>10974</v>
      </c>
      <c r="AB3245" t="s">
        <v>620</v>
      </c>
      <c r="AD3245" t="s">
        <v>11086</v>
      </c>
      <c r="AF3245" t="s">
        <v>11120</v>
      </c>
      <c r="AH3245" t="s">
        <v>10974</v>
      </c>
      <c r="AJ3245" t="s">
        <v>11141</v>
      </c>
      <c r="AK3245" t="s">
        <v>7225</v>
      </c>
      <c r="AM3245">
        <v>177</v>
      </c>
      <c r="AO3245">
        <v>149</v>
      </c>
      <c r="AQ3245" t="s">
        <v>11157</v>
      </c>
      <c r="AS3245" t="s">
        <v>11175</v>
      </c>
      <c r="AU3245">
        <v>11</v>
      </c>
      <c r="AW3245" t="s">
        <v>11187</v>
      </c>
      <c r="AZ3245" t="s">
        <v>11221</v>
      </c>
      <c r="BD3245" t="s">
        <v>11667</v>
      </c>
      <c r="BF3245" t="s">
        <v>14364</v>
      </c>
      <c r="BM3245" t="s">
        <v>15650</v>
      </c>
    </row>
    <row r="3246" spans="1:65">
      <c r="A3246" s="1">
        <f>HYPERLINK("https://lsnyc.legalserver.org/matter/dynamic-profile/view/0820647","16-0820647")</f>
        <v>0</v>
      </c>
      <c r="B3246" t="s">
        <v>193</v>
      </c>
      <c r="C3246" t="s">
        <v>246</v>
      </c>
      <c r="D3246" t="s">
        <v>987</v>
      </c>
      <c r="F3246" t="s">
        <v>1155</v>
      </c>
      <c r="G3246" t="s">
        <v>2877</v>
      </c>
      <c r="H3246" t="s">
        <v>4975</v>
      </c>
      <c r="I3246" t="s">
        <v>6585</v>
      </c>
      <c r="J3246" t="s">
        <v>7170</v>
      </c>
      <c r="K3246">
        <v>10452</v>
      </c>
      <c r="N3246" t="s">
        <v>7237</v>
      </c>
      <c r="O3246" t="s">
        <v>8159</v>
      </c>
      <c r="P3246">
        <v>1</v>
      </c>
      <c r="Q3246">
        <v>0</v>
      </c>
      <c r="R3246">
        <v>183.84</v>
      </c>
      <c r="U3246">
        <v>21840</v>
      </c>
      <c r="W3246">
        <v>0.25</v>
      </c>
      <c r="X3246" t="s">
        <v>622</v>
      </c>
      <c r="Y3246" t="s">
        <v>10899</v>
      </c>
      <c r="AA3246" t="s">
        <v>10974</v>
      </c>
      <c r="AB3246" t="s">
        <v>11064</v>
      </c>
      <c r="AD3246" t="s">
        <v>11085</v>
      </c>
      <c r="AF3246" t="s">
        <v>11118</v>
      </c>
      <c r="AH3246" t="s">
        <v>10974</v>
      </c>
      <c r="AJ3246" t="s">
        <v>11130</v>
      </c>
      <c r="AK3246" t="s">
        <v>7225</v>
      </c>
      <c r="AM3246">
        <v>840.21</v>
      </c>
      <c r="AO3246">
        <v>130</v>
      </c>
      <c r="AQ3246" t="s">
        <v>11157</v>
      </c>
      <c r="AR3246" t="s">
        <v>11172</v>
      </c>
      <c r="AU3246">
        <v>6</v>
      </c>
      <c r="AW3246" t="s">
        <v>11189</v>
      </c>
      <c r="AZ3246" t="s">
        <v>11221</v>
      </c>
      <c r="BE3246" t="s">
        <v>13587</v>
      </c>
      <c r="BG3246" t="s">
        <v>14477</v>
      </c>
      <c r="BM3246" t="s">
        <v>15650</v>
      </c>
    </row>
    <row r="3247" spans="1:65">
      <c r="A3247" s="1">
        <f>HYPERLINK("https://lsnyc.legalserver.org/matter/dynamic-profile/view/1860891","18-1860891")</f>
        <v>0</v>
      </c>
      <c r="B3247" t="s">
        <v>193</v>
      </c>
      <c r="C3247" t="s">
        <v>246</v>
      </c>
      <c r="D3247" t="s">
        <v>944</v>
      </c>
      <c r="F3247" t="s">
        <v>2424</v>
      </c>
      <c r="G3247" t="s">
        <v>3168</v>
      </c>
      <c r="H3247" t="s">
        <v>5233</v>
      </c>
      <c r="I3247" t="s">
        <v>6803</v>
      </c>
      <c r="J3247" t="s">
        <v>7170</v>
      </c>
      <c r="K3247">
        <v>10453</v>
      </c>
      <c r="N3247" t="s">
        <v>7237</v>
      </c>
      <c r="O3247" t="s">
        <v>9372</v>
      </c>
      <c r="P3247">
        <v>2</v>
      </c>
      <c r="Q3247">
        <v>3</v>
      </c>
      <c r="R3247">
        <v>288.46</v>
      </c>
      <c r="U3247">
        <v>106964</v>
      </c>
      <c r="W3247">
        <v>1.3</v>
      </c>
      <c r="X3247" t="s">
        <v>295</v>
      </c>
      <c r="Y3247" t="s">
        <v>210</v>
      </c>
      <c r="AA3247" t="s">
        <v>10974</v>
      </c>
      <c r="AB3247" t="s">
        <v>1047</v>
      </c>
      <c r="AD3247" t="s">
        <v>11101</v>
      </c>
      <c r="AF3247" t="s">
        <v>11118</v>
      </c>
      <c r="AH3247" t="s">
        <v>10974</v>
      </c>
      <c r="AJ3247" t="s">
        <v>11130</v>
      </c>
      <c r="AK3247" t="s">
        <v>7225</v>
      </c>
      <c r="AM3247">
        <v>1340</v>
      </c>
      <c r="AO3247">
        <v>46</v>
      </c>
      <c r="AQ3247" t="s">
        <v>11157</v>
      </c>
      <c r="AS3247" t="s">
        <v>11173</v>
      </c>
      <c r="AU3247">
        <v>5</v>
      </c>
      <c r="AW3247" t="s">
        <v>11187</v>
      </c>
      <c r="AZ3247" t="s">
        <v>11221</v>
      </c>
      <c r="BE3247" t="s">
        <v>13588</v>
      </c>
      <c r="BG3247" t="s">
        <v>15209</v>
      </c>
      <c r="BM3247" t="s">
        <v>15650</v>
      </c>
    </row>
    <row r="3248" spans="1:65">
      <c r="A3248" s="1">
        <f>HYPERLINK("https://lsnyc.legalserver.org/matter/dynamic-profile/view/0824111","17-0824111")</f>
        <v>0</v>
      </c>
      <c r="B3248" t="s">
        <v>193</v>
      </c>
      <c r="C3248" t="s">
        <v>246</v>
      </c>
      <c r="D3248" t="s">
        <v>992</v>
      </c>
      <c r="F3248" t="s">
        <v>1563</v>
      </c>
      <c r="G3248" t="s">
        <v>3032</v>
      </c>
      <c r="H3248" t="s">
        <v>4975</v>
      </c>
      <c r="I3248" t="s">
        <v>6471</v>
      </c>
      <c r="J3248" t="s">
        <v>7170</v>
      </c>
      <c r="K3248">
        <v>10452</v>
      </c>
      <c r="N3248" t="s">
        <v>7237</v>
      </c>
      <c r="O3248" t="s">
        <v>9373</v>
      </c>
      <c r="P3248">
        <v>2</v>
      </c>
      <c r="Q3248">
        <v>0</v>
      </c>
      <c r="R3248">
        <v>421.97</v>
      </c>
      <c r="U3248">
        <v>67600</v>
      </c>
      <c r="W3248">
        <v>0</v>
      </c>
      <c r="Y3248" t="s">
        <v>138</v>
      </c>
      <c r="AA3248" t="s">
        <v>10974</v>
      </c>
      <c r="AB3248" t="s">
        <v>992</v>
      </c>
      <c r="AD3248" t="s">
        <v>11085</v>
      </c>
      <c r="AF3248" t="s">
        <v>11118</v>
      </c>
      <c r="AH3248" t="s">
        <v>10974</v>
      </c>
      <c r="AI3248" t="s">
        <v>11126</v>
      </c>
      <c r="AK3248" t="s">
        <v>7225</v>
      </c>
      <c r="AM3248">
        <v>748.29</v>
      </c>
      <c r="AO3248">
        <v>130</v>
      </c>
      <c r="AQ3248" t="s">
        <v>11157</v>
      </c>
      <c r="AR3248" t="s">
        <v>11172</v>
      </c>
      <c r="AU3248">
        <v>10</v>
      </c>
      <c r="AW3248" t="s">
        <v>11187</v>
      </c>
      <c r="AZ3248" t="s">
        <v>11221</v>
      </c>
      <c r="BE3248" t="s">
        <v>13589</v>
      </c>
      <c r="BF3248" t="s">
        <v>14364</v>
      </c>
      <c r="BM3248" t="s">
        <v>15650</v>
      </c>
    </row>
    <row r="3249" spans="1:65">
      <c r="A3249" s="1">
        <f>HYPERLINK("https://lsnyc.legalserver.org/matter/dynamic-profile/view/1897378","19-1897378")</f>
        <v>0</v>
      </c>
      <c r="B3249" t="s">
        <v>193</v>
      </c>
      <c r="C3249" t="s">
        <v>246</v>
      </c>
      <c r="D3249" t="s">
        <v>583</v>
      </c>
      <c r="F3249" t="s">
        <v>2082</v>
      </c>
      <c r="G3249" t="s">
        <v>2308</v>
      </c>
      <c r="H3249" t="s">
        <v>5700</v>
      </c>
      <c r="I3249" t="s">
        <v>6424</v>
      </c>
      <c r="J3249" t="s">
        <v>7170</v>
      </c>
      <c r="K3249">
        <v>10453</v>
      </c>
      <c r="N3249" t="s">
        <v>7237</v>
      </c>
      <c r="O3249" t="s">
        <v>9374</v>
      </c>
      <c r="P3249">
        <v>1</v>
      </c>
      <c r="Q3249">
        <v>0</v>
      </c>
      <c r="R3249">
        <v>76</v>
      </c>
      <c r="U3249">
        <v>9492</v>
      </c>
      <c r="W3249">
        <v>1</v>
      </c>
      <c r="X3249" t="s">
        <v>583</v>
      </c>
      <c r="Y3249" t="s">
        <v>193</v>
      </c>
      <c r="AA3249" t="s">
        <v>10974</v>
      </c>
      <c r="AB3249" t="s">
        <v>583</v>
      </c>
      <c r="AD3249" t="s">
        <v>11090</v>
      </c>
      <c r="AF3249" t="s">
        <v>11119</v>
      </c>
      <c r="AH3249" t="s">
        <v>10975</v>
      </c>
      <c r="AJ3249" t="s">
        <v>11130</v>
      </c>
      <c r="AK3249" t="s">
        <v>7225</v>
      </c>
      <c r="AM3249">
        <v>1525.83</v>
      </c>
      <c r="AN3249" t="s">
        <v>11151</v>
      </c>
      <c r="AO3249" t="s">
        <v>11153</v>
      </c>
      <c r="AQ3249" t="s">
        <v>11157</v>
      </c>
      <c r="AS3249" t="s">
        <v>11174</v>
      </c>
      <c r="AU3249">
        <v>16</v>
      </c>
      <c r="AW3249" t="s">
        <v>11189</v>
      </c>
      <c r="BA3249" t="s">
        <v>11222</v>
      </c>
      <c r="BD3249" t="s">
        <v>11667</v>
      </c>
      <c r="BF3249" t="s">
        <v>14364</v>
      </c>
      <c r="BM3249" t="s">
        <v>15650</v>
      </c>
    </row>
    <row r="3250" spans="1:65">
      <c r="A3250" s="1">
        <f>HYPERLINK("https://lsnyc.legalserver.org/matter/dynamic-profile/view/1854707","17-1854707")</f>
        <v>0</v>
      </c>
      <c r="B3250" t="s">
        <v>193</v>
      </c>
      <c r="C3250" t="s">
        <v>246</v>
      </c>
      <c r="D3250" t="s">
        <v>993</v>
      </c>
      <c r="F3250" t="s">
        <v>1212</v>
      </c>
      <c r="G3250" t="s">
        <v>3165</v>
      </c>
      <c r="H3250" t="s">
        <v>5917</v>
      </c>
      <c r="I3250" t="s">
        <v>6420</v>
      </c>
      <c r="J3250" t="s">
        <v>7170</v>
      </c>
      <c r="K3250">
        <v>10452</v>
      </c>
      <c r="N3250" t="s">
        <v>7237</v>
      </c>
      <c r="O3250" t="s">
        <v>9361</v>
      </c>
      <c r="P3250">
        <v>3</v>
      </c>
      <c r="Q3250">
        <v>0</v>
      </c>
      <c r="R3250">
        <v>254.65</v>
      </c>
      <c r="U3250">
        <v>83200</v>
      </c>
      <c r="W3250">
        <v>0.4</v>
      </c>
      <c r="X3250" t="s">
        <v>993</v>
      </c>
      <c r="Y3250" t="s">
        <v>210</v>
      </c>
      <c r="AA3250" t="s">
        <v>10974</v>
      </c>
      <c r="AB3250" t="s">
        <v>458</v>
      </c>
      <c r="AD3250" t="s">
        <v>11096</v>
      </c>
      <c r="AF3250" t="s">
        <v>11122</v>
      </c>
      <c r="AH3250" t="s">
        <v>10974</v>
      </c>
      <c r="AJ3250" t="s">
        <v>11141</v>
      </c>
      <c r="AK3250" t="s">
        <v>7225</v>
      </c>
      <c r="AL3250" t="s">
        <v>11150</v>
      </c>
      <c r="AM3250">
        <v>0</v>
      </c>
      <c r="AO3250">
        <v>62</v>
      </c>
      <c r="AQ3250" t="s">
        <v>11157</v>
      </c>
      <c r="AS3250" t="s">
        <v>11173</v>
      </c>
      <c r="AT3250" t="s">
        <v>11184</v>
      </c>
      <c r="AU3250">
        <v>0</v>
      </c>
      <c r="AW3250" t="s">
        <v>11187</v>
      </c>
      <c r="AZ3250" t="s">
        <v>11221</v>
      </c>
      <c r="BE3250" t="s">
        <v>13579</v>
      </c>
      <c r="BF3250" t="s">
        <v>14364</v>
      </c>
      <c r="BG3250" t="s">
        <v>15205</v>
      </c>
      <c r="BM3250" t="s">
        <v>15650</v>
      </c>
    </row>
    <row r="3251" spans="1:65">
      <c r="A3251" s="1">
        <f>HYPERLINK("https://lsnyc.legalserver.org/matter/dynamic-profile/view/1855081","18-1855081")</f>
        <v>0</v>
      </c>
      <c r="B3251" t="s">
        <v>193</v>
      </c>
      <c r="C3251" t="s">
        <v>246</v>
      </c>
      <c r="D3251" t="s">
        <v>413</v>
      </c>
      <c r="F3251" t="s">
        <v>1212</v>
      </c>
      <c r="G3251" t="s">
        <v>3165</v>
      </c>
      <c r="H3251" t="s">
        <v>5917</v>
      </c>
      <c r="I3251" t="s">
        <v>6420</v>
      </c>
      <c r="J3251" t="s">
        <v>7170</v>
      </c>
      <c r="K3251">
        <v>10452</v>
      </c>
      <c r="N3251" t="s">
        <v>7237</v>
      </c>
      <c r="O3251" t="s">
        <v>9361</v>
      </c>
      <c r="P3251">
        <v>3</v>
      </c>
      <c r="Q3251">
        <v>0</v>
      </c>
      <c r="R3251">
        <v>254.65</v>
      </c>
      <c r="U3251">
        <v>83200</v>
      </c>
      <c r="W3251">
        <v>0</v>
      </c>
      <c r="Y3251" t="s">
        <v>10899</v>
      </c>
      <c r="AA3251" t="s">
        <v>10974</v>
      </c>
      <c r="AB3251" t="s">
        <v>458</v>
      </c>
      <c r="AD3251" t="s">
        <v>11096</v>
      </c>
      <c r="AF3251" t="s">
        <v>11122</v>
      </c>
      <c r="AH3251" t="s">
        <v>10974</v>
      </c>
      <c r="AJ3251" t="s">
        <v>11141</v>
      </c>
      <c r="AK3251" t="s">
        <v>7225</v>
      </c>
      <c r="AL3251" t="s">
        <v>11150</v>
      </c>
      <c r="AM3251">
        <v>0</v>
      </c>
      <c r="AO3251">
        <v>62</v>
      </c>
      <c r="AQ3251" t="s">
        <v>11157</v>
      </c>
      <c r="AS3251" t="s">
        <v>11173</v>
      </c>
      <c r="AT3251" t="s">
        <v>11184</v>
      </c>
      <c r="AU3251">
        <v>0</v>
      </c>
      <c r="AW3251" t="s">
        <v>11187</v>
      </c>
      <c r="AZ3251" t="s">
        <v>11221</v>
      </c>
      <c r="BE3251" t="s">
        <v>13579</v>
      </c>
      <c r="BG3251" t="s">
        <v>15203</v>
      </c>
      <c r="BM3251" t="s">
        <v>15650</v>
      </c>
    </row>
    <row r="3252" spans="1:65">
      <c r="A3252" s="1">
        <f>HYPERLINK("https://lsnyc.legalserver.org/matter/dynamic-profile/view/1908942","19-1908942")</f>
        <v>0</v>
      </c>
      <c r="B3252" t="s">
        <v>193</v>
      </c>
      <c r="C3252" t="s">
        <v>246</v>
      </c>
      <c r="D3252" t="s">
        <v>420</v>
      </c>
      <c r="F3252" t="s">
        <v>1251</v>
      </c>
      <c r="G3252" t="s">
        <v>3091</v>
      </c>
      <c r="H3252" t="s">
        <v>5921</v>
      </c>
      <c r="I3252" t="s">
        <v>6413</v>
      </c>
      <c r="J3252" t="s">
        <v>7170</v>
      </c>
      <c r="K3252">
        <v>10460</v>
      </c>
      <c r="N3252" t="s">
        <v>7237</v>
      </c>
      <c r="O3252" t="s">
        <v>9375</v>
      </c>
      <c r="P3252">
        <v>2</v>
      </c>
      <c r="Q3252">
        <v>0</v>
      </c>
      <c r="R3252">
        <v>86.22</v>
      </c>
      <c r="U3252">
        <v>14580</v>
      </c>
      <c r="W3252">
        <v>8.6</v>
      </c>
      <c r="X3252" t="s">
        <v>735</v>
      </c>
      <c r="Y3252" t="s">
        <v>82</v>
      </c>
      <c r="AA3252" t="s">
        <v>10974</v>
      </c>
      <c r="AD3252" t="s">
        <v>11086</v>
      </c>
      <c r="AF3252" t="s">
        <v>11119</v>
      </c>
      <c r="AH3252" t="s">
        <v>10975</v>
      </c>
      <c r="AJ3252" t="s">
        <v>11141</v>
      </c>
      <c r="AK3252" t="s">
        <v>7225</v>
      </c>
      <c r="AM3252">
        <v>818.75</v>
      </c>
      <c r="AO3252">
        <v>20</v>
      </c>
      <c r="AQ3252" t="s">
        <v>11159</v>
      </c>
      <c r="AS3252" t="s">
        <v>11173</v>
      </c>
      <c r="AU3252">
        <v>15</v>
      </c>
      <c r="AW3252" t="s">
        <v>11187</v>
      </c>
      <c r="AX3252" t="s">
        <v>11212</v>
      </c>
      <c r="BA3252" t="s">
        <v>11222</v>
      </c>
      <c r="BE3252" t="s">
        <v>13590</v>
      </c>
      <c r="BF3252" t="s">
        <v>14364</v>
      </c>
      <c r="BM3252" t="s">
        <v>15650</v>
      </c>
    </row>
    <row r="3253" spans="1:65">
      <c r="A3253" s="1">
        <f>HYPERLINK("https://lsnyc.legalserver.org/matter/dynamic-profile/view/1893957","19-1893957")</f>
        <v>0</v>
      </c>
      <c r="B3253" t="s">
        <v>193</v>
      </c>
      <c r="C3253" t="s">
        <v>246</v>
      </c>
      <c r="D3253" t="s">
        <v>334</v>
      </c>
      <c r="F3253" t="s">
        <v>2425</v>
      </c>
      <c r="G3253" t="s">
        <v>3140</v>
      </c>
      <c r="H3253" t="s">
        <v>5373</v>
      </c>
      <c r="I3253" t="s">
        <v>6424</v>
      </c>
      <c r="J3253" t="s">
        <v>7170</v>
      </c>
      <c r="K3253">
        <v>10456</v>
      </c>
      <c r="N3253" t="s">
        <v>7237</v>
      </c>
      <c r="O3253" t="s">
        <v>8443</v>
      </c>
      <c r="P3253">
        <v>1</v>
      </c>
      <c r="Q3253">
        <v>1</v>
      </c>
      <c r="R3253">
        <v>183.28</v>
      </c>
      <c r="U3253">
        <v>30992</v>
      </c>
      <c r="W3253">
        <v>1.7</v>
      </c>
      <c r="X3253" t="s">
        <v>435</v>
      </c>
      <c r="Y3253" t="s">
        <v>82</v>
      </c>
      <c r="AA3253" t="s">
        <v>10974</v>
      </c>
      <c r="AB3253" t="s">
        <v>334</v>
      </c>
      <c r="AD3253" t="s">
        <v>11086</v>
      </c>
      <c r="AF3253" t="s">
        <v>11119</v>
      </c>
      <c r="AH3253" t="s">
        <v>10975</v>
      </c>
      <c r="AJ3253" t="s">
        <v>11141</v>
      </c>
      <c r="AK3253" t="s">
        <v>7225</v>
      </c>
      <c r="AM3253">
        <v>1404.38</v>
      </c>
      <c r="AO3253">
        <v>131</v>
      </c>
      <c r="AQ3253" t="s">
        <v>11157</v>
      </c>
      <c r="AS3253" t="s">
        <v>11173</v>
      </c>
      <c r="AU3253">
        <v>4</v>
      </c>
      <c r="AW3253" t="s">
        <v>11189</v>
      </c>
      <c r="AZ3253" t="s">
        <v>11221</v>
      </c>
      <c r="BE3253" t="s">
        <v>12727</v>
      </c>
      <c r="BF3253" t="s">
        <v>14364</v>
      </c>
      <c r="BM3253" t="s">
        <v>15650</v>
      </c>
    </row>
    <row r="3254" spans="1:65">
      <c r="A3254" s="1">
        <f>HYPERLINK("https://lsnyc.legalserver.org/matter/dynamic-profile/view/1834046","17-1834046")</f>
        <v>0</v>
      </c>
      <c r="B3254" t="s">
        <v>193</v>
      </c>
      <c r="C3254" t="s">
        <v>246</v>
      </c>
      <c r="D3254" t="s">
        <v>988</v>
      </c>
      <c r="F3254" t="s">
        <v>2426</v>
      </c>
      <c r="G3254" t="s">
        <v>4236</v>
      </c>
      <c r="H3254" t="s">
        <v>4975</v>
      </c>
      <c r="I3254" t="s">
        <v>6448</v>
      </c>
      <c r="J3254" t="s">
        <v>7170</v>
      </c>
      <c r="K3254">
        <v>10452</v>
      </c>
      <c r="N3254" t="s">
        <v>7237</v>
      </c>
      <c r="O3254" t="s">
        <v>7582</v>
      </c>
      <c r="P3254">
        <v>1</v>
      </c>
      <c r="Q3254">
        <v>3</v>
      </c>
      <c r="R3254">
        <v>85.37</v>
      </c>
      <c r="U3254">
        <v>21000</v>
      </c>
      <c r="W3254">
        <v>1.2</v>
      </c>
      <c r="X3254" t="s">
        <v>10848</v>
      </c>
      <c r="Y3254" t="s">
        <v>10899</v>
      </c>
      <c r="AA3254" t="s">
        <v>10974</v>
      </c>
      <c r="AB3254" t="s">
        <v>790</v>
      </c>
      <c r="AC3254" t="s">
        <v>11081</v>
      </c>
      <c r="AF3254" t="s">
        <v>11120</v>
      </c>
      <c r="AH3254" t="s">
        <v>10974</v>
      </c>
      <c r="AJ3254" t="s">
        <v>11134</v>
      </c>
      <c r="AK3254" t="s">
        <v>7225</v>
      </c>
      <c r="AM3254">
        <v>891.5</v>
      </c>
      <c r="AN3254" t="s">
        <v>11151</v>
      </c>
      <c r="AO3254" t="s">
        <v>11153</v>
      </c>
      <c r="AQ3254" t="s">
        <v>11157</v>
      </c>
      <c r="AR3254" t="s">
        <v>11172</v>
      </c>
      <c r="AU3254">
        <v>10</v>
      </c>
      <c r="AW3254" t="s">
        <v>11187</v>
      </c>
      <c r="AZ3254" t="s">
        <v>11221</v>
      </c>
      <c r="BE3254" t="s">
        <v>13591</v>
      </c>
      <c r="BF3254" t="s">
        <v>14364</v>
      </c>
      <c r="BM3254" t="s">
        <v>15650</v>
      </c>
    </row>
    <row r="3255" spans="1:65">
      <c r="A3255" s="1">
        <f>HYPERLINK("https://lsnyc.legalserver.org/matter/dynamic-profile/view/0830063","17-0830063")</f>
        <v>0</v>
      </c>
      <c r="B3255" t="s">
        <v>193</v>
      </c>
      <c r="C3255" t="s">
        <v>246</v>
      </c>
      <c r="D3255" t="s">
        <v>986</v>
      </c>
      <c r="F3255" t="s">
        <v>2421</v>
      </c>
      <c r="G3255" t="s">
        <v>3116</v>
      </c>
      <c r="H3255" t="s">
        <v>4975</v>
      </c>
      <c r="I3255" t="s">
        <v>6541</v>
      </c>
      <c r="J3255" t="s">
        <v>7170</v>
      </c>
      <c r="K3255">
        <v>10452</v>
      </c>
      <c r="N3255" t="s">
        <v>7237</v>
      </c>
      <c r="O3255" t="s">
        <v>9368</v>
      </c>
      <c r="P3255">
        <v>2</v>
      </c>
      <c r="Q3255">
        <v>0</v>
      </c>
      <c r="R3255">
        <v>264.78</v>
      </c>
      <c r="U3255">
        <v>49000</v>
      </c>
      <c r="W3255">
        <v>0</v>
      </c>
      <c r="Y3255" t="s">
        <v>10899</v>
      </c>
      <c r="AA3255" t="s">
        <v>10974</v>
      </c>
      <c r="AB3255" t="s">
        <v>924</v>
      </c>
      <c r="AD3255" t="s">
        <v>11085</v>
      </c>
      <c r="AF3255" t="s">
        <v>11118</v>
      </c>
      <c r="AH3255" t="s">
        <v>10974</v>
      </c>
      <c r="AJ3255" t="s">
        <v>11141</v>
      </c>
      <c r="AK3255" t="s">
        <v>7225</v>
      </c>
      <c r="AM3255">
        <v>1053.7</v>
      </c>
      <c r="AO3255">
        <v>130</v>
      </c>
      <c r="AQ3255" t="s">
        <v>11157</v>
      </c>
      <c r="AR3255" t="s">
        <v>11172</v>
      </c>
      <c r="AU3255">
        <v>6</v>
      </c>
      <c r="AW3255" t="s">
        <v>11187</v>
      </c>
      <c r="AZ3255" t="s">
        <v>11221</v>
      </c>
      <c r="BE3255" t="s">
        <v>13584</v>
      </c>
      <c r="BG3255" t="s">
        <v>14477</v>
      </c>
      <c r="BM3255" t="s">
        <v>15650</v>
      </c>
    </row>
    <row r="3256" spans="1:65">
      <c r="A3256" s="1">
        <f>HYPERLINK("https://lsnyc.legalserver.org/matter/dynamic-profile/view/1881478","18-1881478")</f>
        <v>0</v>
      </c>
      <c r="B3256" t="s">
        <v>193</v>
      </c>
      <c r="C3256" t="s">
        <v>246</v>
      </c>
      <c r="D3256" t="s">
        <v>663</v>
      </c>
      <c r="F3256" t="s">
        <v>2427</v>
      </c>
      <c r="G3256" t="s">
        <v>2998</v>
      </c>
      <c r="H3256" t="s">
        <v>5922</v>
      </c>
      <c r="I3256" t="s">
        <v>6415</v>
      </c>
      <c r="J3256" t="s">
        <v>7170</v>
      </c>
      <c r="K3256">
        <v>10457</v>
      </c>
      <c r="N3256" t="s">
        <v>7237</v>
      </c>
      <c r="O3256" t="s">
        <v>9376</v>
      </c>
      <c r="P3256">
        <v>1</v>
      </c>
      <c r="Q3256">
        <v>0</v>
      </c>
      <c r="R3256">
        <v>83.81999999999999</v>
      </c>
      <c r="U3256">
        <v>10176</v>
      </c>
      <c r="W3256">
        <v>0</v>
      </c>
      <c r="Y3256" t="s">
        <v>10897</v>
      </c>
      <c r="AA3256" t="s">
        <v>10974</v>
      </c>
      <c r="AB3256" t="s">
        <v>597</v>
      </c>
      <c r="AD3256" t="s">
        <v>11090</v>
      </c>
      <c r="AF3256" t="s">
        <v>11123</v>
      </c>
      <c r="AH3256" t="s">
        <v>10974</v>
      </c>
      <c r="AJ3256" t="s">
        <v>11141</v>
      </c>
      <c r="AK3256" t="s">
        <v>7225</v>
      </c>
      <c r="AL3256" t="s">
        <v>11150</v>
      </c>
      <c r="AM3256">
        <v>0</v>
      </c>
      <c r="AO3256">
        <v>38</v>
      </c>
      <c r="AQ3256" t="s">
        <v>11164</v>
      </c>
      <c r="AR3256" t="s">
        <v>11172</v>
      </c>
      <c r="AU3256">
        <v>1</v>
      </c>
      <c r="AW3256" t="s">
        <v>11189</v>
      </c>
      <c r="AZ3256" t="s">
        <v>11221</v>
      </c>
      <c r="BC3256" t="s">
        <v>11525</v>
      </c>
      <c r="BE3256" t="s">
        <v>13592</v>
      </c>
      <c r="BG3256" t="s">
        <v>15215</v>
      </c>
      <c r="BM3256" t="s">
        <v>15650</v>
      </c>
    </row>
    <row r="3257" spans="1:65">
      <c r="A3257" s="1">
        <f>HYPERLINK("https://lsnyc.legalserver.org/matter/dynamic-profile/view/0822162","16-0822162")</f>
        <v>0</v>
      </c>
      <c r="B3257" t="s">
        <v>193</v>
      </c>
      <c r="C3257" t="s">
        <v>246</v>
      </c>
      <c r="D3257" t="s">
        <v>278</v>
      </c>
      <c r="F3257" t="s">
        <v>1212</v>
      </c>
      <c r="G3257" t="s">
        <v>3165</v>
      </c>
      <c r="H3257" t="s">
        <v>5917</v>
      </c>
      <c r="I3257" t="s">
        <v>6420</v>
      </c>
      <c r="J3257" t="s">
        <v>7170</v>
      </c>
      <c r="K3257">
        <v>10452</v>
      </c>
      <c r="N3257" t="s">
        <v>7237</v>
      </c>
      <c r="O3257" t="s">
        <v>9361</v>
      </c>
      <c r="P3257">
        <v>3</v>
      </c>
      <c r="Q3257">
        <v>0</v>
      </c>
      <c r="R3257">
        <v>257.94</v>
      </c>
      <c r="U3257">
        <v>83200</v>
      </c>
      <c r="W3257">
        <v>0.3</v>
      </c>
      <c r="X3257" t="s">
        <v>383</v>
      </c>
      <c r="Y3257" t="s">
        <v>10899</v>
      </c>
      <c r="AA3257" t="s">
        <v>10974</v>
      </c>
      <c r="AB3257" t="s">
        <v>10978</v>
      </c>
      <c r="AD3257" t="s">
        <v>11096</v>
      </c>
      <c r="AF3257" t="s">
        <v>11122</v>
      </c>
      <c r="AH3257" t="s">
        <v>10974</v>
      </c>
      <c r="AJ3257" t="s">
        <v>11141</v>
      </c>
      <c r="AK3257" t="s">
        <v>7225</v>
      </c>
      <c r="AL3257" t="s">
        <v>11150</v>
      </c>
      <c r="AM3257">
        <v>0</v>
      </c>
      <c r="AO3257">
        <v>62</v>
      </c>
      <c r="AQ3257" t="s">
        <v>11157</v>
      </c>
      <c r="AS3257" t="s">
        <v>11173</v>
      </c>
      <c r="AT3257" t="s">
        <v>11184</v>
      </c>
      <c r="AU3257">
        <v>0</v>
      </c>
      <c r="AW3257" t="s">
        <v>11187</v>
      </c>
      <c r="AZ3257" t="s">
        <v>11221</v>
      </c>
      <c r="BE3257" t="s">
        <v>13579</v>
      </c>
      <c r="BG3257" t="s">
        <v>15202</v>
      </c>
      <c r="BM3257" t="s">
        <v>15650</v>
      </c>
    </row>
    <row r="3258" spans="1:65">
      <c r="A3258" s="1">
        <f>HYPERLINK("https://lsnyc.legalserver.org/matter/dynamic-profile/view/1901417","19-1901417")</f>
        <v>0</v>
      </c>
      <c r="B3258" t="s">
        <v>193</v>
      </c>
      <c r="C3258" t="s">
        <v>246</v>
      </c>
      <c r="D3258" t="s">
        <v>701</v>
      </c>
      <c r="F3258" t="s">
        <v>1177</v>
      </c>
      <c r="G3258" t="s">
        <v>1414</v>
      </c>
      <c r="H3258" t="s">
        <v>5918</v>
      </c>
      <c r="I3258" t="s">
        <v>6413</v>
      </c>
      <c r="J3258" t="s">
        <v>7170</v>
      </c>
      <c r="K3258">
        <v>10452</v>
      </c>
      <c r="N3258" t="s">
        <v>7237</v>
      </c>
      <c r="O3258" t="s">
        <v>9377</v>
      </c>
      <c r="P3258">
        <v>1</v>
      </c>
      <c r="Q3258">
        <v>0</v>
      </c>
      <c r="R3258">
        <v>85.03</v>
      </c>
      <c r="U3258">
        <v>10620</v>
      </c>
      <c r="W3258">
        <v>0</v>
      </c>
      <c r="Y3258" t="s">
        <v>93</v>
      </c>
      <c r="AA3258" t="s">
        <v>10974</v>
      </c>
      <c r="AB3258" t="s">
        <v>10979</v>
      </c>
      <c r="AD3258" t="s">
        <v>11098</v>
      </c>
      <c r="AF3258" t="s">
        <v>11118</v>
      </c>
      <c r="AH3258" t="s">
        <v>10974</v>
      </c>
      <c r="AJ3258" t="s">
        <v>11134</v>
      </c>
      <c r="AK3258" t="s">
        <v>7225</v>
      </c>
      <c r="AM3258">
        <v>1200</v>
      </c>
      <c r="AO3258">
        <v>52</v>
      </c>
      <c r="AQ3258" t="s">
        <v>11157</v>
      </c>
      <c r="AS3258" t="s">
        <v>11177</v>
      </c>
      <c r="AU3258">
        <v>1</v>
      </c>
      <c r="AW3258" t="s">
        <v>11187</v>
      </c>
      <c r="BA3258" t="s">
        <v>11222</v>
      </c>
      <c r="BD3258" t="s">
        <v>11667</v>
      </c>
      <c r="BF3258" t="s">
        <v>14364</v>
      </c>
      <c r="BM3258" t="s">
        <v>15650</v>
      </c>
    </row>
    <row r="3259" spans="1:65">
      <c r="A3259" s="1">
        <f>HYPERLINK("https://lsnyc.legalserver.org/matter/dynamic-profile/view/0817070","16-0817070")</f>
        <v>0</v>
      </c>
      <c r="B3259" t="s">
        <v>193</v>
      </c>
      <c r="C3259" t="s">
        <v>246</v>
      </c>
      <c r="D3259" t="s">
        <v>994</v>
      </c>
      <c r="F3259" t="s">
        <v>1212</v>
      </c>
      <c r="G3259" t="s">
        <v>3165</v>
      </c>
      <c r="H3259" t="s">
        <v>5917</v>
      </c>
      <c r="I3259" t="s">
        <v>6420</v>
      </c>
      <c r="J3259" t="s">
        <v>7170</v>
      </c>
      <c r="K3259">
        <v>10452</v>
      </c>
      <c r="N3259" t="s">
        <v>7237</v>
      </c>
      <c r="O3259" t="s">
        <v>9361</v>
      </c>
      <c r="P3259">
        <v>3</v>
      </c>
      <c r="Q3259">
        <v>0</v>
      </c>
      <c r="R3259">
        <v>257.94</v>
      </c>
      <c r="U3259">
        <v>83200</v>
      </c>
      <c r="W3259">
        <v>1.4</v>
      </c>
      <c r="X3259" t="s">
        <v>383</v>
      </c>
      <c r="Y3259" t="s">
        <v>10899</v>
      </c>
      <c r="AA3259" t="s">
        <v>10974</v>
      </c>
      <c r="AB3259" t="s">
        <v>838</v>
      </c>
      <c r="AD3259" t="s">
        <v>11096</v>
      </c>
      <c r="AF3259" t="s">
        <v>11122</v>
      </c>
      <c r="AH3259" t="s">
        <v>10974</v>
      </c>
      <c r="AJ3259" t="s">
        <v>11141</v>
      </c>
      <c r="AK3259" t="s">
        <v>7225</v>
      </c>
      <c r="AM3259">
        <v>1200</v>
      </c>
      <c r="AO3259">
        <v>62</v>
      </c>
      <c r="AQ3259" t="s">
        <v>11157</v>
      </c>
      <c r="AS3259" t="s">
        <v>11173</v>
      </c>
      <c r="AU3259">
        <v>5</v>
      </c>
      <c r="AW3259" t="s">
        <v>11187</v>
      </c>
      <c r="AZ3259" t="s">
        <v>11221</v>
      </c>
      <c r="BE3259" t="s">
        <v>13579</v>
      </c>
      <c r="BG3259" t="s">
        <v>15206</v>
      </c>
      <c r="BM3259" t="s">
        <v>15650</v>
      </c>
    </row>
    <row r="3260" spans="1:65">
      <c r="A3260" s="1">
        <f>HYPERLINK("https://lsnyc.legalserver.org/matter/dynamic-profile/view/1883558","18-1883558")</f>
        <v>0</v>
      </c>
      <c r="B3260" t="s">
        <v>193</v>
      </c>
      <c r="C3260" t="s">
        <v>246</v>
      </c>
      <c r="D3260" t="s">
        <v>995</v>
      </c>
      <c r="F3260" t="s">
        <v>1348</v>
      </c>
      <c r="G3260" t="s">
        <v>2885</v>
      </c>
      <c r="H3260" t="s">
        <v>5923</v>
      </c>
      <c r="I3260" t="s">
        <v>6975</v>
      </c>
      <c r="J3260" t="s">
        <v>7170</v>
      </c>
      <c r="K3260">
        <v>10452</v>
      </c>
      <c r="N3260" t="s">
        <v>7237</v>
      </c>
      <c r="O3260" t="s">
        <v>9378</v>
      </c>
      <c r="P3260">
        <v>2</v>
      </c>
      <c r="Q3260">
        <v>0</v>
      </c>
      <c r="R3260">
        <v>91.86</v>
      </c>
      <c r="U3260">
        <v>15120</v>
      </c>
      <c r="W3260">
        <v>0.35</v>
      </c>
      <c r="X3260" t="s">
        <v>287</v>
      </c>
      <c r="Y3260" t="s">
        <v>10897</v>
      </c>
      <c r="Z3260" t="s">
        <v>10973</v>
      </c>
      <c r="AA3260" t="s">
        <v>10975</v>
      </c>
      <c r="AB3260" t="s">
        <v>1047</v>
      </c>
      <c r="AD3260" t="s">
        <v>11086</v>
      </c>
      <c r="AF3260" t="s">
        <v>11120</v>
      </c>
      <c r="AH3260" t="s">
        <v>10974</v>
      </c>
      <c r="AJ3260" t="s">
        <v>11132</v>
      </c>
      <c r="AK3260" t="s">
        <v>7225</v>
      </c>
      <c r="AM3260">
        <v>360</v>
      </c>
      <c r="AO3260">
        <v>60</v>
      </c>
      <c r="AQ3260" t="s">
        <v>11157</v>
      </c>
      <c r="AS3260" t="s">
        <v>11175</v>
      </c>
      <c r="AU3260">
        <v>47</v>
      </c>
      <c r="AW3260" t="s">
        <v>11189</v>
      </c>
      <c r="AY3260" t="s">
        <v>11213</v>
      </c>
      <c r="AZ3260" t="s">
        <v>11221</v>
      </c>
      <c r="BD3260" t="s">
        <v>11667</v>
      </c>
      <c r="BF3260" t="s">
        <v>14364</v>
      </c>
      <c r="BM3260" t="s">
        <v>15650</v>
      </c>
    </row>
    <row r="3261" spans="1:65">
      <c r="A3261" s="1">
        <f>HYPERLINK("https://lsnyc.legalserver.org/matter/dynamic-profile/view/1866794","18-1866794")</f>
        <v>0</v>
      </c>
      <c r="B3261" t="s">
        <v>193</v>
      </c>
      <c r="C3261" t="s">
        <v>246</v>
      </c>
      <c r="D3261" t="s">
        <v>768</v>
      </c>
      <c r="F3261" t="s">
        <v>1777</v>
      </c>
      <c r="G3261" t="s">
        <v>4237</v>
      </c>
      <c r="H3261" t="s">
        <v>5918</v>
      </c>
      <c r="I3261" t="s">
        <v>6573</v>
      </c>
      <c r="J3261" t="s">
        <v>7170</v>
      </c>
      <c r="K3261">
        <v>10452</v>
      </c>
      <c r="N3261" t="s">
        <v>7237</v>
      </c>
      <c r="O3261" t="s">
        <v>9379</v>
      </c>
      <c r="P3261">
        <v>1</v>
      </c>
      <c r="Q3261">
        <v>0</v>
      </c>
      <c r="R3261">
        <v>19.77</v>
      </c>
      <c r="U3261">
        <v>2400</v>
      </c>
      <c r="W3261">
        <v>0</v>
      </c>
      <c r="Y3261" t="s">
        <v>210</v>
      </c>
      <c r="AA3261" t="s">
        <v>10974</v>
      </c>
      <c r="AB3261" t="s">
        <v>768</v>
      </c>
      <c r="AD3261" t="s">
        <v>11096</v>
      </c>
      <c r="AF3261" t="s">
        <v>11122</v>
      </c>
      <c r="AH3261" t="s">
        <v>10974</v>
      </c>
      <c r="AJ3261" t="s">
        <v>11141</v>
      </c>
      <c r="AK3261" t="s">
        <v>7225</v>
      </c>
      <c r="AM3261">
        <v>1275</v>
      </c>
      <c r="AN3261" t="s">
        <v>11151</v>
      </c>
      <c r="AO3261" t="s">
        <v>11153</v>
      </c>
      <c r="AQ3261" t="s">
        <v>11157</v>
      </c>
      <c r="AS3261" t="s">
        <v>11104</v>
      </c>
      <c r="AU3261">
        <v>16</v>
      </c>
      <c r="AW3261" t="s">
        <v>11187</v>
      </c>
      <c r="AZ3261" t="s">
        <v>11221</v>
      </c>
      <c r="BE3261" t="s">
        <v>13593</v>
      </c>
      <c r="BF3261" t="s">
        <v>14364</v>
      </c>
      <c r="BM3261" t="s">
        <v>15650</v>
      </c>
    </row>
    <row r="3262" spans="1:65">
      <c r="A3262" s="1">
        <f>HYPERLINK("https://lsnyc.legalserver.org/matter/dynamic-profile/view/1868756","18-1868756")</f>
        <v>0</v>
      </c>
      <c r="B3262" t="s">
        <v>193</v>
      </c>
      <c r="C3262" t="s">
        <v>246</v>
      </c>
      <c r="D3262" t="s">
        <v>820</v>
      </c>
      <c r="F3262" t="s">
        <v>2401</v>
      </c>
      <c r="G3262" t="s">
        <v>2885</v>
      </c>
      <c r="H3262" t="s">
        <v>5923</v>
      </c>
      <c r="I3262" t="s">
        <v>6975</v>
      </c>
      <c r="J3262" t="s">
        <v>7170</v>
      </c>
      <c r="K3262">
        <v>10452</v>
      </c>
      <c r="N3262" t="s">
        <v>7237</v>
      </c>
      <c r="O3262" t="s">
        <v>9380</v>
      </c>
      <c r="P3262">
        <v>2</v>
      </c>
      <c r="Q3262">
        <v>0</v>
      </c>
      <c r="R3262">
        <v>92.22</v>
      </c>
      <c r="U3262">
        <v>15180</v>
      </c>
      <c r="W3262">
        <v>0</v>
      </c>
      <c r="Y3262" t="s">
        <v>10897</v>
      </c>
      <c r="AA3262" t="s">
        <v>10974</v>
      </c>
      <c r="AB3262" t="s">
        <v>939</v>
      </c>
      <c r="AD3262" t="s">
        <v>11086</v>
      </c>
      <c r="AF3262" t="s">
        <v>11120</v>
      </c>
      <c r="AH3262" t="s">
        <v>10974</v>
      </c>
      <c r="AJ3262" t="s">
        <v>11132</v>
      </c>
      <c r="AK3262" t="s">
        <v>7225</v>
      </c>
      <c r="AM3262">
        <v>360</v>
      </c>
      <c r="AO3262">
        <v>60</v>
      </c>
      <c r="AQ3262" t="s">
        <v>11157</v>
      </c>
      <c r="AS3262" t="s">
        <v>11175</v>
      </c>
      <c r="AU3262">
        <v>49</v>
      </c>
      <c r="AW3262" t="s">
        <v>11189</v>
      </c>
      <c r="AZ3262" t="s">
        <v>11221</v>
      </c>
      <c r="BE3262" t="s">
        <v>13594</v>
      </c>
      <c r="BF3262" t="s">
        <v>14364</v>
      </c>
      <c r="BM3262" t="s">
        <v>15650</v>
      </c>
    </row>
    <row r="3263" spans="1:65">
      <c r="A3263" s="1">
        <f>HYPERLINK("https://lsnyc.legalserver.org/matter/dynamic-profile/view/1880467","18-1880467")</f>
        <v>0</v>
      </c>
      <c r="B3263" t="s">
        <v>193</v>
      </c>
      <c r="C3263" t="s">
        <v>246</v>
      </c>
      <c r="D3263" t="s">
        <v>467</v>
      </c>
      <c r="F3263" t="s">
        <v>2428</v>
      </c>
      <c r="G3263" t="s">
        <v>2877</v>
      </c>
      <c r="H3263" t="s">
        <v>4999</v>
      </c>
      <c r="I3263" t="s">
        <v>6437</v>
      </c>
      <c r="J3263" t="s">
        <v>7170</v>
      </c>
      <c r="K3263">
        <v>10452</v>
      </c>
      <c r="N3263" t="s">
        <v>7237</v>
      </c>
      <c r="O3263" t="s">
        <v>9381</v>
      </c>
      <c r="P3263">
        <v>1</v>
      </c>
      <c r="Q3263">
        <v>0</v>
      </c>
      <c r="R3263">
        <v>248.26</v>
      </c>
      <c r="U3263">
        <v>30139.2</v>
      </c>
      <c r="W3263">
        <v>0.1</v>
      </c>
      <c r="X3263" t="s">
        <v>382</v>
      </c>
      <c r="Y3263" t="s">
        <v>10897</v>
      </c>
      <c r="AA3263" t="s">
        <v>10974</v>
      </c>
      <c r="AB3263" t="s">
        <v>597</v>
      </c>
      <c r="AD3263" t="s">
        <v>11098</v>
      </c>
      <c r="AF3263" t="s">
        <v>11122</v>
      </c>
      <c r="AH3263" t="s">
        <v>10974</v>
      </c>
      <c r="AJ3263" t="s">
        <v>11141</v>
      </c>
      <c r="AK3263" t="s">
        <v>7225</v>
      </c>
      <c r="AM3263">
        <v>1299.48</v>
      </c>
      <c r="AO3263">
        <v>53</v>
      </c>
      <c r="AQ3263" t="s">
        <v>11157</v>
      </c>
      <c r="AS3263" t="s">
        <v>11177</v>
      </c>
      <c r="AU3263">
        <v>1</v>
      </c>
      <c r="AW3263" t="s">
        <v>11187</v>
      </c>
      <c r="AZ3263" t="s">
        <v>11221</v>
      </c>
      <c r="BC3263" t="s">
        <v>11526</v>
      </c>
      <c r="BE3263" t="s">
        <v>13595</v>
      </c>
      <c r="BG3263" t="s">
        <v>14497</v>
      </c>
      <c r="BM3263" t="s">
        <v>15650</v>
      </c>
    </row>
    <row r="3264" spans="1:65">
      <c r="A3264" s="1">
        <f>HYPERLINK("https://lsnyc.legalserver.org/matter/dynamic-profile/view/1880540","18-1880540")</f>
        <v>0</v>
      </c>
      <c r="B3264" t="s">
        <v>193</v>
      </c>
      <c r="C3264" t="s">
        <v>246</v>
      </c>
      <c r="D3264" t="s">
        <v>365</v>
      </c>
      <c r="F3264" t="s">
        <v>2429</v>
      </c>
      <c r="G3264" t="s">
        <v>4238</v>
      </c>
      <c r="H3264" t="s">
        <v>4846</v>
      </c>
      <c r="I3264" t="s">
        <v>6503</v>
      </c>
      <c r="J3264" t="s">
        <v>7170</v>
      </c>
      <c r="K3264">
        <v>10452</v>
      </c>
      <c r="N3264" t="s">
        <v>7237</v>
      </c>
      <c r="O3264" t="s">
        <v>9382</v>
      </c>
      <c r="P3264">
        <v>1</v>
      </c>
      <c r="Q3264">
        <v>0</v>
      </c>
      <c r="R3264">
        <v>80.53</v>
      </c>
      <c r="U3264">
        <v>9776</v>
      </c>
      <c r="W3264">
        <v>0</v>
      </c>
      <c r="Y3264" t="s">
        <v>10897</v>
      </c>
      <c r="AA3264" t="s">
        <v>10974</v>
      </c>
      <c r="AB3264" t="s">
        <v>597</v>
      </c>
      <c r="AD3264" t="s">
        <v>11101</v>
      </c>
      <c r="AF3264" t="s">
        <v>11118</v>
      </c>
      <c r="AH3264" t="s">
        <v>10974</v>
      </c>
      <c r="AJ3264" t="s">
        <v>11141</v>
      </c>
      <c r="AK3264" t="s">
        <v>7225</v>
      </c>
      <c r="AM3264">
        <v>1042</v>
      </c>
      <c r="AO3264">
        <v>149</v>
      </c>
      <c r="AQ3264" t="s">
        <v>11157</v>
      </c>
      <c r="AS3264" t="s">
        <v>11173</v>
      </c>
      <c r="AU3264">
        <v>14</v>
      </c>
      <c r="AW3264" t="s">
        <v>11187</v>
      </c>
      <c r="AZ3264" t="s">
        <v>11221</v>
      </c>
      <c r="BE3264" t="s">
        <v>13596</v>
      </c>
      <c r="BG3264" t="s">
        <v>15210</v>
      </c>
      <c r="BM3264" t="s">
        <v>15650</v>
      </c>
    </row>
    <row r="3265" spans="1:65">
      <c r="A3265" s="1">
        <f>HYPERLINK("https://lsnyc.legalserver.org/matter/dynamic-profile/view/0799020","16-0799020")</f>
        <v>0</v>
      </c>
      <c r="B3265" t="s">
        <v>193</v>
      </c>
      <c r="C3265" t="s">
        <v>246</v>
      </c>
      <c r="D3265" t="s">
        <v>996</v>
      </c>
      <c r="F3265" t="s">
        <v>1090</v>
      </c>
      <c r="G3265" t="s">
        <v>4222</v>
      </c>
      <c r="H3265" t="s">
        <v>5917</v>
      </c>
      <c r="I3265" t="s">
        <v>6421</v>
      </c>
      <c r="J3265" t="s">
        <v>7170</v>
      </c>
      <c r="K3265">
        <v>10452</v>
      </c>
      <c r="N3265" t="s">
        <v>7237</v>
      </c>
      <c r="O3265" t="s">
        <v>9344</v>
      </c>
      <c r="P3265">
        <v>1</v>
      </c>
      <c r="Q3265">
        <v>0</v>
      </c>
      <c r="R3265">
        <v>72.83</v>
      </c>
      <c r="U3265">
        <v>8652</v>
      </c>
      <c r="W3265">
        <v>0.65</v>
      </c>
      <c r="X3265" t="s">
        <v>758</v>
      </c>
      <c r="Y3265" t="s">
        <v>138</v>
      </c>
      <c r="AA3265" t="s">
        <v>10974</v>
      </c>
      <c r="AB3265" t="s">
        <v>999</v>
      </c>
      <c r="AD3265" t="s">
        <v>11096</v>
      </c>
      <c r="AF3265" t="s">
        <v>11122</v>
      </c>
      <c r="AH3265" t="s">
        <v>10974</v>
      </c>
      <c r="AJ3265" t="s">
        <v>11141</v>
      </c>
      <c r="AK3265" t="s">
        <v>7225</v>
      </c>
      <c r="AM3265">
        <v>812</v>
      </c>
      <c r="AO3265">
        <v>61</v>
      </c>
      <c r="AQ3265" t="s">
        <v>11157</v>
      </c>
      <c r="AS3265" t="s">
        <v>11174</v>
      </c>
      <c r="AU3265">
        <v>35</v>
      </c>
      <c r="AW3265" t="s">
        <v>11189</v>
      </c>
      <c r="AZ3265" t="s">
        <v>11221</v>
      </c>
      <c r="BE3265" t="s">
        <v>13564</v>
      </c>
      <c r="BF3265" t="s">
        <v>14364</v>
      </c>
      <c r="BG3265" t="s">
        <v>15204</v>
      </c>
      <c r="BM3265" t="s">
        <v>15650</v>
      </c>
    </row>
    <row r="3266" spans="1:65">
      <c r="A3266" s="1">
        <f>HYPERLINK("https://lsnyc.legalserver.org/matter/dynamic-profile/view/1906131","19-1906131")</f>
        <v>0</v>
      </c>
      <c r="B3266" t="s">
        <v>193</v>
      </c>
      <c r="C3266" t="s">
        <v>246</v>
      </c>
      <c r="D3266" t="s">
        <v>349</v>
      </c>
      <c r="F3266" t="s">
        <v>1394</v>
      </c>
      <c r="G3266" t="s">
        <v>4239</v>
      </c>
      <c r="H3266" t="s">
        <v>5924</v>
      </c>
      <c r="I3266" t="s">
        <v>6618</v>
      </c>
      <c r="J3266" t="s">
        <v>7170</v>
      </c>
      <c r="K3266">
        <v>10452</v>
      </c>
      <c r="N3266" t="s">
        <v>7237</v>
      </c>
      <c r="O3266" t="s">
        <v>9383</v>
      </c>
      <c r="P3266">
        <v>1</v>
      </c>
      <c r="Q3266">
        <v>0</v>
      </c>
      <c r="R3266">
        <v>96.08</v>
      </c>
      <c r="U3266">
        <v>12000</v>
      </c>
      <c r="W3266">
        <v>0.5</v>
      </c>
      <c r="X3266" t="s">
        <v>349</v>
      </c>
      <c r="Y3266" t="s">
        <v>193</v>
      </c>
      <c r="AA3266" t="s">
        <v>10974</v>
      </c>
      <c r="AB3266" t="s">
        <v>575</v>
      </c>
      <c r="AD3266" t="s">
        <v>11098</v>
      </c>
      <c r="AF3266" t="s">
        <v>10384</v>
      </c>
      <c r="AH3266" t="s">
        <v>10975</v>
      </c>
      <c r="AJ3266" t="s">
        <v>11130</v>
      </c>
      <c r="AK3266" t="s">
        <v>7225</v>
      </c>
      <c r="AM3266">
        <v>1191</v>
      </c>
      <c r="AN3266" t="s">
        <v>11151</v>
      </c>
      <c r="AO3266" t="s">
        <v>11153</v>
      </c>
      <c r="AP3266" t="s">
        <v>11155</v>
      </c>
      <c r="AR3266" t="s">
        <v>11172</v>
      </c>
      <c r="AU3266">
        <v>20</v>
      </c>
      <c r="AW3266" t="s">
        <v>11187</v>
      </c>
      <c r="BA3266" t="s">
        <v>11222</v>
      </c>
      <c r="BE3266" t="s">
        <v>13597</v>
      </c>
      <c r="BF3266" t="s">
        <v>14364</v>
      </c>
      <c r="BM3266" t="s">
        <v>15650</v>
      </c>
    </row>
    <row r="3267" spans="1:65">
      <c r="A3267" s="1">
        <f>HYPERLINK("https://lsnyc.legalserver.org/matter/dynamic-profile/view/0817076","16-0817076")</f>
        <v>0</v>
      </c>
      <c r="B3267" t="s">
        <v>193</v>
      </c>
      <c r="C3267" t="s">
        <v>246</v>
      </c>
      <c r="D3267" t="s">
        <v>994</v>
      </c>
      <c r="F3267" t="s">
        <v>1090</v>
      </c>
      <c r="G3267" t="s">
        <v>4222</v>
      </c>
      <c r="H3267" t="s">
        <v>5917</v>
      </c>
      <c r="I3267" t="s">
        <v>6421</v>
      </c>
      <c r="J3267" t="s">
        <v>7170</v>
      </c>
      <c r="K3267">
        <v>10452</v>
      </c>
      <c r="N3267" t="s">
        <v>7237</v>
      </c>
      <c r="O3267" t="s">
        <v>9344</v>
      </c>
      <c r="P3267">
        <v>1</v>
      </c>
      <c r="Q3267">
        <v>0</v>
      </c>
      <c r="R3267">
        <v>72.83</v>
      </c>
      <c r="U3267">
        <v>8652</v>
      </c>
      <c r="W3267">
        <v>0.8</v>
      </c>
      <c r="X3267" t="s">
        <v>758</v>
      </c>
      <c r="Y3267" t="s">
        <v>10899</v>
      </c>
      <c r="AA3267" t="s">
        <v>10974</v>
      </c>
      <c r="AB3267" t="s">
        <v>838</v>
      </c>
      <c r="AD3267" t="s">
        <v>11096</v>
      </c>
      <c r="AF3267" t="s">
        <v>11122</v>
      </c>
      <c r="AH3267" t="s">
        <v>10974</v>
      </c>
      <c r="AJ3267" t="s">
        <v>11141</v>
      </c>
      <c r="AK3267" t="s">
        <v>7225</v>
      </c>
      <c r="AM3267">
        <v>812</v>
      </c>
      <c r="AO3267">
        <v>62</v>
      </c>
      <c r="AQ3267" t="s">
        <v>11157</v>
      </c>
      <c r="AS3267" t="s">
        <v>11174</v>
      </c>
      <c r="AU3267">
        <v>35</v>
      </c>
      <c r="AW3267" t="s">
        <v>11189</v>
      </c>
      <c r="AZ3267" t="s">
        <v>11221</v>
      </c>
      <c r="BE3267" t="s">
        <v>13564</v>
      </c>
      <c r="BG3267" t="s">
        <v>15206</v>
      </c>
      <c r="BM3267" t="s">
        <v>15650</v>
      </c>
    </row>
    <row r="3268" spans="1:65">
      <c r="A3268" s="1">
        <f>HYPERLINK("https://lsnyc.legalserver.org/matter/dynamic-profile/view/0822627","16-0822627")</f>
        <v>0</v>
      </c>
      <c r="B3268" t="s">
        <v>193</v>
      </c>
      <c r="C3268" t="s">
        <v>246</v>
      </c>
      <c r="D3268" t="s">
        <v>980</v>
      </c>
      <c r="F3268" t="s">
        <v>1090</v>
      </c>
      <c r="G3268" t="s">
        <v>4222</v>
      </c>
      <c r="H3268" t="s">
        <v>5917</v>
      </c>
      <c r="I3268" t="s">
        <v>6421</v>
      </c>
      <c r="J3268" t="s">
        <v>7170</v>
      </c>
      <c r="K3268">
        <v>10452</v>
      </c>
      <c r="N3268" t="s">
        <v>7237</v>
      </c>
      <c r="O3268" t="s">
        <v>9344</v>
      </c>
      <c r="P3268">
        <v>1</v>
      </c>
      <c r="Q3268">
        <v>0</v>
      </c>
      <c r="R3268">
        <v>72.83</v>
      </c>
      <c r="U3268">
        <v>8652</v>
      </c>
      <c r="W3268">
        <v>0.3</v>
      </c>
      <c r="X3268" t="s">
        <v>758</v>
      </c>
      <c r="Y3268" t="s">
        <v>10899</v>
      </c>
      <c r="AA3268" t="s">
        <v>10974</v>
      </c>
      <c r="AB3268" t="s">
        <v>774</v>
      </c>
      <c r="AD3268" t="s">
        <v>11096</v>
      </c>
      <c r="AF3268" t="s">
        <v>11122</v>
      </c>
      <c r="AH3268" t="s">
        <v>10974</v>
      </c>
      <c r="AJ3268" t="s">
        <v>11141</v>
      </c>
      <c r="AK3268" t="s">
        <v>7225</v>
      </c>
      <c r="AM3268">
        <v>812</v>
      </c>
      <c r="AO3268">
        <v>62</v>
      </c>
      <c r="AQ3268" t="s">
        <v>11157</v>
      </c>
      <c r="AS3268" t="s">
        <v>11174</v>
      </c>
      <c r="AU3268">
        <v>35</v>
      </c>
      <c r="AW3268" t="s">
        <v>11189</v>
      </c>
      <c r="AZ3268" t="s">
        <v>11221</v>
      </c>
      <c r="BE3268" t="s">
        <v>13564</v>
      </c>
      <c r="BG3268" t="s">
        <v>15202</v>
      </c>
      <c r="BM3268" t="s">
        <v>15650</v>
      </c>
    </row>
    <row r="3269" spans="1:65">
      <c r="A3269" s="1">
        <f>HYPERLINK("https://lsnyc.legalserver.org/matter/dynamic-profile/view/1854878","17-1854878")</f>
        <v>0</v>
      </c>
      <c r="B3269" t="s">
        <v>193</v>
      </c>
      <c r="C3269" t="s">
        <v>246</v>
      </c>
      <c r="D3269" t="s">
        <v>523</v>
      </c>
      <c r="F3269" t="s">
        <v>2430</v>
      </c>
      <c r="G3269" t="s">
        <v>2889</v>
      </c>
      <c r="H3269" t="s">
        <v>5917</v>
      </c>
      <c r="I3269" t="s">
        <v>6667</v>
      </c>
      <c r="J3269" t="s">
        <v>7170</v>
      </c>
      <c r="K3269">
        <v>10452</v>
      </c>
      <c r="N3269" t="s">
        <v>7237</v>
      </c>
      <c r="O3269" t="s">
        <v>9384</v>
      </c>
      <c r="P3269">
        <v>1</v>
      </c>
      <c r="Q3269">
        <v>0</v>
      </c>
      <c r="R3269">
        <v>72.94</v>
      </c>
      <c r="U3269">
        <v>8796</v>
      </c>
      <c r="W3269">
        <v>0.4</v>
      </c>
      <c r="X3269" t="s">
        <v>523</v>
      </c>
      <c r="Y3269" t="s">
        <v>210</v>
      </c>
      <c r="AA3269" t="s">
        <v>10974</v>
      </c>
      <c r="AB3269" t="s">
        <v>458</v>
      </c>
      <c r="AD3269" t="s">
        <v>11096</v>
      </c>
      <c r="AF3269" t="s">
        <v>11122</v>
      </c>
      <c r="AH3269" t="s">
        <v>10974</v>
      </c>
      <c r="AJ3269" t="s">
        <v>11141</v>
      </c>
      <c r="AK3269" t="s">
        <v>7225</v>
      </c>
      <c r="AM3269">
        <v>854.16</v>
      </c>
      <c r="AO3269">
        <v>62</v>
      </c>
      <c r="AQ3269" t="s">
        <v>11157</v>
      </c>
      <c r="AS3269" t="s">
        <v>11174</v>
      </c>
      <c r="AU3269">
        <v>35</v>
      </c>
      <c r="AW3269" t="s">
        <v>11189</v>
      </c>
      <c r="AZ3269" t="s">
        <v>11221</v>
      </c>
      <c r="BE3269" t="s">
        <v>13598</v>
      </c>
      <c r="BF3269" t="s">
        <v>14364</v>
      </c>
      <c r="BG3269" t="s">
        <v>15205</v>
      </c>
      <c r="BM3269" t="s">
        <v>15650</v>
      </c>
    </row>
    <row r="3270" spans="1:65">
      <c r="A3270" s="1">
        <f>HYPERLINK("https://lsnyc.legalserver.org/matter/dynamic-profile/view/1855227","18-1855227")</f>
        <v>0</v>
      </c>
      <c r="B3270" t="s">
        <v>193</v>
      </c>
      <c r="C3270" t="s">
        <v>246</v>
      </c>
      <c r="D3270" t="s">
        <v>997</v>
      </c>
      <c r="F3270" t="s">
        <v>2430</v>
      </c>
      <c r="G3270" t="s">
        <v>2889</v>
      </c>
      <c r="H3270" t="s">
        <v>5917</v>
      </c>
      <c r="I3270" t="s">
        <v>6667</v>
      </c>
      <c r="J3270" t="s">
        <v>7170</v>
      </c>
      <c r="K3270">
        <v>10452</v>
      </c>
      <c r="N3270" t="s">
        <v>7237</v>
      </c>
      <c r="O3270" t="s">
        <v>9384</v>
      </c>
      <c r="P3270">
        <v>1</v>
      </c>
      <c r="Q3270">
        <v>0</v>
      </c>
      <c r="R3270">
        <v>72.94</v>
      </c>
      <c r="U3270">
        <v>8796</v>
      </c>
      <c r="W3270">
        <v>0</v>
      </c>
      <c r="Y3270" t="s">
        <v>10899</v>
      </c>
      <c r="AA3270" t="s">
        <v>10974</v>
      </c>
      <c r="AB3270" t="s">
        <v>458</v>
      </c>
      <c r="AD3270" t="s">
        <v>11096</v>
      </c>
      <c r="AF3270" t="s">
        <v>11122</v>
      </c>
      <c r="AH3270" t="s">
        <v>10974</v>
      </c>
      <c r="AJ3270" t="s">
        <v>11141</v>
      </c>
      <c r="AK3270" t="s">
        <v>7225</v>
      </c>
      <c r="AM3270">
        <v>854.16</v>
      </c>
      <c r="AO3270">
        <v>62</v>
      </c>
      <c r="AQ3270" t="s">
        <v>11157</v>
      </c>
      <c r="AS3270" t="s">
        <v>11174</v>
      </c>
      <c r="AU3270">
        <v>35</v>
      </c>
      <c r="AW3270" t="s">
        <v>11189</v>
      </c>
      <c r="AZ3270" t="s">
        <v>11221</v>
      </c>
      <c r="BE3270" t="s">
        <v>13598</v>
      </c>
      <c r="BG3270" t="s">
        <v>15203</v>
      </c>
      <c r="BM3270" t="s">
        <v>15650</v>
      </c>
    </row>
    <row r="3271" spans="1:65">
      <c r="A3271" s="1">
        <f>HYPERLINK("https://lsnyc.legalserver.org/matter/dynamic-profile/view/1860683","18-1860683")</f>
        <v>0</v>
      </c>
      <c r="B3271" t="s">
        <v>193</v>
      </c>
      <c r="C3271" t="s">
        <v>246</v>
      </c>
      <c r="D3271" t="s">
        <v>717</v>
      </c>
      <c r="F3271" t="s">
        <v>2431</v>
      </c>
      <c r="G3271" t="s">
        <v>3142</v>
      </c>
      <c r="H3271" t="s">
        <v>5925</v>
      </c>
      <c r="I3271" t="s">
        <v>6448</v>
      </c>
      <c r="J3271" t="s">
        <v>7170</v>
      </c>
      <c r="K3271">
        <v>10452</v>
      </c>
      <c r="N3271" t="s">
        <v>7237</v>
      </c>
      <c r="O3271" t="s">
        <v>9385</v>
      </c>
      <c r="P3271">
        <v>1</v>
      </c>
      <c r="Q3271">
        <v>0</v>
      </c>
      <c r="R3271">
        <v>73.73999999999999</v>
      </c>
      <c r="U3271">
        <v>8952</v>
      </c>
      <c r="W3271">
        <v>0.3</v>
      </c>
      <c r="X3271" t="s">
        <v>578</v>
      </c>
      <c r="Y3271" t="s">
        <v>10897</v>
      </c>
      <c r="AA3271" t="s">
        <v>10974</v>
      </c>
      <c r="AB3271" t="s">
        <v>1047</v>
      </c>
      <c r="AD3271" t="s">
        <v>11101</v>
      </c>
      <c r="AF3271" t="s">
        <v>11118</v>
      </c>
      <c r="AH3271" t="s">
        <v>10974</v>
      </c>
      <c r="AJ3271" t="s">
        <v>11141</v>
      </c>
      <c r="AK3271" t="s">
        <v>7225</v>
      </c>
      <c r="AM3271">
        <v>1005</v>
      </c>
      <c r="AO3271">
        <v>60</v>
      </c>
      <c r="AQ3271" t="s">
        <v>11157</v>
      </c>
      <c r="AS3271" t="s">
        <v>11175</v>
      </c>
      <c r="AU3271">
        <v>30</v>
      </c>
      <c r="AW3271" t="s">
        <v>11189</v>
      </c>
      <c r="AZ3271" t="s">
        <v>11221</v>
      </c>
      <c r="BE3271" t="s">
        <v>13599</v>
      </c>
      <c r="BG3271" t="s">
        <v>15216</v>
      </c>
      <c r="BM3271" t="s">
        <v>15650</v>
      </c>
    </row>
    <row r="3272" spans="1:65">
      <c r="A3272" s="1">
        <f>HYPERLINK("https://lsnyc.legalserver.org/matter/dynamic-profile/view/0823681","17-0823681")</f>
        <v>0</v>
      </c>
      <c r="B3272" t="s">
        <v>193</v>
      </c>
      <c r="C3272" t="s">
        <v>246</v>
      </c>
      <c r="D3272" t="s">
        <v>998</v>
      </c>
      <c r="F3272" t="s">
        <v>1613</v>
      </c>
      <c r="G3272" t="s">
        <v>4115</v>
      </c>
      <c r="H3272" t="s">
        <v>5264</v>
      </c>
      <c r="I3272" t="s">
        <v>6970</v>
      </c>
      <c r="J3272" t="s">
        <v>7170</v>
      </c>
      <c r="K3272">
        <v>10453</v>
      </c>
      <c r="N3272" t="s">
        <v>7237</v>
      </c>
      <c r="O3272" t="s">
        <v>8157</v>
      </c>
      <c r="P3272">
        <v>1</v>
      </c>
      <c r="Q3272">
        <v>0</v>
      </c>
      <c r="R3272">
        <v>74.04000000000001</v>
      </c>
      <c r="U3272">
        <v>8796</v>
      </c>
      <c r="W3272">
        <v>10</v>
      </c>
      <c r="X3272" t="s">
        <v>597</v>
      </c>
      <c r="Y3272" t="s">
        <v>10868</v>
      </c>
      <c r="AA3272" t="s">
        <v>10974</v>
      </c>
      <c r="AB3272" t="s">
        <v>11007</v>
      </c>
      <c r="AD3272" t="s">
        <v>11085</v>
      </c>
      <c r="AF3272" t="s">
        <v>11118</v>
      </c>
      <c r="AG3272" t="s">
        <v>11124</v>
      </c>
      <c r="AJ3272" t="s">
        <v>11129</v>
      </c>
      <c r="AK3272" t="s">
        <v>7225</v>
      </c>
      <c r="AM3272">
        <v>1600</v>
      </c>
      <c r="AO3272">
        <v>8270</v>
      </c>
      <c r="AQ3272" t="s">
        <v>11162</v>
      </c>
      <c r="AS3272" t="s">
        <v>11174</v>
      </c>
      <c r="AU3272">
        <v>24</v>
      </c>
      <c r="AW3272" t="s">
        <v>11187</v>
      </c>
      <c r="AZ3272" t="s">
        <v>11221</v>
      </c>
      <c r="BE3272" t="s">
        <v>12457</v>
      </c>
      <c r="BF3272" t="s">
        <v>14364</v>
      </c>
      <c r="BM3272" t="s">
        <v>15650</v>
      </c>
    </row>
    <row r="3273" spans="1:65">
      <c r="A3273" s="1">
        <f>HYPERLINK("https://lsnyc.legalserver.org/matter/dynamic-profile/view/0823682","17-0823682")</f>
        <v>0</v>
      </c>
      <c r="B3273" t="s">
        <v>193</v>
      </c>
      <c r="C3273" t="s">
        <v>246</v>
      </c>
      <c r="D3273" t="s">
        <v>998</v>
      </c>
      <c r="F3273" t="s">
        <v>1613</v>
      </c>
      <c r="G3273" t="s">
        <v>4115</v>
      </c>
      <c r="H3273" t="s">
        <v>5264</v>
      </c>
      <c r="I3273" t="s">
        <v>6970</v>
      </c>
      <c r="J3273" t="s">
        <v>7170</v>
      </c>
      <c r="K3273">
        <v>10453</v>
      </c>
      <c r="N3273" t="s">
        <v>7241</v>
      </c>
      <c r="O3273" t="s">
        <v>8157</v>
      </c>
      <c r="P3273">
        <v>1</v>
      </c>
      <c r="Q3273">
        <v>0</v>
      </c>
      <c r="R3273">
        <v>74.04000000000001</v>
      </c>
      <c r="U3273">
        <v>8796</v>
      </c>
      <c r="W3273">
        <v>8.9</v>
      </c>
      <c r="X3273" t="s">
        <v>484</v>
      </c>
      <c r="Y3273" t="s">
        <v>10868</v>
      </c>
      <c r="AA3273" t="s">
        <v>10974</v>
      </c>
      <c r="AB3273" t="s">
        <v>11007</v>
      </c>
      <c r="AD3273" t="s">
        <v>11095</v>
      </c>
      <c r="AF3273" t="s">
        <v>11120</v>
      </c>
      <c r="AG3273" t="s">
        <v>11124</v>
      </c>
      <c r="AI3273" t="s">
        <v>11126</v>
      </c>
      <c r="AK3273" t="s">
        <v>7225</v>
      </c>
      <c r="AL3273" t="s">
        <v>11150</v>
      </c>
      <c r="AM3273">
        <v>0</v>
      </c>
      <c r="AO3273">
        <v>8270</v>
      </c>
      <c r="AQ3273" t="s">
        <v>11158</v>
      </c>
      <c r="AR3273" t="s">
        <v>11172</v>
      </c>
      <c r="AT3273" t="s">
        <v>11184</v>
      </c>
      <c r="AU3273">
        <v>0</v>
      </c>
      <c r="AW3273" t="s">
        <v>11187</v>
      </c>
      <c r="AZ3273" t="s">
        <v>11221</v>
      </c>
      <c r="BE3273" t="s">
        <v>12457</v>
      </c>
      <c r="BF3273" t="s">
        <v>14364</v>
      </c>
      <c r="BM3273" t="s">
        <v>15650</v>
      </c>
    </row>
    <row r="3274" spans="1:65">
      <c r="A3274" s="1">
        <f>HYPERLINK("https://lsnyc.legalserver.org/matter/dynamic-profile/view/0799264","16-0799264")</f>
        <v>0</v>
      </c>
      <c r="B3274" t="s">
        <v>193</v>
      </c>
      <c r="C3274" t="s">
        <v>246</v>
      </c>
      <c r="D3274" t="s">
        <v>996</v>
      </c>
      <c r="F3274" t="s">
        <v>2430</v>
      </c>
      <c r="G3274" t="s">
        <v>2889</v>
      </c>
      <c r="H3274" t="s">
        <v>5917</v>
      </c>
      <c r="I3274" t="s">
        <v>6667</v>
      </c>
      <c r="J3274" t="s">
        <v>7170</v>
      </c>
      <c r="K3274">
        <v>10452</v>
      </c>
      <c r="N3274" t="s">
        <v>7237</v>
      </c>
      <c r="O3274" t="s">
        <v>9384</v>
      </c>
      <c r="P3274">
        <v>1</v>
      </c>
      <c r="Q3274">
        <v>0</v>
      </c>
      <c r="R3274">
        <v>74.04000000000001</v>
      </c>
      <c r="U3274">
        <v>8796</v>
      </c>
      <c r="W3274">
        <v>0.55</v>
      </c>
      <c r="X3274" t="s">
        <v>458</v>
      </c>
      <c r="Y3274" t="s">
        <v>138</v>
      </c>
      <c r="AA3274" t="s">
        <v>10974</v>
      </c>
      <c r="AB3274" t="s">
        <v>999</v>
      </c>
      <c r="AD3274" t="s">
        <v>11096</v>
      </c>
      <c r="AF3274" t="s">
        <v>11122</v>
      </c>
      <c r="AH3274" t="s">
        <v>10974</v>
      </c>
      <c r="AJ3274" t="s">
        <v>11141</v>
      </c>
      <c r="AK3274" t="s">
        <v>7225</v>
      </c>
      <c r="AM3274">
        <v>854.16</v>
      </c>
      <c r="AO3274">
        <v>61</v>
      </c>
      <c r="AQ3274" t="s">
        <v>11157</v>
      </c>
      <c r="AS3274" t="s">
        <v>11174</v>
      </c>
      <c r="AU3274">
        <v>35</v>
      </c>
      <c r="AW3274" t="s">
        <v>11189</v>
      </c>
      <c r="AZ3274" t="s">
        <v>11221</v>
      </c>
      <c r="BE3274" t="s">
        <v>13598</v>
      </c>
      <c r="BF3274" t="s">
        <v>14364</v>
      </c>
      <c r="BG3274" t="s">
        <v>15204</v>
      </c>
      <c r="BM3274" t="s">
        <v>15650</v>
      </c>
    </row>
    <row r="3275" spans="1:65">
      <c r="A3275" s="1">
        <f>HYPERLINK("https://lsnyc.legalserver.org/matter/dynamic-profile/view/0817052","16-0817052")</f>
        <v>0</v>
      </c>
      <c r="B3275" t="s">
        <v>193</v>
      </c>
      <c r="C3275" t="s">
        <v>246</v>
      </c>
      <c r="D3275" t="s">
        <v>994</v>
      </c>
      <c r="F3275" t="s">
        <v>2430</v>
      </c>
      <c r="G3275" t="s">
        <v>2889</v>
      </c>
      <c r="H3275" t="s">
        <v>5917</v>
      </c>
      <c r="I3275" t="s">
        <v>6667</v>
      </c>
      <c r="J3275" t="s">
        <v>7170</v>
      </c>
      <c r="K3275">
        <v>10452</v>
      </c>
      <c r="N3275" t="s">
        <v>7237</v>
      </c>
      <c r="O3275" t="s">
        <v>9384</v>
      </c>
      <c r="P3275">
        <v>1</v>
      </c>
      <c r="Q3275">
        <v>0</v>
      </c>
      <c r="R3275">
        <v>74.04000000000001</v>
      </c>
      <c r="U3275">
        <v>8796</v>
      </c>
      <c r="W3275">
        <v>0.8</v>
      </c>
      <c r="X3275" t="s">
        <v>458</v>
      </c>
      <c r="Y3275" t="s">
        <v>10899</v>
      </c>
      <c r="AA3275" t="s">
        <v>10974</v>
      </c>
      <c r="AB3275" t="s">
        <v>11066</v>
      </c>
      <c r="AD3275" t="s">
        <v>11096</v>
      </c>
      <c r="AF3275" t="s">
        <v>11122</v>
      </c>
      <c r="AH3275" t="s">
        <v>10974</v>
      </c>
      <c r="AJ3275" t="s">
        <v>11141</v>
      </c>
      <c r="AK3275" t="s">
        <v>7225</v>
      </c>
      <c r="AM3275">
        <v>854.16</v>
      </c>
      <c r="AO3275">
        <v>62</v>
      </c>
      <c r="AQ3275" t="s">
        <v>11157</v>
      </c>
      <c r="AS3275" t="s">
        <v>11174</v>
      </c>
      <c r="AU3275">
        <v>35</v>
      </c>
      <c r="AW3275" t="s">
        <v>11189</v>
      </c>
      <c r="AZ3275" t="s">
        <v>11221</v>
      </c>
      <c r="BE3275" t="s">
        <v>13598</v>
      </c>
      <c r="BG3275" t="s">
        <v>15206</v>
      </c>
      <c r="BM3275" t="s">
        <v>15650</v>
      </c>
    </row>
    <row r="3276" spans="1:65">
      <c r="A3276" s="1">
        <f>HYPERLINK("https://lsnyc.legalserver.org/matter/dynamic-profile/view/0822567","16-0822567")</f>
        <v>0</v>
      </c>
      <c r="B3276" t="s">
        <v>193</v>
      </c>
      <c r="C3276" t="s">
        <v>246</v>
      </c>
      <c r="D3276" t="s">
        <v>980</v>
      </c>
      <c r="F3276" t="s">
        <v>2430</v>
      </c>
      <c r="G3276" t="s">
        <v>2889</v>
      </c>
      <c r="H3276" t="s">
        <v>5917</v>
      </c>
      <c r="I3276" t="s">
        <v>6667</v>
      </c>
      <c r="J3276" t="s">
        <v>7170</v>
      </c>
      <c r="K3276">
        <v>10452</v>
      </c>
      <c r="N3276" t="s">
        <v>7237</v>
      </c>
      <c r="O3276" t="s">
        <v>9384</v>
      </c>
      <c r="P3276">
        <v>1</v>
      </c>
      <c r="Q3276">
        <v>0</v>
      </c>
      <c r="R3276">
        <v>74.04000000000001</v>
      </c>
      <c r="U3276">
        <v>8796</v>
      </c>
      <c r="W3276">
        <v>0.3</v>
      </c>
      <c r="X3276" t="s">
        <v>458</v>
      </c>
      <c r="Y3276" t="s">
        <v>10899</v>
      </c>
      <c r="AA3276" t="s">
        <v>10974</v>
      </c>
      <c r="AB3276" t="s">
        <v>980</v>
      </c>
      <c r="AD3276" t="s">
        <v>11096</v>
      </c>
      <c r="AF3276" t="s">
        <v>11122</v>
      </c>
      <c r="AH3276" t="s">
        <v>10974</v>
      </c>
      <c r="AJ3276" t="s">
        <v>11141</v>
      </c>
      <c r="AK3276" t="s">
        <v>7225</v>
      </c>
      <c r="AM3276">
        <v>854.16</v>
      </c>
      <c r="AO3276">
        <v>62</v>
      </c>
      <c r="AQ3276" t="s">
        <v>11157</v>
      </c>
      <c r="AS3276" t="s">
        <v>11174</v>
      </c>
      <c r="AU3276">
        <v>35</v>
      </c>
      <c r="AW3276" t="s">
        <v>11189</v>
      </c>
      <c r="AZ3276" t="s">
        <v>11221</v>
      </c>
      <c r="BE3276" t="s">
        <v>13598</v>
      </c>
      <c r="BG3276" t="s">
        <v>15202</v>
      </c>
      <c r="BM3276" t="s">
        <v>15650</v>
      </c>
    </row>
    <row r="3277" spans="1:65">
      <c r="A3277" s="1">
        <f>HYPERLINK("https://lsnyc.legalserver.org/matter/dynamic-profile/view/1895799","19-1895799")</f>
        <v>0</v>
      </c>
      <c r="B3277" t="s">
        <v>193</v>
      </c>
      <c r="C3277" t="s">
        <v>246</v>
      </c>
      <c r="D3277" t="s">
        <v>315</v>
      </c>
      <c r="F3277" t="s">
        <v>1641</v>
      </c>
      <c r="G3277" t="s">
        <v>4240</v>
      </c>
      <c r="H3277" t="s">
        <v>5918</v>
      </c>
      <c r="I3277" t="s">
        <v>6486</v>
      </c>
      <c r="J3277" t="s">
        <v>7170</v>
      </c>
      <c r="K3277">
        <v>10452</v>
      </c>
      <c r="N3277" t="s">
        <v>7237</v>
      </c>
      <c r="O3277" t="s">
        <v>9386</v>
      </c>
      <c r="P3277">
        <v>1</v>
      </c>
      <c r="Q3277">
        <v>0</v>
      </c>
      <c r="R3277">
        <v>72.34999999999999</v>
      </c>
      <c r="U3277">
        <v>9036</v>
      </c>
      <c r="W3277">
        <v>35.85</v>
      </c>
      <c r="X3277" t="s">
        <v>304</v>
      </c>
      <c r="Y3277" t="s">
        <v>193</v>
      </c>
      <c r="AA3277" t="s">
        <v>10974</v>
      </c>
      <c r="AB3277" t="s">
        <v>10979</v>
      </c>
      <c r="AD3277" t="s">
        <v>11098</v>
      </c>
      <c r="AF3277" t="s">
        <v>11122</v>
      </c>
      <c r="AH3277" t="s">
        <v>10974</v>
      </c>
      <c r="AJ3277" t="s">
        <v>11141</v>
      </c>
      <c r="AK3277" t="s">
        <v>7225</v>
      </c>
      <c r="AM3277">
        <v>1047</v>
      </c>
      <c r="AO3277">
        <v>52</v>
      </c>
      <c r="AQ3277" t="s">
        <v>11157</v>
      </c>
      <c r="AR3277" t="s">
        <v>11172</v>
      </c>
      <c r="AU3277">
        <v>19</v>
      </c>
      <c r="AW3277" t="s">
        <v>11187</v>
      </c>
      <c r="BA3277" t="s">
        <v>11222</v>
      </c>
      <c r="BE3277" t="s">
        <v>13600</v>
      </c>
      <c r="BF3277" t="s">
        <v>14364</v>
      </c>
      <c r="BM3277" t="s">
        <v>15650</v>
      </c>
    </row>
    <row r="3278" spans="1:65">
      <c r="A3278" s="1">
        <f>HYPERLINK("https://lsnyc.legalserver.org/matter/dynamic-profile/view/1854899","17-1854899")</f>
        <v>0</v>
      </c>
      <c r="B3278" t="s">
        <v>193</v>
      </c>
      <c r="C3278" t="s">
        <v>246</v>
      </c>
      <c r="D3278" t="s">
        <v>523</v>
      </c>
      <c r="F3278" t="s">
        <v>1699</v>
      </c>
      <c r="G3278" t="s">
        <v>4241</v>
      </c>
      <c r="H3278" t="s">
        <v>5917</v>
      </c>
      <c r="I3278" t="s">
        <v>6413</v>
      </c>
      <c r="J3278" t="s">
        <v>7170</v>
      </c>
      <c r="K3278">
        <v>10452</v>
      </c>
      <c r="N3278" t="s">
        <v>7237</v>
      </c>
      <c r="O3278" t="s">
        <v>9387</v>
      </c>
      <c r="P3278">
        <v>3</v>
      </c>
      <c r="Q3278">
        <v>0</v>
      </c>
      <c r="R3278">
        <v>244.86</v>
      </c>
      <c r="U3278">
        <v>75000</v>
      </c>
      <c r="W3278">
        <v>0.4</v>
      </c>
      <c r="X3278" t="s">
        <v>523</v>
      </c>
      <c r="Y3278" t="s">
        <v>210</v>
      </c>
      <c r="AA3278" t="s">
        <v>10974</v>
      </c>
      <c r="AB3278" t="s">
        <v>458</v>
      </c>
      <c r="AD3278" t="s">
        <v>11096</v>
      </c>
      <c r="AF3278" t="s">
        <v>11122</v>
      </c>
      <c r="AH3278" t="s">
        <v>10974</v>
      </c>
      <c r="AJ3278" t="s">
        <v>11141</v>
      </c>
      <c r="AK3278" t="s">
        <v>7225</v>
      </c>
      <c r="AM3278">
        <v>814.37</v>
      </c>
      <c r="AO3278">
        <v>62</v>
      </c>
      <c r="AQ3278" t="s">
        <v>11157</v>
      </c>
      <c r="AS3278" t="s">
        <v>11173</v>
      </c>
      <c r="AU3278">
        <v>42</v>
      </c>
      <c r="AW3278" t="s">
        <v>11187</v>
      </c>
      <c r="AZ3278" t="s">
        <v>11221</v>
      </c>
      <c r="BE3278" t="s">
        <v>13601</v>
      </c>
      <c r="BF3278" t="s">
        <v>14364</v>
      </c>
      <c r="BG3278" t="s">
        <v>15205</v>
      </c>
      <c r="BM3278" t="s">
        <v>15650</v>
      </c>
    </row>
    <row r="3279" spans="1:65">
      <c r="A3279" s="1">
        <f>HYPERLINK("https://lsnyc.legalserver.org/matter/dynamic-profile/view/1841213","17-1841213")</f>
        <v>0</v>
      </c>
      <c r="B3279" t="s">
        <v>193</v>
      </c>
      <c r="C3279" t="s">
        <v>246</v>
      </c>
      <c r="D3279" t="s">
        <v>694</v>
      </c>
      <c r="F3279" t="s">
        <v>2416</v>
      </c>
      <c r="G3279" t="s">
        <v>3836</v>
      </c>
      <c r="H3279" t="s">
        <v>5917</v>
      </c>
      <c r="I3279" t="s">
        <v>6440</v>
      </c>
      <c r="J3279" t="s">
        <v>7170</v>
      </c>
      <c r="K3279">
        <v>10452</v>
      </c>
      <c r="N3279" t="s">
        <v>7237</v>
      </c>
      <c r="O3279" t="s">
        <v>9362</v>
      </c>
      <c r="P3279">
        <v>2</v>
      </c>
      <c r="Q3279">
        <v>0</v>
      </c>
      <c r="R3279">
        <v>177.04</v>
      </c>
      <c r="U3279">
        <v>37548</v>
      </c>
      <c r="W3279">
        <v>0.2</v>
      </c>
      <c r="X3279" t="s">
        <v>758</v>
      </c>
      <c r="Y3279" t="s">
        <v>10897</v>
      </c>
      <c r="AA3279" t="s">
        <v>10974</v>
      </c>
      <c r="AB3279" t="s">
        <v>694</v>
      </c>
      <c r="AD3279" t="s">
        <v>11096</v>
      </c>
      <c r="AF3279" t="s">
        <v>11122</v>
      </c>
      <c r="AH3279" t="s">
        <v>10974</v>
      </c>
      <c r="AJ3279" t="s">
        <v>11141</v>
      </c>
      <c r="AK3279" t="s">
        <v>7225</v>
      </c>
      <c r="AM3279">
        <v>752.71</v>
      </c>
      <c r="AO3279">
        <v>61</v>
      </c>
      <c r="AQ3279" t="s">
        <v>11157</v>
      </c>
      <c r="AS3279" t="s">
        <v>11173</v>
      </c>
      <c r="AU3279">
        <v>41</v>
      </c>
      <c r="AW3279" t="s">
        <v>11187</v>
      </c>
      <c r="AZ3279" t="s">
        <v>11221</v>
      </c>
      <c r="BE3279" t="s">
        <v>13580</v>
      </c>
      <c r="BF3279" t="s">
        <v>14364</v>
      </c>
      <c r="BG3279" t="s">
        <v>15205</v>
      </c>
      <c r="BM3279" t="s">
        <v>15650</v>
      </c>
    </row>
    <row r="3280" spans="1:65">
      <c r="A3280" s="1">
        <f>HYPERLINK("https://lsnyc.legalserver.org/matter/dynamic-profile/view/0799026","16-0799026")</f>
        <v>0</v>
      </c>
      <c r="B3280" t="s">
        <v>193</v>
      </c>
      <c r="C3280" t="s">
        <v>246</v>
      </c>
      <c r="D3280" t="s">
        <v>996</v>
      </c>
      <c r="F3280" t="s">
        <v>2416</v>
      </c>
      <c r="G3280" t="s">
        <v>3836</v>
      </c>
      <c r="H3280" t="s">
        <v>5917</v>
      </c>
      <c r="I3280" t="s">
        <v>6440</v>
      </c>
      <c r="J3280" t="s">
        <v>7170</v>
      </c>
      <c r="K3280">
        <v>10452</v>
      </c>
      <c r="N3280" t="s">
        <v>7237</v>
      </c>
      <c r="O3280" t="s">
        <v>9362</v>
      </c>
      <c r="P3280">
        <v>2</v>
      </c>
      <c r="Q3280">
        <v>0</v>
      </c>
      <c r="R3280">
        <v>177.22</v>
      </c>
      <c r="U3280">
        <v>28390.44</v>
      </c>
      <c r="W3280">
        <v>2.2</v>
      </c>
      <c r="X3280" t="s">
        <v>758</v>
      </c>
      <c r="Y3280" t="s">
        <v>138</v>
      </c>
      <c r="AA3280" t="s">
        <v>10974</v>
      </c>
      <c r="AB3280" t="s">
        <v>999</v>
      </c>
      <c r="AD3280" t="s">
        <v>11096</v>
      </c>
      <c r="AF3280" t="s">
        <v>11122</v>
      </c>
      <c r="AH3280" t="s">
        <v>10974</v>
      </c>
      <c r="AJ3280" t="s">
        <v>11141</v>
      </c>
      <c r="AK3280" t="s">
        <v>7225</v>
      </c>
      <c r="AM3280">
        <v>752.71</v>
      </c>
      <c r="AO3280">
        <v>61</v>
      </c>
      <c r="AQ3280" t="s">
        <v>11157</v>
      </c>
      <c r="AS3280" t="s">
        <v>11173</v>
      </c>
      <c r="AU3280">
        <v>41</v>
      </c>
      <c r="AW3280" t="s">
        <v>11187</v>
      </c>
      <c r="AZ3280" t="s">
        <v>11221</v>
      </c>
      <c r="BE3280" t="s">
        <v>13580</v>
      </c>
      <c r="BF3280" t="s">
        <v>14364</v>
      </c>
      <c r="BG3280" t="s">
        <v>15204</v>
      </c>
      <c r="BM3280" t="s">
        <v>15650</v>
      </c>
    </row>
    <row r="3281" spans="1:65">
      <c r="A3281" s="1">
        <f>HYPERLINK("https://lsnyc.legalserver.org/matter/dynamic-profile/view/1834045","17-1834045")</f>
        <v>0</v>
      </c>
      <c r="B3281" t="s">
        <v>193</v>
      </c>
      <c r="C3281" t="s">
        <v>246</v>
      </c>
      <c r="D3281" t="s">
        <v>988</v>
      </c>
      <c r="F3281" t="s">
        <v>1900</v>
      </c>
      <c r="G3281" t="s">
        <v>4242</v>
      </c>
      <c r="H3281" t="s">
        <v>4975</v>
      </c>
      <c r="I3281" t="s">
        <v>6467</v>
      </c>
      <c r="J3281" t="s">
        <v>7170</v>
      </c>
      <c r="K3281">
        <v>10452</v>
      </c>
      <c r="N3281" t="s">
        <v>7237</v>
      </c>
      <c r="O3281" t="s">
        <v>8124</v>
      </c>
      <c r="P3281">
        <v>1</v>
      </c>
      <c r="Q3281">
        <v>0</v>
      </c>
      <c r="R3281">
        <v>14.13</v>
      </c>
      <c r="U3281">
        <v>1704</v>
      </c>
      <c r="W3281">
        <v>0</v>
      </c>
      <c r="Y3281" t="s">
        <v>10899</v>
      </c>
      <c r="AA3281" t="s">
        <v>10974</v>
      </c>
      <c r="AB3281" t="s">
        <v>694</v>
      </c>
      <c r="AC3281" t="s">
        <v>11081</v>
      </c>
      <c r="AF3281" t="s">
        <v>11120</v>
      </c>
      <c r="AH3281" t="s">
        <v>10974</v>
      </c>
      <c r="AJ3281" t="s">
        <v>11141</v>
      </c>
      <c r="AK3281" t="s">
        <v>7225</v>
      </c>
      <c r="AM3281">
        <v>800</v>
      </c>
      <c r="AN3281" t="s">
        <v>11151</v>
      </c>
      <c r="AO3281" t="s">
        <v>11153</v>
      </c>
      <c r="AQ3281" t="s">
        <v>11157</v>
      </c>
      <c r="AS3281" t="s">
        <v>11104</v>
      </c>
      <c r="AU3281">
        <v>7</v>
      </c>
      <c r="AW3281" t="s">
        <v>11187</v>
      </c>
      <c r="AZ3281" t="s">
        <v>11221</v>
      </c>
      <c r="BB3281" t="s">
        <v>11224</v>
      </c>
      <c r="BC3281" t="s">
        <v>11527</v>
      </c>
      <c r="BE3281" t="s">
        <v>13602</v>
      </c>
      <c r="BF3281" t="s">
        <v>14364</v>
      </c>
      <c r="BM3281" t="s">
        <v>15650</v>
      </c>
    </row>
    <row r="3282" spans="1:65">
      <c r="A3282" s="1">
        <f>HYPERLINK("https://lsnyc.legalserver.org/matter/dynamic-profile/view/0816940","16-0816940")</f>
        <v>0</v>
      </c>
      <c r="B3282" t="s">
        <v>193</v>
      </c>
      <c r="C3282" t="s">
        <v>246</v>
      </c>
      <c r="D3282" t="s">
        <v>494</v>
      </c>
      <c r="F3282" t="s">
        <v>2416</v>
      </c>
      <c r="G3282" t="s">
        <v>3836</v>
      </c>
      <c r="H3282" t="s">
        <v>5917</v>
      </c>
      <c r="I3282" t="s">
        <v>6440</v>
      </c>
      <c r="J3282" t="s">
        <v>7170</v>
      </c>
      <c r="K3282">
        <v>10452</v>
      </c>
      <c r="N3282" t="s">
        <v>7237</v>
      </c>
      <c r="O3282" t="s">
        <v>9362</v>
      </c>
      <c r="P3282">
        <v>2</v>
      </c>
      <c r="Q3282">
        <v>0</v>
      </c>
      <c r="R3282">
        <v>177.22</v>
      </c>
      <c r="U3282">
        <v>37186.44</v>
      </c>
      <c r="W3282">
        <v>0.8</v>
      </c>
      <c r="X3282" t="s">
        <v>758</v>
      </c>
      <c r="Y3282" t="s">
        <v>10899</v>
      </c>
      <c r="AA3282" t="s">
        <v>10974</v>
      </c>
      <c r="AB3282" t="s">
        <v>838</v>
      </c>
      <c r="AD3282" t="s">
        <v>11096</v>
      </c>
      <c r="AF3282" t="s">
        <v>11122</v>
      </c>
      <c r="AH3282" t="s">
        <v>10974</v>
      </c>
      <c r="AJ3282" t="s">
        <v>11141</v>
      </c>
      <c r="AK3282" t="s">
        <v>7225</v>
      </c>
      <c r="AM3282">
        <v>752.71</v>
      </c>
      <c r="AO3282">
        <v>62</v>
      </c>
      <c r="AQ3282" t="s">
        <v>11157</v>
      </c>
      <c r="AS3282" t="s">
        <v>11173</v>
      </c>
      <c r="AU3282">
        <v>41</v>
      </c>
      <c r="AW3282" t="s">
        <v>11187</v>
      </c>
      <c r="AZ3282" t="s">
        <v>11221</v>
      </c>
      <c r="BE3282" t="s">
        <v>13580</v>
      </c>
      <c r="BG3282" t="s">
        <v>15206</v>
      </c>
      <c r="BM3282" t="s">
        <v>15650</v>
      </c>
    </row>
    <row r="3283" spans="1:65">
      <c r="A3283" s="1">
        <f>HYPERLINK("https://lsnyc.legalserver.org/matter/dynamic-profile/view/0822703","16-0822703")</f>
        <v>0</v>
      </c>
      <c r="B3283" t="s">
        <v>193</v>
      </c>
      <c r="C3283" t="s">
        <v>246</v>
      </c>
      <c r="D3283" t="s">
        <v>281</v>
      </c>
      <c r="F3283" t="s">
        <v>2416</v>
      </c>
      <c r="G3283" t="s">
        <v>3836</v>
      </c>
      <c r="H3283" t="s">
        <v>5917</v>
      </c>
      <c r="I3283" t="s">
        <v>6440</v>
      </c>
      <c r="J3283" t="s">
        <v>7170</v>
      </c>
      <c r="K3283">
        <v>10452</v>
      </c>
      <c r="N3283" t="s">
        <v>7237</v>
      </c>
      <c r="O3283" t="s">
        <v>9362</v>
      </c>
      <c r="P3283">
        <v>2</v>
      </c>
      <c r="Q3283">
        <v>0</v>
      </c>
      <c r="R3283">
        <v>177.22</v>
      </c>
      <c r="U3283">
        <v>37186.44</v>
      </c>
      <c r="W3283">
        <v>1.8</v>
      </c>
      <c r="X3283" t="s">
        <v>758</v>
      </c>
      <c r="Y3283" t="s">
        <v>10899</v>
      </c>
      <c r="AA3283" t="s">
        <v>10974</v>
      </c>
      <c r="AB3283" t="s">
        <v>774</v>
      </c>
      <c r="AD3283" t="s">
        <v>11096</v>
      </c>
      <c r="AF3283" t="s">
        <v>11122</v>
      </c>
      <c r="AH3283" t="s">
        <v>10974</v>
      </c>
      <c r="AJ3283" t="s">
        <v>11141</v>
      </c>
      <c r="AK3283" t="s">
        <v>7225</v>
      </c>
      <c r="AM3283">
        <v>752.71</v>
      </c>
      <c r="AO3283">
        <v>62</v>
      </c>
      <c r="AQ3283" t="s">
        <v>11157</v>
      </c>
      <c r="AS3283" t="s">
        <v>11173</v>
      </c>
      <c r="AU3283">
        <v>41</v>
      </c>
      <c r="AW3283" t="s">
        <v>11187</v>
      </c>
      <c r="AZ3283" t="s">
        <v>11221</v>
      </c>
      <c r="BE3283" t="s">
        <v>13580</v>
      </c>
      <c r="BG3283" t="s">
        <v>15202</v>
      </c>
      <c r="BM3283" t="s">
        <v>15650</v>
      </c>
    </row>
    <row r="3284" spans="1:65">
      <c r="A3284" s="1">
        <f>HYPERLINK("https://lsnyc.legalserver.org/matter/dynamic-profile/view/1905088","19-1905088")</f>
        <v>0</v>
      </c>
      <c r="B3284" t="s">
        <v>193</v>
      </c>
      <c r="C3284" t="s">
        <v>246</v>
      </c>
      <c r="D3284" t="s">
        <v>332</v>
      </c>
      <c r="F3284" t="s">
        <v>1439</v>
      </c>
      <c r="G3284" t="s">
        <v>1636</v>
      </c>
      <c r="H3284" t="s">
        <v>5926</v>
      </c>
      <c r="I3284" t="s">
        <v>6976</v>
      </c>
      <c r="J3284" t="s">
        <v>7170</v>
      </c>
      <c r="K3284">
        <v>10452</v>
      </c>
      <c r="N3284" t="s">
        <v>7237</v>
      </c>
      <c r="O3284" t="s">
        <v>8257</v>
      </c>
      <c r="P3284">
        <v>1</v>
      </c>
      <c r="Q3284">
        <v>1</v>
      </c>
      <c r="R3284">
        <v>20.58</v>
      </c>
      <c r="U3284">
        <v>3480</v>
      </c>
      <c r="W3284">
        <v>2</v>
      </c>
      <c r="X3284" t="s">
        <v>798</v>
      </c>
      <c r="Y3284" t="s">
        <v>10873</v>
      </c>
      <c r="AA3284" t="s">
        <v>10974</v>
      </c>
      <c r="AC3284" t="s">
        <v>11081</v>
      </c>
      <c r="AF3284" t="s">
        <v>11119</v>
      </c>
      <c r="AG3284" t="s">
        <v>11124</v>
      </c>
      <c r="AI3284" t="s">
        <v>11126</v>
      </c>
      <c r="AK3284" t="s">
        <v>7225</v>
      </c>
      <c r="AM3284">
        <v>1270</v>
      </c>
      <c r="AO3284">
        <v>40</v>
      </c>
      <c r="AP3284" t="s">
        <v>11155</v>
      </c>
      <c r="AR3284" t="s">
        <v>11172</v>
      </c>
      <c r="AU3284">
        <v>6</v>
      </c>
      <c r="AW3284" t="s">
        <v>11189</v>
      </c>
      <c r="AX3284" t="s">
        <v>11212</v>
      </c>
      <c r="BA3284" t="s">
        <v>11222</v>
      </c>
      <c r="BE3284" t="s">
        <v>13603</v>
      </c>
      <c r="BF3284" t="s">
        <v>14364</v>
      </c>
      <c r="BM3284" t="s">
        <v>15650</v>
      </c>
    </row>
    <row r="3285" spans="1:65">
      <c r="A3285" s="1">
        <f>HYPERLINK("https://lsnyc.legalserver.org/matter/dynamic-profile/view/1855272","18-1855272")</f>
        <v>0</v>
      </c>
      <c r="B3285" t="s">
        <v>193</v>
      </c>
      <c r="C3285" t="s">
        <v>246</v>
      </c>
      <c r="D3285" t="s">
        <v>997</v>
      </c>
      <c r="F3285" t="s">
        <v>2050</v>
      </c>
      <c r="G3285" t="s">
        <v>3006</v>
      </c>
      <c r="H3285" t="s">
        <v>5917</v>
      </c>
      <c r="I3285" t="s">
        <v>6408</v>
      </c>
      <c r="J3285" t="s">
        <v>7170</v>
      </c>
      <c r="K3285">
        <v>10452</v>
      </c>
      <c r="N3285" t="s">
        <v>7237</v>
      </c>
      <c r="O3285" t="s">
        <v>9388</v>
      </c>
      <c r="P3285">
        <v>2</v>
      </c>
      <c r="Q3285">
        <v>0</v>
      </c>
      <c r="R3285">
        <v>184.73</v>
      </c>
      <c r="U3285">
        <v>30000</v>
      </c>
      <c r="W3285">
        <v>0</v>
      </c>
      <c r="Y3285" t="s">
        <v>10899</v>
      </c>
      <c r="AA3285" t="s">
        <v>10974</v>
      </c>
      <c r="AB3285" t="s">
        <v>458</v>
      </c>
      <c r="AD3285" t="s">
        <v>11096</v>
      </c>
      <c r="AF3285" t="s">
        <v>11122</v>
      </c>
      <c r="AH3285" t="s">
        <v>10974</v>
      </c>
      <c r="AJ3285" t="s">
        <v>11141</v>
      </c>
      <c r="AK3285" t="s">
        <v>7225</v>
      </c>
      <c r="AM3285">
        <v>1233</v>
      </c>
      <c r="AO3285">
        <v>62</v>
      </c>
      <c r="AQ3285" t="s">
        <v>11157</v>
      </c>
      <c r="AS3285" t="s">
        <v>11173</v>
      </c>
      <c r="AU3285">
        <v>2</v>
      </c>
      <c r="AW3285" t="s">
        <v>11189</v>
      </c>
      <c r="AZ3285" t="s">
        <v>11221</v>
      </c>
      <c r="BE3285" t="s">
        <v>13604</v>
      </c>
      <c r="BG3285" t="s">
        <v>15203</v>
      </c>
      <c r="BM3285" t="s">
        <v>15650</v>
      </c>
    </row>
    <row r="3286" spans="1:65">
      <c r="A3286" s="1">
        <f>HYPERLINK("https://lsnyc.legalserver.org/matter/dynamic-profile/view/0800603","16-0800603")</f>
        <v>0</v>
      </c>
      <c r="B3286" t="s">
        <v>193</v>
      </c>
      <c r="C3286" t="s">
        <v>246</v>
      </c>
      <c r="D3286" t="s">
        <v>996</v>
      </c>
      <c r="F3286" t="s">
        <v>1699</v>
      </c>
      <c r="G3286" t="s">
        <v>4241</v>
      </c>
      <c r="H3286" t="s">
        <v>5917</v>
      </c>
      <c r="I3286" t="s">
        <v>6413</v>
      </c>
      <c r="J3286" t="s">
        <v>7170</v>
      </c>
      <c r="K3286">
        <v>10452</v>
      </c>
      <c r="N3286" t="s">
        <v>7237</v>
      </c>
      <c r="O3286" t="s">
        <v>9387</v>
      </c>
      <c r="P3286">
        <v>3</v>
      </c>
      <c r="Q3286">
        <v>0</v>
      </c>
      <c r="R3286">
        <v>248.02</v>
      </c>
      <c r="U3286">
        <v>50000</v>
      </c>
      <c r="W3286">
        <v>0.65</v>
      </c>
      <c r="X3286" t="s">
        <v>758</v>
      </c>
      <c r="Y3286" t="s">
        <v>138</v>
      </c>
      <c r="AA3286" t="s">
        <v>10974</v>
      </c>
      <c r="AB3286" t="s">
        <v>999</v>
      </c>
      <c r="AD3286" t="s">
        <v>11096</v>
      </c>
      <c r="AF3286" t="s">
        <v>11122</v>
      </c>
      <c r="AH3286" t="s">
        <v>10974</v>
      </c>
      <c r="AJ3286" t="s">
        <v>11141</v>
      </c>
      <c r="AK3286" t="s">
        <v>7225</v>
      </c>
      <c r="AM3286">
        <v>814.37</v>
      </c>
      <c r="AO3286">
        <v>61</v>
      </c>
      <c r="AQ3286" t="s">
        <v>11157</v>
      </c>
      <c r="AS3286" t="s">
        <v>11173</v>
      </c>
      <c r="AU3286">
        <v>40</v>
      </c>
      <c r="AW3286" t="s">
        <v>11187</v>
      </c>
      <c r="AZ3286" t="s">
        <v>11221</v>
      </c>
      <c r="BE3286" t="s">
        <v>13601</v>
      </c>
      <c r="BF3286" t="s">
        <v>14364</v>
      </c>
      <c r="BG3286" t="s">
        <v>15204</v>
      </c>
      <c r="BM3286" t="s">
        <v>15650</v>
      </c>
    </row>
    <row r="3287" spans="1:65">
      <c r="A3287" s="1">
        <f>HYPERLINK("https://lsnyc.legalserver.org/matter/dynamic-profile/view/0817080","16-0817080")</f>
        <v>0</v>
      </c>
      <c r="B3287" t="s">
        <v>193</v>
      </c>
      <c r="C3287" t="s">
        <v>246</v>
      </c>
      <c r="D3287" t="s">
        <v>994</v>
      </c>
      <c r="F3287" t="s">
        <v>1699</v>
      </c>
      <c r="G3287" t="s">
        <v>4241</v>
      </c>
      <c r="H3287" t="s">
        <v>5917</v>
      </c>
      <c r="I3287" t="s">
        <v>6413</v>
      </c>
      <c r="J3287" t="s">
        <v>7170</v>
      </c>
      <c r="K3287">
        <v>10452</v>
      </c>
      <c r="N3287" t="s">
        <v>7237</v>
      </c>
      <c r="O3287" t="s">
        <v>9387</v>
      </c>
      <c r="P3287">
        <v>3</v>
      </c>
      <c r="Q3287">
        <v>0</v>
      </c>
      <c r="R3287">
        <v>248.02</v>
      </c>
      <c r="U3287">
        <v>75000</v>
      </c>
      <c r="W3287">
        <v>0.8</v>
      </c>
      <c r="X3287" t="s">
        <v>758</v>
      </c>
      <c r="Y3287" t="s">
        <v>10899</v>
      </c>
      <c r="AA3287" t="s">
        <v>10974</v>
      </c>
      <c r="AB3287" t="s">
        <v>838</v>
      </c>
      <c r="AD3287" t="s">
        <v>11096</v>
      </c>
      <c r="AF3287" t="s">
        <v>11122</v>
      </c>
      <c r="AH3287" t="s">
        <v>10974</v>
      </c>
      <c r="AJ3287" t="s">
        <v>11141</v>
      </c>
      <c r="AK3287" t="s">
        <v>7225</v>
      </c>
      <c r="AM3287">
        <v>814.37</v>
      </c>
      <c r="AO3287">
        <v>62</v>
      </c>
      <c r="AQ3287" t="s">
        <v>11157</v>
      </c>
      <c r="AS3287" t="s">
        <v>11173</v>
      </c>
      <c r="AU3287">
        <v>40</v>
      </c>
      <c r="AW3287" t="s">
        <v>11187</v>
      </c>
      <c r="AZ3287" t="s">
        <v>11221</v>
      </c>
      <c r="BE3287" t="s">
        <v>13601</v>
      </c>
      <c r="BG3287" t="s">
        <v>15206</v>
      </c>
      <c r="BM3287" t="s">
        <v>15650</v>
      </c>
    </row>
    <row r="3288" spans="1:65">
      <c r="A3288" s="1">
        <f>HYPERLINK("https://lsnyc.legalserver.org/matter/dynamic-profile/view/0822594","16-0822594")</f>
        <v>0</v>
      </c>
      <c r="B3288" t="s">
        <v>193</v>
      </c>
      <c r="C3288" t="s">
        <v>246</v>
      </c>
      <c r="D3288" t="s">
        <v>980</v>
      </c>
      <c r="F3288" t="s">
        <v>1699</v>
      </c>
      <c r="G3288" t="s">
        <v>4241</v>
      </c>
      <c r="H3288" t="s">
        <v>5917</v>
      </c>
      <c r="I3288" t="s">
        <v>6413</v>
      </c>
      <c r="J3288" t="s">
        <v>7170</v>
      </c>
      <c r="K3288">
        <v>10452</v>
      </c>
      <c r="N3288" t="s">
        <v>7237</v>
      </c>
      <c r="O3288" t="s">
        <v>9387</v>
      </c>
      <c r="P3288">
        <v>3</v>
      </c>
      <c r="Q3288">
        <v>0</v>
      </c>
      <c r="R3288">
        <v>248.02</v>
      </c>
      <c r="U3288">
        <v>75000</v>
      </c>
      <c r="W3288">
        <v>0.3</v>
      </c>
      <c r="X3288" t="s">
        <v>758</v>
      </c>
      <c r="Y3288" t="s">
        <v>10899</v>
      </c>
      <c r="AA3288" t="s">
        <v>10974</v>
      </c>
      <c r="AB3288" t="s">
        <v>980</v>
      </c>
      <c r="AD3288" t="s">
        <v>11096</v>
      </c>
      <c r="AF3288" t="s">
        <v>11122</v>
      </c>
      <c r="AH3288" t="s">
        <v>10974</v>
      </c>
      <c r="AJ3288" t="s">
        <v>11141</v>
      </c>
      <c r="AK3288" t="s">
        <v>7225</v>
      </c>
      <c r="AM3288">
        <v>814.37</v>
      </c>
      <c r="AO3288">
        <v>62</v>
      </c>
      <c r="AQ3288" t="s">
        <v>11157</v>
      </c>
      <c r="AS3288" t="s">
        <v>11173</v>
      </c>
      <c r="AU3288">
        <v>40</v>
      </c>
      <c r="AW3288" t="s">
        <v>11187</v>
      </c>
      <c r="AZ3288" t="s">
        <v>11221</v>
      </c>
      <c r="BE3288" t="s">
        <v>13601</v>
      </c>
      <c r="BG3288" t="s">
        <v>15202</v>
      </c>
      <c r="BM3288" t="s">
        <v>15650</v>
      </c>
    </row>
    <row r="3289" spans="1:65">
      <c r="A3289" s="1">
        <f>HYPERLINK("https://lsnyc.legalserver.org/matter/dynamic-profile/view/1886771","18-1886771")</f>
        <v>0</v>
      </c>
      <c r="B3289" t="s">
        <v>193</v>
      </c>
      <c r="C3289" t="s">
        <v>246</v>
      </c>
      <c r="D3289" t="s">
        <v>597</v>
      </c>
      <c r="F3289" t="s">
        <v>1900</v>
      </c>
      <c r="G3289" t="s">
        <v>4220</v>
      </c>
      <c r="H3289" t="s">
        <v>5916</v>
      </c>
      <c r="I3289" t="s">
        <v>6748</v>
      </c>
      <c r="J3289" t="s">
        <v>7170</v>
      </c>
      <c r="K3289">
        <v>10467</v>
      </c>
      <c r="N3289" t="s">
        <v>7237</v>
      </c>
      <c r="O3289" t="s">
        <v>9341</v>
      </c>
      <c r="P3289">
        <v>1</v>
      </c>
      <c r="Q3289">
        <v>0</v>
      </c>
      <c r="R3289">
        <v>74.14</v>
      </c>
      <c r="U3289">
        <v>9000</v>
      </c>
      <c r="W3289">
        <v>0</v>
      </c>
      <c r="Y3289" t="s">
        <v>10897</v>
      </c>
      <c r="AA3289" t="s">
        <v>10974</v>
      </c>
      <c r="AB3289" t="s">
        <v>322</v>
      </c>
      <c r="AD3289" t="s">
        <v>11101</v>
      </c>
      <c r="AF3289" t="s">
        <v>11118</v>
      </c>
      <c r="AH3289" t="s">
        <v>10974</v>
      </c>
      <c r="AJ3289" t="s">
        <v>11141</v>
      </c>
      <c r="AK3289" t="s">
        <v>7225</v>
      </c>
      <c r="AM3289">
        <v>542.6900000000001</v>
      </c>
      <c r="AO3289">
        <v>59</v>
      </c>
      <c r="AQ3289" t="s">
        <v>11157</v>
      </c>
      <c r="AS3289" t="s">
        <v>11175</v>
      </c>
      <c r="AU3289">
        <v>43</v>
      </c>
      <c r="AW3289" t="s">
        <v>11187</v>
      </c>
      <c r="AZ3289" t="s">
        <v>11221</v>
      </c>
      <c r="BE3289" t="s">
        <v>13562</v>
      </c>
      <c r="BG3289" t="s">
        <v>15217</v>
      </c>
      <c r="BM3289" t="s">
        <v>15650</v>
      </c>
    </row>
    <row r="3290" spans="1:65">
      <c r="A3290" s="1">
        <f>HYPERLINK("https://lsnyc.legalserver.org/matter/dynamic-profile/view/1854894","17-1854894")</f>
        <v>0</v>
      </c>
      <c r="B3290" t="s">
        <v>193</v>
      </c>
      <c r="C3290" t="s">
        <v>246</v>
      </c>
      <c r="D3290" t="s">
        <v>523</v>
      </c>
      <c r="F3290" t="s">
        <v>2050</v>
      </c>
      <c r="G3290" t="s">
        <v>3006</v>
      </c>
      <c r="H3290" t="s">
        <v>5917</v>
      </c>
      <c r="I3290" t="s">
        <v>6408</v>
      </c>
      <c r="J3290" t="s">
        <v>7170</v>
      </c>
      <c r="K3290">
        <v>10452</v>
      </c>
      <c r="N3290" t="s">
        <v>7237</v>
      </c>
      <c r="O3290" t="s">
        <v>9388</v>
      </c>
      <c r="P3290">
        <v>2</v>
      </c>
      <c r="Q3290">
        <v>0</v>
      </c>
      <c r="R3290">
        <v>184.73</v>
      </c>
      <c r="U3290">
        <v>30000</v>
      </c>
      <c r="W3290">
        <v>0.5</v>
      </c>
      <c r="X3290" t="s">
        <v>758</v>
      </c>
      <c r="Y3290" t="s">
        <v>210</v>
      </c>
      <c r="AA3290" t="s">
        <v>10974</v>
      </c>
      <c r="AB3290" t="s">
        <v>458</v>
      </c>
      <c r="AD3290" t="s">
        <v>11096</v>
      </c>
      <c r="AF3290" t="s">
        <v>11122</v>
      </c>
      <c r="AH3290" t="s">
        <v>10974</v>
      </c>
      <c r="AJ3290" t="s">
        <v>11141</v>
      </c>
      <c r="AK3290" t="s">
        <v>7225</v>
      </c>
      <c r="AM3290">
        <v>1233</v>
      </c>
      <c r="AO3290">
        <v>62</v>
      </c>
      <c r="AQ3290" t="s">
        <v>11157</v>
      </c>
      <c r="AS3290" t="s">
        <v>11173</v>
      </c>
      <c r="AU3290">
        <v>2</v>
      </c>
      <c r="AW3290" t="s">
        <v>11189</v>
      </c>
      <c r="AZ3290" t="s">
        <v>11221</v>
      </c>
      <c r="BE3290" t="s">
        <v>13604</v>
      </c>
      <c r="BF3290" t="s">
        <v>14364</v>
      </c>
      <c r="BG3290" t="s">
        <v>15205</v>
      </c>
      <c r="BM3290" t="s">
        <v>15650</v>
      </c>
    </row>
    <row r="3291" spans="1:65">
      <c r="A3291" s="1">
        <f>HYPERLINK("https://lsnyc.legalserver.org/matter/dynamic-profile/view/1834675","17-1834675")</f>
        <v>0</v>
      </c>
      <c r="B3291" t="s">
        <v>193</v>
      </c>
      <c r="C3291" t="s">
        <v>246</v>
      </c>
      <c r="D3291" t="s">
        <v>858</v>
      </c>
      <c r="F3291" t="s">
        <v>1900</v>
      </c>
      <c r="G3291" t="s">
        <v>4242</v>
      </c>
      <c r="H3291" t="s">
        <v>4975</v>
      </c>
      <c r="I3291" t="s">
        <v>6467</v>
      </c>
      <c r="J3291" t="s">
        <v>7170</v>
      </c>
      <c r="K3291">
        <v>10452</v>
      </c>
      <c r="N3291" t="s">
        <v>7237</v>
      </c>
      <c r="O3291" t="s">
        <v>8124</v>
      </c>
      <c r="P3291">
        <v>1</v>
      </c>
      <c r="Q3291">
        <v>0</v>
      </c>
      <c r="R3291">
        <v>14.13</v>
      </c>
      <c r="U3291">
        <v>1704</v>
      </c>
      <c r="W3291">
        <v>0</v>
      </c>
      <c r="Y3291" t="s">
        <v>10897</v>
      </c>
      <c r="AA3291" t="s">
        <v>10974</v>
      </c>
      <c r="AB3291" t="s">
        <v>694</v>
      </c>
      <c r="AD3291" t="s">
        <v>11085</v>
      </c>
      <c r="AF3291" t="s">
        <v>11118</v>
      </c>
      <c r="AH3291" t="s">
        <v>10974</v>
      </c>
      <c r="AJ3291" t="s">
        <v>11141</v>
      </c>
      <c r="AK3291" t="s">
        <v>7225</v>
      </c>
      <c r="AM3291">
        <v>800</v>
      </c>
      <c r="AN3291" t="s">
        <v>11151</v>
      </c>
      <c r="AO3291" t="s">
        <v>11153</v>
      </c>
      <c r="AQ3291" t="s">
        <v>11157</v>
      </c>
      <c r="AS3291" t="s">
        <v>11104</v>
      </c>
      <c r="AU3291">
        <v>7</v>
      </c>
      <c r="AW3291" t="s">
        <v>11187</v>
      </c>
      <c r="AZ3291" t="s">
        <v>11221</v>
      </c>
      <c r="BB3291" t="s">
        <v>11224</v>
      </c>
      <c r="BC3291" t="s">
        <v>11527</v>
      </c>
      <c r="BE3291" t="s">
        <v>13602</v>
      </c>
      <c r="BG3291" t="s">
        <v>14477</v>
      </c>
      <c r="BM3291" t="s">
        <v>15650</v>
      </c>
    </row>
    <row r="3292" spans="1:65">
      <c r="A3292" s="1">
        <f>HYPERLINK("https://lsnyc.legalserver.org/matter/dynamic-profile/view/1855293","18-1855293")</f>
        <v>0</v>
      </c>
      <c r="B3292" t="s">
        <v>193</v>
      </c>
      <c r="C3292" t="s">
        <v>246</v>
      </c>
      <c r="D3292" t="s">
        <v>997</v>
      </c>
      <c r="F3292" t="s">
        <v>1699</v>
      </c>
      <c r="G3292" t="s">
        <v>4241</v>
      </c>
      <c r="H3292" t="s">
        <v>5917</v>
      </c>
      <c r="I3292" t="s">
        <v>6413</v>
      </c>
      <c r="J3292" t="s">
        <v>7170</v>
      </c>
      <c r="K3292">
        <v>10452</v>
      </c>
      <c r="N3292" t="s">
        <v>7237</v>
      </c>
      <c r="O3292" t="s">
        <v>9387</v>
      </c>
      <c r="P3292">
        <v>3</v>
      </c>
      <c r="Q3292">
        <v>0</v>
      </c>
      <c r="R3292">
        <v>244.86</v>
      </c>
      <c r="U3292">
        <v>75000</v>
      </c>
      <c r="W3292">
        <v>0</v>
      </c>
      <c r="Y3292" t="s">
        <v>10899</v>
      </c>
      <c r="AA3292" t="s">
        <v>10974</v>
      </c>
      <c r="AB3292" t="s">
        <v>458</v>
      </c>
      <c r="AD3292" t="s">
        <v>11096</v>
      </c>
      <c r="AF3292" t="s">
        <v>11122</v>
      </c>
      <c r="AH3292" t="s">
        <v>10974</v>
      </c>
      <c r="AJ3292" t="s">
        <v>11141</v>
      </c>
      <c r="AK3292" t="s">
        <v>7225</v>
      </c>
      <c r="AM3292">
        <v>814.37</v>
      </c>
      <c r="AO3292">
        <v>62</v>
      </c>
      <c r="AQ3292" t="s">
        <v>11157</v>
      </c>
      <c r="AS3292" t="s">
        <v>11173</v>
      </c>
      <c r="AU3292">
        <v>42</v>
      </c>
      <c r="AW3292" t="s">
        <v>11187</v>
      </c>
      <c r="AZ3292" t="s">
        <v>11221</v>
      </c>
      <c r="BE3292" t="s">
        <v>13601</v>
      </c>
      <c r="BG3292" t="s">
        <v>15203</v>
      </c>
      <c r="BM3292" t="s">
        <v>15650</v>
      </c>
    </row>
    <row r="3293" spans="1:65">
      <c r="A3293" s="1">
        <f>HYPERLINK("https://lsnyc.legalserver.org/matter/dynamic-profile/view/1901428","19-1901428")</f>
        <v>0</v>
      </c>
      <c r="B3293" t="s">
        <v>193</v>
      </c>
      <c r="C3293" t="s">
        <v>246</v>
      </c>
      <c r="D3293" t="s">
        <v>701</v>
      </c>
      <c r="F3293" t="s">
        <v>2432</v>
      </c>
      <c r="G3293" t="s">
        <v>4243</v>
      </c>
      <c r="H3293" t="s">
        <v>5918</v>
      </c>
      <c r="I3293" t="s">
        <v>6407</v>
      </c>
      <c r="J3293" t="s">
        <v>7170</v>
      </c>
      <c r="K3293">
        <v>10452</v>
      </c>
      <c r="N3293" t="s">
        <v>7237</v>
      </c>
      <c r="O3293" t="s">
        <v>9389</v>
      </c>
      <c r="P3293">
        <v>2</v>
      </c>
      <c r="Q3293">
        <v>0</v>
      </c>
      <c r="R3293">
        <v>561.8</v>
      </c>
      <c r="U3293">
        <v>95000</v>
      </c>
      <c r="W3293">
        <v>0</v>
      </c>
      <c r="Y3293" t="s">
        <v>93</v>
      </c>
      <c r="AA3293" t="s">
        <v>10974</v>
      </c>
      <c r="AB3293" t="s">
        <v>10979</v>
      </c>
      <c r="AD3293" t="s">
        <v>11098</v>
      </c>
      <c r="AF3293" t="s">
        <v>11122</v>
      </c>
      <c r="AH3293" t="s">
        <v>10974</v>
      </c>
      <c r="AJ3293" t="s">
        <v>11141</v>
      </c>
      <c r="AK3293" t="s">
        <v>7225</v>
      </c>
      <c r="AM3293">
        <v>1800</v>
      </c>
      <c r="AO3293">
        <v>52</v>
      </c>
      <c r="AP3293" t="s">
        <v>11155</v>
      </c>
      <c r="AS3293" t="s">
        <v>11173</v>
      </c>
      <c r="AU3293">
        <v>1</v>
      </c>
      <c r="AW3293" t="s">
        <v>11187</v>
      </c>
      <c r="BA3293" t="s">
        <v>11222</v>
      </c>
      <c r="BE3293" t="s">
        <v>13605</v>
      </c>
      <c r="BF3293" t="s">
        <v>14364</v>
      </c>
      <c r="BM3293" t="s">
        <v>15650</v>
      </c>
    </row>
    <row r="3294" spans="1:65">
      <c r="A3294" s="1">
        <f>HYPERLINK("https://lsnyc.legalserver.org/matter/dynamic-profile/view/1834690","17-1834690")</f>
        <v>0</v>
      </c>
      <c r="B3294" t="s">
        <v>193</v>
      </c>
      <c r="C3294" t="s">
        <v>246</v>
      </c>
      <c r="D3294" t="s">
        <v>858</v>
      </c>
      <c r="F3294" t="s">
        <v>2433</v>
      </c>
      <c r="G3294" t="s">
        <v>3385</v>
      </c>
      <c r="H3294" t="s">
        <v>4975</v>
      </c>
      <c r="J3294" t="s">
        <v>7170</v>
      </c>
      <c r="K3294">
        <v>10452</v>
      </c>
      <c r="N3294" t="s">
        <v>7237</v>
      </c>
      <c r="O3294" t="s">
        <v>9390</v>
      </c>
      <c r="P3294">
        <v>1</v>
      </c>
      <c r="Q3294">
        <v>1</v>
      </c>
      <c r="R3294">
        <v>169.95</v>
      </c>
      <c r="U3294">
        <v>27600</v>
      </c>
      <c r="W3294">
        <v>0</v>
      </c>
      <c r="Y3294" t="s">
        <v>10897</v>
      </c>
      <c r="AA3294" t="s">
        <v>10974</v>
      </c>
      <c r="AB3294" t="s">
        <v>694</v>
      </c>
      <c r="AC3294" t="s">
        <v>11081</v>
      </c>
      <c r="AF3294" t="s">
        <v>11120</v>
      </c>
      <c r="AH3294" t="s">
        <v>10974</v>
      </c>
      <c r="AJ3294" t="s">
        <v>11147</v>
      </c>
      <c r="AK3294" t="s">
        <v>7225</v>
      </c>
      <c r="AM3294">
        <v>896.3099999999999</v>
      </c>
      <c r="AN3294" t="s">
        <v>11151</v>
      </c>
      <c r="AO3294" t="s">
        <v>11153</v>
      </c>
      <c r="AQ3294" t="s">
        <v>11157</v>
      </c>
      <c r="AS3294" t="s">
        <v>11173</v>
      </c>
      <c r="AU3294">
        <v>5</v>
      </c>
      <c r="AW3294" t="s">
        <v>11187</v>
      </c>
      <c r="AZ3294" t="s">
        <v>11221</v>
      </c>
      <c r="BC3294" t="s">
        <v>11528</v>
      </c>
      <c r="BE3294" t="s">
        <v>13606</v>
      </c>
      <c r="BF3294" t="s">
        <v>14364</v>
      </c>
      <c r="BM3294" t="s">
        <v>15650</v>
      </c>
    </row>
    <row r="3295" spans="1:65">
      <c r="A3295" s="1">
        <f>HYPERLINK("https://lsnyc.legalserver.org/matter/dynamic-profile/view/1898306","19-1898306")</f>
        <v>0</v>
      </c>
      <c r="B3295" t="s">
        <v>193</v>
      </c>
      <c r="C3295" t="s">
        <v>246</v>
      </c>
      <c r="D3295" t="s">
        <v>591</v>
      </c>
      <c r="F3295" t="s">
        <v>1602</v>
      </c>
      <c r="G3295" t="s">
        <v>4244</v>
      </c>
      <c r="H3295" t="s">
        <v>5916</v>
      </c>
      <c r="I3295" t="s">
        <v>6433</v>
      </c>
      <c r="J3295" t="s">
        <v>7170</v>
      </c>
      <c r="K3295">
        <v>10467</v>
      </c>
      <c r="N3295" t="s">
        <v>7237</v>
      </c>
      <c r="O3295" t="s">
        <v>9391</v>
      </c>
      <c r="P3295">
        <v>2</v>
      </c>
      <c r="Q3295">
        <v>1</v>
      </c>
      <c r="R3295">
        <v>370.93</v>
      </c>
      <c r="U3295">
        <v>79120</v>
      </c>
      <c r="W3295">
        <v>0</v>
      </c>
      <c r="Y3295" t="s">
        <v>10865</v>
      </c>
      <c r="AA3295" t="s">
        <v>10974</v>
      </c>
      <c r="AB3295" t="s">
        <v>10979</v>
      </c>
      <c r="AD3295" t="s">
        <v>11098</v>
      </c>
      <c r="AF3295" t="s">
        <v>11122</v>
      </c>
      <c r="AH3295" t="s">
        <v>10974</v>
      </c>
      <c r="AJ3295" t="s">
        <v>11141</v>
      </c>
      <c r="AK3295" t="s">
        <v>7225</v>
      </c>
      <c r="AM3295">
        <v>842</v>
      </c>
      <c r="AO3295">
        <v>60</v>
      </c>
      <c r="AQ3295" t="s">
        <v>11164</v>
      </c>
      <c r="AS3295" t="s">
        <v>11173</v>
      </c>
      <c r="AU3295">
        <v>10</v>
      </c>
      <c r="AW3295" t="s">
        <v>11187</v>
      </c>
      <c r="BA3295" t="s">
        <v>11222</v>
      </c>
      <c r="BE3295" t="s">
        <v>13607</v>
      </c>
      <c r="BF3295" t="s">
        <v>14364</v>
      </c>
      <c r="BM3295" t="s">
        <v>15650</v>
      </c>
    </row>
    <row r="3296" spans="1:65">
      <c r="A3296" s="1">
        <f>HYPERLINK("https://lsnyc.legalserver.org/matter/dynamic-profile/view/1912771","19-1912771")</f>
        <v>0</v>
      </c>
      <c r="B3296" t="s">
        <v>193</v>
      </c>
      <c r="C3296" t="s">
        <v>246</v>
      </c>
      <c r="D3296" t="s">
        <v>316</v>
      </c>
      <c r="E3296" t="s">
        <v>266</v>
      </c>
      <c r="F3296" t="s">
        <v>2434</v>
      </c>
      <c r="G3296" t="s">
        <v>4245</v>
      </c>
      <c r="H3296" t="s">
        <v>5927</v>
      </c>
      <c r="I3296" t="s">
        <v>6419</v>
      </c>
      <c r="J3296" t="s">
        <v>7170</v>
      </c>
      <c r="K3296">
        <v>10452</v>
      </c>
      <c r="L3296" t="s">
        <v>7217</v>
      </c>
      <c r="N3296" t="s">
        <v>7237</v>
      </c>
      <c r="O3296" t="s">
        <v>9392</v>
      </c>
      <c r="P3296">
        <v>1</v>
      </c>
      <c r="Q3296">
        <v>1</v>
      </c>
      <c r="R3296">
        <v>121.82</v>
      </c>
      <c r="U3296">
        <v>20600</v>
      </c>
      <c r="W3296">
        <v>0.1</v>
      </c>
      <c r="X3296" t="s">
        <v>266</v>
      </c>
      <c r="Y3296" t="s">
        <v>10865</v>
      </c>
      <c r="AA3296" t="s">
        <v>10974</v>
      </c>
      <c r="AB3296" t="s">
        <v>536</v>
      </c>
      <c r="AD3296" t="s">
        <v>11082</v>
      </c>
      <c r="AF3296" t="s">
        <v>10384</v>
      </c>
      <c r="AH3296" t="s">
        <v>10975</v>
      </c>
      <c r="AJ3296" t="s">
        <v>11141</v>
      </c>
      <c r="AK3296" t="s">
        <v>7225</v>
      </c>
      <c r="AM3296">
        <v>1450</v>
      </c>
      <c r="AO3296">
        <v>52</v>
      </c>
      <c r="AQ3296" t="s">
        <v>11157</v>
      </c>
      <c r="AS3296" t="s">
        <v>11173</v>
      </c>
      <c r="AU3296">
        <v>6</v>
      </c>
      <c r="AW3296" t="s">
        <v>11187</v>
      </c>
      <c r="BA3296" t="s">
        <v>11222</v>
      </c>
      <c r="BE3296" t="s">
        <v>13608</v>
      </c>
      <c r="BF3296" t="s">
        <v>14364</v>
      </c>
      <c r="BM3296" t="s">
        <v>15651</v>
      </c>
    </row>
    <row r="3297" spans="1:65">
      <c r="A3297" s="1">
        <f>HYPERLINK("https://lsnyc.legalserver.org/matter/dynamic-profile/view/1906107","19-1906107")</f>
        <v>0</v>
      </c>
      <c r="B3297" t="s">
        <v>193</v>
      </c>
      <c r="C3297" t="s">
        <v>246</v>
      </c>
      <c r="D3297" t="s">
        <v>349</v>
      </c>
      <c r="F3297" t="s">
        <v>1113</v>
      </c>
      <c r="G3297" t="s">
        <v>4246</v>
      </c>
      <c r="H3297" t="s">
        <v>5928</v>
      </c>
      <c r="I3297" t="s">
        <v>6423</v>
      </c>
      <c r="J3297" t="s">
        <v>7170</v>
      </c>
      <c r="K3297">
        <v>10458</v>
      </c>
      <c r="N3297" t="s">
        <v>7237</v>
      </c>
      <c r="O3297" t="s">
        <v>9393</v>
      </c>
      <c r="P3297">
        <v>4</v>
      </c>
      <c r="Q3297">
        <v>0</v>
      </c>
      <c r="R3297">
        <v>123.5</v>
      </c>
      <c r="U3297">
        <v>31800</v>
      </c>
      <c r="W3297">
        <v>0.9</v>
      </c>
      <c r="X3297" t="s">
        <v>349</v>
      </c>
      <c r="Y3297" t="s">
        <v>193</v>
      </c>
      <c r="AA3297" t="s">
        <v>10974</v>
      </c>
      <c r="AB3297" t="s">
        <v>575</v>
      </c>
      <c r="AC3297" t="s">
        <v>11081</v>
      </c>
      <c r="AF3297" t="s">
        <v>11120</v>
      </c>
      <c r="AH3297" t="s">
        <v>10975</v>
      </c>
      <c r="AJ3297" t="s">
        <v>11141</v>
      </c>
      <c r="AK3297" t="s">
        <v>7225</v>
      </c>
      <c r="AM3297">
        <v>1091.27</v>
      </c>
      <c r="AO3297">
        <v>50</v>
      </c>
      <c r="AP3297" t="s">
        <v>11155</v>
      </c>
      <c r="AR3297" t="s">
        <v>11172</v>
      </c>
      <c r="AT3297" t="s">
        <v>11184</v>
      </c>
      <c r="AU3297">
        <v>0</v>
      </c>
      <c r="AW3297" t="s">
        <v>11187</v>
      </c>
      <c r="BA3297" t="s">
        <v>11222</v>
      </c>
      <c r="BD3297" t="s">
        <v>11667</v>
      </c>
      <c r="BF3297" t="s">
        <v>14364</v>
      </c>
      <c r="BM3297" t="s">
        <v>15650</v>
      </c>
    </row>
    <row r="3298" spans="1:65">
      <c r="A3298" s="1">
        <f>HYPERLINK("https://lsnyc.legalserver.org/matter/dynamic-profile/view/1886726","18-1886726")</f>
        <v>0</v>
      </c>
      <c r="B3298" t="s">
        <v>193</v>
      </c>
      <c r="C3298" t="s">
        <v>246</v>
      </c>
      <c r="D3298" t="s">
        <v>922</v>
      </c>
      <c r="F3298" t="s">
        <v>1641</v>
      </c>
      <c r="G3298" t="s">
        <v>3719</v>
      </c>
      <c r="H3298" t="s">
        <v>5916</v>
      </c>
      <c r="I3298" t="s">
        <v>6480</v>
      </c>
      <c r="J3298" t="s">
        <v>7170</v>
      </c>
      <c r="K3298">
        <v>10467</v>
      </c>
      <c r="N3298" t="s">
        <v>7237</v>
      </c>
      <c r="O3298" t="s">
        <v>9394</v>
      </c>
      <c r="P3298">
        <v>2</v>
      </c>
      <c r="Q3298">
        <v>2</v>
      </c>
      <c r="R3298">
        <v>214.57</v>
      </c>
      <c r="U3298">
        <v>53856</v>
      </c>
      <c r="W3298">
        <v>0</v>
      </c>
      <c r="Y3298" t="s">
        <v>10897</v>
      </c>
      <c r="AA3298" t="s">
        <v>10974</v>
      </c>
      <c r="AB3298" t="s">
        <v>10987</v>
      </c>
      <c r="AD3298" t="s">
        <v>11101</v>
      </c>
      <c r="AF3298" t="s">
        <v>11118</v>
      </c>
      <c r="AH3298" t="s">
        <v>10974</v>
      </c>
      <c r="AJ3298" t="s">
        <v>11141</v>
      </c>
      <c r="AK3298" t="s">
        <v>7225</v>
      </c>
      <c r="AM3298">
        <v>1522.5</v>
      </c>
      <c r="AN3298" t="s">
        <v>11151</v>
      </c>
      <c r="AO3298" t="s">
        <v>11153</v>
      </c>
      <c r="AQ3298" t="s">
        <v>11157</v>
      </c>
      <c r="AS3298" t="s">
        <v>11173</v>
      </c>
      <c r="AU3298">
        <v>3</v>
      </c>
      <c r="AW3298" t="s">
        <v>11187</v>
      </c>
      <c r="AZ3298" t="s">
        <v>11221</v>
      </c>
      <c r="BD3298" t="s">
        <v>11667</v>
      </c>
      <c r="BG3298" t="s">
        <v>15217</v>
      </c>
      <c r="BM3298" t="s">
        <v>15650</v>
      </c>
    </row>
    <row r="3299" spans="1:65">
      <c r="A3299" s="1">
        <f>HYPERLINK("https://lsnyc.legalserver.org/matter/dynamic-profile/view/1897359","19-1897359")</f>
        <v>0</v>
      </c>
      <c r="B3299" t="s">
        <v>193</v>
      </c>
      <c r="C3299" t="s">
        <v>246</v>
      </c>
      <c r="D3299" t="s">
        <v>583</v>
      </c>
      <c r="E3299" t="s">
        <v>614</v>
      </c>
      <c r="F3299" t="s">
        <v>1306</v>
      </c>
      <c r="G3299" t="s">
        <v>4247</v>
      </c>
      <c r="H3299" t="s">
        <v>4955</v>
      </c>
      <c r="I3299" t="s">
        <v>6527</v>
      </c>
      <c r="J3299" t="s">
        <v>7170</v>
      </c>
      <c r="K3299">
        <v>10457</v>
      </c>
      <c r="L3299" t="s">
        <v>7216</v>
      </c>
      <c r="N3299" t="s">
        <v>7237</v>
      </c>
      <c r="P3299">
        <v>2</v>
      </c>
      <c r="Q3299">
        <v>1</v>
      </c>
      <c r="R3299">
        <v>0</v>
      </c>
      <c r="U3299">
        <v>0</v>
      </c>
      <c r="W3299">
        <v>1.3</v>
      </c>
      <c r="X3299" t="s">
        <v>614</v>
      </c>
      <c r="Y3299" t="s">
        <v>193</v>
      </c>
      <c r="AA3299" t="s">
        <v>10974</v>
      </c>
      <c r="AB3299" t="s">
        <v>591</v>
      </c>
      <c r="AD3299" t="s">
        <v>11098</v>
      </c>
      <c r="AF3299" t="s">
        <v>11119</v>
      </c>
      <c r="AH3299" t="s">
        <v>10975</v>
      </c>
      <c r="AI3299" t="s">
        <v>11126</v>
      </c>
      <c r="AK3299" t="s">
        <v>7225</v>
      </c>
      <c r="AM3299">
        <v>1750</v>
      </c>
      <c r="AN3299" t="s">
        <v>11151</v>
      </c>
      <c r="AO3299" t="s">
        <v>11153</v>
      </c>
      <c r="AQ3299" t="s">
        <v>11157</v>
      </c>
      <c r="AR3299" t="s">
        <v>11172</v>
      </c>
      <c r="AT3299" t="s">
        <v>11184</v>
      </c>
      <c r="AU3299">
        <v>0</v>
      </c>
      <c r="AW3299" t="s">
        <v>11189</v>
      </c>
      <c r="AZ3299" t="s">
        <v>11221</v>
      </c>
      <c r="BE3299" t="s">
        <v>13609</v>
      </c>
      <c r="BF3299" t="s">
        <v>14364</v>
      </c>
      <c r="BM3299" t="s">
        <v>15651</v>
      </c>
    </row>
    <row r="3300" spans="1:65">
      <c r="A3300" s="1">
        <f>HYPERLINK("https://lsnyc.legalserver.org/matter/dynamic-profile/view/1841227","17-1841227")</f>
        <v>0</v>
      </c>
      <c r="B3300" t="s">
        <v>193</v>
      </c>
      <c r="C3300" t="s">
        <v>246</v>
      </c>
      <c r="D3300" t="s">
        <v>694</v>
      </c>
      <c r="F3300" t="s">
        <v>1475</v>
      </c>
      <c r="G3300" t="s">
        <v>3483</v>
      </c>
      <c r="H3300" t="s">
        <v>5917</v>
      </c>
      <c r="I3300" t="s">
        <v>6611</v>
      </c>
      <c r="J3300" t="s">
        <v>7170</v>
      </c>
      <c r="K3300">
        <v>10452</v>
      </c>
      <c r="N3300" t="s">
        <v>7237</v>
      </c>
      <c r="O3300" t="s">
        <v>9395</v>
      </c>
      <c r="P3300">
        <v>2</v>
      </c>
      <c r="Q3300">
        <v>2</v>
      </c>
      <c r="R3300">
        <v>54.88</v>
      </c>
      <c r="U3300">
        <v>13500</v>
      </c>
      <c r="W3300">
        <v>0.2</v>
      </c>
      <c r="X3300" t="s">
        <v>758</v>
      </c>
      <c r="Y3300" t="s">
        <v>10897</v>
      </c>
      <c r="AA3300" t="s">
        <v>10974</v>
      </c>
      <c r="AB3300" t="s">
        <v>694</v>
      </c>
      <c r="AD3300" t="s">
        <v>11096</v>
      </c>
      <c r="AF3300" t="s">
        <v>11122</v>
      </c>
      <c r="AH3300" t="s">
        <v>10974</v>
      </c>
      <c r="AJ3300" t="s">
        <v>11141</v>
      </c>
      <c r="AK3300" t="s">
        <v>7225</v>
      </c>
      <c r="AM3300">
        <v>854.7</v>
      </c>
      <c r="AO3300">
        <v>61</v>
      </c>
      <c r="AQ3300" t="s">
        <v>11157</v>
      </c>
      <c r="AS3300" t="s">
        <v>11173</v>
      </c>
      <c r="AU3300">
        <v>20</v>
      </c>
      <c r="AW3300" t="s">
        <v>11187</v>
      </c>
      <c r="AZ3300" t="s">
        <v>11221</v>
      </c>
      <c r="BE3300" t="s">
        <v>13610</v>
      </c>
      <c r="BF3300" t="s">
        <v>14364</v>
      </c>
      <c r="BG3300" t="s">
        <v>15218</v>
      </c>
      <c r="BM3300" t="s">
        <v>15650</v>
      </c>
    </row>
    <row r="3301" spans="1:65">
      <c r="A3301" s="1">
        <f>HYPERLINK("https://lsnyc.legalserver.org/matter/dynamic-profile/view/1901465","19-1901465")</f>
        <v>0</v>
      </c>
      <c r="B3301" t="s">
        <v>193</v>
      </c>
      <c r="C3301" t="s">
        <v>246</v>
      </c>
      <c r="D3301" t="s">
        <v>701</v>
      </c>
      <c r="F3301" t="s">
        <v>1183</v>
      </c>
      <c r="G3301" t="s">
        <v>1157</v>
      </c>
      <c r="H3301" t="s">
        <v>5918</v>
      </c>
      <c r="I3301" t="s">
        <v>6403</v>
      </c>
      <c r="J3301" t="s">
        <v>7170</v>
      </c>
      <c r="K3301">
        <v>10452</v>
      </c>
      <c r="N3301" t="s">
        <v>7237</v>
      </c>
      <c r="O3301" t="s">
        <v>9396</v>
      </c>
      <c r="P3301">
        <v>1</v>
      </c>
      <c r="Q3301">
        <v>0</v>
      </c>
      <c r="R3301">
        <v>544.4400000000001</v>
      </c>
      <c r="U3301">
        <v>68000</v>
      </c>
      <c r="W3301">
        <v>0</v>
      </c>
      <c r="Y3301" t="s">
        <v>93</v>
      </c>
      <c r="AA3301" t="s">
        <v>10974</v>
      </c>
      <c r="AB3301" t="s">
        <v>10979</v>
      </c>
      <c r="AD3301" t="s">
        <v>11098</v>
      </c>
      <c r="AF3301" t="s">
        <v>11122</v>
      </c>
      <c r="AH3301" t="s">
        <v>10974</v>
      </c>
      <c r="AJ3301" t="s">
        <v>11141</v>
      </c>
      <c r="AK3301" t="s">
        <v>7225</v>
      </c>
      <c r="AM3301">
        <v>1113.95</v>
      </c>
      <c r="AO3301">
        <v>52</v>
      </c>
      <c r="AQ3301" t="s">
        <v>11157</v>
      </c>
      <c r="AS3301" t="s">
        <v>11173</v>
      </c>
      <c r="AU3301">
        <v>36</v>
      </c>
      <c r="AW3301" t="s">
        <v>11187</v>
      </c>
      <c r="BA3301" t="s">
        <v>11222</v>
      </c>
      <c r="BE3301" t="s">
        <v>13611</v>
      </c>
      <c r="BF3301" t="s">
        <v>14364</v>
      </c>
      <c r="BM3301" t="s">
        <v>15650</v>
      </c>
    </row>
    <row r="3302" spans="1:65">
      <c r="A3302" s="1">
        <f>HYPERLINK("https://lsnyc.legalserver.org/matter/dynamic-profile/view/0822233","16-0822233")</f>
        <v>0</v>
      </c>
      <c r="B3302" t="s">
        <v>193</v>
      </c>
      <c r="C3302" t="s">
        <v>246</v>
      </c>
      <c r="D3302" t="s">
        <v>980</v>
      </c>
      <c r="F3302" t="s">
        <v>1484</v>
      </c>
      <c r="G3302" t="s">
        <v>4248</v>
      </c>
      <c r="H3302" t="s">
        <v>5917</v>
      </c>
      <c r="I3302" t="s">
        <v>6422</v>
      </c>
      <c r="J3302" t="s">
        <v>7170</v>
      </c>
      <c r="K3302">
        <v>10452</v>
      </c>
      <c r="N3302" t="s">
        <v>7237</v>
      </c>
      <c r="O3302" t="s">
        <v>9397</v>
      </c>
      <c r="P3302">
        <v>3</v>
      </c>
      <c r="Q3302">
        <v>1</v>
      </c>
      <c r="R3302">
        <v>485.6</v>
      </c>
      <c r="U3302">
        <v>193000</v>
      </c>
      <c r="W3302">
        <v>0.3</v>
      </c>
      <c r="X3302" t="s">
        <v>383</v>
      </c>
      <c r="Y3302" t="s">
        <v>10899</v>
      </c>
      <c r="AA3302" t="s">
        <v>10974</v>
      </c>
      <c r="AB3302" t="s">
        <v>980</v>
      </c>
      <c r="AD3302" t="s">
        <v>11096</v>
      </c>
      <c r="AF3302" t="s">
        <v>11122</v>
      </c>
      <c r="AH3302" t="s">
        <v>10974</v>
      </c>
      <c r="AJ3302" t="s">
        <v>11141</v>
      </c>
      <c r="AK3302" t="s">
        <v>7225</v>
      </c>
      <c r="AM3302">
        <v>745.05</v>
      </c>
      <c r="AO3302">
        <v>62</v>
      </c>
      <c r="AQ3302" t="s">
        <v>11157</v>
      </c>
      <c r="AR3302" t="s">
        <v>11172</v>
      </c>
      <c r="AU3302">
        <v>39</v>
      </c>
      <c r="AW3302" t="s">
        <v>11189</v>
      </c>
      <c r="AZ3302" t="s">
        <v>11221</v>
      </c>
      <c r="BE3302" t="s">
        <v>13612</v>
      </c>
      <c r="BG3302" t="s">
        <v>15202</v>
      </c>
      <c r="BM3302" t="s">
        <v>15650</v>
      </c>
    </row>
    <row r="3303" spans="1:65">
      <c r="A3303" s="1">
        <f>HYPERLINK("https://lsnyc.legalserver.org/matter/dynamic-profile/view/1860904","18-1860904")</f>
        <v>0</v>
      </c>
      <c r="B3303" t="s">
        <v>193</v>
      </c>
      <c r="C3303" t="s">
        <v>246</v>
      </c>
      <c r="D3303" t="s">
        <v>944</v>
      </c>
      <c r="F3303" t="s">
        <v>1258</v>
      </c>
      <c r="G3303" t="s">
        <v>4249</v>
      </c>
      <c r="H3303" t="s">
        <v>5233</v>
      </c>
      <c r="I3303" t="s">
        <v>6977</v>
      </c>
      <c r="J3303" t="s">
        <v>7170</v>
      </c>
      <c r="K3303">
        <v>10453</v>
      </c>
      <c r="N3303" t="s">
        <v>7237</v>
      </c>
      <c r="O3303" t="s">
        <v>9398</v>
      </c>
      <c r="P3303">
        <v>2</v>
      </c>
      <c r="Q3303">
        <v>3</v>
      </c>
      <c r="R3303">
        <v>0</v>
      </c>
      <c r="U3303">
        <v>26000</v>
      </c>
      <c r="W3303">
        <v>0.8</v>
      </c>
      <c r="X3303" t="s">
        <v>593</v>
      </c>
      <c r="Y3303" t="s">
        <v>210</v>
      </c>
      <c r="AA3303" t="s">
        <v>10974</v>
      </c>
      <c r="AB3303" t="s">
        <v>1047</v>
      </c>
      <c r="AD3303" t="s">
        <v>11101</v>
      </c>
      <c r="AF3303" t="s">
        <v>11118</v>
      </c>
      <c r="AH3303" t="s">
        <v>10974</v>
      </c>
      <c r="AJ3303" t="s">
        <v>11130</v>
      </c>
      <c r="AK3303" t="s">
        <v>7225</v>
      </c>
      <c r="AM3303">
        <v>1293</v>
      </c>
      <c r="AO3303">
        <v>46</v>
      </c>
      <c r="AQ3303" t="s">
        <v>11157</v>
      </c>
      <c r="AS3303" t="s">
        <v>11173</v>
      </c>
      <c r="AU3303">
        <v>6</v>
      </c>
      <c r="AW3303" t="s">
        <v>11189</v>
      </c>
      <c r="AZ3303" t="s">
        <v>11221</v>
      </c>
      <c r="BE3303" t="s">
        <v>13613</v>
      </c>
      <c r="BG3303" t="s">
        <v>15209</v>
      </c>
      <c r="BM3303" t="s">
        <v>15650</v>
      </c>
    </row>
    <row r="3304" spans="1:65">
      <c r="A3304" s="1">
        <f>HYPERLINK("https://lsnyc.legalserver.org/matter/dynamic-profile/view/0799622","16-0799622")</f>
        <v>0</v>
      </c>
      <c r="B3304" t="s">
        <v>193</v>
      </c>
      <c r="C3304" t="s">
        <v>246</v>
      </c>
      <c r="D3304" t="s">
        <v>996</v>
      </c>
      <c r="F3304" t="s">
        <v>2050</v>
      </c>
      <c r="G3304" t="s">
        <v>3006</v>
      </c>
      <c r="H3304" t="s">
        <v>5917</v>
      </c>
      <c r="I3304" t="s">
        <v>6408</v>
      </c>
      <c r="J3304" t="s">
        <v>7170</v>
      </c>
      <c r="K3304">
        <v>10452</v>
      </c>
      <c r="N3304" t="s">
        <v>7237</v>
      </c>
      <c r="O3304" t="s">
        <v>9388</v>
      </c>
      <c r="P3304">
        <v>2</v>
      </c>
      <c r="Q3304">
        <v>0</v>
      </c>
      <c r="R3304">
        <v>127.24</v>
      </c>
      <c r="U3304">
        <v>20384</v>
      </c>
      <c r="W3304">
        <v>0.5</v>
      </c>
      <c r="X3304" t="s">
        <v>758</v>
      </c>
      <c r="Y3304" t="s">
        <v>138</v>
      </c>
      <c r="AA3304" t="s">
        <v>10974</v>
      </c>
      <c r="AB3304" t="s">
        <v>999</v>
      </c>
      <c r="AD3304" t="s">
        <v>11096</v>
      </c>
      <c r="AF3304" t="s">
        <v>11122</v>
      </c>
      <c r="AH3304" t="s">
        <v>10974</v>
      </c>
      <c r="AJ3304" t="s">
        <v>11141</v>
      </c>
      <c r="AK3304" t="s">
        <v>7225</v>
      </c>
      <c r="AM3304">
        <v>1233</v>
      </c>
      <c r="AO3304">
        <v>61</v>
      </c>
      <c r="AQ3304" t="s">
        <v>11157</v>
      </c>
      <c r="AS3304" t="s">
        <v>11173</v>
      </c>
      <c r="AU3304">
        <v>2</v>
      </c>
      <c r="AW3304" t="s">
        <v>11209</v>
      </c>
      <c r="AZ3304" t="s">
        <v>11221</v>
      </c>
      <c r="BE3304" t="s">
        <v>13604</v>
      </c>
      <c r="BF3304" t="s">
        <v>14364</v>
      </c>
      <c r="BG3304" t="s">
        <v>15204</v>
      </c>
      <c r="BM3304" t="s">
        <v>15650</v>
      </c>
    </row>
    <row r="3305" spans="1:65">
      <c r="A3305" s="1">
        <f>HYPERLINK("https://lsnyc.legalserver.org/matter/dynamic-profile/view/0816953","16-0816953")</f>
        <v>0</v>
      </c>
      <c r="B3305" t="s">
        <v>193</v>
      </c>
      <c r="C3305" t="s">
        <v>246</v>
      </c>
      <c r="D3305" t="s">
        <v>494</v>
      </c>
      <c r="F3305" t="s">
        <v>2050</v>
      </c>
      <c r="G3305" t="s">
        <v>3006</v>
      </c>
      <c r="H3305" t="s">
        <v>5917</v>
      </c>
      <c r="I3305" t="s">
        <v>6408</v>
      </c>
      <c r="J3305" t="s">
        <v>7170</v>
      </c>
      <c r="K3305">
        <v>10452</v>
      </c>
      <c r="N3305" t="s">
        <v>7237</v>
      </c>
      <c r="O3305" t="s">
        <v>9388</v>
      </c>
      <c r="P3305">
        <v>2</v>
      </c>
      <c r="Q3305">
        <v>0</v>
      </c>
      <c r="R3305">
        <v>127.24</v>
      </c>
      <c r="U3305">
        <v>20384</v>
      </c>
      <c r="W3305">
        <v>0.8</v>
      </c>
      <c r="X3305" t="s">
        <v>758</v>
      </c>
      <c r="Y3305" t="s">
        <v>10899</v>
      </c>
      <c r="AA3305" t="s">
        <v>10974</v>
      </c>
      <c r="AB3305" t="s">
        <v>838</v>
      </c>
      <c r="AD3305" t="s">
        <v>11096</v>
      </c>
      <c r="AF3305" t="s">
        <v>11122</v>
      </c>
      <c r="AH3305" t="s">
        <v>10974</v>
      </c>
      <c r="AJ3305" t="s">
        <v>11141</v>
      </c>
      <c r="AK3305" t="s">
        <v>7225</v>
      </c>
      <c r="AM3305">
        <v>1233</v>
      </c>
      <c r="AO3305">
        <v>62</v>
      </c>
      <c r="AQ3305" t="s">
        <v>11157</v>
      </c>
      <c r="AS3305" t="s">
        <v>11173</v>
      </c>
      <c r="AU3305">
        <v>2</v>
      </c>
      <c r="AW3305" t="s">
        <v>11189</v>
      </c>
      <c r="AZ3305" t="s">
        <v>11221</v>
      </c>
      <c r="BE3305" t="s">
        <v>13604</v>
      </c>
      <c r="BG3305" t="s">
        <v>15206</v>
      </c>
      <c r="BM3305" t="s">
        <v>15650</v>
      </c>
    </row>
    <row r="3306" spans="1:65">
      <c r="A3306" s="1">
        <f>HYPERLINK("https://lsnyc.legalserver.org/matter/dynamic-profile/view/0822616","16-0822616")</f>
        <v>0</v>
      </c>
      <c r="B3306" t="s">
        <v>193</v>
      </c>
      <c r="C3306" t="s">
        <v>246</v>
      </c>
      <c r="D3306" t="s">
        <v>980</v>
      </c>
      <c r="F3306" t="s">
        <v>2050</v>
      </c>
      <c r="G3306" t="s">
        <v>3006</v>
      </c>
      <c r="H3306" t="s">
        <v>5917</v>
      </c>
      <c r="I3306" t="s">
        <v>6408</v>
      </c>
      <c r="J3306" t="s">
        <v>7170</v>
      </c>
      <c r="K3306">
        <v>10452</v>
      </c>
      <c r="N3306" t="s">
        <v>7237</v>
      </c>
      <c r="O3306" t="s">
        <v>9388</v>
      </c>
      <c r="P3306">
        <v>2</v>
      </c>
      <c r="Q3306">
        <v>0</v>
      </c>
      <c r="R3306">
        <v>127.24</v>
      </c>
      <c r="U3306">
        <v>20384</v>
      </c>
      <c r="W3306">
        <v>0.3</v>
      </c>
      <c r="X3306" t="s">
        <v>758</v>
      </c>
      <c r="Y3306" t="s">
        <v>10899</v>
      </c>
      <c r="AA3306" t="s">
        <v>10974</v>
      </c>
      <c r="AB3306" t="s">
        <v>980</v>
      </c>
      <c r="AD3306" t="s">
        <v>11096</v>
      </c>
      <c r="AF3306" t="s">
        <v>11122</v>
      </c>
      <c r="AH3306" t="s">
        <v>10974</v>
      </c>
      <c r="AJ3306" t="s">
        <v>11141</v>
      </c>
      <c r="AK3306" t="s">
        <v>7225</v>
      </c>
      <c r="AM3306">
        <v>1233</v>
      </c>
      <c r="AO3306">
        <v>62</v>
      </c>
      <c r="AQ3306" t="s">
        <v>11157</v>
      </c>
      <c r="AS3306" t="s">
        <v>11173</v>
      </c>
      <c r="AU3306">
        <v>2</v>
      </c>
      <c r="AW3306" t="s">
        <v>11189</v>
      </c>
      <c r="AZ3306" t="s">
        <v>11221</v>
      </c>
      <c r="BE3306" t="s">
        <v>13604</v>
      </c>
      <c r="BG3306" t="s">
        <v>15202</v>
      </c>
      <c r="BM3306" t="s">
        <v>15650</v>
      </c>
    </row>
    <row r="3307" spans="1:65">
      <c r="A3307" s="1">
        <f>HYPERLINK("https://lsnyc.legalserver.org/matter/dynamic-profile/view/0822707","16-0822707")</f>
        <v>0</v>
      </c>
      <c r="B3307" t="s">
        <v>193</v>
      </c>
      <c r="C3307" t="s">
        <v>246</v>
      </c>
      <c r="D3307" t="s">
        <v>281</v>
      </c>
      <c r="F3307" t="s">
        <v>2410</v>
      </c>
      <c r="G3307" t="s">
        <v>2938</v>
      </c>
      <c r="H3307" t="s">
        <v>5917</v>
      </c>
      <c r="I3307" t="s">
        <v>6905</v>
      </c>
      <c r="J3307" t="s">
        <v>7170</v>
      </c>
      <c r="K3307">
        <v>10452</v>
      </c>
      <c r="N3307" t="s">
        <v>7237</v>
      </c>
      <c r="O3307" t="s">
        <v>9345</v>
      </c>
      <c r="P3307">
        <v>1</v>
      </c>
      <c r="Q3307">
        <v>0</v>
      </c>
      <c r="R3307">
        <v>212.12</v>
      </c>
      <c r="U3307">
        <v>25200</v>
      </c>
      <c r="W3307">
        <v>0.3</v>
      </c>
      <c r="X3307" t="s">
        <v>758</v>
      </c>
      <c r="Y3307" t="s">
        <v>10899</v>
      </c>
      <c r="AA3307" t="s">
        <v>10974</v>
      </c>
      <c r="AB3307" t="s">
        <v>774</v>
      </c>
      <c r="AD3307" t="s">
        <v>11096</v>
      </c>
      <c r="AF3307" t="s">
        <v>11122</v>
      </c>
      <c r="AH3307" t="s">
        <v>10974</v>
      </c>
      <c r="AJ3307" t="s">
        <v>11141</v>
      </c>
      <c r="AK3307" t="s">
        <v>7225</v>
      </c>
      <c r="AM3307">
        <v>709.39</v>
      </c>
      <c r="AO3307">
        <v>62</v>
      </c>
      <c r="AQ3307" t="s">
        <v>11157</v>
      </c>
      <c r="AS3307" t="s">
        <v>11173</v>
      </c>
      <c r="AU3307">
        <v>42</v>
      </c>
      <c r="AW3307" t="s">
        <v>11187</v>
      </c>
      <c r="AZ3307" t="s">
        <v>11221</v>
      </c>
      <c r="BE3307" t="s">
        <v>13565</v>
      </c>
      <c r="BG3307" t="s">
        <v>15202</v>
      </c>
      <c r="BM3307" t="s">
        <v>15650</v>
      </c>
    </row>
    <row r="3308" spans="1:65">
      <c r="A3308" s="1">
        <f>HYPERLINK("https://lsnyc.legalserver.org/matter/dynamic-profile/view/0817064","16-0817064")</f>
        <v>0</v>
      </c>
      <c r="B3308" t="s">
        <v>193</v>
      </c>
      <c r="C3308" t="s">
        <v>246</v>
      </c>
      <c r="D3308" t="s">
        <v>994</v>
      </c>
      <c r="F3308" t="s">
        <v>2410</v>
      </c>
      <c r="G3308" t="s">
        <v>2938</v>
      </c>
      <c r="H3308" t="s">
        <v>5917</v>
      </c>
      <c r="I3308" t="s">
        <v>6905</v>
      </c>
      <c r="J3308" t="s">
        <v>7170</v>
      </c>
      <c r="K3308">
        <v>10452</v>
      </c>
      <c r="N3308" t="s">
        <v>7237</v>
      </c>
      <c r="O3308" t="s">
        <v>9345</v>
      </c>
      <c r="P3308">
        <v>1</v>
      </c>
      <c r="Q3308">
        <v>0</v>
      </c>
      <c r="R3308">
        <v>212.12</v>
      </c>
      <c r="U3308">
        <v>25200</v>
      </c>
      <c r="W3308">
        <v>0.8</v>
      </c>
      <c r="X3308" t="s">
        <v>758</v>
      </c>
      <c r="Y3308" t="s">
        <v>10899</v>
      </c>
      <c r="AA3308" t="s">
        <v>10974</v>
      </c>
      <c r="AB3308" t="s">
        <v>838</v>
      </c>
      <c r="AD3308" t="s">
        <v>11096</v>
      </c>
      <c r="AF3308" t="s">
        <v>11122</v>
      </c>
      <c r="AH3308" t="s">
        <v>10974</v>
      </c>
      <c r="AJ3308" t="s">
        <v>11141</v>
      </c>
      <c r="AK3308" t="s">
        <v>7225</v>
      </c>
      <c r="AM3308">
        <v>709.39</v>
      </c>
      <c r="AO3308">
        <v>62</v>
      </c>
      <c r="AQ3308" t="s">
        <v>11157</v>
      </c>
      <c r="AS3308" t="s">
        <v>11173</v>
      </c>
      <c r="AU3308">
        <v>42</v>
      </c>
      <c r="AW3308" t="s">
        <v>11187</v>
      </c>
      <c r="AZ3308" t="s">
        <v>11221</v>
      </c>
      <c r="BE3308" t="s">
        <v>13565</v>
      </c>
      <c r="BG3308" t="s">
        <v>15206</v>
      </c>
      <c r="BM3308" t="s">
        <v>15650</v>
      </c>
    </row>
    <row r="3309" spans="1:65">
      <c r="A3309" s="1">
        <f>HYPERLINK("https://lsnyc.legalserver.org/matter/dynamic-profile/view/0798998","16-0798998")</f>
        <v>0</v>
      </c>
      <c r="B3309" t="s">
        <v>193</v>
      </c>
      <c r="C3309" t="s">
        <v>246</v>
      </c>
      <c r="D3309" t="s">
        <v>999</v>
      </c>
      <c r="F3309" t="s">
        <v>2410</v>
      </c>
      <c r="G3309" t="s">
        <v>2938</v>
      </c>
      <c r="H3309" t="s">
        <v>5917</v>
      </c>
      <c r="I3309" t="s">
        <v>6905</v>
      </c>
      <c r="J3309" t="s">
        <v>7170</v>
      </c>
      <c r="K3309">
        <v>10452</v>
      </c>
      <c r="N3309" t="s">
        <v>7237</v>
      </c>
      <c r="O3309" t="s">
        <v>9345</v>
      </c>
      <c r="P3309">
        <v>1</v>
      </c>
      <c r="Q3309">
        <v>0</v>
      </c>
      <c r="R3309">
        <v>212.12</v>
      </c>
      <c r="U3309">
        <v>25200</v>
      </c>
      <c r="W3309">
        <v>0.75</v>
      </c>
      <c r="X3309" t="s">
        <v>758</v>
      </c>
      <c r="Y3309" t="s">
        <v>138</v>
      </c>
      <c r="AA3309" t="s">
        <v>10974</v>
      </c>
      <c r="AB3309" t="s">
        <v>10996</v>
      </c>
      <c r="AD3309" t="s">
        <v>11096</v>
      </c>
      <c r="AF3309" t="s">
        <v>11122</v>
      </c>
      <c r="AH3309" t="s">
        <v>10974</v>
      </c>
      <c r="AJ3309" t="s">
        <v>11141</v>
      </c>
      <c r="AK3309" t="s">
        <v>7225</v>
      </c>
      <c r="AM3309">
        <v>709.39</v>
      </c>
      <c r="AN3309" t="s">
        <v>11151</v>
      </c>
      <c r="AO3309" t="s">
        <v>11153</v>
      </c>
      <c r="AQ3309" t="s">
        <v>11157</v>
      </c>
      <c r="AS3309" t="s">
        <v>11173</v>
      </c>
      <c r="AU3309">
        <v>42</v>
      </c>
      <c r="AW3309" t="s">
        <v>11187</v>
      </c>
      <c r="AZ3309" t="s">
        <v>11221</v>
      </c>
      <c r="BE3309" t="s">
        <v>13565</v>
      </c>
      <c r="BF3309" t="s">
        <v>14364</v>
      </c>
      <c r="BG3309" t="s">
        <v>15204</v>
      </c>
      <c r="BM3309" t="s">
        <v>15650</v>
      </c>
    </row>
    <row r="3310" spans="1:65">
      <c r="A3310" s="1">
        <f>HYPERLINK("https://lsnyc.legalserver.org/matter/dynamic-profile/view/1861954","18-1861954")</f>
        <v>0</v>
      </c>
      <c r="B3310" t="s">
        <v>193</v>
      </c>
      <c r="C3310" t="s">
        <v>246</v>
      </c>
      <c r="D3310" t="s">
        <v>308</v>
      </c>
      <c r="F3310" t="s">
        <v>2376</v>
      </c>
      <c r="G3310" t="s">
        <v>3480</v>
      </c>
      <c r="H3310" t="s">
        <v>5233</v>
      </c>
      <c r="I3310" t="s">
        <v>6909</v>
      </c>
      <c r="J3310" t="s">
        <v>7170</v>
      </c>
      <c r="K3310">
        <v>10453</v>
      </c>
      <c r="N3310" t="s">
        <v>7237</v>
      </c>
      <c r="O3310" t="s">
        <v>9358</v>
      </c>
      <c r="P3310">
        <v>1</v>
      </c>
      <c r="Q3310">
        <v>4</v>
      </c>
      <c r="R3310">
        <v>0</v>
      </c>
      <c r="U3310">
        <v>0</v>
      </c>
      <c r="W3310">
        <v>1.2</v>
      </c>
      <c r="X3310" t="s">
        <v>946</v>
      </c>
      <c r="Y3310" t="s">
        <v>210</v>
      </c>
      <c r="AA3310" t="s">
        <v>10974</v>
      </c>
      <c r="AB3310" t="s">
        <v>1047</v>
      </c>
      <c r="AD3310" t="s">
        <v>11101</v>
      </c>
      <c r="AF3310" t="s">
        <v>11118</v>
      </c>
      <c r="AH3310" t="s">
        <v>10974</v>
      </c>
      <c r="AJ3310" t="s">
        <v>11130</v>
      </c>
      <c r="AK3310" t="s">
        <v>7225</v>
      </c>
      <c r="AM3310">
        <v>1612.04</v>
      </c>
      <c r="AO3310">
        <v>46</v>
      </c>
      <c r="AQ3310" t="s">
        <v>11157</v>
      </c>
      <c r="AS3310" t="s">
        <v>11180</v>
      </c>
      <c r="AU3310">
        <v>11</v>
      </c>
      <c r="AW3310" t="s">
        <v>11189</v>
      </c>
      <c r="AZ3310" t="s">
        <v>11221</v>
      </c>
      <c r="BB3310" t="s">
        <v>11224</v>
      </c>
      <c r="BC3310" t="s">
        <v>11529</v>
      </c>
      <c r="BE3310" t="s">
        <v>13576</v>
      </c>
      <c r="BG3310" t="s">
        <v>15209</v>
      </c>
      <c r="BM3310" t="s">
        <v>15650</v>
      </c>
    </row>
    <row r="3311" spans="1:65">
      <c r="A3311" s="1">
        <f>HYPERLINK("https://lsnyc.legalserver.org/matter/dynamic-profile/view/1877700","18-1877700")</f>
        <v>0</v>
      </c>
      <c r="B3311" t="s">
        <v>193</v>
      </c>
      <c r="C3311" t="s">
        <v>246</v>
      </c>
      <c r="D3311" t="s">
        <v>1000</v>
      </c>
      <c r="F3311" t="s">
        <v>2411</v>
      </c>
      <c r="G3311" t="s">
        <v>4224</v>
      </c>
      <c r="H3311" t="s">
        <v>4846</v>
      </c>
      <c r="I3311" t="s">
        <v>6636</v>
      </c>
      <c r="J3311" t="s">
        <v>7170</v>
      </c>
      <c r="K3311">
        <v>10452</v>
      </c>
      <c r="N3311" t="s">
        <v>7237</v>
      </c>
      <c r="O3311" t="s">
        <v>7482</v>
      </c>
      <c r="P3311">
        <v>1</v>
      </c>
      <c r="Q3311">
        <v>1</v>
      </c>
      <c r="R3311">
        <v>53.66</v>
      </c>
      <c r="U3311">
        <v>8832</v>
      </c>
      <c r="W3311">
        <v>2.5</v>
      </c>
      <c r="X3311" t="s">
        <v>601</v>
      </c>
      <c r="Y3311" t="s">
        <v>10897</v>
      </c>
      <c r="AA3311" t="s">
        <v>10974</v>
      </c>
      <c r="AB3311" t="s">
        <v>597</v>
      </c>
      <c r="AD3311" t="s">
        <v>11086</v>
      </c>
      <c r="AF3311" t="s">
        <v>11120</v>
      </c>
      <c r="AH3311" t="s">
        <v>10974</v>
      </c>
      <c r="AJ3311" t="s">
        <v>11141</v>
      </c>
      <c r="AK3311" t="s">
        <v>7225</v>
      </c>
      <c r="AM3311">
        <v>230</v>
      </c>
      <c r="AO3311">
        <v>149</v>
      </c>
      <c r="AQ3311" t="s">
        <v>11157</v>
      </c>
      <c r="AS3311" t="s">
        <v>11177</v>
      </c>
      <c r="AU3311">
        <v>27</v>
      </c>
      <c r="AW3311" t="s">
        <v>11189</v>
      </c>
      <c r="AZ3311" t="s">
        <v>11221</v>
      </c>
      <c r="BC3311" t="s">
        <v>11530</v>
      </c>
      <c r="BE3311" t="s">
        <v>13567</v>
      </c>
      <c r="BF3311" t="s">
        <v>14364</v>
      </c>
      <c r="BM3311" t="s">
        <v>15650</v>
      </c>
    </row>
    <row r="3312" spans="1:65">
      <c r="A3312" s="1">
        <f>HYPERLINK("https://lsnyc.legalserver.org/matter/dynamic-profile/view/1861971","18-1861971")</f>
        <v>0</v>
      </c>
      <c r="B3312" t="s">
        <v>193</v>
      </c>
      <c r="C3312" t="s">
        <v>246</v>
      </c>
      <c r="D3312" t="s">
        <v>308</v>
      </c>
      <c r="F3312" t="s">
        <v>2435</v>
      </c>
      <c r="G3312" t="s">
        <v>2902</v>
      </c>
      <c r="H3312" t="s">
        <v>5233</v>
      </c>
      <c r="I3312" t="s">
        <v>6502</v>
      </c>
      <c r="J3312" t="s">
        <v>7170</v>
      </c>
      <c r="K3312">
        <v>10453</v>
      </c>
      <c r="N3312" t="s">
        <v>7237</v>
      </c>
      <c r="O3312" t="s">
        <v>8733</v>
      </c>
      <c r="P3312">
        <v>1</v>
      </c>
      <c r="Q3312">
        <v>2</v>
      </c>
      <c r="R3312">
        <v>33.15</v>
      </c>
      <c r="U3312">
        <v>6888</v>
      </c>
      <c r="W3312">
        <v>0.8</v>
      </c>
      <c r="X3312" t="s">
        <v>308</v>
      </c>
      <c r="Y3312" t="s">
        <v>210</v>
      </c>
      <c r="AA3312" t="s">
        <v>10974</v>
      </c>
      <c r="AB3312" t="s">
        <v>1047</v>
      </c>
      <c r="AD3312" t="s">
        <v>11101</v>
      </c>
      <c r="AF3312" t="s">
        <v>11118</v>
      </c>
      <c r="AH3312" t="s">
        <v>10974</v>
      </c>
      <c r="AJ3312" t="s">
        <v>11130</v>
      </c>
      <c r="AK3312" t="s">
        <v>7225</v>
      </c>
      <c r="AM3312">
        <v>1275</v>
      </c>
      <c r="AO3312">
        <v>46</v>
      </c>
      <c r="AQ3312" t="s">
        <v>11157</v>
      </c>
      <c r="AS3312" t="s">
        <v>11176</v>
      </c>
      <c r="AU3312">
        <v>2</v>
      </c>
      <c r="AW3312" t="s">
        <v>11187</v>
      </c>
      <c r="AZ3312" t="s">
        <v>11221</v>
      </c>
      <c r="BB3312" t="s">
        <v>11224</v>
      </c>
      <c r="BC3312" t="s">
        <v>11531</v>
      </c>
      <c r="BD3312" t="s">
        <v>11667</v>
      </c>
      <c r="BG3312" t="s">
        <v>15209</v>
      </c>
      <c r="BM3312" t="s">
        <v>15650</v>
      </c>
    </row>
    <row r="3313" spans="1:65">
      <c r="A3313" s="1">
        <f>HYPERLINK("https://lsnyc.legalserver.org/matter/dynamic-profile/view/1854705","17-1854705")</f>
        <v>0</v>
      </c>
      <c r="B3313" t="s">
        <v>193</v>
      </c>
      <c r="C3313" t="s">
        <v>246</v>
      </c>
      <c r="D3313" t="s">
        <v>993</v>
      </c>
      <c r="F3313" t="s">
        <v>1383</v>
      </c>
      <c r="G3313" t="s">
        <v>3004</v>
      </c>
      <c r="H3313" t="s">
        <v>5917</v>
      </c>
      <c r="I3313" t="s">
        <v>6437</v>
      </c>
      <c r="J3313" t="s">
        <v>7170</v>
      </c>
      <c r="K3313">
        <v>10452</v>
      </c>
      <c r="N3313" t="s">
        <v>7237</v>
      </c>
      <c r="O3313" t="s">
        <v>9399</v>
      </c>
      <c r="P3313">
        <v>3</v>
      </c>
      <c r="Q3313">
        <v>0</v>
      </c>
      <c r="R3313">
        <v>164.93</v>
      </c>
      <c r="U3313">
        <v>33677.8</v>
      </c>
      <c r="W3313">
        <v>0.6</v>
      </c>
      <c r="X3313" t="s">
        <v>993</v>
      </c>
      <c r="Y3313" t="s">
        <v>210</v>
      </c>
      <c r="AA3313" t="s">
        <v>10974</v>
      </c>
      <c r="AB3313" t="s">
        <v>458</v>
      </c>
      <c r="AD3313" t="s">
        <v>11096</v>
      </c>
      <c r="AF3313" t="s">
        <v>11122</v>
      </c>
      <c r="AH3313" t="s">
        <v>10974</v>
      </c>
      <c r="AJ3313" t="s">
        <v>11141</v>
      </c>
      <c r="AK3313" t="s">
        <v>7225</v>
      </c>
      <c r="AM3313">
        <v>1642.54</v>
      </c>
      <c r="AO3313">
        <v>62</v>
      </c>
      <c r="AQ3313" t="s">
        <v>11157</v>
      </c>
      <c r="AS3313" t="s">
        <v>11174</v>
      </c>
      <c r="AU3313">
        <v>15</v>
      </c>
      <c r="AW3313" t="s">
        <v>11189</v>
      </c>
      <c r="AZ3313" t="s">
        <v>11221</v>
      </c>
      <c r="BE3313" t="s">
        <v>13614</v>
      </c>
      <c r="BF3313" t="s">
        <v>14364</v>
      </c>
      <c r="BG3313" t="s">
        <v>15205</v>
      </c>
      <c r="BM3313" t="s">
        <v>15650</v>
      </c>
    </row>
    <row r="3314" spans="1:65">
      <c r="A3314" s="1">
        <f>HYPERLINK("https://lsnyc.legalserver.org/matter/dynamic-profile/view/0817111","16-0817111")</f>
        <v>0</v>
      </c>
      <c r="B3314" t="s">
        <v>193</v>
      </c>
      <c r="C3314" t="s">
        <v>246</v>
      </c>
      <c r="D3314" t="s">
        <v>742</v>
      </c>
      <c r="F3314" t="s">
        <v>2414</v>
      </c>
      <c r="G3314" t="s">
        <v>2985</v>
      </c>
      <c r="H3314" t="s">
        <v>5917</v>
      </c>
      <c r="I3314" t="s">
        <v>6591</v>
      </c>
      <c r="J3314" t="s">
        <v>7170</v>
      </c>
      <c r="K3314">
        <v>10452</v>
      </c>
      <c r="N3314" t="s">
        <v>7237</v>
      </c>
      <c r="O3314" t="s">
        <v>9400</v>
      </c>
      <c r="P3314">
        <v>3</v>
      </c>
      <c r="Q3314">
        <v>2</v>
      </c>
      <c r="R3314">
        <v>118.85</v>
      </c>
      <c r="U3314">
        <v>33800</v>
      </c>
      <c r="W3314">
        <v>0.8</v>
      </c>
      <c r="X3314" t="s">
        <v>758</v>
      </c>
      <c r="Y3314" t="s">
        <v>10899</v>
      </c>
      <c r="AA3314" t="s">
        <v>10974</v>
      </c>
      <c r="AB3314" t="s">
        <v>838</v>
      </c>
      <c r="AD3314" t="s">
        <v>11096</v>
      </c>
      <c r="AF3314" t="s">
        <v>11122</v>
      </c>
      <c r="AH3314" t="s">
        <v>10974</v>
      </c>
      <c r="AJ3314" t="s">
        <v>11141</v>
      </c>
      <c r="AK3314" t="s">
        <v>7225</v>
      </c>
      <c r="AM3314">
        <v>1310</v>
      </c>
      <c r="AO3314">
        <v>62</v>
      </c>
      <c r="AQ3314" t="s">
        <v>11157</v>
      </c>
      <c r="AS3314" t="s">
        <v>11173</v>
      </c>
      <c r="AU3314">
        <v>24</v>
      </c>
      <c r="AW3314" t="s">
        <v>11189</v>
      </c>
      <c r="AZ3314" t="s">
        <v>11221</v>
      </c>
      <c r="BE3314" t="s">
        <v>13615</v>
      </c>
      <c r="BG3314" t="s">
        <v>15206</v>
      </c>
      <c r="BM3314" t="s">
        <v>15650</v>
      </c>
    </row>
    <row r="3315" spans="1:65">
      <c r="A3315" s="1">
        <f>HYPERLINK("https://lsnyc.legalserver.org/matter/dynamic-profile/view/0822622","16-0822622")</f>
        <v>0</v>
      </c>
      <c r="B3315" t="s">
        <v>193</v>
      </c>
      <c r="C3315" t="s">
        <v>246</v>
      </c>
      <c r="D3315" t="s">
        <v>980</v>
      </c>
      <c r="F3315" t="s">
        <v>2414</v>
      </c>
      <c r="G3315" t="s">
        <v>2985</v>
      </c>
      <c r="H3315" t="s">
        <v>5917</v>
      </c>
      <c r="I3315" t="s">
        <v>6591</v>
      </c>
      <c r="J3315" t="s">
        <v>7170</v>
      </c>
      <c r="K3315">
        <v>10452</v>
      </c>
      <c r="N3315" t="s">
        <v>7237</v>
      </c>
      <c r="O3315" t="s">
        <v>9400</v>
      </c>
      <c r="P3315">
        <v>3</v>
      </c>
      <c r="Q3315">
        <v>2</v>
      </c>
      <c r="R3315">
        <v>118.85</v>
      </c>
      <c r="U3315">
        <v>33800</v>
      </c>
      <c r="W3315">
        <v>0.3</v>
      </c>
      <c r="X3315" t="s">
        <v>758</v>
      </c>
      <c r="Y3315" t="s">
        <v>10899</v>
      </c>
      <c r="AA3315" t="s">
        <v>10974</v>
      </c>
      <c r="AB3315" t="s">
        <v>774</v>
      </c>
      <c r="AD3315" t="s">
        <v>11096</v>
      </c>
      <c r="AF3315" t="s">
        <v>11122</v>
      </c>
      <c r="AH3315" t="s">
        <v>10974</v>
      </c>
      <c r="AJ3315" t="s">
        <v>11141</v>
      </c>
      <c r="AK3315" t="s">
        <v>7225</v>
      </c>
      <c r="AM3315">
        <v>1310</v>
      </c>
      <c r="AO3315">
        <v>62</v>
      </c>
      <c r="AQ3315" t="s">
        <v>11157</v>
      </c>
      <c r="AS3315" t="s">
        <v>11173</v>
      </c>
      <c r="AU3315">
        <v>24</v>
      </c>
      <c r="AW3315" t="s">
        <v>11209</v>
      </c>
      <c r="AZ3315" t="s">
        <v>11221</v>
      </c>
      <c r="BE3315" t="s">
        <v>13615</v>
      </c>
      <c r="BG3315" t="s">
        <v>15202</v>
      </c>
      <c r="BM3315" t="s">
        <v>15650</v>
      </c>
    </row>
    <row r="3316" spans="1:65">
      <c r="A3316" s="1">
        <f>HYPERLINK("https://lsnyc.legalserver.org/matter/dynamic-profile/view/1854886","17-1854886")</f>
        <v>0</v>
      </c>
      <c r="B3316" t="s">
        <v>193</v>
      </c>
      <c r="C3316" t="s">
        <v>246</v>
      </c>
      <c r="D3316" t="s">
        <v>523</v>
      </c>
      <c r="F3316" t="s">
        <v>1738</v>
      </c>
      <c r="G3316" t="s">
        <v>2995</v>
      </c>
      <c r="H3316" t="s">
        <v>5917</v>
      </c>
      <c r="I3316" t="s">
        <v>6486</v>
      </c>
      <c r="J3316" t="s">
        <v>7170</v>
      </c>
      <c r="K3316">
        <v>10452</v>
      </c>
      <c r="N3316" t="s">
        <v>7237</v>
      </c>
      <c r="O3316" t="s">
        <v>8268</v>
      </c>
      <c r="P3316">
        <v>2</v>
      </c>
      <c r="Q3316">
        <v>1</v>
      </c>
      <c r="R3316">
        <v>31.91</v>
      </c>
      <c r="U3316">
        <v>6516</v>
      </c>
      <c r="W3316">
        <v>0.4</v>
      </c>
      <c r="X3316" t="s">
        <v>523</v>
      </c>
      <c r="Y3316" t="s">
        <v>210</v>
      </c>
      <c r="AA3316" t="s">
        <v>10974</v>
      </c>
      <c r="AB3316" t="s">
        <v>458</v>
      </c>
      <c r="AD3316" t="s">
        <v>11096</v>
      </c>
      <c r="AF3316" t="s">
        <v>11122</v>
      </c>
      <c r="AH3316" t="s">
        <v>10974</v>
      </c>
      <c r="AI3316" t="s">
        <v>11126</v>
      </c>
      <c r="AK3316" t="s">
        <v>7225</v>
      </c>
      <c r="AM3316">
        <v>1914.66</v>
      </c>
      <c r="AO3316">
        <v>62</v>
      </c>
      <c r="AQ3316" t="s">
        <v>11157</v>
      </c>
      <c r="AS3316" t="s">
        <v>11174</v>
      </c>
      <c r="AU3316">
        <v>12</v>
      </c>
      <c r="AW3316" t="s">
        <v>11189</v>
      </c>
      <c r="AZ3316" t="s">
        <v>11221</v>
      </c>
      <c r="BB3316" t="s">
        <v>11224</v>
      </c>
      <c r="BC3316">
        <v>2642556</v>
      </c>
      <c r="BE3316" t="s">
        <v>13616</v>
      </c>
      <c r="BF3316" t="s">
        <v>14364</v>
      </c>
      <c r="BG3316" t="s">
        <v>15205</v>
      </c>
      <c r="BM3316" t="s">
        <v>15650</v>
      </c>
    </row>
    <row r="3317" spans="1:65">
      <c r="A3317" s="1">
        <f>HYPERLINK("https://lsnyc.legalserver.org/matter/dynamic-profile/view/1855244","18-1855244")</f>
        <v>0</v>
      </c>
      <c r="B3317" t="s">
        <v>193</v>
      </c>
      <c r="C3317" t="s">
        <v>246</v>
      </c>
      <c r="D3317" t="s">
        <v>997</v>
      </c>
      <c r="F3317" t="s">
        <v>1738</v>
      </c>
      <c r="G3317" t="s">
        <v>2995</v>
      </c>
      <c r="H3317" t="s">
        <v>5917</v>
      </c>
      <c r="I3317" t="s">
        <v>6486</v>
      </c>
      <c r="J3317" t="s">
        <v>7170</v>
      </c>
      <c r="K3317">
        <v>10452</v>
      </c>
      <c r="N3317" t="s">
        <v>7237</v>
      </c>
      <c r="O3317" t="s">
        <v>8268</v>
      </c>
      <c r="P3317">
        <v>2</v>
      </c>
      <c r="Q3317">
        <v>1</v>
      </c>
      <c r="R3317">
        <v>31.91</v>
      </c>
      <c r="U3317">
        <v>6516</v>
      </c>
      <c r="W3317">
        <v>0</v>
      </c>
      <c r="Y3317" t="s">
        <v>10899</v>
      </c>
      <c r="AA3317" t="s">
        <v>10974</v>
      </c>
      <c r="AB3317" t="s">
        <v>458</v>
      </c>
      <c r="AD3317" t="s">
        <v>11096</v>
      </c>
      <c r="AF3317" t="s">
        <v>11122</v>
      </c>
      <c r="AH3317" t="s">
        <v>10974</v>
      </c>
      <c r="AJ3317" t="s">
        <v>11141</v>
      </c>
      <c r="AK3317" t="s">
        <v>7225</v>
      </c>
      <c r="AM3317">
        <v>1914.66</v>
      </c>
      <c r="AO3317">
        <v>62</v>
      </c>
      <c r="AQ3317" t="s">
        <v>11157</v>
      </c>
      <c r="AS3317" t="s">
        <v>11174</v>
      </c>
      <c r="AU3317">
        <v>12</v>
      </c>
      <c r="AW3317" t="s">
        <v>11189</v>
      </c>
      <c r="AZ3317" t="s">
        <v>11221</v>
      </c>
      <c r="BB3317" t="s">
        <v>11224</v>
      </c>
      <c r="BC3317">
        <v>2642556</v>
      </c>
      <c r="BE3317" t="s">
        <v>13616</v>
      </c>
      <c r="BG3317" t="s">
        <v>15203</v>
      </c>
      <c r="BM3317" t="s">
        <v>15650</v>
      </c>
    </row>
    <row r="3318" spans="1:65">
      <c r="A3318" s="1">
        <f>HYPERLINK("https://lsnyc.legalserver.org/matter/dynamic-profile/view/0799231","16-0799231")</f>
        <v>0</v>
      </c>
      <c r="B3318" t="s">
        <v>193</v>
      </c>
      <c r="C3318" t="s">
        <v>246</v>
      </c>
      <c r="D3318" t="s">
        <v>996</v>
      </c>
      <c r="F3318" t="s">
        <v>1738</v>
      </c>
      <c r="G3318" t="s">
        <v>2995</v>
      </c>
      <c r="H3318" t="s">
        <v>5917</v>
      </c>
      <c r="I3318" t="s">
        <v>6486</v>
      </c>
      <c r="J3318" t="s">
        <v>7170</v>
      </c>
      <c r="K3318">
        <v>10452</v>
      </c>
      <c r="N3318" t="s">
        <v>7237</v>
      </c>
      <c r="O3318" t="s">
        <v>8268</v>
      </c>
      <c r="P3318">
        <v>2</v>
      </c>
      <c r="Q3318">
        <v>1</v>
      </c>
      <c r="R3318">
        <v>32.32</v>
      </c>
      <c r="U3318">
        <v>6516</v>
      </c>
      <c r="W3318">
        <v>0.5</v>
      </c>
      <c r="X3318" t="s">
        <v>458</v>
      </c>
      <c r="Y3318" t="s">
        <v>138</v>
      </c>
      <c r="AA3318" t="s">
        <v>10974</v>
      </c>
      <c r="AB3318" t="s">
        <v>999</v>
      </c>
      <c r="AD3318" t="s">
        <v>11096</v>
      </c>
      <c r="AF3318" t="s">
        <v>11122</v>
      </c>
      <c r="AH3318" t="s">
        <v>10974</v>
      </c>
      <c r="AJ3318" t="s">
        <v>11141</v>
      </c>
      <c r="AK3318" t="s">
        <v>7225</v>
      </c>
      <c r="AM3318">
        <v>1914.66</v>
      </c>
      <c r="AO3318">
        <v>61</v>
      </c>
      <c r="AQ3318" t="s">
        <v>11157</v>
      </c>
      <c r="AS3318" t="s">
        <v>11174</v>
      </c>
      <c r="AU3318">
        <v>12</v>
      </c>
      <c r="AW3318" t="s">
        <v>11189</v>
      </c>
      <c r="AZ3318" t="s">
        <v>11221</v>
      </c>
      <c r="BB3318" t="s">
        <v>11224</v>
      </c>
      <c r="BC3318">
        <v>2642556</v>
      </c>
      <c r="BE3318" t="s">
        <v>13616</v>
      </c>
      <c r="BF3318" t="s">
        <v>14364</v>
      </c>
      <c r="BG3318" t="s">
        <v>15204</v>
      </c>
      <c r="BM3318" t="s">
        <v>15650</v>
      </c>
    </row>
    <row r="3319" spans="1:65">
      <c r="A3319" s="1">
        <f>HYPERLINK("https://lsnyc.legalserver.org/matter/dynamic-profile/view/0816949","16-0816949")</f>
        <v>0</v>
      </c>
      <c r="B3319" t="s">
        <v>193</v>
      </c>
      <c r="C3319" t="s">
        <v>246</v>
      </c>
      <c r="D3319" t="s">
        <v>494</v>
      </c>
      <c r="F3319" t="s">
        <v>1738</v>
      </c>
      <c r="G3319" t="s">
        <v>2995</v>
      </c>
      <c r="H3319" t="s">
        <v>5917</v>
      </c>
      <c r="I3319" t="s">
        <v>6486</v>
      </c>
      <c r="J3319" t="s">
        <v>7170</v>
      </c>
      <c r="K3319">
        <v>10452</v>
      </c>
      <c r="N3319" t="s">
        <v>7237</v>
      </c>
      <c r="O3319" t="s">
        <v>8268</v>
      </c>
      <c r="P3319">
        <v>2</v>
      </c>
      <c r="Q3319">
        <v>1</v>
      </c>
      <c r="R3319">
        <v>32.32</v>
      </c>
      <c r="U3319">
        <v>6516</v>
      </c>
      <c r="W3319">
        <v>0.8</v>
      </c>
      <c r="X3319" t="s">
        <v>458</v>
      </c>
      <c r="Y3319" t="s">
        <v>10899</v>
      </c>
      <c r="AA3319" t="s">
        <v>10974</v>
      </c>
      <c r="AB3319" t="s">
        <v>838</v>
      </c>
      <c r="AD3319" t="s">
        <v>11096</v>
      </c>
      <c r="AF3319" t="s">
        <v>11122</v>
      </c>
      <c r="AH3319" t="s">
        <v>10974</v>
      </c>
      <c r="AJ3319" t="s">
        <v>11141</v>
      </c>
      <c r="AK3319" t="s">
        <v>7225</v>
      </c>
      <c r="AM3319">
        <v>1914.66</v>
      </c>
      <c r="AO3319">
        <v>62</v>
      </c>
      <c r="AQ3319" t="s">
        <v>11157</v>
      </c>
      <c r="AS3319" t="s">
        <v>11174</v>
      </c>
      <c r="AU3319">
        <v>12</v>
      </c>
      <c r="AW3319" t="s">
        <v>11189</v>
      </c>
      <c r="AZ3319" t="s">
        <v>11221</v>
      </c>
      <c r="BE3319" t="s">
        <v>13616</v>
      </c>
      <c r="BG3319" t="s">
        <v>15206</v>
      </c>
      <c r="BM3319" t="s">
        <v>15650</v>
      </c>
    </row>
    <row r="3320" spans="1:65">
      <c r="A3320" s="1">
        <f>HYPERLINK("https://lsnyc.legalserver.org/matter/dynamic-profile/view/0816982","16-0816982")</f>
        <v>0</v>
      </c>
      <c r="B3320" t="s">
        <v>193</v>
      </c>
      <c r="C3320" t="s">
        <v>246</v>
      </c>
      <c r="D3320" t="s">
        <v>494</v>
      </c>
      <c r="F3320" t="s">
        <v>1484</v>
      </c>
      <c r="G3320" t="s">
        <v>4248</v>
      </c>
      <c r="H3320" t="s">
        <v>5917</v>
      </c>
      <c r="I3320" t="s">
        <v>6422</v>
      </c>
      <c r="J3320" t="s">
        <v>7170</v>
      </c>
      <c r="K3320">
        <v>10452</v>
      </c>
      <c r="N3320" t="s">
        <v>7237</v>
      </c>
      <c r="O3320" t="s">
        <v>9397</v>
      </c>
      <c r="P3320">
        <v>3</v>
      </c>
      <c r="Q3320">
        <v>1</v>
      </c>
      <c r="R3320">
        <v>485.6</v>
      </c>
      <c r="U3320">
        <v>193000</v>
      </c>
      <c r="W3320">
        <v>0.9</v>
      </c>
      <c r="X3320" t="s">
        <v>597</v>
      </c>
      <c r="Y3320" t="s">
        <v>10899</v>
      </c>
      <c r="AA3320" t="s">
        <v>10974</v>
      </c>
      <c r="AB3320" t="s">
        <v>838</v>
      </c>
      <c r="AD3320" t="s">
        <v>11096</v>
      </c>
      <c r="AF3320" t="s">
        <v>11122</v>
      </c>
      <c r="AH3320" t="s">
        <v>10975</v>
      </c>
      <c r="AJ3320" t="s">
        <v>11141</v>
      </c>
      <c r="AK3320" t="s">
        <v>7225</v>
      </c>
      <c r="AM3320">
        <v>745.05</v>
      </c>
      <c r="AO3320">
        <v>62</v>
      </c>
      <c r="AQ3320" t="s">
        <v>11157</v>
      </c>
      <c r="AS3320" t="s">
        <v>11173</v>
      </c>
      <c r="AU3320">
        <v>39</v>
      </c>
      <c r="AW3320" t="s">
        <v>11189</v>
      </c>
      <c r="AZ3320" t="s">
        <v>11221</v>
      </c>
      <c r="BE3320" t="s">
        <v>13612</v>
      </c>
      <c r="BG3320" t="s">
        <v>15206</v>
      </c>
      <c r="BM3320" t="s">
        <v>15650</v>
      </c>
    </row>
    <row r="3321" spans="1:65">
      <c r="A3321" s="1">
        <f>HYPERLINK("https://lsnyc.legalserver.org/matter/dynamic-profile/view/0822537","16-0822537")</f>
        <v>0</v>
      </c>
      <c r="B3321" t="s">
        <v>193</v>
      </c>
      <c r="C3321" t="s">
        <v>246</v>
      </c>
      <c r="D3321" t="s">
        <v>980</v>
      </c>
      <c r="F3321" t="s">
        <v>1738</v>
      </c>
      <c r="G3321" t="s">
        <v>2995</v>
      </c>
      <c r="H3321" t="s">
        <v>5917</v>
      </c>
      <c r="I3321" t="s">
        <v>6486</v>
      </c>
      <c r="J3321" t="s">
        <v>7170</v>
      </c>
      <c r="K3321">
        <v>10452</v>
      </c>
      <c r="N3321" t="s">
        <v>7237</v>
      </c>
      <c r="O3321" t="s">
        <v>8268</v>
      </c>
      <c r="P3321">
        <v>2</v>
      </c>
      <c r="Q3321">
        <v>1</v>
      </c>
      <c r="R3321">
        <v>32.32</v>
      </c>
      <c r="U3321">
        <v>6516</v>
      </c>
      <c r="W3321">
        <v>0.3</v>
      </c>
      <c r="X3321" t="s">
        <v>458</v>
      </c>
      <c r="Y3321" t="s">
        <v>10899</v>
      </c>
      <c r="AA3321" t="s">
        <v>10974</v>
      </c>
      <c r="AB3321" t="s">
        <v>980</v>
      </c>
      <c r="AD3321" t="s">
        <v>11096</v>
      </c>
      <c r="AF3321" t="s">
        <v>11122</v>
      </c>
      <c r="AH3321" t="s">
        <v>10974</v>
      </c>
      <c r="AJ3321" t="s">
        <v>11141</v>
      </c>
      <c r="AK3321" t="s">
        <v>7225</v>
      </c>
      <c r="AM3321">
        <v>1914.66</v>
      </c>
      <c r="AO3321">
        <v>62</v>
      </c>
      <c r="AQ3321" t="s">
        <v>11157</v>
      </c>
      <c r="AS3321" t="s">
        <v>11174</v>
      </c>
      <c r="AU3321">
        <v>12</v>
      </c>
      <c r="AW3321" t="s">
        <v>11189</v>
      </c>
      <c r="AZ3321" t="s">
        <v>11221</v>
      </c>
      <c r="BB3321" t="s">
        <v>11224</v>
      </c>
      <c r="BC3321">
        <v>2642556</v>
      </c>
      <c r="BE3321" t="s">
        <v>13616</v>
      </c>
      <c r="BG3321" t="s">
        <v>15202</v>
      </c>
      <c r="BM3321" t="s">
        <v>15650</v>
      </c>
    </row>
    <row r="3322" spans="1:65">
      <c r="A3322" s="1">
        <f>HYPERLINK("https://lsnyc.legalserver.org/matter/dynamic-profile/view/1841251","17-1841251")</f>
        <v>0</v>
      </c>
      <c r="B3322" t="s">
        <v>193</v>
      </c>
      <c r="C3322" t="s">
        <v>246</v>
      </c>
      <c r="D3322" t="s">
        <v>694</v>
      </c>
      <c r="F3322" t="s">
        <v>2088</v>
      </c>
      <c r="G3322" t="s">
        <v>2962</v>
      </c>
      <c r="H3322" t="s">
        <v>4975</v>
      </c>
      <c r="I3322" t="s">
        <v>6839</v>
      </c>
      <c r="J3322" t="s">
        <v>7170</v>
      </c>
      <c r="K3322">
        <v>10452</v>
      </c>
      <c r="N3322" t="s">
        <v>7237</v>
      </c>
      <c r="O3322" t="s">
        <v>8739</v>
      </c>
      <c r="P3322">
        <v>2</v>
      </c>
      <c r="Q3322">
        <v>0</v>
      </c>
      <c r="R3322">
        <v>166.26</v>
      </c>
      <c r="U3322">
        <v>27000</v>
      </c>
      <c r="W3322">
        <v>78.02</v>
      </c>
      <c r="X3322" t="s">
        <v>307</v>
      </c>
      <c r="Y3322" t="s">
        <v>10899</v>
      </c>
      <c r="AA3322" t="s">
        <v>10974</v>
      </c>
      <c r="AB3322" t="s">
        <v>694</v>
      </c>
      <c r="AD3322" t="s">
        <v>11109</v>
      </c>
      <c r="AF3322" t="s">
        <v>11123</v>
      </c>
      <c r="AG3322" t="s">
        <v>11124</v>
      </c>
      <c r="AJ3322" t="s">
        <v>11130</v>
      </c>
      <c r="AK3322" t="s">
        <v>7225</v>
      </c>
      <c r="AM3322">
        <v>1495</v>
      </c>
      <c r="AO3322">
        <v>131</v>
      </c>
      <c r="AQ3322" t="s">
        <v>11157</v>
      </c>
      <c r="AS3322" t="s">
        <v>11174</v>
      </c>
      <c r="AU3322">
        <v>8</v>
      </c>
      <c r="AW3322" t="s">
        <v>11187</v>
      </c>
      <c r="AZ3322" t="s">
        <v>11221</v>
      </c>
      <c r="BE3322" t="s">
        <v>12996</v>
      </c>
      <c r="BF3322" t="s">
        <v>14364</v>
      </c>
      <c r="BM3322" t="s">
        <v>15650</v>
      </c>
    </row>
    <row r="3323" spans="1:65">
      <c r="A3323" s="1">
        <f>HYPERLINK("https://lsnyc.legalserver.org/matter/dynamic-profile/view/1841525","17-1841525")</f>
        <v>0</v>
      </c>
      <c r="B3323" t="s">
        <v>193</v>
      </c>
      <c r="C3323" t="s">
        <v>246</v>
      </c>
      <c r="D3323" t="s">
        <v>840</v>
      </c>
      <c r="F3323" t="s">
        <v>1629</v>
      </c>
      <c r="G3323" t="s">
        <v>4250</v>
      </c>
      <c r="H3323" t="s">
        <v>5929</v>
      </c>
      <c r="I3323" t="s">
        <v>6405</v>
      </c>
      <c r="J3323" t="s">
        <v>7170</v>
      </c>
      <c r="K3323">
        <v>10453</v>
      </c>
      <c r="N3323" t="s">
        <v>7237</v>
      </c>
      <c r="O3323" t="s">
        <v>9401</v>
      </c>
      <c r="P3323">
        <v>1</v>
      </c>
      <c r="Q3323">
        <v>1</v>
      </c>
      <c r="R3323">
        <v>166.26</v>
      </c>
      <c r="U3323">
        <v>27000</v>
      </c>
      <c r="W3323">
        <v>117.25</v>
      </c>
      <c r="X3323" t="s">
        <v>546</v>
      </c>
      <c r="Y3323" t="s">
        <v>10900</v>
      </c>
      <c r="AA3323" t="s">
        <v>10974</v>
      </c>
      <c r="AB3323" t="s">
        <v>348</v>
      </c>
      <c r="AD3323" t="s">
        <v>11101</v>
      </c>
      <c r="AF3323" t="s">
        <v>11118</v>
      </c>
      <c r="AH3323" t="s">
        <v>10975</v>
      </c>
      <c r="AJ3323" t="s">
        <v>11141</v>
      </c>
      <c r="AK3323" t="s">
        <v>7225</v>
      </c>
      <c r="AM3323">
        <v>1295</v>
      </c>
      <c r="AO3323">
        <v>56</v>
      </c>
      <c r="AQ3323" t="s">
        <v>11157</v>
      </c>
      <c r="AS3323" t="s">
        <v>11174</v>
      </c>
      <c r="AU3323">
        <v>20</v>
      </c>
      <c r="AW3323" t="s">
        <v>11187</v>
      </c>
      <c r="AZ3323" t="s">
        <v>11221</v>
      </c>
      <c r="BE3323" t="s">
        <v>13617</v>
      </c>
      <c r="BG3323" t="s">
        <v>15219</v>
      </c>
      <c r="BM3323" t="s">
        <v>15650</v>
      </c>
    </row>
    <row r="3324" spans="1:65">
      <c r="A3324" s="1">
        <f>HYPERLINK("https://lsnyc.legalserver.org/matter/dynamic-profile/view/0799013","16-0799013")</f>
        <v>0</v>
      </c>
      <c r="B3324" t="s">
        <v>193</v>
      </c>
      <c r="C3324" t="s">
        <v>246</v>
      </c>
      <c r="D3324" t="s">
        <v>996</v>
      </c>
      <c r="F3324" t="s">
        <v>1545</v>
      </c>
      <c r="G3324" t="s">
        <v>4223</v>
      </c>
      <c r="H3324" t="s">
        <v>5917</v>
      </c>
      <c r="I3324" t="s">
        <v>6964</v>
      </c>
      <c r="J3324" t="s">
        <v>7170</v>
      </c>
      <c r="K3324">
        <v>10452</v>
      </c>
      <c r="N3324" t="s">
        <v>7237</v>
      </c>
      <c r="O3324" t="s">
        <v>9346</v>
      </c>
      <c r="P3324">
        <v>1</v>
      </c>
      <c r="Q3324">
        <v>0</v>
      </c>
      <c r="R3324">
        <v>32.39</v>
      </c>
      <c r="U3324">
        <v>3848</v>
      </c>
      <c r="W3324">
        <v>0.6</v>
      </c>
      <c r="X3324" t="s">
        <v>758</v>
      </c>
      <c r="Y3324" t="s">
        <v>138</v>
      </c>
      <c r="AA3324" t="s">
        <v>10974</v>
      </c>
      <c r="AB3324" t="s">
        <v>510</v>
      </c>
      <c r="AD3324" t="s">
        <v>11096</v>
      </c>
      <c r="AF3324" t="s">
        <v>11122</v>
      </c>
      <c r="AH3324" t="s">
        <v>10974</v>
      </c>
      <c r="AJ3324" t="s">
        <v>11141</v>
      </c>
      <c r="AK3324" t="s">
        <v>7225</v>
      </c>
      <c r="AM3324">
        <v>1233</v>
      </c>
      <c r="AO3324">
        <v>61</v>
      </c>
      <c r="AQ3324" t="s">
        <v>11157</v>
      </c>
      <c r="AS3324" t="s">
        <v>11104</v>
      </c>
      <c r="AU3324">
        <v>5</v>
      </c>
      <c r="AW3324" t="s">
        <v>11187</v>
      </c>
      <c r="AZ3324" t="s">
        <v>11221</v>
      </c>
      <c r="BE3324" t="s">
        <v>13566</v>
      </c>
      <c r="BF3324" t="s">
        <v>14364</v>
      </c>
      <c r="BG3324" t="s">
        <v>15204</v>
      </c>
      <c r="BM3324" t="s">
        <v>15650</v>
      </c>
    </row>
    <row r="3325" spans="1:65">
      <c r="A3325" s="1">
        <f>HYPERLINK("https://lsnyc.legalserver.org/matter/dynamic-profile/view/0816939","16-0816939")</f>
        <v>0</v>
      </c>
      <c r="B3325" t="s">
        <v>193</v>
      </c>
      <c r="C3325" t="s">
        <v>246</v>
      </c>
      <c r="D3325" t="s">
        <v>494</v>
      </c>
      <c r="F3325" t="s">
        <v>1545</v>
      </c>
      <c r="G3325" t="s">
        <v>4223</v>
      </c>
      <c r="H3325" t="s">
        <v>5917</v>
      </c>
      <c r="I3325" t="s">
        <v>6964</v>
      </c>
      <c r="J3325" t="s">
        <v>7170</v>
      </c>
      <c r="K3325">
        <v>10452</v>
      </c>
      <c r="N3325" t="s">
        <v>7237</v>
      </c>
      <c r="O3325" t="s">
        <v>9346</v>
      </c>
      <c r="P3325">
        <v>1</v>
      </c>
      <c r="Q3325">
        <v>0</v>
      </c>
      <c r="R3325">
        <v>32.39</v>
      </c>
      <c r="U3325">
        <v>3848</v>
      </c>
      <c r="W3325">
        <v>0.8</v>
      </c>
      <c r="X3325" t="s">
        <v>458</v>
      </c>
      <c r="Y3325" t="s">
        <v>10899</v>
      </c>
      <c r="AA3325" t="s">
        <v>10974</v>
      </c>
      <c r="AB3325" t="s">
        <v>838</v>
      </c>
      <c r="AD3325" t="s">
        <v>11096</v>
      </c>
      <c r="AF3325" t="s">
        <v>11122</v>
      </c>
      <c r="AH3325" t="s">
        <v>10974</v>
      </c>
      <c r="AJ3325" t="s">
        <v>11141</v>
      </c>
      <c r="AK3325" t="s">
        <v>7225</v>
      </c>
      <c r="AM3325">
        <v>1233</v>
      </c>
      <c r="AO3325">
        <v>62</v>
      </c>
      <c r="AQ3325" t="s">
        <v>11157</v>
      </c>
      <c r="AS3325" t="s">
        <v>11104</v>
      </c>
      <c r="AU3325">
        <v>5</v>
      </c>
      <c r="AW3325" t="s">
        <v>11187</v>
      </c>
      <c r="AZ3325" t="s">
        <v>11221</v>
      </c>
      <c r="BE3325" t="s">
        <v>13566</v>
      </c>
      <c r="BG3325" t="s">
        <v>15206</v>
      </c>
      <c r="BM3325" t="s">
        <v>15650</v>
      </c>
    </row>
    <row r="3326" spans="1:65">
      <c r="A3326" s="1">
        <f>HYPERLINK("https://lsnyc.legalserver.org/matter/dynamic-profile/view/0822529","16-0822529")</f>
        <v>0</v>
      </c>
      <c r="B3326" t="s">
        <v>193</v>
      </c>
      <c r="C3326" t="s">
        <v>246</v>
      </c>
      <c r="D3326" t="s">
        <v>980</v>
      </c>
      <c r="F3326" t="s">
        <v>1545</v>
      </c>
      <c r="G3326" t="s">
        <v>4223</v>
      </c>
      <c r="H3326" t="s">
        <v>5917</v>
      </c>
      <c r="I3326" t="s">
        <v>6964</v>
      </c>
      <c r="J3326" t="s">
        <v>7170</v>
      </c>
      <c r="K3326">
        <v>10452</v>
      </c>
      <c r="N3326" t="s">
        <v>7237</v>
      </c>
      <c r="O3326" t="s">
        <v>9346</v>
      </c>
      <c r="P3326">
        <v>1</v>
      </c>
      <c r="Q3326">
        <v>0</v>
      </c>
      <c r="R3326">
        <v>32.39</v>
      </c>
      <c r="U3326">
        <v>3848</v>
      </c>
      <c r="W3326">
        <v>0.3</v>
      </c>
      <c r="X3326" t="s">
        <v>458</v>
      </c>
      <c r="Y3326" t="s">
        <v>10899</v>
      </c>
      <c r="AA3326" t="s">
        <v>10974</v>
      </c>
      <c r="AB3326" t="s">
        <v>980</v>
      </c>
      <c r="AD3326" t="s">
        <v>11096</v>
      </c>
      <c r="AF3326" t="s">
        <v>11122</v>
      </c>
      <c r="AH3326" t="s">
        <v>10974</v>
      </c>
      <c r="AJ3326" t="s">
        <v>11141</v>
      </c>
      <c r="AK3326" t="s">
        <v>7225</v>
      </c>
      <c r="AM3326">
        <v>1233</v>
      </c>
      <c r="AO3326">
        <v>62</v>
      </c>
      <c r="AQ3326" t="s">
        <v>11157</v>
      </c>
      <c r="AS3326" t="s">
        <v>11104</v>
      </c>
      <c r="AU3326">
        <v>5</v>
      </c>
      <c r="AW3326" t="s">
        <v>11187</v>
      </c>
      <c r="AZ3326" t="s">
        <v>11221</v>
      </c>
      <c r="BE3326" t="s">
        <v>13566</v>
      </c>
      <c r="BG3326" t="s">
        <v>15202</v>
      </c>
      <c r="BM3326" t="s">
        <v>15650</v>
      </c>
    </row>
    <row r="3327" spans="1:65">
      <c r="A3327" s="1">
        <f>HYPERLINK("https://lsnyc.legalserver.org/matter/dynamic-profile/view/0799256","16-0799256")</f>
        <v>0</v>
      </c>
      <c r="B3327" t="s">
        <v>193</v>
      </c>
      <c r="C3327" t="s">
        <v>246</v>
      </c>
      <c r="D3327" t="s">
        <v>996</v>
      </c>
      <c r="F3327" t="s">
        <v>1484</v>
      </c>
      <c r="G3327" t="s">
        <v>4248</v>
      </c>
      <c r="H3327" t="s">
        <v>5917</v>
      </c>
      <c r="I3327" t="s">
        <v>6422</v>
      </c>
      <c r="J3327" t="s">
        <v>7170</v>
      </c>
      <c r="K3327">
        <v>10452</v>
      </c>
      <c r="N3327" t="s">
        <v>7237</v>
      </c>
      <c r="O3327" t="s">
        <v>9397</v>
      </c>
      <c r="P3327">
        <v>3</v>
      </c>
      <c r="Q3327">
        <v>1</v>
      </c>
      <c r="R3327">
        <v>485.6</v>
      </c>
      <c r="U3327">
        <v>118000</v>
      </c>
      <c r="W3327">
        <v>0.5</v>
      </c>
      <c r="X3327" t="s">
        <v>383</v>
      </c>
      <c r="Y3327" t="s">
        <v>138</v>
      </c>
      <c r="AA3327" t="s">
        <v>10974</v>
      </c>
      <c r="AB3327" t="s">
        <v>999</v>
      </c>
      <c r="AD3327" t="s">
        <v>11096</v>
      </c>
      <c r="AF3327" t="s">
        <v>11122</v>
      </c>
      <c r="AH3327" t="s">
        <v>10974</v>
      </c>
      <c r="AJ3327" t="s">
        <v>11141</v>
      </c>
      <c r="AK3327" t="s">
        <v>7225</v>
      </c>
      <c r="AM3327">
        <v>745.05</v>
      </c>
      <c r="AO3327">
        <v>61</v>
      </c>
      <c r="AQ3327" t="s">
        <v>11157</v>
      </c>
      <c r="AS3327" t="s">
        <v>11173</v>
      </c>
      <c r="AU3327">
        <v>39</v>
      </c>
      <c r="AW3327" t="s">
        <v>11189</v>
      </c>
      <c r="AZ3327" t="s">
        <v>11221</v>
      </c>
      <c r="BE3327" t="s">
        <v>13612</v>
      </c>
      <c r="BF3327" t="s">
        <v>14364</v>
      </c>
      <c r="BG3327" t="s">
        <v>15204</v>
      </c>
      <c r="BM3327" t="s">
        <v>15650</v>
      </c>
    </row>
    <row r="3328" spans="1:65">
      <c r="A3328" s="1">
        <f>HYPERLINK("https://lsnyc.legalserver.org/matter/dynamic-profile/view/1881411","18-1881411")</f>
        <v>0</v>
      </c>
      <c r="B3328" t="s">
        <v>193</v>
      </c>
      <c r="C3328" t="s">
        <v>246</v>
      </c>
      <c r="D3328" t="s">
        <v>625</v>
      </c>
      <c r="F3328" t="s">
        <v>1903</v>
      </c>
      <c r="G3328" t="s">
        <v>4251</v>
      </c>
      <c r="H3328" t="s">
        <v>5930</v>
      </c>
      <c r="I3328" t="s">
        <v>6978</v>
      </c>
      <c r="J3328" t="s">
        <v>7170</v>
      </c>
      <c r="K3328">
        <v>10461</v>
      </c>
      <c r="N3328" t="s">
        <v>7241</v>
      </c>
      <c r="O3328" t="s">
        <v>9402</v>
      </c>
      <c r="P3328">
        <v>1</v>
      </c>
      <c r="Q3328">
        <v>0</v>
      </c>
      <c r="R3328">
        <v>120.2</v>
      </c>
      <c r="U3328">
        <v>14592</v>
      </c>
      <c r="W3328">
        <v>0.8</v>
      </c>
      <c r="X3328" t="s">
        <v>437</v>
      </c>
      <c r="Y3328" t="s">
        <v>10897</v>
      </c>
      <c r="AA3328" t="s">
        <v>10974</v>
      </c>
      <c r="AB3328" t="s">
        <v>625</v>
      </c>
      <c r="AD3328" t="s">
        <v>11090</v>
      </c>
      <c r="AF3328" t="s">
        <v>10384</v>
      </c>
      <c r="AH3328" t="s">
        <v>10975</v>
      </c>
      <c r="AJ3328" t="s">
        <v>11129</v>
      </c>
      <c r="AK3328" t="s">
        <v>7225</v>
      </c>
      <c r="AL3328" t="s">
        <v>11150</v>
      </c>
      <c r="AM3328">
        <v>0</v>
      </c>
      <c r="AO3328">
        <v>62</v>
      </c>
      <c r="AQ3328" t="s">
        <v>11157</v>
      </c>
      <c r="AS3328" t="s">
        <v>11174</v>
      </c>
      <c r="AU3328">
        <v>41</v>
      </c>
      <c r="AW3328" t="s">
        <v>11189</v>
      </c>
      <c r="AZ3328" t="s">
        <v>11221</v>
      </c>
      <c r="BE3328" t="s">
        <v>13618</v>
      </c>
      <c r="BF3328" t="s">
        <v>14364</v>
      </c>
      <c r="BM3328" t="s">
        <v>15650</v>
      </c>
    </row>
    <row r="3329" spans="1:65">
      <c r="A3329" s="1">
        <f>HYPERLINK("https://lsnyc.legalserver.org/matter/dynamic-profile/view/1877662","18-1877662")</f>
        <v>0</v>
      </c>
      <c r="B3329" t="s">
        <v>193</v>
      </c>
      <c r="C3329" t="s">
        <v>246</v>
      </c>
      <c r="D3329" t="s">
        <v>1000</v>
      </c>
      <c r="F3329" t="s">
        <v>2411</v>
      </c>
      <c r="G3329" t="s">
        <v>4224</v>
      </c>
      <c r="H3329" t="s">
        <v>4846</v>
      </c>
      <c r="I3329" t="s">
        <v>6636</v>
      </c>
      <c r="J3329" t="s">
        <v>7170</v>
      </c>
      <c r="K3329">
        <v>10452</v>
      </c>
      <c r="N3329" t="s">
        <v>7237</v>
      </c>
      <c r="O3329" t="s">
        <v>7482</v>
      </c>
      <c r="P3329">
        <v>1</v>
      </c>
      <c r="Q3329">
        <v>1</v>
      </c>
      <c r="R3329">
        <v>53.66</v>
      </c>
      <c r="U3329">
        <v>8832</v>
      </c>
      <c r="W3329">
        <v>1.7</v>
      </c>
      <c r="X3329" t="s">
        <v>10264</v>
      </c>
      <c r="Y3329" t="s">
        <v>10897</v>
      </c>
      <c r="AA3329" t="s">
        <v>10974</v>
      </c>
      <c r="AB3329" t="s">
        <v>597</v>
      </c>
      <c r="AD3329" t="s">
        <v>11101</v>
      </c>
      <c r="AF3329" t="s">
        <v>11118</v>
      </c>
      <c r="AH3329" t="s">
        <v>10974</v>
      </c>
      <c r="AJ3329" t="s">
        <v>11141</v>
      </c>
      <c r="AK3329" t="s">
        <v>7225</v>
      </c>
      <c r="AM3329">
        <v>230</v>
      </c>
      <c r="AO3329">
        <v>149</v>
      </c>
      <c r="AQ3329" t="s">
        <v>11157</v>
      </c>
      <c r="AS3329" t="s">
        <v>11177</v>
      </c>
      <c r="AU3329">
        <v>27</v>
      </c>
      <c r="AW3329" t="s">
        <v>11189</v>
      </c>
      <c r="AZ3329" t="s">
        <v>11221</v>
      </c>
      <c r="BC3329" t="s">
        <v>11530</v>
      </c>
      <c r="BE3329" t="s">
        <v>13567</v>
      </c>
      <c r="BG3329" t="s">
        <v>15210</v>
      </c>
      <c r="BM3329" t="s">
        <v>15650</v>
      </c>
    </row>
    <row r="3330" spans="1:65">
      <c r="A3330" s="1">
        <f>HYPERLINK("https://lsnyc.legalserver.org/matter/dynamic-profile/view/1833962","17-1833962")</f>
        <v>0</v>
      </c>
      <c r="B3330" t="s">
        <v>193</v>
      </c>
      <c r="C3330" t="s">
        <v>246</v>
      </c>
      <c r="D3330" t="s">
        <v>988</v>
      </c>
      <c r="F3330" t="s">
        <v>2018</v>
      </c>
      <c r="G3330" t="s">
        <v>3231</v>
      </c>
      <c r="H3330" t="s">
        <v>5233</v>
      </c>
      <c r="I3330" t="s">
        <v>6731</v>
      </c>
      <c r="J3330" t="s">
        <v>7170</v>
      </c>
      <c r="K3330">
        <v>10453</v>
      </c>
      <c r="N3330" t="s">
        <v>7237</v>
      </c>
      <c r="O3330" t="s">
        <v>9403</v>
      </c>
      <c r="P3330">
        <v>1</v>
      </c>
      <c r="Q3330">
        <v>0</v>
      </c>
      <c r="R3330">
        <v>129.35</v>
      </c>
      <c r="U3330">
        <v>15600</v>
      </c>
      <c r="W3330">
        <v>0</v>
      </c>
      <c r="Y3330" t="s">
        <v>10899</v>
      </c>
      <c r="AA3330" t="s">
        <v>10974</v>
      </c>
      <c r="AB3330" t="s">
        <v>11007</v>
      </c>
      <c r="AD3330" t="s">
        <v>11101</v>
      </c>
      <c r="AF3330" t="s">
        <v>11118</v>
      </c>
      <c r="AH3330" t="s">
        <v>10974</v>
      </c>
      <c r="AJ3330" t="s">
        <v>11129</v>
      </c>
      <c r="AK3330" t="s">
        <v>7225</v>
      </c>
      <c r="AM3330">
        <v>1284</v>
      </c>
      <c r="AO3330">
        <v>46</v>
      </c>
      <c r="AQ3330" t="s">
        <v>11157</v>
      </c>
      <c r="AS3330" t="s">
        <v>11173</v>
      </c>
      <c r="AU3330">
        <v>3</v>
      </c>
      <c r="AW3330" t="s">
        <v>11189</v>
      </c>
      <c r="AZ3330" t="s">
        <v>11221</v>
      </c>
      <c r="BE3330" t="s">
        <v>13619</v>
      </c>
      <c r="BF3330" t="s">
        <v>14364</v>
      </c>
      <c r="BM3330" t="s">
        <v>15650</v>
      </c>
    </row>
    <row r="3331" spans="1:65">
      <c r="A3331" s="1">
        <f>HYPERLINK("https://lsnyc.legalserver.org/matter/dynamic-profile/view/0799002","16-0799002")</f>
        <v>0</v>
      </c>
      <c r="B3331" t="s">
        <v>193</v>
      </c>
      <c r="C3331" t="s">
        <v>246</v>
      </c>
      <c r="D3331" t="s">
        <v>520</v>
      </c>
      <c r="F3331" t="s">
        <v>1307</v>
      </c>
      <c r="G3331" t="s">
        <v>3214</v>
      </c>
      <c r="H3331" t="s">
        <v>5917</v>
      </c>
      <c r="I3331" t="s">
        <v>6583</v>
      </c>
      <c r="J3331" t="s">
        <v>7170</v>
      </c>
      <c r="K3331">
        <v>10452</v>
      </c>
      <c r="N3331" t="s">
        <v>7237</v>
      </c>
      <c r="O3331" t="s">
        <v>9404</v>
      </c>
      <c r="P3331">
        <v>2</v>
      </c>
      <c r="Q3331">
        <v>0</v>
      </c>
      <c r="R3331">
        <v>129.84</v>
      </c>
      <c r="U3331">
        <v>20800</v>
      </c>
      <c r="W3331">
        <v>0.65</v>
      </c>
      <c r="X3331" t="s">
        <v>758</v>
      </c>
      <c r="Y3331" t="s">
        <v>138</v>
      </c>
      <c r="AA3331" t="s">
        <v>10974</v>
      </c>
      <c r="AB3331" t="s">
        <v>999</v>
      </c>
      <c r="AD3331" t="s">
        <v>11096</v>
      </c>
      <c r="AF3331" t="s">
        <v>11122</v>
      </c>
      <c r="AH3331" t="s">
        <v>10974</v>
      </c>
      <c r="AJ3331" t="s">
        <v>11141</v>
      </c>
      <c r="AK3331" t="s">
        <v>7225</v>
      </c>
      <c r="AM3331">
        <v>405</v>
      </c>
      <c r="AN3331" t="s">
        <v>11151</v>
      </c>
      <c r="AO3331" t="s">
        <v>11153</v>
      </c>
      <c r="AQ3331" t="s">
        <v>11157</v>
      </c>
      <c r="AS3331" t="s">
        <v>11174</v>
      </c>
      <c r="AU3331">
        <v>19</v>
      </c>
      <c r="AW3331" t="s">
        <v>11187</v>
      </c>
      <c r="AZ3331" t="s">
        <v>11221</v>
      </c>
      <c r="BE3331" t="s">
        <v>13620</v>
      </c>
      <c r="BF3331" t="s">
        <v>14364</v>
      </c>
      <c r="BG3331" t="s">
        <v>15204</v>
      </c>
      <c r="BM3331" t="s">
        <v>15650</v>
      </c>
    </row>
    <row r="3332" spans="1:65">
      <c r="A3332" s="1">
        <f>HYPERLINK("https://lsnyc.legalserver.org/matter/dynamic-profile/view/1880493","18-1880493")</f>
        <v>0</v>
      </c>
      <c r="B3332" t="s">
        <v>193</v>
      </c>
      <c r="C3332" t="s">
        <v>246</v>
      </c>
      <c r="D3332" t="s">
        <v>467</v>
      </c>
      <c r="F3332" t="s">
        <v>1733</v>
      </c>
      <c r="G3332" t="s">
        <v>3483</v>
      </c>
      <c r="H3332" t="s">
        <v>4846</v>
      </c>
      <c r="I3332" t="s">
        <v>6415</v>
      </c>
      <c r="J3332" t="s">
        <v>7170</v>
      </c>
      <c r="K3332">
        <v>10452</v>
      </c>
      <c r="N3332" t="s">
        <v>7237</v>
      </c>
      <c r="O3332" t="s">
        <v>9405</v>
      </c>
      <c r="P3332">
        <v>3</v>
      </c>
      <c r="Q3332">
        <v>2</v>
      </c>
      <c r="R3332">
        <v>39.16</v>
      </c>
      <c r="U3332">
        <v>11520</v>
      </c>
      <c r="W3332">
        <v>0</v>
      </c>
      <c r="Y3332" t="s">
        <v>10897</v>
      </c>
      <c r="AA3332" t="s">
        <v>10974</v>
      </c>
      <c r="AB3332" t="s">
        <v>597</v>
      </c>
      <c r="AD3332" t="s">
        <v>11101</v>
      </c>
      <c r="AF3332" t="s">
        <v>11118</v>
      </c>
      <c r="AH3332" t="s">
        <v>10974</v>
      </c>
      <c r="AJ3332" t="s">
        <v>11141</v>
      </c>
      <c r="AK3332" t="s">
        <v>7225</v>
      </c>
      <c r="AM3332">
        <v>3000</v>
      </c>
      <c r="AO3332">
        <v>149</v>
      </c>
      <c r="AQ3332" t="s">
        <v>11157</v>
      </c>
      <c r="AS3332" t="s">
        <v>11177</v>
      </c>
      <c r="AU3332">
        <v>24</v>
      </c>
      <c r="AW3332" t="s">
        <v>11187</v>
      </c>
      <c r="AZ3332" t="s">
        <v>11221</v>
      </c>
      <c r="BC3332" t="s">
        <v>11532</v>
      </c>
      <c r="BE3332" t="s">
        <v>13621</v>
      </c>
      <c r="BG3332" t="s">
        <v>15210</v>
      </c>
      <c r="BM3332" t="s">
        <v>15650</v>
      </c>
    </row>
    <row r="3333" spans="1:65">
      <c r="A3333" s="1">
        <f>HYPERLINK("https://lsnyc.legalserver.org/matter/dynamic-profile/view/0794224","15-0794224")</f>
        <v>0</v>
      </c>
      <c r="B3333" t="s">
        <v>193</v>
      </c>
      <c r="C3333" t="s">
        <v>246</v>
      </c>
      <c r="D3333" t="s">
        <v>520</v>
      </c>
      <c r="F3333" t="s">
        <v>1632</v>
      </c>
      <c r="G3333" t="s">
        <v>3520</v>
      </c>
      <c r="H3333" t="s">
        <v>5233</v>
      </c>
      <c r="I3333" t="s">
        <v>6761</v>
      </c>
      <c r="J3333" t="s">
        <v>7170</v>
      </c>
      <c r="K3333">
        <v>10453</v>
      </c>
      <c r="N3333" t="s">
        <v>7237</v>
      </c>
      <c r="O3333" t="s">
        <v>9406</v>
      </c>
      <c r="P3333">
        <v>3</v>
      </c>
      <c r="Q3333">
        <v>1</v>
      </c>
      <c r="R3333">
        <v>144.33</v>
      </c>
      <c r="U3333">
        <v>35000</v>
      </c>
      <c r="W3333">
        <v>0.65</v>
      </c>
      <c r="X3333" t="s">
        <v>10804</v>
      </c>
      <c r="Y3333" t="s">
        <v>138</v>
      </c>
      <c r="AA3333" t="s">
        <v>10974</v>
      </c>
      <c r="AB3333" t="s">
        <v>791</v>
      </c>
      <c r="AD3333" t="s">
        <v>11107</v>
      </c>
      <c r="AF3333" t="s">
        <v>11118</v>
      </c>
      <c r="AH3333" t="s">
        <v>10974</v>
      </c>
      <c r="AJ3333" t="s">
        <v>11130</v>
      </c>
      <c r="AK3333" t="s">
        <v>7225</v>
      </c>
      <c r="AM3333">
        <v>1971</v>
      </c>
      <c r="AN3333" t="s">
        <v>11151</v>
      </c>
      <c r="AO3333" t="s">
        <v>11153</v>
      </c>
      <c r="AQ3333" t="s">
        <v>11157</v>
      </c>
      <c r="AR3333" t="s">
        <v>11172</v>
      </c>
      <c r="AU3333">
        <v>4</v>
      </c>
      <c r="AW3333" t="s">
        <v>11187</v>
      </c>
      <c r="AZ3333" t="s">
        <v>11221</v>
      </c>
      <c r="BE3333" t="s">
        <v>13622</v>
      </c>
      <c r="BG3333" t="s">
        <v>15211</v>
      </c>
      <c r="BM3333" t="s">
        <v>15650</v>
      </c>
    </row>
    <row r="3334" spans="1:65">
      <c r="A3334" s="1">
        <f>HYPERLINK("https://lsnyc.legalserver.org/matter/dynamic-profile/view/1880507","18-1880507")</f>
        <v>0</v>
      </c>
      <c r="B3334" t="s">
        <v>193</v>
      </c>
      <c r="C3334" t="s">
        <v>246</v>
      </c>
      <c r="D3334" t="s">
        <v>467</v>
      </c>
      <c r="F3334" t="s">
        <v>1733</v>
      </c>
      <c r="G3334" t="s">
        <v>3483</v>
      </c>
      <c r="H3334" t="s">
        <v>4846</v>
      </c>
      <c r="I3334" t="s">
        <v>6415</v>
      </c>
      <c r="J3334" t="s">
        <v>7170</v>
      </c>
      <c r="K3334">
        <v>10452</v>
      </c>
      <c r="N3334" t="s">
        <v>7237</v>
      </c>
      <c r="O3334" t="s">
        <v>9405</v>
      </c>
      <c r="P3334">
        <v>3</v>
      </c>
      <c r="Q3334">
        <v>2</v>
      </c>
      <c r="R3334">
        <v>39.16</v>
      </c>
      <c r="U3334">
        <v>11520</v>
      </c>
      <c r="W3334">
        <v>4.6</v>
      </c>
      <c r="X3334" t="s">
        <v>265</v>
      </c>
      <c r="Y3334" t="s">
        <v>10897</v>
      </c>
      <c r="AA3334" t="s">
        <v>10974</v>
      </c>
      <c r="AB3334" t="s">
        <v>597</v>
      </c>
      <c r="AD3334" t="s">
        <v>11090</v>
      </c>
      <c r="AF3334" t="s">
        <v>11123</v>
      </c>
      <c r="AH3334" t="s">
        <v>10974</v>
      </c>
      <c r="AJ3334" t="s">
        <v>11141</v>
      </c>
      <c r="AK3334" t="s">
        <v>7225</v>
      </c>
      <c r="AM3334">
        <v>3000</v>
      </c>
      <c r="AO3334">
        <v>149</v>
      </c>
      <c r="AQ3334" t="s">
        <v>11157</v>
      </c>
      <c r="AS3334" t="s">
        <v>11177</v>
      </c>
      <c r="AU3334">
        <v>24</v>
      </c>
      <c r="AV3334" t="s">
        <v>11186</v>
      </c>
      <c r="AZ3334" t="s">
        <v>11221</v>
      </c>
      <c r="BC3334" t="s">
        <v>11532</v>
      </c>
      <c r="BE3334" t="s">
        <v>13621</v>
      </c>
      <c r="BG3334" t="s">
        <v>15220</v>
      </c>
      <c r="BM3334" t="s">
        <v>15650</v>
      </c>
    </row>
    <row r="3335" spans="1:65">
      <c r="A3335" s="1">
        <f>HYPERLINK("https://lsnyc.legalserver.org/matter/dynamic-profile/view/1901441","19-1901441")</f>
        <v>0</v>
      </c>
      <c r="B3335" t="s">
        <v>193</v>
      </c>
      <c r="C3335" t="s">
        <v>246</v>
      </c>
      <c r="D3335" t="s">
        <v>701</v>
      </c>
      <c r="F3335" t="s">
        <v>2436</v>
      </c>
      <c r="G3335" t="s">
        <v>2913</v>
      </c>
      <c r="H3335" t="s">
        <v>5918</v>
      </c>
      <c r="I3335" t="s">
        <v>6477</v>
      </c>
      <c r="J3335" t="s">
        <v>7170</v>
      </c>
      <c r="K3335">
        <v>10452</v>
      </c>
      <c r="N3335" t="s">
        <v>7237</v>
      </c>
      <c r="O3335" t="s">
        <v>9302</v>
      </c>
      <c r="P3335">
        <v>1</v>
      </c>
      <c r="Q3335">
        <v>0</v>
      </c>
      <c r="R3335">
        <v>201.7</v>
      </c>
      <c r="U3335">
        <v>25192</v>
      </c>
      <c r="W3335">
        <v>0.5</v>
      </c>
      <c r="X3335" t="s">
        <v>426</v>
      </c>
      <c r="Y3335" t="s">
        <v>93</v>
      </c>
      <c r="AA3335" t="s">
        <v>10974</v>
      </c>
      <c r="AB3335" t="s">
        <v>10979</v>
      </c>
      <c r="AD3335" t="s">
        <v>11098</v>
      </c>
      <c r="AF3335" t="s">
        <v>11122</v>
      </c>
      <c r="AH3335" t="s">
        <v>10974</v>
      </c>
      <c r="AJ3335" t="s">
        <v>11141</v>
      </c>
      <c r="AK3335" t="s">
        <v>7225</v>
      </c>
      <c r="AM3335">
        <v>1151.46</v>
      </c>
      <c r="AO3335">
        <v>52</v>
      </c>
      <c r="AQ3335" t="s">
        <v>11157</v>
      </c>
      <c r="AS3335" t="s">
        <v>11173</v>
      </c>
      <c r="AU3335">
        <v>7</v>
      </c>
      <c r="AW3335" t="s">
        <v>11187</v>
      </c>
      <c r="BA3335" t="s">
        <v>11222</v>
      </c>
      <c r="BE3335" t="s">
        <v>13623</v>
      </c>
      <c r="BF3335" t="s">
        <v>14364</v>
      </c>
      <c r="BM3335" t="s">
        <v>15650</v>
      </c>
    </row>
    <row r="3336" spans="1:65">
      <c r="A3336" s="1">
        <f>HYPERLINK("https://lsnyc.legalserver.org/matter/dynamic-profile/view/1855069","18-1855069")</f>
        <v>0</v>
      </c>
      <c r="B3336" t="s">
        <v>193</v>
      </c>
      <c r="C3336" t="s">
        <v>246</v>
      </c>
      <c r="D3336" t="s">
        <v>413</v>
      </c>
      <c r="F3336" t="s">
        <v>1383</v>
      </c>
      <c r="G3336" t="s">
        <v>3004</v>
      </c>
      <c r="H3336" t="s">
        <v>5917</v>
      </c>
      <c r="I3336" t="s">
        <v>6437</v>
      </c>
      <c r="J3336" t="s">
        <v>7170</v>
      </c>
      <c r="K3336">
        <v>10452</v>
      </c>
      <c r="N3336" t="s">
        <v>7237</v>
      </c>
      <c r="O3336" t="s">
        <v>9399</v>
      </c>
      <c r="P3336">
        <v>3</v>
      </c>
      <c r="Q3336">
        <v>0</v>
      </c>
      <c r="R3336">
        <v>318.32</v>
      </c>
      <c r="U3336">
        <v>65000</v>
      </c>
      <c r="W3336">
        <v>0</v>
      </c>
      <c r="Y3336" t="s">
        <v>10899</v>
      </c>
      <c r="AA3336" t="s">
        <v>10974</v>
      </c>
      <c r="AB3336" t="s">
        <v>458</v>
      </c>
      <c r="AD3336" t="s">
        <v>11096</v>
      </c>
      <c r="AF3336" t="s">
        <v>11122</v>
      </c>
      <c r="AH3336" t="s">
        <v>10974</v>
      </c>
      <c r="AJ3336" t="s">
        <v>11141</v>
      </c>
      <c r="AK3336" t="s">
        <v>7225</v>
      </c>
      <c r="AM3336">
        <v>1642.54</v>
      </c>
      <c r="AO3336">
        <v>62</v>
      </c>
      <c r="AQ3336" t="s">
        <v>11157</v>
      </c>
      <c r="AS3336" t="s">
        <v>11174</v>
      </c>
      <c r="AU3336">
        <v>15</v>
      </c>
      <c r="AW3336" t="s">
        <v>11189</v>
      </c>
      <c r="AZ3336" t="s">
        <v>11221</v>
      </c>
      <c r="BE3336" t="s">
        <v>13614</v>
      </c>
      <c r="BG3336" t="s">
        <v>15203</v>
      </c>
      <c r="BM3336" t="s">
        <v>15650</v>
      </c>
    </row>
    <row r="3337" spans="1:65">
      <c r="A3337" s="1">
        <f>HYPERLINK("https://lsnyc.legalserver.org/matter/dynamic-profile/view/0797705","16-0797705")</f>
        <v>0</v>
      </c>
      <c r="B3337" t="s">
        <v>193</v>
      </c>
      <c r="C3337" t="s">
        <v>246</v>
      </c>
      <c r="D3337" t="s">
        <v>989</v>
      </c>
      <c r="F3337" t="s">
        <v>2437</v>
      </c>
      <c r="G3337" t="s">
        <v>3786</v>
      </c>
      <c r="H3337" t="s">
        <v>5233</v>
      </c>
      <c r="I3337" t="s">
        <v>6583</v>
      </c>
      <c r="J3337" t="s">
        <v>7170</v>
      </c>
      <c r="K3337">
        <v>10453</v>
      </c>
      <c r="N3337" t="s">
        <v>7237</v>
      </c>
      <c r="O3337" t="s">
        <v>9407</v>
      </c>
      <c r="P3337">
        <v>1</v>
      </c>
      <c r="Q3337">
        <v>0</v>
      </c>
      <c r="R3337">
        <v>146.41</v>
      </c>
      <c r="U3337">
        <v>17394</v>
      </c>
      <c r="W3337">
        <v>0.3</v>
      </c>
      <c r="X3337" t="s">
        <v>10849</v>
      </c>
      <c r="Y3337" t="s">
        <v>138</v>
      </c>
      <c r="AA3337" t="s">
        <v>10974</v>
      </c>
      <c r="AB3337" t="s">
        <v>10996</v>
      </c>
      <c r="AD3337" t="s">
        <v>11107</v>
      </c>
      <c r="AF3337" t="s">
        <v>11118</v>
      </c>
      <c r="AH3337" t="s">
        <v>10974</v>
      </c>
      <c r="AJ3337" t="s">
        <v>11141</v>
      </c>
      <c r="AK3337" t="s">
        <v>7225</v>
      </c>
      <c r="AM3337">
        <v>825</v>
      </c>
      <c r="AN3337" t="s">
        <v>11151</v>
      </c>
      <c r="AO3337" t="s">
        <v>11153</v>
      </c>
      <c r="AQ3337" t="s">
        <v>11157</v>
      </c>
      <c r="AR3337" t="s">
        <v>11172</v>
      </c>
      <c r="AU3337">
        <v>1</v>
      </c>
      <c r="AW3337" t="s">
        <v>11187</v>
      </c>
      <c r="AZ3337" t="s">
        <v>11221</v>
      </c>
      <c r="BE3337" t="s">
        <v>13624</v>
      </c>
      <c r="BG3337" t="s">
        <v>15211</v>
      </c>
      <c r="BM3337" t="s">
        <v>15650</v>
      </c>
    </row>
    <row r="3338" spans="1:65">
      <c r="A3338" s="1">
        <f>HYPERLINK("https://lsnyc.legalserver.org/matter/dynamic-profile/view/1833015","17-1833015")</f>
        <v>0</v>
      </c>
      <c r="B3338" t="s">
        <v>193</v>
      </c>
      <c r="C3338" t="s">
        <v>246</v>
      </c>
      <c r="D3338" t="s">
        <v>390</v>
      </c>
      <c r="F3338" t="s">
        <v>2438</v>
      </c>
      <c r="G3338" t="s">
        <v>4252</v>
      </c>
      <c r="H3338" t="s">
        <v>4975</v>
      </c>
      <c r="I3338" t="s">
        <v>6466</v>
      </c>
      <c r="J3338" t="s">
        <v>7170</v>
      </c>
      <c r="K3338">
        <v>10452</v>
      </c>
      <c r="N3338" t="s">
        <v>7237</v>
      </c>
      <c r="O3338" t="s">
        <v>9408</v>
      </c>
      <c r="P3338">
        <v>2</v>
      </c>
      <c r="Q3338">
        <v>4</v>
      </c>
      <c r="R3338">
        <v>157.77</v>
      </c>
      <c r="U3338">
        <v>52000</v>
      </c>
      <c r="W3338">
        <v>1</v>
      </c>
      <c r="X3338" t="s">
        <v>580</v>
      </c>
      <c r="Y3338" t="s">
        <v>10899</v>
      </c>
      <c r="AA3338" t="s">
        <v>10974</v>
      </c>
      <c r="AB3338" t="s">
        <v>694</v>
      </c>
      <c r="AD3338" t="s">
        <v>11085</v>
      </c>
      <c r="AF3338" t="s">
        <v>11118</v>
      </c>
      <c r="AH3338" t="s">
        <v>10974</v>
      </c>
      <c r="AJ3338" t="s">
        <v>11141</v>
      </c>
      <c r="AK3338" t="s">
        <v>7225</v>
      </c>
      <c r="AM3338">
        <v>1068.74</v>
      </c>
      <c r="AN3338" t="s">
        <v>11151</v>
      </c>
      <c r="AO3338" t="s">
        <v>11153</v>
      </c>
      <c r="AQ3338" t="s">
        <v>11157</v>
      </c>
      <c r="AS3338" t="s">
        <v>11173</v>
      </c>
      <c r="AU3338">
        <v>8</v>
      </c>
      <c r="AW3338" t="s">
        <v>11187</v>
      </c>
      <c r="AZ3338" t="s">
        <v>11221</v>
      </c>
      <c r="BD3338" t="s">
        <v>11667</v>
      </c>
      <c r="BG3338" t="s">
        <v>14477</v>
      </c>
      <c r="BM3338" t="s">
        <v>15650</v>
      </c>
    </row>
    <row r="3339" spans="1:65">
      <c r="A3339" s="1">
        <f>HYPERLINK("https://lsnyc.legalserver.org/matter/dynamic-profile/view/1898314","19-1898314")</f>
        <v>0</v>
      </c>
      <c r="B3339" t="s">
        <v>193</v>
      </c>
      <c r="C3339" t="s">
        <v>246</v>
      </c>
      <c r="D3339" t="s">
        <v>591</v>
      </c>
      <c r="F3339" t="s">
        <v>2439</v>
      </c>
      <c r="G3339" t="s">
        <v>4253</v>
      </c>
      <c r="H3339" t="s">
        <v>5916</v>
      </c>
      <c r="I3339" t="s">
        <v>6414</v>
      </c>
      <c r="J3339" t="s">
        <v>7170</v>
      </c>
      <c r="K3339">
        <v>10467</v>
      </c>
      <c r="N3339" t="s">
        <v>7237</v>
      </c>
      <c r="O3339" t="s">
        <v>9409</v>
      </c>
      <c r="P3339">
        <v>1</v>
      </c>
      <c r="Q3339">
        <v>1</v>
      </c>
      <c r="R3339">
        <v>147.84</v>
      </c>
      <c r="U3339">
        <v>25000</v>
      </c>
      <c r="W3339">
        <v>0</v>
      </c>
      <c r="Y3339" t="s">
        <v>10865</v>
      </c>
      <c r="AA3339" t="s">
        <v>10974</v>
      </c>
      <c r="AB3339" t="s">
        <v>10979</v>
      </c>
      <c r="AD3339" t="s">
        <v>11098</v>
      </c>
      <c r="AF3339" t="s">
        <v>11122</v>
      </c>
      <c r="AH3339" t="s">
        <v>10974</v>
      </c>
      <c r="AJ3339" t="s">
        <v>11141</v>
      </c>
      <c r="AK3339" t="s">
        <v>7225</v>
      </c>
      <c r="AM3339">
        <v>811.72</v>
      </c>
      <c r="AO3339">
        <v>60</v>
      </c>
      <c r="AQ3339" t="s">
        <v>11164</v>
      </c>
      <c r="AS3339" t="s">
        <v>11173</v>
      </c>
      <c r="AU3339">
        <v>11</v>
      </c>
      <c r="AW3339" t="s">
        <v>11187</v>
      </c>
      <c r="BA3339" t="s">
        <v>11222</v>
      </c>
      <c r="BD3339" t="s">
        <v>11667</v>
      </c>
      <c r="BF3339" t="s">
        <v>14364</v>
      </c>
      <c r="BM3339" t="s">
        <v>15650</v>
      </c>
    </row>
    <row r="3340" spans="1:65">
      <c r="A3340" s="1">
        <f>HYPERLINK("https://lsnyc.legalserver.org/matter/dynamic-profile/view/1898099","19-1898099")</f>
        <v>0</v>
      </c>
      <c r="B3340" t="s">
        <v>193</v>
      </c>
      <c r="C3340" t="s">
        <v>246</v>
      </c>
      <c r="D3340" t="s">
        <v>529</v>
      </c>
      <c r="F3340" t="s">
        <v>1391</v>
      </c>
      <c r="G3340" t="s">
        <v>4254</v>
      </c>
      <c r="H3340" t="s">
        <v>5923</v>
      </c>
      <c r="I3340" t="s">
        <v>6569</v>
      </c>
      <c r="J3340" t="s">
        <v>7170</v>
      </c>
      <c r="K3340">
        <v>10452</v>
      </c>
      <c r="N3340" t="s">
        <v>7237</v>
      </c>
      <c r="O3340" t="s">
        <v>9410</v>
      </c>
      <c r="P3340">
        <v>2</v>
      </c>
      <c r="Q3340">
        <v>0</v>
      </c>
      <c r="R3340">
        <v>147.84</v>
      </c>
      <c r="U3340">
        <v>25000</v>
      </c>
      <c r="W3340">
        <v>0</v>
      </c>
      <c r="Y3340" t="s">
        <v>10865</v>
      </c>
      <c r="AA3340" t="s">
        <v>10974</v>
      </c>
      <c r="AB3340" t="s">
        <v>10979</v>
      </c>
      <c r="AD3340" t="s">
        <v>11086</v>
      </c>
      <c r="AF3340" t="s">
        <v>11120</v>
      </c>
      <c r="AH3340" t="s">
        <v>10974</v>
      </c>
      <c r="AJ3340" t="s">
        <v>11141</v>
      </c>
      <c r="AK3340" t="s">
        <v>7225</v>
      </c>
      <c r="AM3340">
        <v>622</v>
      </c>
      <c r="AO3340">
        <v>60</v>
      </c>
      <c r="AQ3340" t="s">
        <v>11157</v>
      </c>
      <c r="AS3340" t="s">
        <v>11173</v>
      </c>
      <c r="AU3340">
        <v>12</v>
      </c>
      <c r="AW3340" t="s">
        <v>11189</v>
      </c>
      <c r="BA3340" t="s">
        <v>11222</v>
      </c>
      <c r="BD3340" t="s">
        <v>11667</v>
      </c>
      <c r="BF3340" t="s">
        <v>14364</v>
      </c>
      <c r="BM3340" t="s">
        <v>15650</v>
      </c>
    </row>
    <row r="3341" spans="1:65">
      <c r="A3341" s="1">
        <f>HYPERLINK("https://lsnyc.legalserver.org/matter/dynamic-profile/view/1880450","18-1880450")</f>
        <v>0</v>
      </c>
      <c r="B3341" t="s">
        <v>193</v>
      </c>
      <c r="C3341" t="s">
        <v>246</v>
      </c>
      <c r="D3341" t="s">
        <v>467</v>
      </c>
      <c r="F3341" t="s">
        <v>2440</v>
      </c>
      <c r="G3341" t="s">
        <v>4255</v>
      </c>
      <c r="H3341" t="s">
        <v>4999</v>
      </c>
      <c r="I3341" t="s">
        <v>6595</v>
      </c>
      <c r="J3341" t="s">
        <v>7170</v>
      </c>
      <c r="K3341">
        <v>10452</v>
      </c>
      <c r="N3341" t="s">
        <v>7237</v>
      </c>
      <c r="O3341" t="s">
        <v>9411</v>
      </c>
      <c r="P3341">
        <v>1</v>
      </c>
      <c r="Q3341">
        <v>1</v>
      </c>
      <c r="R3341">
        <v>43.74</v>
      </c>
      <c r="U3341">
        <v>7200</v>
      </c>
      <c r="W3341">
        <v>0</v>
      </c>
      <c r="Y3341" t="s">
        <v>10897</v>
      </c>
      <c r="AA3341" t="s">
        <v>10974</v>
      </c>
      <c r="AB3341" t="s">
        <v>597</v>
      </c>
      <c r="AD3341" t="s">
        <v>11090</v>
      </c>
      <c r="AF3341" t="s">
        <v>11119</v>
      </c>
      <c r="AH3341" t="s">
        <v>10974</v>
      </c>
      <c r="AJ3341" t="s">
        <v>11141</v>
      </c>
      <c r="AK3341" t="s">
        <v>7225</v>
      </c>
      <c r="AM3341">
        <v>1268</v>
      </c>
      <c r="AO3341">
        <v>53</v>
      </c>
      <c r="AQ3341" t="s">
        <v>11157</v>
      </c>
      <c r="AS3341" t="s">
        <v>11176</v>
      </c>
      <c r="AU3341">
        <v>3</v>
      </c>
      <c r="AW3341" t="s">
        <v>11187</v>
      </c>
      <c r="AZ3341" t="s">
        <v>11221</v>
      </c>
      <c r="BE3341" t="s">
        <v>13625</v>
      </c>
      <c r="BF3341" t="s">
        <v>14364</v>
      </c>
      <c r="BM3341" t="s">
        <v>15650</v>
      </c>
    </row>
    <row r="3342" spans="1:65">
      <c r="A3342" s="1">
        <f>HYPERLINK("https://lsnyc.legalserver.org/matter/dynamic-profile/view/0820605","16-0820605")</f>
        <v>0</v>
      </c>
      <c r="B3342" t="s">
        <v>193</v>
      </c>
      <c r="C3342" t="s">
        <v>246</v>
      </c>
      <c r="D3342" t="s">
        <v>987</v>
      </c>
      <c r="F3342" t="s">
        <v>1588</v>
      </c>
      <c r="G3342" t="s">
        <v>4256</v>
      </c>
      <c r="H3342" t="s">
        <v>4975</v>
      </c>
      <c r="I3342" t="s">
        <v>6468</v>
      </c>
      <c r="J3342" t="s">
        <v>7170</v>
      </c>
      <c r="K3342">
        <v>10452</v>
      </c>
      <c r="N3342" t="s">
        <v>7237</v>
      </c>
      <c r="O3342" t="s">
        <v>7836</v>
      </c>
      <c r="P3342">
        <v>1</v>
      </c>
      <c r="Q3342">
        <v>0</v>
      </c>
      <c r="R3342">
        <v>0.8100000000000001</v>
      </c>
      <c r="U3342">
        <v>96</v>
      </c>
      <c r="W3342">
        <v>21.7</v>
      </c>
      <c r="X3342" t="s">
        <v>737</v>
      </c>
      <c r="Y3342" t="s">
        <v>10899</v>
      </c>
      <c r="AA3342" t="s">
        <v>10974</v>
      </c>
      <c r="AB3342" t="s">
        <v>11064</v>
      </c>
      <c r="AD3342" t="s">
        <v>11085</v>
      </c>
      <c r="AF3342" t="s">
        <v>11118</v>
      </c>
      <c r="AH3342" t="s">
        <v>10974</v>
      </c>
      <c r="AJ3342" t="s">
        <v>11130</v>
      </c>
      <c r="AK3342" t="s">
        <v>7225</v>
      </c>
      <c r="AM3342">
        <v>240</v>
      </c>
      <c r="AO3342">
        <v>130</v>
      </c>
      <c r="AQ3342" t="s">
        <v>11157</v>
      </c>
      <c r="AR3342" t="s">
        <v>11172</v>
      </c>
      <c r="AU3342">
        <v>1</v>
      </c>
      <c r="AW3342" t="s">
        <v>11187</v>
      </c>
      <c r="AZ3342" t="s">
        <v>11221</v>
      </c>
      <c r="BE3342" t="s">
        <v>13626</v>
      </c>
      <c r="BF3342" t="s">
        <v>14364</v>
      </c>
      <c r="BM3342" t="s">
        <v>15650</v>
      </c>
    </row>
    <row r="3343" spans="1:65">
      <c r="A3343" s="1">
        <f>HYPERLINK("https://lsnyc.legalserver.org/matter/dynamic-profile/view/0797950","16-0797950")</f>
        <v>0</v>
      </c>
      <c r="B3343" t="s">
        <v>193</v>
      </c>
      <c r="C3343" t="s">
        <v>246</v>
      </c>
      <c r="D3343" t="s">
        <v>1001</v>
      </c>
      <c r="F3343" t="s">
        <v>2441</v>
      </c>
      <c r="G3343" t="s">
        <v>4257</v>
      </c>
      <c r="H3343" t="s">
        <v>5233</v>
      </c>
      <c r="I3343" t="s">
        <v>6794</v>
      </c>
      <c r="J3343" t="s">
        <v>7170</v>
      </c>
      <c r="K3343">
        <v>10453</v>
      </c>
      <c r="N3343" t="s">
        <v>7237</v>
      </c>
      <c r="O3343" t="s">
        <v>9412</v>
      </c>
      <c r="P3343">
        <v>1</v>
      </c>
      <c r="Q3343">
        <v>0</v>
      </c>
      <c r="R3343">
        <v>198.72</v>
      </c>
      <c r="U3343">
        <v>23608</v>
      </c>
      <c r="V3343" t="s">
        <v>10563</v>
      </c>
      <c r="W3343">
        <v>1.4</v>
      </c>
      <c r="X3343" t="s">
        <v>1006</v>
      </c>
      <c r="Y3343" t="s">
        <v>138</v>
      </c>
      <c r="AA3343" t="s">
        <v>10974</v>
      </c>
      <c r="AB3343" t="s">
        <v>938</v>
      </c>
      <c r="AD3343" t="s">
        <v>11107</v>
      </c>
      <c r="AF3343" t="s">
        <v>11118</v>
      </c>
      <c r="AH3343" t="s">
        <v>10974</v>
      </c>
      <c r="AJ3343" t="s">
        <v>11130</v>
      </c>
      <c r="AK3343" t="s">
        <v>7225</v>
      </c>
      <c r="AM3343">
        <v>1200</v>
      </c>
      <c r="AO3343">
        <v>46</v>
      </c>
      <c r="AQ3343" t="s">
        <v>11157</v>
      </c>
      <c r="AS3343" t="s">
        <v>11173</v>
      </c>
      <c r="AU3343">
        <v>10</v>
      </c>
      <c r="AW3343" t="s">
        <v>11187</v>
      </c>
      <c r="AZ3343" t="s">
        <v>11221</v>
      </c>
      <c r="BE3343" t="s">
        <v>13627</v>
      </c>
      <c r="BF3343" t="s">
        <v>14364</v>
      </c>
      <c r="BG3343" t="s">
        <v>15213</v>
      </c>
      <c r="BM3343" t="s">
        <v>15650</v>
      </c>
    </row>
    <row r="3344" spans="1:65">
      <c r="A3344" s="1">
        <f>HYPERLINK("https://lsnyc.legalserver.org/matter/dynamic-profile/view/1892748","19-1892748")</f>
        <v>0</v>
      </c>
      <c r="B3344" t="s">
        <v>193</v>
      </c>
      <c r="C3344" t="s">
        <v>246</v>
      </c>
      <c r="D3344" t="s">
        <v>729</v>
      </c>
      <c r="F3344" t="s">
        <v>2442</v>
      </c>
      <c r="G3344" t="s">
        <v>4258</v>
      </c>
      <c r="H3344" t="s">
        <v>5931</v>
      </c>
      <c r="I3344">
        <v>2</v>
      </c>
      <c r="J3344" t="s">
        <v>7170</v>
      </c>
      <c r="K3344">
        <v>10459</v>
      </c>
      <c r="N3344" t="s">
        <v>7237</v>
      </c>
      <c r="O3344" t="s">
        <v>9413</v>
      </c>
      <c r="P3344">
        <v>2</v>
      </c>
      <c r="Q3344">
        <v>0</v>
      </c>
      <c r="R3344">
        <v>197.85</v>
      </c>
      <c r="U3344">
        <v>33456</v>
      </c>
      <c r="V3344" t="s">
        <v>10564</v>
      </c>
      <c r="W3344">
        <v>0</v>
      </c>
      <c r="Y3344" t="s">
        <v>10933</v>
      </c>
      <c r="AA3344" t="s">
        <v>10974</v>
      </c>
      <c r="AB3344" t="s">
        <v>729</v>
      </c>
      <c r="AD3344" t="s">
        <v>11083</v>
      </c>
      <c r="AF3344" t="s">
        <v>11119</v>
      </c>
      <c r="AH3344" t="s">
        <v>10975</v>
      </c>
      <c r="AI3344" t="s">
        <v>11126</v>
      </c>
      <c r="AK3344" t="s">
        <v>7225</v>
      </c>
      <c r="AM3344">
        <v>750</v>
      </c>
      <c r="AN3344" t="s">
        <v>11151</v>
      </c>
      <c r="AO3344" t="s">
        <v>11153</v>
      </c>
      <c r="AP3344" t="s">
        <v>11155</v>
      </c>
      <c r="AR3344" t="s">
        <v>11172</v>
      </c>
      <c r="AT3344" t="s">
        <v>11184</v>
      </c>
      <c r="AU3344">
        <v>0</v>
      </c>
      <c r="AW3344" t="s">
        <v>11187</v>
      </c>
      <c r="BA3344" t="s">
        <v>11222</v>
      </c>
      <c r="BE3344" t="s">
        <v>13628</v>
      </c>
      <c r="BG3344" t="s">
        <v>15221</v>
      </c>
      <c r="BM3344" t="s">
        <v>15650</v>
      </c>
    </row>
    <row r="3345" spans="1:65">
      <c r="A3345" s="1">
        <f>HYPERLINK("https://lsnyc.legalserver.org/matter/dynamic-profile/view/1901479","19-1901479")</f>
        <v>0</v>
      </c>
      <c r="B3345" t="s">
        <v>193</v>
      </c>
      <c r="C3345" t="s">
        <v>246</v>
      </c>
      <c r="D3345" t="s">
        <v>701</v>
      </c>
      <c r="F3345" t="s">
        <v>1428</v>
      </c>
      <c r="G3345" t="s">
        <v>4259</v>
      </c>
      <c r="H3345" t="s">
        <v>5918</v>
      </c>
      <c r="I3345" t="s">
        <v>6417</v>
      </c>
      <c r="J3345" t="s">
        <v>7170</v>
      </c>
      <c r="K3345">
        <v>10452</v>
      </c>
      <c r="N3345" t="s">
        <v>7237</v>
      </c>
      <c r="O3345" t="s">
        <v>9414</v>
      </c>
      <c r="P3345">
        <v>3</v>
      </c>
      <c r="Q3345">
        <v>2</v>
      </c>
      <c r="R3345">
        <v>41.64</v>
      </c>
      <c r="U3345">
        <v>12564</v>
      </c>
      <c r="W3345">
        <v>0</v>
      </c>
      <c r="Y3345" t="s">
        <v>93</v>
      </c>
      <c r="AA3345" t="s">
        <v>10974</v>
      </c>
      <c r="AB3345" t="s">
        <v>10979</v>
      </c>
      <c r="AD3345" t="s">
        <v>11098</v>
      </c>
      <c r="AF3345" t="s">
        <v>11122</v>
      </c>
      <c r="AH3345" t="s">
        <v>10974</v>
      </c>
      <c r="AJ3345" t="s">
        <v>11141</v>
      </c>
      <c r="AK3345" t="s">
        <v>7225</v>
      </c>
      <c r="AM3345">
        <v>1310</v>
      </c>
      <c r="AO3345">
        <v>52</v>
      </c>
      <c r="AQ3345" t="s">
        <v>11164</v>
      </c>
      <c r="AS3345" t="s">
        <v>11176</v>
      </c>
      <c r="AU3345">
        <v>10</v>
      </c>
      <c r="AW3345" t="s">
        <v>11187</v>
      </c>
      <c r="BA3345" t="s">
        <v>11222</v>
      </c>
      <c r="BB3345" t="s">
        <v>11224</v>
      </c>
      <c r="BC3345">
        <v>4268720</v>
      </c>
      <c r="BE3345" t="s">
        <v>13629</v>
      </c>
      <c r="BF3345" t="s">
        <v>14364</v>
      </c>
      <c r="BM3345" t="s">
        <v>15650</v>
      </c>
    </row>
    <row r="3346" spans="1:65">
      <c r="A3346" s="1">
        <f>HYPERLINK("https://lsnyc.legalserver.org/matter/dynamic-profile/view/1898230","19-1898230")</f>
        <v>0</v>
      </c>
      <c r="B3346" t="s">
        <v>193</v>
      </c>
      <c r="C3346" t="s">
        <v>246</v>
      </c>
      <c r="D3346" t="s">
        <v>591</v>
      </c>
      <c r="F3346" t="s">
        <v>2439</v>
      </c>
      <c r="G3346" t="s">
        <v>4253</v>
      </c>
      <c r="H3346" t="s">
        <v>5916</v>
      </c>
      <c r="I3346" t="s">
        <v>6414</v>
      </c>
      <c r="J3346" t="s">
        <v>7170</v>
      </c>
      <c r="K3346">
        <v>10467</v>
      </c>
      <c r="N3346" t="s">
        <v>7237</v>
      </c>
      <c r="O3346" t="s">
        <v>9409</v>
      </c>
      <c r="P3346">
        <v>1</v>
      </c>
      <c r="Q3346">
        <v>1</v>
      </c>
      <c r="R3346">
        <v>147.84</v>
      </c>
      <c r="U3346">
        <v>25000</v>
      </c>
      <c r="W3346">
        <v>0</v>
      </c>
      <c r="Y3346" t="s">
        <v>10865</v>
      </c>
      <c r="AA3346" t="s">
        <v>10974</v>
      </c>
      <c r="AB3346" t="s">
        <v>10979</v>
      </c>
      <c r="AD3346" t="s">
        <v>11100</v>
      </c>
      <c r="AF3346" t="s">
        <v>11120</v>
      </c>
      <c r="AH3346" t="s">
        <v>10974</v>
      </c>
      <c r="AJ3346" t="s">
        <v>11141</v>
      </c>
      <c r="AK3346" t="s">
        <v>7225</v>
      </c>
      <c r="AM3346">
        <v>811.72</v>
      </c>
      <c r="AO3346">
        <v>59</v>
      </c>
      <c r="AQ3346" t="s">
        <v>11164</v>
      </c>
      <c r="AS3346" t="s">
        <v>11173</v>
      </c>
      <c r="AU3346">
        <v>11</v>
      </c>
      <c r="AW3346" t="s">
        <v>11187</v>
      </c>
      <c r="BA3346" t="s">
        <v>11222</v>
      </c>
      <c r="BD3346" t="s">
        <v>11667</v>
      </c>
      <c r="BF3346" t="s">
        <v>14364</v>
      </c>
      <c r="BM3346" t="s">
        <v>15650</v>
      </c>
    </row>
    <row r="3347" spans="1:65">
      <c r="A3347" s="1">
        <f>HYPERLINK("https://lsnyc.legalserver.org/matter/dynamic-profile/view/1865272","18-1865272")</f>
        <v>0</v>
      </c>
      <c r="B3347" t="s">
        <v>193</v>
      </c>
      <c r="C3347" t="s">
        <v>246</v>
      </c>
      <c r="D3347" t="s">
        <v>308</v>
      </c>
      <c r="F3347" t="s">
        <v>1108</v>
      </c>
      <c r="G3347" t="s">
        <v>3477</v>
      </c>
      <c r="H3347" t="s">
        <v>5233</v>
      </c>
      <c r="I3347" t="s">
        <v>6407</v>
      </c>
      <c r="J3347" t="s">
        <v>7170</v>
      </c>
      <c r="K3347">
        <v>10453</v>
      </c>
      <c r="N3347" t="s">
        <v>7237</v>
      </c>
      <c r="O3347" t="s">
        <v>8064</v>
      </c>
      <c r="P3347">
        <v>3</v>
      </c>
      <c r="Q3347">
        <v>2</v>
      </c>
      <c r="R3347">
        <v>38.79</v>
      </c>
      <c r="U3347">
        <v>11412</v>
      </c>
      <c r="W3347">
        <v>21.9</v>
      </c>
      <c r="X3347" t="s">
        <v>427</v>
      </c>
      <c r="Y3347" t="s">
        <v>210</v>
      </c>
      <c r="AA3347" t="s">
        <v>10974</v>
      </c>
      <c r="AB3347" t="s">
        <v>939</v>
      </c>
      <c r="AD3347" t="s">
        <v>11101</v>
      </c>
      <c r="AF3347" t="s">
        <v>11118</v>
      </c>
      <c r="AH3347" t="s">
        <v>10974</v>
      </c>
      <c r="AJ3347" t="s">
        <v>11130</v>
      </c>
      <c r="AK3347" t="s">
        <v>7225</v>
      </c>
      <c r="AL3347" t="s">
        <v>11150</v>
      </c>
      <c r="AM3347">
        <v>0</v>
      </c>
      <c r="AN3347" t="s">
        <v>11151</v>
      </c>
      <c r="AO3347" t="s">
        <v>11153</v>
      </c>
      <c r="AQ3347" t="s">
        <v>11157</v>
      </c>
      <c r="AS3347" t="s">
        <v>11174</v>
      </c>
      <c r="AT3347" t="s">
        <v>11184</v>
      </c>
      <c r="AU3347">
        <v>0</v>
      </c>
      <c r="AW3347" t="s">
        <v>11187</v>
      </c>
      <c r="AZ3347" t="s">
        <v>11221</v>
      </c>
      <c r="BC3347" t="s">
        <v>11341</v>
      </c>
      <c r="BD3347" t="s">
        <v>11667</v>
      </c>
      <c r="BG3347" t="s">
        <v>15209</v>
      </c>
      <c r="BM3347" t="s">
        <v>15650</v>
      </c>
    </row>
    <row r="3348" spans="1:65">
      <c r="A3348" s="1">
        <f>HYPERLINK("https://lsnyc.legalserver.org/matter/dynamic-profile/view/1860896","18-1860896")</f>
        <v>0</v>
      </c>
      <c r="B3348" t="s">
        <v>193</v>
      </c>
      <c r="C3348" t="s">
        <v>246</v>
      </c>
      <c r="D3348" t="s">
        <v>944</v>
      </c>
      <c r="F3348" t="s">
        <v>1136</v>
      </c>
      <c r="G3348" t="s">
        <v>4260</v>
      </c>
      <c r="H3348" t="s">
        <v>5233</v>
      </c>
      <c r="I3348" t="s">
        <v>6979</v>
      </c>
      <c r="J3348" t="s">
        <v>7170</v>
      </c>
      <c r="K3348">
        <v>10453</v>
      </c>
      <c r="N3348" t="s">
        <v>7237</v>
      </c>
      <c r="O3348" t="s">
        <v>9415</v>
      </c>
      <c r="P3348">
        <v>2</v>
      </c>
      <c r="Q3348">
        <v>3</v>
      </c>
      <c r="R3348">
        <v>141.4</v>
      </c>
      <c r="U3348">
        <v>91600</v>
      </c>
      <c r="W3348">
        <v>0.6</v>
      </c>
      <c r="X3348" t="s">
        <v>944</v>
      </c>
      <c r="Y3348" t="s">
        <v>210</v>
      </c>
      <c r="AA3348" t="s">
        <v>10974</v>
      </c>
      <c r="AB3348" t="s">
        <v>1047</v>
      </c>
      <c r="AD3348" t="s">
        <v>11101</v>
      </c>
      <c r="AF3348" t="s">
        <v>11118</v>
      </c>
      <c r="AH3348" t="s">
        <v>10974</v>
      </c>
      <c r="AJ3348" t="s">
        <v>11130</v>
      </c>
      <c r="AK3348" t="s">
        <v>7225</v>
      </c>
      <c r="AM3348">
        <v>1418</v>
      </c>
      <c r="AO3348">
        <v>46</v>
      </c>
      <c r="AQ3348" t="s">
        <v>11157</v>
      </c>
      <c r="AS3348" t="s">
        <v>11173</v>
      </c>
      <c r="AU3348">
        <v>6</v>
      </c>
      <c r="AW3348" t="s">
        <v>11189</v>
      </c>
      <c r="AZ3348" t="s">
        <v>11221</v>
      </c>
      <c r="BE3348" t="s">
        <v>13630</v>
      </c>
      <c r="BG3348" t="s">
        <v>15209</v>
      </c>
      <c r="BM3348" t="s">
        <v>15650</v>
      </c>
    </row>
    <row r="3349" spans="1:65">
      <c r="A3349" s="1">
        <f>HYPERLINK("https://lsnyc.legalserver.org/matter/dynamic-profile/view/1898295","19-1898295")</f>
        <v>0</v>
      </c>
      <c r="B3349" t="s">
        <v>193</v>
      </c>
      <c r="C3349" t="s">
        <v>246</v>
      </c>
      <c r="D3349" t="s">
        <v>591</v>
      </c>
      <c r="F3349" t="s">
        <v>1106</v>
      </c>
      <c r="G3349" t="s">
        <v>2962</v>
      </c>
      <c r="H3349" t="s">
        <v>5916</v>
      </c>
      <c r="I3349" t="s">
        <v>6403</v>
      </c>
      <c r="J3349" t="s">
        <v>7170</v>
      </c>
      <c r="K3349">
        <v>10467</v>
      </c>
      <c r="N3349" t="s">
        <v>7237</v>
      </c>
      <c r="O3349" t="s">
        <v>9416</v>
      </c>
      <c r="P3349">
        <v>1</v>
      </c>
      <c r="Q3349">
        <v>0</v>
      </c>
      <c r="R3349">
        <v>48.04</v>
      </c>
      <c r="U3349">
        <v>6000</v>
      </c>
      <c r="W3349">
        <v>0</v>
      </c>
      <c r="Y3349" t="s">
        <v>10865</v>
      </c>
      <c r="AA3349" t="s">
        <v>10974</v>
      </c>
      <c r="AB3349" t="s">
        <v>10979</v>
      </c>
      <c r="AD3349" t="s">
        <v>11098</v>
      </c>
      <c r="AF3349" t="s">
        <v>11122</v>
      </c>
      <c r="AH3349" t="s">
        <v>10974</v>
      </c>
      <c r="AJ3349" t="s">
        <v>11141</v>
      </c>
      <c r="AK3349" t="s">
        <v>7225</v>
      </c>
      <c r="AM3349">
        <v>863</v>
      </c>
      <c r="AO3349">
        <v>60</v>
      </c>
      <c r="AQ3349" t="s">
        <v>11157</v>
      </c>
      <c r="AS3349" t="s">
        <v>11173</v>
      </c>
      <c r="AU3349">
        <v>1</v>
      </c>
      <c r="AW3349" t="s">
        <v>11187</v>
      </c>
      <c r="BA3349" t="s">
        <v>11222</v>
      </c>
      <c r="BE3349" t="s">
        <v>13631</v>
      </c>
      <c r="BF3349" t="s">
        <v>14364</v>
      </c>
      <c r="BM3349" t="s">
        <v>15650</v>
      </c>
    </row>
    <row r="3350" spans="1:65">
      <c r="A3350" s="1">
        <f>HYPERLINK("https://lsnyc.legalserver.org/matter/dynamic-profile/view/0817133","16-0817133")</f>
        <v>0</v>
      </c>
      <c r="B3350" t="s">
        <v>193</v>
      </c>
      <c r="C3350" t="s">
        <v>246</v>
      </c>
      <c r="D3350" t="s">
        <v>742</v>
      </c>
      <c r="F3350" t="s">
        <v>1307</v>
      </c>
      <c r="G3350" t="s">
        <v>3214</v>
      </c>
      <c r="H3350" t="s">
        <v>5917</v>
      </c>
      <c r="I3350" t="s">
        <v>6980</v>
      </c>
      <c r="J3350" t="s">
        <v>7170</v>
      </c>
      <c r="K3350">
        <v>10452</v>
      </c>
      <c r="N3350" t="s">
        <v>7237</v>
      </c>
      <c r="O3350" t="s">
        <v>9404</v>
      </c>
      <c r="P3350">
        <v>2</v>
      </c>
      <c r="Q3350">
        <v>0</v>
      </c>
      <c r="R3350">
        <v>129.84</v>
      </c>
      <c r="U3350">
        <v>20800</v>
      </c>
      <c r="W3350">
        <v>0.8</v>
      </c>
      <c r="X3350" t="s">
        <v>758</v>
      </c>
      <c r="Y3350" t="s">
        <v>10899</v>
      </c>
      <c r="AA3350" t="s">
        <v>10974</v>
      </c>
      <c r="AB3350" t="s">
        <v>838</v>
      </c>
      <c r="AD3350" t="s">
        <v>11096</v>
      </c>
      <c r="AF3350" t="s">
        <v>11122</v>
      </c>
      <c r="AH3350" t="s">
        <v>10974</v>
      </c>
      <c r="AJ3350" t="s">
        <v>11141</v>
      </c>
      <c r="AK3350" t="s">
        <v>7225</v>
      </c>
      <c r="AM3350">
        <v>405</v>
      </c>
      <c r="AO3350">
        <v>62</v>
      </c>
      <c r="AQ3350" t="s">
        <v>11157</v>
      </c>
      <c r="AS3350" t="s">
        <v>11174</v>
      </c>
      <c r="AU3350">
        <v>19</v>
      </c>
      <c r="AW3350" t="s">
        <v>11187</v>
      </c>
      <c r="AZ3350" t="s">
        <v>11221</v>
      </c>
      <c r="BE3350" t="s">
        <v>13620</v>
      </c>
      <c r="BG3350" t="s">
        <v>15206</v>
      </c>
      <c r="BM3350" t="s">
        <v>15650</v>
      </c>
    </row>
    <row r="3351" spans="1:65">
      <c r="A3351" s="1">
        <f>HYPERLINK("https://lsnyc.legalserver.org/matter/dynamic-profile/view/0822597","16-0822597")</f>
        <v>0</v>
      </c>
      <c r="B3351" t="s">
        <v>193</v>
      </c>
      <c r="C3351" t="s">
        <v>246</v>
      </c>
      <c r="D3351" t="s">
        <v>980</v>
      </c>
      <c r="F3351" t="s">
        <v>1307</v>
      </c>
      <c r="G3351" t="s">
        <v>3214</v>
      </c>
      <c r="H3351" t="s">
        <v>5917</v>
      </c>
      <c r="I3351" t="s">
        <v>6980</v>
      </c>
      <c r="J3351" t="s">
        <v>7170</v>
      </c>
      <c r="K3351">
        <v>10452</v>
      </c>
      <c r="N3351" t="s">
        <v>7237</v>
      </c>
      <c r="O3351" t="s">
        <v>9404</v>
      </c>
      <c r="P3351">
        <v>2</v>
      </c>
      <c r="Q3351">
        <v>0</v>
      </c>
      <c r="R3351">
        <v>129.84</v>
      </c>
      <c r="U3351">
        <v>20800</v>
      </c>
      <c r="W3351">
        <v>0.3</v>
      </c>
      <c r="X3351" t="s">
        <v>758</v>
      </c>
      <c r="Y3351" t="s">
        <v>10899</v>
      </c>
      <c r="AA3351" t="s">
        <v>10974</v>
      </c>
      <c r="AB3351" t="s">
        <v>980</v>
      </c>
      <c r="AD3351" t="s">
        <v>11096</v>
      </c>
      <c r="AF3351" t="s">
        <v>11122</v>
      </c>
      <c r="AH3351" t="s">
        <v>10974</v>
      </c>
      <c r="AJ3351" t="s">
        <v>11141</v>
      </c>
      <c r="AK3351" t="s">
        <v>7225</v>
      </c>
      <c r="AM3351">
        <v>405</v>
      </c>
      <c r="AO3351">
        <v>62</v>
      </c>
      <c r="AQ3351" t="s">
        <v>11157</v>
      </c>
      <c r="AS3351" t="s">
        <v>11174</v>
      </c>
      <c r="AU3351">
        <v>19</v>
      </c>
      <c r="AW3351" t="s">
        <v>11187</v>
      </c>
      <c r="AZ3351" t="s">
        <v>11221</v>
      </c>
      <c r="BE3351" t="s">
        <v>13620</v>
      </c>
      <c r="BG3351" t="s">
        <v>15202</v>
      </c>
      <c r="BM3351" t="s">
        <v>15650</v>
      </c>
    </row>
    <row r="3352" spans="1:65">
      <c r="A3352" s="1">
        <f>HYPERLINK("https://lsnyc.legalserver.org/matter/dynamic-profile/view/0820633","16-0820633")</f>
        <v>0</v>
      </c>
      <c r="B3352" t="s">
        <v>193</v>
      </c>
      <c r="C3352" t="s">
        <v>246</v>
      </c>
      <c r="D3352" t="s">
        <v>987</v>
      </c>
      <c r="F3352" t="s">
        <v>2443</v>
      </c>
      <c r="G3352" t="s">
        <v>3489</v>
      </c>
      <c r="H3352" t="s">
        <v>4975</v>
      </c>
      <c r="I3352" t="s">
        <v>6482</v>
      </c>
      <c r="J3352" t="s">
        <v>7170</v>
      </c>
      <c r="K3352">
        <v>10452</v>
      </c>
      <c r="N3352" t="s">
        <v>7237</v>
      </c>
      <c r="O3352" t="s">
        <v>7576</v>
      </c>
      <c r="P3352">
        <v>1</v>
      </c>
      <c r="Q3352">
        <v>0</v>
      </c>
      <c r="R3352">
        <v>0</v>
      </c>
      <c r="U3352">
        <v>0</v>
      </c>
      <c r="W3352">
        <v>0.35</v>
      </c>
      <c r="X3352" t="s">
        <v>576</v>
      </c>
      <c r="Y3352" t="s">
        <v>10899</v>
      </c>
      <c r="AA3352" t="s">
        <v>10974</v>
      </c>
      <c r="AB3352" t="s">
        <v>11064</v>
      </c>
      <c r="AD3352" t="s">
        <v>11085</v>
      </c>
      <c r="AF3352" t="s">
        <v>11118</v>
      </c>
      <c r="AH3352" t="s">
        <v>10974</v>
      </c>
      <c r="AJ3352" t="s">
        <v>11130</v>
      </c>
      <c r="AK3352" t="s">
        <v>7225</v>
      </c>
      <c r="AM3352">
        <v>246</v>
      </c>
      <c r="AO3352">
        <v>130</v>
      </c>
      <c r="AQ3352" t="s">
        <v>11157</v>
      </c>
      <c r="AS3352" t="s">
        <v>11178</v>
      </c>
      <c r="AT3352" t="s">
        <v>11184</v>
      </c>
      <c r="AU3352">
        <v>0</v>
      </c>
      <c r="AW3352" t="s">
        <v>11187</v>
      </c>
      <c r="AZ3352" t="s">
        <v>11221</v>
      </c>
      <c r="BE3352" t="s">
        <v>13632</v>
      </c>
      <c r="BG3352" t="s">
        <v>14477</v>
      </c>
      <c r="BM3352" t="s">
        <v>15650</v>
      </c>
    </row>
    <row r="3353" spans="1:65">
      <c r="A3353" s="1">
        <f>HYPERLINK("https://lsnyc.legalserver.org/matter/dynamic-profile/view/1898326","19-1898326")</f>
        <v>0</v>
      </c>
      <c r="B3353" t="s">
        <v>193</v>
      </c>
      <c r="C3353" t="s">
        <v>246</v>
      </c>
      <c r="D3353" t="s">
        <v>591</v>
      </c>
      <c r="F3353" t="s">
        <v>2444</v>
      </c>
      <c r="G3353" t="s">
        <v>3527</v>
      </c>
      <c r="H3353" t="s">
        <v>5916</v>
      </c>
      <c r="I3353" t="s">
        <v>6551</v>
      </c>
      <c r="J3353" t="s">
        <v>7170</v>
      </c>
      <c r="K3353">
        <v>10467</v>
      </c>
      <c r="N3353" t="s">
        <v>7237</v>
      </c>
      <c r="O3353" t="s">
        <v>9417</v>
      </c>
      <c r="P3353">
        <v>3</v>
      </c>
      <c r="Q3353">
        <v>0</v>
      </c>
      <c r="R3353">
        <v>130.33</v>
      </c>
      <c r="U3353">
        <v>27800</v>
      </c>
      <c r="W3353">
        <v>0</v>
      </c>
      <c r="Y3353" t="s">
        <v>10865</v>
      </c>
      <c r="AA3353" t="s">
        <v>10974</v>
      </c>
      <c r="AB3353" t="s">
        <v>10979</v>
      </c>
      <c r="AD3353" t="s">
        <v>11098</v>
      </c>
      <c r="AF3353" t="s">
        <v>11122</v>
      </c>
      <c r="AH3353" t="s">
        <v>10974</v>
      </c>
      <c r="AJ3353" t="s">
        <v>11141</v>
      </c>
      <c r="AK3353" t="s">
        <v>7225</v>
      </c>
      <c r="AM3353">
        <v>1020</v>
      </c>
      <c r="AO3353">
        <v>60</v>
      </c>
      <c r="AQ3353" t="s">
        <v>11157</v>
      </c>
      <c r="AS3353" t="s">
        <v>11173</v>
      </c>
      <c r="AU3353">
        <v>20</v>
      </c>
      <c r="AW3353" t="s">
        <v>11187</v>
      </c>
      <c r="BA3353" t="s">
        <v>11222</v>
      </c>
      <c r="BE3353" t="s">
        <v>13633</v>
      </c>
      <c r="BF3353" t="s">
        <v>14364</v>
      </c>
      <c r="BM3353" t="s">
        <v>15650</v>
      </c>
    </row>
    <row r="3354" spans="1:65">
      <c r="A3354" s="1">
        <f>HYPERLINK("https://lsnyc.legalserver.org/matter/dynamic-profile/view/1898292","19-1898292")</f>
        <v>0</v>
      </c>
      <c r="B3354" t="s">
        <v>193</v>
      </c>
      <c r="C3354" t="s">
        <v>246</v>
      </c>
      <c r="D3354" t="s">
        <v>591</v>
      </c>
      <c r="F3354" t="s">
        <v>1641</v>
      </c>
      <c r="G3354" t="s">
        <v>4261</v>
      </c>
      <c r="H3354" t="s">
        <v>5916</v>
      </c>
      <c r="I3354" t="s">
        <v>6480</v>
      </c>
      <c r="J3354" t="s">
        <v>7170</v>
      </c>
      <c r="K3354">
        <v>10467</v>
      </c>
      <c r="N3354" t="s">
        <v>7237</v>
      </c>
      <c r="O3354" t="s">
        <v>9394</v>
      </c>
      <c r="P3354">
        <v>2</v>
      </c>
      <c r="Q3354">
        <v>2</v>
      </c>
      <c r="R3354">
        <v>209.15</v>
      </c>
      <c r="U3354">
        <v>53856</v>
      </c>
      <c r="W3354">
        <v>0</v>
      </c>
      <c r="Y3354" t="s">
        <v>10865</v>
      </c>
      <c r="AA3354" t="s">
        <v>10974</v>
      </c>
      <c r="AB3354" t="s">
        <v>10979</v>
      </c>
      <c r="AD3354" t="s">
        <v>11098</v>
      </c>
      <c r="AF3354" t="s">
        <v>11122</v>
      </c>
      <c r="AH3354" t="s">
        <v>10974</v>
      </c>
      <c r="AJ3354" t="s">
        <v>11141</v>
      </c>
      <c r="AK3354" t="s">
        <v>7225</v>
      </c>
      <c r="AM3354">
        <v>1522.5</v>
      </c>
      <c r="AO3354">
        <v>60</v>
      </c>
      <c r="AQ3354" t="s">
        <v>11157</v>
      </c>
      <c r="AS3354" t="s">
        <v>11173</v>
      </c>
      <c r="AU3354">
        <v>3</v>
      </c>
      <c r="AW3354" t="s">
        <v>11187</v>
      </c>
      <c r="BA3354" t="s">
        <v>11222</v>
      </c>
      <c r="BD3354" t="s">
        <v>11667</v>
      </c>
      <c r="BF3354" t="s">
        <v>14364</v>
      </c>
      <c r="BM3354" t="s">
        <v>15650</v>
      </c>
    </row>
    <row r="3355" spans="1:65">
      <c r="A3355" s="1">
        <f>HYPERLINK("https://lsnyc.legalserver.org/matter/dynamic-profile/view/0793991","15-0793991")</f>
        <v>0</v>
      </c>
      <c r="B3355" t="s">
        <v>193</v>
      </c>
      <c r="C3355" t="s">
        <v>246</v>
      </c>
      <c r="D3355" t="s">
        <v>989</v>
      </c>
      <c r="F3355" t="s">
        <v>2018</v>
      </c>
      <c r="G3355" t="s">
        <v>3231</v>
      </c>
      <c r="H3355" t="s">
        <v>5233</v>
      </c>
      <c r="I3355" t="s">
        <v>6731</v>
      </c>
      <c r="J3355" t="s">
        <v>7170</v>
      </c>
      <c r="K3355">
        <v>10453</v>
      </c>
      <c r="N3355" t="s">
        <v>7237</v>
      </c>
      <c r="O3355" t="s">
        <v>9403</v>
      </c>
      <c r="P3355">
        <v>1</v>
      </c>
      <c r="Q3355">
        <v>0</v>
      </c>
      <c r="R3355">
        <v>132.54</v>
      </c>
      <c r="U3355">
        <v>15600</v>
      </c>
      <c r="W3355">
        <v>0.05</v>
      </c>
      <c r="X3355" t="s">
        <v>10847</v>
      </c>
      <c r="Y3355" t="s">
        <v>138</v>
      </c>
      <c r="AA3355" t="s">
        <v>10974</v>
      </c>
      <c r="AB3355" t="s">
        <v>538</v>
      </c>
      <c r="AD3355" t="s">
        <v>11107</v>
      </c>
      <c r="AF3355" t="s">
        <v>11118</v>
      </c>
      <c r="AH3355" t="s">
        <v>10974</v>
      </c>
      <c r="AJ3355" t="s">
        <v>11130</v>
      </c>
      <c r="AK3355" t="s">
        <v>7225</v>
      </c>
      <c r="AM3355">
        <v>1284</v>
      </c>
      <c r="AO3355">
        <v>46</v>
      </c>
      <c r="AQ3355" t="s">
        <v>11157</v>
      </c>
      <c r="AS3355" t="s">
        <v>11173</v>
      </c>
      <c r="AU3355">
        <v>3</v>
      </c>
      <c r="AW3355" t="s">
        <v>11189</v>
      </c>
      <c r="AZ3355" t="s">
        <v>11221</v>
      </c>
      <c r="BE3355" t="s">
        <v>13619</v>
      </c>
      <c r="BF3355" t="s">
        <v>14364</v>
      </c>
      <c r="BG3355" t="s">
        <v>15213</v>
      </c>
      <c r="BM3355" t="s">
        <v>15650</v>
      </c>
    </row>
    <row r="3356" spans="1:65">
      <c r="A3356" s="1">
        <f>HYPERLINK("https://lsnyc.legalserver.org/matter/dynamic-profile/view/1864963","18-1864963")</f>
        <v>0</v>
      </c>
      <c r="B3356" t="s">
        <v>193</v>
      </c>
      <c r="C3356" t="s">
        <v>246</v>
      </c>
      <c r="D3356" t="s">
        <v>308</v>
      </c>
      <c r="F3356" t="s">
        <v>2445</v>
      </c>
      <c r="G3356" t="s">
        <v>3168</v>
      </c>
      <c r="H3356" t="s">
        <v>5233</v>
      </c>
      <c r="I3356" t="s">
        <v>6737</v>
      </c>
      <c r="J3356" t="s">
        <v>7170</v>
      </c>
      <c r="K3356">
        <v>10453</v>
      </c>
      <c r="N3356" t="s">
        <v>7237</v>
      </c>
      <c r="O3356" t="s">
        <v>9418</v>
      </c>
      <c r="P3356">
        <v>4</v>
      </c>
      <c r="Q3356">
        <v>3</v>
      </c>
      <c r="R3356">
        <v>37.23</v>
      </c>
      <c r="U3356">
        <v>21970</v>
      </c>
      <c r="W3356">
        <v>2</v>
      </c>
      <c r="X3356" t="s">
        <v>546</v>
      </c>
      <c r="Y3356" t="s">
        <v>210</v>
      </c>
      <c r="AA3356" t="s">
        <v>10974</v>
      </c>
      <c r="AB3356" t="s">
        <v>824</v>
      </c>
      <c r="AD3356" t="s">
        <v>11101</v>
      </c>
      <c r="AF3356" t="s">
        <v>11118</v>
      </c>
      <c r="AH3356" t="s">
        <v>10974</v>
      </c>
      <c r="AJ3356" t="s">
        <v>11130</v>
      </c>
      <c r="AK3356" t="s">
        <v>7225</v>
      </c>
      <c r="AM3356">
        <v>2101.58</v>
      </c>
      <c r="AO3356">
        <v>46</v>
      </c>
      <c r="AQ3356" t="s">
        <v>11157</v>
      </c>
      <c r="AS3356" t="s">
        <v>11174</v>
      </c>
      <c r="AU3356">
        <v>14</v>
      </c>
      <c r="AW3356" t="s">
        <v>11187</v>
      </c>
      <c r="AZ3356" t="s">
        <v>11221</v>
      </c>
      <c r="BC3356" t="s">
        <v>11533</v>
      </c>
      <c r="BE3356" t="s">
        <v>13634</v>
      </c>
      <c r="BG3356" t="s">
        <v>15209</v>
      </c>
      <c r="BM3356" t="s">
        <v>15650</v>
      </c>
    </row>
    <row r="3357" spans="1:65">
      <c r="A3357" s="1">
        <f>HYPERLINK("https://lsnyc.legalserver.org/matter/dynamic-profile/view/1897413","19-1897413")</f>
        <v>0</v>
      </c>
      <c r="B3357" t="s">
        <v>193</v>
      </c>
      <c r="C3357" t="s">
        <v>246</v>
      </c>
      <c r="D3357" t="s">
        <v>583</v>
      </c>
      <c r="F3357" t="s">
        <v>1155</v>
      </c>
      <c r="G3357" t="s">
        <v>3784</v>
      </c>
      <c r="H3357" t="s">
        <v>5932</v>
      </c>
      <c r="I3357" t="s">
        <v>6850</v>
      </c>
      <c r="J3357" t="s">
        <v>7170</v>
      </c>
      <c r="K3357">
        <v>10452</v>
      </c>
      <c r="N3357" t="s">
        <v>7237</v>
      </c>
      <c r="P3357">
        <v>1</v>
      </c>
      <c r="Q3357">
        <v>0</v>
      </c>
      <c r="R3357">
        <v>160.13</v>
      </c>
      <c r="U3357">
        <v>20000</v>
      </c>
      <c r="W3357">
        <v>1</v>
      </c>
      <c r="X3357" t="s">
        <v>583</v>
      </c>
      <c r="Y3357" t="s">
        <v>193</v>
      </c>
      <c r="AA3357" t="s">
        <v>10974</v>
      </c>
      <c r="AB3357" t="s">
        <v>583</v>
      </c>
      <c r="AD3357" t="s">
        <v>11082</v>
      </c>
      <c r="AF3357" t="s">
        <v>11119</v>
      </c>
      <c r="AH3357" t="s">
        <v>10975</v>
      </c>
      <c r="AJ3357" t="s">
        <v>11130</v>
      </c>
      <c r="AK3357" t="s">
        <v>7225</v>
      </c>
      <c r="AM3357">
        <v>1023</v>
      </c>
      <c r="AN3357" t="s">
        <v>11151</v>
      </c>
      <c r="AO3357" t="s">
        <v>11153</v>
      </c>
      <c r="AQ3357" t="s">
        <v>11157</v>
      </c>
      <c r="AR3357" t="s">
        <v>11172</v>
      </c>
      <c r="AU3357">
        <v>18</v>
      </c>
      <c r="AW3357" t="s">
        <v>11189</v>
      </c>
      <c r="AY3357" t="s">
        <v>11214</v>
      </c>
      <c r="BA3357" t="s">
        <v>11222</v>
      </c>
      <c r="BE3357" t="s">
        <v>13635</v>
      </c>
      <c r="BG3357" t="s">
        <v>15222</v>
      </c>
      <c r="BM3357" t="s">
        <v>15650</v>
      </c>
    </row>
    <row r="3358" spans="1:65">
      <c r="A3358" s="1">
        <f>HYPERLINK("https://lsnyc.legalserver.org/matter/dynamic-profile/view/0820602","16-0820602")</f>
        <v>0</v>
      </c>
      <c r="B3358" t="s">
        <v>193</v>
      </c>
      <c r="C3358" t="s">
        <v>246</v>
      </c>
      <c r="D3358" t="s">
        <v>987</v>
      </c>
      <c r="F3358" t="s">
        <v>1250</v>
      </c>
      <c r="G3358" t="s">
        <v>4252</v>
      </c>
      <c r="H3358" t="s">
        <v>4975</v>
      </c>
      <c r="I3358" t="s">
        <v>6466</v>
      </c>
      <c r="J3358" t="s">
        <v>7170</v>
      </c>
      <c r="K3358">
        <v>10452</v>
      </c>
      <c r="N3358" t="s">
        <v>7237</v>
      </c>
      <c r="O3358" t="s">
        <v>9419</v>
      </c>
      <c r="P3358">
        <v>2</v>
      </c>
      <c r="Q3358">
        <v>4</v>
      </c>
      <c r="R3358">
        <v>135.67</v>
      </c>
      <c r="U3358">
        <v>88400</v>
      </c>
      <c r="W3358">
        <v>0</v>
      </c>
      <c r="Y3358" t="s">
        <v>10899</v>
      </c>
      <c r="AA3358" t="s">
        <v>10974</v>
      </c>
      <c r="AB3358" t="s">
        <v>11064</v>
      </c>
      <c r="AD3358" t="s">
        <v>11085</v>
      </c>
      <c r="AF3358" t="s">
        <v>11118</v>
      </c>
      <c r="AH3358" t="s">
        <v>10974</v>
      </c>
      <c r="AJ3358" t="s">
        <v>11130</v>
      </c>
      <c r="AK3358" t="s">
        <v>7225</v>
      </c>
      <c r="AM3358">
        <v>1068.74</v>
      </c>
      <c r="AO3358">
        <v>130</v>
      </c>
      <c r="AQ3358" t="s">
        <v>11157</v>
      </c>
      <c r="AR3358" t="s">
        <v>11172</v>
      </c>
      <c r="AU3358">
        <v>8</v>
      </c>
      <c r="AW3358" t="s">
        <v>11187</v>
      </c>
      <c r="AZ3358" t="s">
        <v>11221</v>
      </c>
      <c r="BE3358" t="s">
        <v>13636</v>
      </c>
      <c r="BG3358" t="s">
        <v>14477</v>
      </c>
      <c r="BM3358" t="s">
        <v>15650</v>
      </c>
    </row>
    <row r="3359" spans="1:65">
      <c r="A3359" s="1">
        <f>HYPERLINK("https://lsnyc.legalserver.org/matter/dynamic-profile/view/1904264","19-1904264")</f>
        <v>0</v>
      </c>
      <c r="B3359" t="s">
        <v>193</v>
      </c>
      <c r="C3359" t="s">
        <v>246</v>
      </c>
      <c r="D3359" t="s">
        <v>332</v>
      </c>
      <c r="F3359" t="s">
        <v>1295</v>
      </c>
      <c r="G3359" t="s">
        <v>3046</v>
      </c>
      <c r="H3359" t="s">
        <v>5933</v>
      </c>
      <c r="I3359" t="s">
        <v>6981</v>
      </c>
      <c r="J3359" t="s">
        <v>7170</v>
      </c>
      <c r="K3359">
        <v>10452</v>
      </c>
      <c r="N3359" t="s">
        <v>7237</v>
      </c>
      <c r="O3359" t="s">
        <v>8035</v>
      </c>
      <c r="P3359">
        <v>1</v>
      </c>
      <c r="Q3359">
        <v>3</v>
      </c>
      <c r="R3359">
        <v>136.31</v>
      </c>
      <c r="U3359">
        <v>35100</v>
      </c>
      <c r="W3359">
        <v>2.1</v>
      </c>
      <c r="X3359" t="s">
        <v>349</v>
      </c>
      <c r="Y3359" t="s">
        <v>10873</v>
      </c>
      <c r="AA3359" t="s">
        <v>10974</v>
      </c>
      <c r="AC3359" t="s">
        <v>11081</v>
      </c>
      <c r="AE3359" t="s">
        <v>11117</v>
      </c>
      <c r="AG3359" t="s">
        <v>11124</v>
      </c>
      <c r="AJ3359" t="s">
        <v>11140</v>
      </c>
      <c r="AK3359" t="s">
        <v>7225</v>
      </c>
      <c r="AM3359">
        <v>1096.48</v>
      </c>
      <c r="AO3359">
        <v>77</v>
      </c>
      <c r="AP3359" t="s">
        <v>11155</v>
      </c>
      <c r="AS3359" t="s">
        <v>11173</v>
      </c>
      <c r="AU3359">
        <v>15</v>
      </c>
      <c r="AW3359" t="s">
        <v>11187</v>
      </c>
      <c r="AX3359" t="s">
        <v>11212</v>
      </c>
      <c r="BA3359" t="s">
        <v>11222</v>
      </c>
      <c r="BE3359" t="s">
        <v>13637</v>
      </c>
      <c r="BF3359" t="s">
        <v>14364</v>
      </c>
      <c r="BM3359" t="s">
        <v>15650</v>
      </c>
    </row>
    <row r="3360" spans="1:65">
      <c r="A3360" s="1">
        <f>HYPERLINK("https://lsnyc.legalserver.org/matter/dynamic-profile/view/1901431","19-1901431")</f>
        <v>0</v>
      </c>
      <c r="B3360" t="s">
        <v>193</v>
      </c>
      <c r="C3360" t="s">
        <v>246</v>
      </c>
      <c r="D3360" t="s">
        <v>701</v>
      </c>
      <c r="F3360" t="s">
        <v>2446</v>
      </c>
      <c r="G3360" t="s">
        <v>1279</v>
      </c>
      <c r="H3360" t="s">
        <v>5918</v>
      </c>
      <c r="I3360" t="s">
        <v>6410</v>
      </c>
      <c r="J3360" t="s">
        <v>7170</v>
      </c>
      <c r="K3360">
        <v>10452</v>
      </c>
      <c r="N3360" t="s">
        <v>7237</v>
      </c>
      <c r="O3360" t="s">
        <v>9420</v>
      </c>
      <c r="P3360">
        <v>1</v>
      </c>
      <c r="Q3360">
        <v>0</v>
      </c>
      <c r="R3360">
        <v>320.26</v>
      </c>
      <c r="U3360">
        <v>40000</v>
      </c>
      <c r="W3360">
        <v>0</v>
      </c>
      <c r="Y3360" t="s">
        <v>93</v>
      </c>
      <c r="AA3360" t="s">
        <v>10974</v>
      </c>
      <c r="AB3360" t="s">
        <v>10979</v>
      </c>
      <c r="AD3360" t="s">
        <v>11098</v>
      </c>
      <c r="AF3360" t="s">
        <v>11122</v>
      </c>
      <c r="AH3360" t="s">
        <v>10974</v>
      </c>
      <c r="AJ3360" t="s">
        <v>11134</v>
      </c>
      <c r="AK3360" t="s">
        <v>7225</v>
      </c>
      <c r="AM3360">
        <v>783.86</v>
      </c>
      <c r="AO3360">
        <v>52</v>
      </c>
      <c r="AQ3360" t="s">
        <v>11157</v>
      </c>
      <c r="AS3360" t="s">
        <v>11173</v>
      </c>
      <c r="AU3360">
        <v>20</v>
      </c>
      <c r="AW3360" t="s">
        <v>11187</v>
      </c>
      <c r="BA3360" t="s">
        <v>11222</v>
      </c>
      <c r="BE3360" t="s">
        <v>13638</v>
      </c>
      <c r="BF3360" t="s">
        <v>14364</v>
      </c>
      <c r="BM3360" t="s">
        <v>15650</v>
      </c>
    </row>
    <row r="3361" spans="1:65">
      <c r="A3361" s="1">
        <f>HYPERLINK("https://lsnyc.legalserver.org/matter/dynamic-profile/view/0799066","16-0799066")</f>
        <v>0</v>
      </c>
      <c r="B3361" t="s">
        <v>193</v>
      </c>
      <c r="C3361" t="s">
        <v>246</v>
      </c>
      <c r="D3361" t="s">
        <v>996</v>
      </c>
      <c r="F3361" t="s">
        <v>1307</v>
      </c>
      <c r="G3361" t="s">
        <v>3162</v>
      </c>
      <c r="H3361" t="s">
        <v>5917</v>
      </c>
      <c r="I3361" t="s">
        <v>6666</v>
      </c>
      <c r="J3361" t="s">
        <v>7170</v>
      </c>
      <c r="K3361">
        <v>10452</v>
      </c>
      <c r="N3361" t="s">
        <v>7237</v>
      </c>
      <c r="O3361" t="s">
        <v>9421</v>
      </c>
      <c r="P3361">
        <v>1</v>
      </c>
      <c r="Q3361">
        <v>0</v>
      </c>
      <c r="R3361">
        <v>195.36</v>
      </c>
      <c r="U3361">
        <v>23208.38</v>
      </c>
      <c r="W3361">
        <v>0.6</v>
      </c>
      <c r="X3361" t="s">
        <v>758</v>
      </c>
      <c r="Y3361" t="s">
        <v>138</v>
      </c>
      <c r="AA3361" t="s">
        <v>10974</v>
      </c>
      <c r="AB3361" t="s">
        <v>939</v>
      </c>
      <c r="AD3361" t="s">
        <v>11096</v>
      </c>
      <c r="AF3361" t="s">
        <v>11122</v>
      </c>
      <c r="AH3361" t="s">
        <v>10974</v>
      </c>
      <c r="AJ3361" t="s">
        <v>11141</v>
      </c>
      <c r="AK3361" t="s">
        <v>7225</v>
      </c>
      <c r="AM3361">
        <v>798.6</v>
      </c>
      <c r="AO3361">
        <v>61</v>
      </c>
      <c r="AQ3361" t="s">
        <v>11157</v>
      </c>
      <c r="AR3361" t="s">
        <v>11172</v>
      </c>
      <c r="AU3361">
        <v>25</v>
      </c>
      <c r="AW3361" t="s">
        <v>11187</v>
      </c>
      <c r="AZ3361" t="s">
        <v>11221</v>
      </c>
      <c r="BD3361" t="s">
        <v>11667</v>
      </c>
      <c r="BF3361" t="s">
        <v>14364</v>
      </c>
      <c r="BG3361" t="s">
        <v>15204</v>
      </c>
      <c r="BM3361" t="s">
        <v>15650</v>
      </c>
    </row>
    <row r="3362" spans="1:65">
      <c r="A3362" s="1">
        <f>HYPERLINK("https://lsnyc.legalserver.org/matter/dynamic-profile/view/1861962","18-1861962")</f>
        <v>0</v>
      </c>
      <c r="B3362" t="s">
        <v>193</v>
      </c>
      <c r="C3362" t="s">
        <v>246</v>
      </c>
      <c r="D3362" t="s">
        <v>308</v>
      </c>
      <c r="F3362" t="s">
        <v>2445</v>
      </c>
      <c r="G3362" t="s">
        <v>4262</v>
      </c>
      <c r="H3362" t="s">
        <v>5233</v>
      </c>
      <c r="I3362" t="s">
        <v>6433</v>
      </c>
      <c r="J3362" t="s">
        <v>7170</v>
      </c>
      <c r="K3362">
        <v>10453</v>
      </c>
      <c r="N3362" t="s">
        <v>7237</v>
      </c>
      <c r="O3362" t="s">
        <v>8821</v>
      </c>
      <c r="P3362">
        <v>1</v>
      </c>
      <c r="Q3362">
        <v>3</v>
      </c>
      <c r="R3362">
        <v>139.44</v>
      </c>
      <c r="U3362">
        <v>35000</v>
      </c>
      <c r="W3362">
        <v>1.2</v>
      </c>
      <c r="X3362" t="s">
        <v>465</v>
      </c>
      <c r="Y3362" t="s">
        <v>210</v>
      </c>
      <c r="AA3362" t="s">
        <v>10974</v>
      </c>
      <c r="AB3362" t="s">
        <v>1047</v>
      </c>
      <c r="AD3362" t="s">
        <v>11101</v>
      </c>
      <c r="AF3362" t="s">
        <v>11118</v>
      </c>
      <c r="AH3362" t="s">
        <v>10974</v>
      </c>
      <c r="AJ3362" t="s">
        <v>11130</v>
      </c>
      <c r="AK3362" t="s">
        <v>7225</v>
      </c>
      <c r="AM3362">
        <v>1150</v>
      </c>
      <c r="AO3362">
        <v>46</v>
      </c>
      <c r="AQ3362" t="s">
        <v>11157</v>
      </c>
      <c r="AS3362" t="s">
        <v>11180</v>
      </c>
      <c r="AU3362">
        <v>7</v>
      </c>
      <c r="AW3362" t="s">
        <v>11187</v>
      </c>
      <c r="AZ3362" t="s">
        <v>11221</v>
      </c>
      <c r="BB3362" t="s">
        <v>11224</v>
      </c>
      <c r="BC3362" t="s">
        <v>11534</v>
      </c>
      <c r="BE3362" t="s">
        <v>13639</v>
      </c>
      <c r="BG3362" t="s">
        <v>15209</v>
      </c>
      <c r="BM3362" t="s">
        <v>15650</v>
      </c>
    </row>
    <row r="3363" spans="1:65">
      <c r="A3363" s="1">
        <f>HYPERLINK("https://lsnyc.legalserver.org/matter/dynamic-profile/view/1854883","17-1854883")</f>
        <v>0</v>
      </c>
      <c r="B3363" t="s">
        <v>193</v>
      </c>
      <c r="C3363" t="s">
        <v>246</v>
      </c>
      <c r="D3363" t="s">
        <v>523</v>
      </c>
      <c r="F3363" t="s">
        <v>1307</v>
      </c>
      <c r="G3363" t="s">
        <v>3214</v>
      </c>
      <c r="H3363" t="s">
        <v>5917</v>
      </c>
      <c r="I3363" t="s">
        <v>6980</v>
      </c>
      <c r="J3363" t="s">
        <v>7170</v>
      </c>
      <c r="K3363">
        <v>10452</v>
      </c>
      <c r="N3363" t="s">
        <v>7237</v>
      </c>
      <c r="O3363" t="s">
        <v>9404</v>
      </c>
      <c r="P3363">
        <v>2</v>
      </c>
      <c r="Q3363">
        <v>0</v>
      </c>
      <c r="R3363">
        <v>140.78</v>
      </c>
      <c r="U3363">
        <v>22862.4</v>
      </c>
      <c r="W3363">
        <v>0.4</v>
      </c>
      <c r="X3363" t="s">
        <v>523</v>
      </c>
      <c r="Y3363" t="s">
        <v>210</v>
      </c>
      <c r="AA3363" t="s">
        <v>10974</v>
      </c>
      <c r="AB3363" t="s">
        <v>458</v>
      </c>
      <c r="AD3363" t="s">
        <v>11096</v>
      </c>
      <c r="AF3363" t="s">
        <v>11122</v>
      </c>
      <c r="AH3363" t="s">
        <v>10974</v>
      </c>
      <c r="AJ3363" t="s">
        <v>11141</v>
      </c>
      <c r="AK3363" t="s">
        <v>7225</v>
      </c>
      <c r="AM3363">
        <v>405</v>
      </c>
      <c r="AO3363">
        <v>62</v>
      </c>
      <c r="AQ3363" t="s">
        <v>11157</v>
      </c>
      <c r="AS3363" t="s">
        <v>11174</v>
      </c>
      <c r="AU3363">
        <v>19</v>
      </c>
      <c r="AW3363" t="s">
        <v>11187</v>
      </c>
      <c r="AZ3363" t="s">
        <v>11221</v>
      </c>
      <c r="BE3363" t="s">
        <v>13620</v>
      </c>
      <c r="BF3363" t="s">
        <v>14364</v>
      </c>
      <c r="BG3363" t="s">
        <v>15205</v>
      </c>
      <c r="BM3363" t="s">
        <v>15650</v>
      </c>
    </row>
    <row r="3364" spans="1:65">
      <c r="A3364" s="1">
        <f>HYPERLINK("https://lsnyc.legalserver.org/matter/dynamic-profile/view/1855239","18-1855239")</f>
        <v>0</v>
      </c>
      <c r="B3364" t="s">
        <v>193</v>
      </c>
      <c r="C3364" t="s">
        <v>246</v>
      </c>
      <c r="D3364" t="s">
        <v>997</v>
      </c>
      <c r="F3364" t="s">
        <v>1307</v>
      </c>
      <c r="G3364" t="s">
        <v>3214</v>
      </c>
      <c r="H3364" t="s">
        <v>5917</v>
      </c>
      <c r="I3364" t="s">
        <v>6980</v>
      </c>
      <c r="J3364" t="s">
        <v>7170</v>
      </c>
      <c r="K3364">
        <v>10452</v>
      </c>
      <c r="N3364" t="s">
        <v>7237</v>
      </c>
      <c r="O3364" t="s">
        <v>9404</v>
      </c>
      <c r="P3364">
        <v>2</v>
      </c>
      <c r="Q3364">
        <v>0</v>
      </c>
      <c r="R3364">
        <v>140.78</v>
      </c>
      <c r="U3364">
        <v>22862.4</v>
      </c>
      <c r="W3364">
        <v>0</v>
      </c>
      <c r="Y3364" t="s">
        <v>10899</v>
      </c>
      <c r="AA3364" t="s">
        <v>10974</v>
      </c>
      <c r="AB3364" t="s">
        <v>458</v>
      </c>
      <c r="AD3364" t="s">
        <v>11096</v>
      </c>
      <c r="AF3364" t="s">
        <v>11122</v>
      </c>
      <c r="AH3364" t="s">
        <v>10974</v>
      </c>
      <c r="AJ3364" t="s">
        <v>11141</v>
      </c>
      <c r="AK3364" t="s">
        <v>7225</v>
      </c>
      <c r="AM3364">
        <v>405</v>
      </c>
      <c r="AO3364">
        <v>62</v>
      </c>
      <c r="AQ3364" t="s">
        <v>11157</v>
      </c>
      <c r="AS3364" t="s">
        <v>11174</v>
      </c>
      <c r="AU3364">
        <v>19</v>
      </c>
      <c r="AW3364" t="s">
        <v>11187</v>
      </c>
      <c r="AZ3364" t="s">
        <v>11221</v>
      </c>
      <c r="BE3364" t="s">
        <v>13620</v>
      </c>
      <c r="BG3364" t="s">
        <v>15203</v>
      </c>
      <c r="BM3364" t="s">
        <v>15650</v>
      </c>
    </row>
    <row r="3365" spans="1:65">
      <c r="A3365" s="1">
        <f>HYPERLINK("https://lsnyc.legalserver.org/matter/dynamic-profile/view/0799254","16-0799254")</f>
        <v>0</v>
      </c>
      <c r="B3365" t="s">
        <v>193</v>
      </c>
      <c r="C3365" t="s">
        <v>246</v>
      </c>
      <c r="D3365" t="s">
        <v>996</v>
      </c>
      <c r="F3365" t="s">
        <v>2414</v>
      </c>
      <c r="G3365" t="s">
        <v>2985</v>
      </c>
      <c r="H3365" t="s">
        <v>5917</v>
      </c>
      <c r="I3365" t="s">
        <v>6591</v>
      </c>
      <c r="J3365" t="s">
        <v>7170</v>
      </c>
      <c r="K3365">
        <v>10452</v>
      </c>
      <c r="N3365" t="s">
        <v>7237</v>
      </c>
      <c r="O3365" t="s">
        <v>9400</v>
      </c>
      <c r="P3365">
        <v>3</v>
      </c>
      <c r="Q3365">
        <v>2</v>
      </c>
      <c r="R3365">
        <v>118.85</v>
      </c>
      <c r="U3365">
        <v>33800</v>
      </c>
      <c r="W3365">
        <v>0.75</v>
      </c>
      <c r="X3365" t="s">
        <v>758</v>
      </c>
      <c r="Y3365" t="s">
        <v>138</v>
      </c>
      <c r="AA3365" t="s">
        <v>10974</v>
      </c>
      <c r="AB3365" t="s">
        <v>10996</v>
      </c>
      <c r="AD3365" t="s">
        <v>11096</v>
      </c>
      <c r="AF3365" t="s">
        <v>11122</v>
      </c>
      <c r="AH3365" t="s">
        <v>10974</v>
      </c>
      <c r="AJ3365" t="s">
        <v>11141</v>
      </c>
      <c r="AK3365" t="s">
        <v>7225</v>
      </c>
      <c r="AM3365">
        <v>1310</v>
      </c>
      <c r="AO3365">
        <v>61</v>
      </c>
      <c r="AQ3365" t="s">
        <v>11157</v>
      </c>
      <c r="AS3365" t="s">
        <v>11173</v>
      </c>
      <c r="AU3365">
        <v>24</v>
      </c>
      <c r="AW3365" t="s">
        <v>11189</v>
      </c>
      <c r="AZ3365" t="s">
        <v>11221</v>
      </c>
      <c r="BE3365" t="s">
        <v>13615</v>
      </c>
      <c r="BF3365" t="s">
        <v>14364</v>
      </c>
      <c r="BG3365" t="s">
        <v>15204</v>
      </c>
      <c r="BM3365" t="s">
        <v>15650</v>
      </c>
    </row>
    <row r="3366" spans="1:65">
      <c r="A3366" s="1">
        <f>HYPERLINK("https://lsnyc.legalserver.org/matter/dynamic-profile/view/1898330","19-1898330")</f>
        <v>0</v>
      </c>
      <c r="B3366" t="s">
        <v>193</v>
      </c>
      <c r="C3366" t="s">
        <v>246</v>
      </c>
      <c r="D3366" t="s">
        <v>591</v>
      </c>
      <c r="F3366" t="s">
        <v>1738</v>
      </c>
      <c r="G3366" t="s">
        <v>4263</v>
      </c>
      <c r="H3366" t="s">
        <v>5916</v>
      </c>
      <c r="I3366" t="s">
        <v>6415</v>
      </c>
      <c r="J3366" t="s">
        <v>7170</v>
      </c>
      <c r="K3366">
        <v>10467</v>
      </c>
      <c r="N3366" t="s">
        <v>7237</v>
      </c>
      <c r="O3366" t="s">
        <v>9422</v>
      </c>
      <c r="P3366">
        <v>1</v>
      </c>
      <c r="Q3366">
        <v>0</v>
      </c>
      <c r="R3366">
        <v>340.27</v>
      </c>
      <c r="U3366">
        <v>42500</v>
      </c>
      <c r="V3366" t="s">
        <v>10565</v>
      </c>
      <c r="W3366">
        <v>0</v>
      </c>
      <c r="Y3366" t="s">
        <v>10865</v>
      </c>
      <c r="AA3366" t="s">
        <v>10974</v>
      </c>
      <c r="AD3366" t="s">
        <v>11098</v>
      </c>
      <c r="AF3366" t="s">
        <v>11122</v>
      </c>
      <c r="AH3366" t="s">
        <v>10974</v>
      </c>
      <c r="AJ3366" t="s">
        <v>11141</v>
      </c>
      <c r="AK3366" t="s">
        <v>7225</v>
      </c>
      <c r="AM3366">
        <v>752</v>
      </c>
      <c r="AO3366">
        <v>60</v>
      </c>
      <c r="AQ3366" t="s">
        <v>11157</v>
      </c>
      <c r="AS3366" t="s">
        <v>11173</v>
      </c>
      <c r="AU3366">
        <v>19</v>
      </c>
      <c r="AW3366" t="s">
        <v>11187</v>
      </c>
      <c r="AX3366" t="s">
        <v>11212</v>
      </c>
      <c r="BA3366" t="s">
        <v>11222</v>
      </c>
      <c r="BE3366" t="s">
        <v>13640</v>
      </c>
      <c r="BF3366" t="s">
        <v>14364</v>
      </c>
      <c r="BG3366" t="s">
        <v>15223</v>
      </c>
      <c r="BM3366" t="s">
        <v>15650</v>
      </c>
    </row>
    <row r="3367" spans="1:65">
      <c r="A3367" s="1">
        <f>HYPERLINK("https://lsnyc.legalserver.org/matter/dynamic-profile/view/1912775","19-1912775")</f>
        <v>0</v>
      </c>
      <c r="B3367" t="s">
        <v>193</v>
      </c>
      <c r="C3367" t="s">
        <v>246</v>
      </c>
      <c r="D3367" t="s">
        <v>316</v>
      </c>
      <c r="E3367" t="s">
        <v>614</v>
      </c>
      <c r="F3367" t="s">
        <v>1302</v>
      </c>
      <c r="G3367" t="s">
        <v>3642</v>
      </c>
      <c r="H3367" t="s">
        <v>5934</v>
      </c>
      <c r="I3367" t="s">
        <v>6436</v>
      </c>
      <c r="J3367" t="s">
        <v>7170</v>
      </c>
      <c r="K3367">
        <v>10456</v>
      </c>
      <c r="L3367" t="s">
        <v>7216</v>
      </c>
      <c r="N3367" t="s">
        <v>7237</v>
      </c>
      <c r="O3367" t="s">
        <v>9423</v>
      </c>
      <c r="P3367">
        <v>1</v>
      </c>
      <c r="Q3367">
        <v>0</v>
      </c>
      <c r="R3367">
        <v>57.65</v>
      </c>
      <c r="U3367">
        <v>7200</v>
      </c>
      <c r="W3367">
        <v>0.1</v>
      </c>
      <c r="X3367" t="s">
        <v>614</v>
      </c>
      <c r="Y3367" t="s">
        <v>10865</v>
      </c>
      <c r="AA3367" t="s">
        <v>10974</v>
      </c>
      <c r="AD3367" t="s">
        <v>11082</v>
      </c>
      <c r="AF3367" t="s">
        <v>11119</v>
      </c>
      <c r="AH3367" t="s">
        <v>10975</v>
      </c>
      <c r="AJ3367" t="s">
        <v>11141</v>
      </c>
      <c r="AK3367" t="s">
        <v>7225</v>
      </c>
      <c r="AM3367">
        <v>928.11</v>
      </c>
      <c r="AO3367">
        <v>45</v>
      </c>
      <c r="AP3367" t="s">
        <v>11155</v>
      </c>
      <c r="AS3367" t="s">
        <v>11173</v>
      </c>
      <c r="AU3367">
        <v>17</v>
      </c>
      <c r="AW3367" t="s">
        <v>11187</v>
      </c>
      <c r="AX3367" t="s">
        <v>11212</v>
      </c>
      <c r="BA3367" t="s">
        <v>11222</v>
      </c>
      <c r="BE3367" t="s">
        <v>13641</v>
      </c>
      <c r="BF3367" t="s">
        <v>14364</v>
      </c>
      <c r="BG3367" t="s">
        <v>15224</v>
      </c>
      <c r="BM3367" t="s">
        <v>15651</v>
      </c>
    </row>
    <row r="3368" spans="1:65">
      <c r="A3368" s="1">
        <f>HYPERLINK("https://lsnyc.legalserver.org/matter/dynamic-profile/view/1860866","18-1860866")</f>
        <v>0</v>
      </c>
      <c r="B3368" t="s">
        <v>193</v>
      </c>
      <c r="C3368" t="s">
        <v>246</v>
      </c>
      <c r="D3368" t="s">
        <v>944</v>
      </c>
      <c r="F3368" t="s">
        <v>1139</v>
      </c>
      <c r="G3368" t="s">
        <v>3226</v>
      </c>
      <c r="H3368" t="s">
        <v>5233</v>
      </c>
      <c r="I3368" t="s">
        <v>6785</v>
      </c>
      <c r="J3368" t="s">
        <v>7170</v>
      </c>
      <c r="K3368">
        <v>10453</v>
      </c>
      <c r="N3368" t="s">
        <v>7237</v>
      </c>
      <c r="O3368" t="s">
        <v>9424</v>
      </c>
      <c r="P3368">
        <v>2</v>
      </c>
      <c r="Q3368">
        <v>3</v>
      </c>
      <c r="R3368">
        <v>81.58</v>
      </c>
      <c r="U3368">
        <v>34092</v>
      </c>
      <c r="W3368">
        <v>1.6</v>
      </c>
      <c r="X3368" t="s">
        <v>412</v>
      </c>
      <c r="Y3368" t="s">
        <v>210</v>
      </c>
      <c r="AA3368" t="s">
        <v>10974</v>
      </c>
      <c r="AB3368" t="s">
        <v>1047</v>
      </c>
      <c r="AD3368" t="s">
        <v>11101</v>
      </c>
      <c r="AF3368" t="s">
        <v>11118</v>
      </c>
      <c r="AH3368" t="s">
        <v>10974</v>
      </c>
      <c r="AJ3368" t="s">
        <v>11130</v>
      </c>
      <c r="AK3368" t="s">
        <v>7225</v>
      </c>
      <c r="AM3368">
        <v>1000</v>
      </c>
      <c r="AO3368">
        <v>46</v>
      </c>
      <c r="AQ3368" t="s">
        <v>11157</v>
      </c>
      <c r="AS3368" t="s">
        <v>11180</v>
      </c>
      <c r="AU3368">
        <v>11</v>
      </c>
      <c r="AW3368" t="s">
        <v>11187</v>
      </c>
      <c r="AZ3368" t="s">
        <v>11221</v>
      </c>
      <c r="BB3368" t="s">
        <v>11224</v>
      </c>
      <c r="BC3368" t="s">
        <v>11535</v>
      </c>
      <c r="BE3368" t="s">
        <v>13642</v>
      </c>
      <c r="BG3368" t="s">
        <v>15209</v>
      </c>
      <c r="BM3368" t="s">
        <v>15650</v>
      </c>
    </row>
    <row r="3369" spans="1:65">
      <c r="A3369" s="1">
        <f>HYPERLINK("https://lsnyc.legalserver.org/matter/dynamic-profile/view/0817058","16-0817058")</f>
        <v>0</v>
      </c>
      <c r="B3369" t="s">
        <v>193</v>
      </c>
      <c r="C3369" t="s">
        <v>246</v>
      </c>
      <c r="D3369" t="s">
        <v>994</v>
      </c>
      <c r="F3369" t="s">
        <v>2447</v>
      </c>
      <c r="G3369" t="s">
        <v>2885</v>
      </c>
      <c r="H3369" t="s">
        <v>5917</v>
      </c>
      <c r="I3369" t="s">
        <v>6424</v>
      </c>
      <c r="J3369" t="s">
        <v>7170</v>
      </c>
      <c r="K3369">
        <v>10452</v>
      </c>
      <c r="N3369" t="s">
        <v>7237</v>
      </c>
      <c r="O3369" t="s">
        <v>9425</v>
      </c>
      <c r="P3369">
        <v>2</v>
      </c>
      <c r="Q3369">
        <v>3</v>
      </c>
      <c r="R3369">
        <v>64.41</v>
      </c>
      <c r="U3369">
        <v>18317.52</v>
      </c>
      <c r="W3369">
        <v>0.8</v>
      </c>
      <c r="X3369" t="s">
        <v>458</v>
      </c>
      <c r="Y3369" t="s">
        <v>10899</v>
      </c>
      <c r="AA3369" t="s">
        <v>10974</v>
      </c>
      <c r="AB3369" t="s">
        <v>838</v>
      </c>
      <c r="AD3369" t="s">
        <v>11096</v>
      </c>
      <c r="AF3369" t="s">
        <v>11122</v>
      </c>
      <c r="AH3369" t="s">
        <v>10974</v>
      </c>
      <c r="AJ3369" t="s">
        <v>11141</v>
      </c>
      <c r="AK3369" t="s">
        <v>7225</v>
      </c>
      <c r="AM3369">
        <v>2006</v>
      </c>
      <c r="AO3369">
        <v>62</v>
      </c>
      <c r="AQ3369" t="s">
        <v>11157</v>
      </c>
      <c r="AS3369" t="s">
        <v>11174</v>
      </c>
      <c r="AU3369">
        <v>3</v>
      </c>
      <c r="AW3369" t="s">
        <v>11187</v>
      </c>
      <c r="AZ3369" t="s">
        <v>11221</v>
      </c>
      <c r="BE3369" t="s">
        <v>13643</v>
      </c>
      <c r="BG3369" t="s">
        <v>15206</v>
      </c>
      <c r="BM3369" t="s">
        <v>15650</v>
      </c>
    </row>
    <row r="3370" spans="1:65">
      <c r="A3370" s="1">
        <f>HYPERLINK("https://lsnyc.legalserver.org/matter/dynamic-profile/view/0820488","16-0820488")</f>
        <v>0</v>
      </c>
      <c r="B3370" t="s">
        <v>193</v>
      </c>
      <c r="C3370" t="s">
        <v>246</v>
      </c>
      <c r="D3370" t="s">
        <v>979</v>
      </c>
      <c r="F3370" t="s">
        <v>2448</v>
      </c>
      <c r="G3370" t="s">
        <v>2880</v>
      </c>
      <c r="H3370" t="s">
        <v>4975</v>
      </c>
      <c r="I3370" t="s">
        <v>6982</v>
      </c>
      <c r="J3370" t="s">
        <v>7170</v>
      </c>
      <c r="K3370">
        <v>10452</v>
      </c>
      <c r="N3370" t="s">
        <v>7237</v>
      </c>
      <c r="O3370" t="s">
        <v>9426</v>
      </c>
      <c r="P3370">
        <v>1</v>
      </c>
      <c r="Q3370">
        <v>1</v>
      </c>
      <c r="R3370">
        <v>116.85</v>
      </c>
      <c r="U3370">
        <v>18720</v>
      </c>
      <c r="W3370">
        <v>0.1</v>
      </c>
      <c r="X3370" t="s">
        <v>10254</v>
      </c>
      <c r="Y3370" t="s">
        <v>10899</v>
      </c>
      <c r="AA3370" t="s">
        <v>10974</v>
      </c>
      <c r="AB3370" t="s">
        <v>11064</v>
      </c>
      <c r="AD3370" t="s">
        <v>11085</v>
      </c>
      <c r="AF3370" t="s">
        <v>11118</v>
      </c>
      <c r="AH3370" t="s">
        <v>10974</v>
      </c>
      <c r="AJ3370" t="s">
        <v>11130</v>
      </c>
      <c r="AK3370" t="s">
        <v>7225</v>
      </c>
      <c r="AM3370">
        <v>1131.18</v>
      </c>
      <c r="AO3370">
        <v>130</v>
      </c>
      <c r="AQ3370" t="s">
        <v>11157</v>
      </c>
      <c r="AR3370" t="s">
        <v>11172</v>
      </c>
      <c r="AU3370">
        <v>3</v>
      </c>
      <c r="AW3370" t="s">
        <v>11189</v>
      </c>
      <c r="AZ3370" t="s">
        <v>11221</v>
      </c>
      <c r="BE3370" t="s">
        <v>13644</v>
      </c>
      <c r="BF3370" t="s">
        <v>14364</v>
      </c>
      <c r="BM3370" t="s">
        <v>15650</v>
      </c>
    </row>
    <row r="3371" spans="1:65">
      <c r="A3371" s="1">
        <f>HYPERLINK("https://lsnyc.legalserver.org/matter/dynamic-profile/view/0799050","16-0799050")</f>
        <v>0</v>
      </c>
      <c r="B3371" t="s">
        <v>193</v>
      </c>
      <c r="C3371" t="s">
        <v>246</v>
      </c>
      <c r="D3371" t="s">
        <v>996</v>
      </c>
      <c r="F3371" t="s">
        <v>1475</v>
      </c>
      <c r="G3371" t="s">
        <v>3483</v>
      </c>
      <c r="H3371" t="s">
        <v>5917</v>
      </c>
      <c r="I3371" t="s">
        <v>6611</v>
      </c>
      <c r="J3371" t="s">
        <v>7170</v>
      </c>
      <c r="K3371">
        <v>10452</v>
      </c>
      <c r="N3371" t="s">
        <v>7237</v>
      </c>
      <c r="O3371" t="s">
        <v>9395</v>
      </c>
      <c r="P3371">
        <v>2</v>
      </c>
      <c r="Q3371">
        <v>2</v>
      </c>
      <c r="R3371">
        <v>59.75</v>
      </c>
      <c r="U3371">
        <v>14520</v>
      </c>
      <c r="W3371">
        <v>0.5</v>
      </c>
      <c r="X3371" t="s">
        <v>758</v>
      </c>
      <c r="Y3371" t="s">
        <v>138</v>
      </c>
      <c r="AA3371" t="s">
        <v>10974</v>
      </c>
      <c r="AB3371" t="s">
        <v>999</v>
      </c>
      <c r="AD3371" t="s">
        <v>11096</v>
      </c>
      <c r="AF3371" t="s">
        <v>11122</v>
      </c>
      <c r="AH3371" t="s">
        <v>10974</v>
      </c>
      <c r="AJ3371" t="s">
        <v>11141</v>
      </c>
      <c r="AK3371" t="s">
        <v>7225</v>
      </c>
      <c r="AM3371">
        <v>854.7</v>
      </c>
      <c r="AO3371">
        <v>61</v>
      </c>
      <c r="AQ3371" t="s">
        <v>11157</v>
      </c>
      <c r="AS3371" t="s">
        <v>11173</v>
      </c>
      <c r="AU3371">
        <v>20</v>
      </c>
      <c r="AW3371" t="s">
        <v>11187</v>
      </c>
      <c r="AZ3371" t="s">
        <v>11221</v>
      </c>
      <c r="BE3371" t="s">
        <v>13610</v>
      </c>
      <c r="BF3371" t="s">
        <v>14364</v>
      </c>
      <c r="BG3371" t="s">
        <v>15204</v>
      </c>
      <c r="BM3371" t="s">
        <v>15650</v>
      </c>
    </row>
    <row r="3372" spans="1:65">
      <c r="A3372" s="1">
        <f>HYPERLINK("https://lsnyc.legalserver.org/matter/dynamic-profile/view/0799014","16-0799014")</f>
        <v>0</v>
      </c>
      <c r="B3372" t="s">
        <v>193</v>
      </c>
      <c r="C3372" t="s">
        <v>246</v>
      </c>
      <c r="D3372" t="s">
        <v>996</v>
      </c>
      <c r="F3372" t="s">
        <v>2447</v>
      </c>
      <c r="G3372" t="s">
        <v>2885</v>
      </c>
      <c r="H3372" t="s">
        <v>5917</v>
      </c>
      <c r="I3372" t="s">
        <v>6424</v>
      </c>
      <c r="J3372" t="s">
        <v>7170</v>
      </c>
      <c r="K3372">
        <v>10452</v>
      </c>
      <c r="N3372" t="s">
        <v>7237</v>
      </c>
      <c r="O3372" t="s">
        <v>9425</v>
      </c>
      <c r="P3372">
        <v>2</v>
      </c>
      <c r="Q3372">
        <v>3</v>
      </c>
      <c r="R3372">
        <v>64.41</v>
      </c>
      <c r="U3372">
        <v>18317.52</v>
      </c>
      <c r="W3372">
        <v>0.6</v>
      </c>
      <c r="X3372" t="s">
        <v>458</v>
      </c>
      <c r="Y3372" t="s">
        <v>138</v>
      </c>
      <c r="AA3372" t="s">
        <v>10974</v>
      </c>
      <c r="AB3372" t="s">
        <v>999</v>
      </c>
      <c r="AD3372" t="s">
        <v>11096</v>
      </c>
      <c r="AF3372" t="s">
        <v>11122</v>
      </c>
      <c r="AH3372" t="s">
        <v>10974</v>
      </c>
      <c r="AJ3372" t="s">
        <v>11141</v>
      </c>
      <c r="AK3372" t="s">
        <v>7225</v>
      </c>
      <c r="AM3372">
        <v>2006</v>
      </c>
      <c r="AO3372">
        <v>61</v>
      </c>
      <c r="AQ3372" t="s">
        <v>11157</v>
      </c>
      <c r="AS3372" t="s">
        <v>11174</v>
      </c>
      <c r="AU3372">
        <v>3</v>
      </c>
      <c r="AW3372" t="s">
        <v>11187</v>
      </c>
      <c r="AZ3372" t="s">
        <v>11221</v>
      </c>
      <c r="BE3372" t="s">
        <v>13643</v>
      </c>
      <c r="BF3372" t="s">
        <v>14364</v>
      </c>
      <c r="BG3372" t="s">
        <v>15204</v>
      </c>
      <c r="BM3372" t="s">
        <v>15650</v>
      </c>
    </row>
    <row r="3373" spans="1:65">
      <c r="A3373" s="1">
        <f>HYPERLINK("https://lsnyc.legalserver.org/matter/dynamic-profile/view/1860883","18-1860883")</f>
        <v>0</v>
      </c>
      <c r="B3373" t="s">
        <v>193</v>
      </c>
      <c r="C3373" t="s">
        <v>246</v>
      </c>
      <c r="D3373" t="s">
        <v>944</v>
      </c>
      <c r="F3373" t="s">
        <v>1632</v>
      </c>
      <c r="G3373" t="s">
        <v>3520</v>
      </c>
      <c r="H3373" t="s">
        <v>5233</v>
      </c>
      <c r="I3373" t="s">
        <v>6761</v>
      </c>
      <c r="J3373" t="s">
        <v>7170</v>
      </c>
      <c r="K3373">
        <v>10453</v>
      </c>
      <c r="N3373" t="s">
        <v>7237</v>
      </c>
      <c r="O3373" t="s">
        <v>9406</v>
      </c>
      <c r="P3373">
        <v>2</v>
      </c>
      <c r="Q3373">
        <v>1</v>
      </c>
      <c r="R3373">
        <v>168.43</v>
      </c>
      <c r="U3373">
        <v>35000</v>
      </c>
      <c r="W3373">
        <v>2.3</v>
      </c>
      <c r="X3373" t="s">
        <v>872</v>
      </c>
      <c r="Y3373" t="s">
        <v>210</v>
      </c>
      <c r="AA3373" t="s">
        <v>10974</v>
      </c>
      <c r="AB3373" t="s">
        <v>1047</v>
      </c>
      <c r="AD3373" t="s">
        <v>11101</v>
      </c>
      <c r="AF3373" t="s">
        <v>11118</v>
      </c>
      <c r="AH3373" t="s">
        <v>10974</v>
      </c>
      <c r="AJ3373" t="s">
        <v>11130</v>
      </c>
      <c r="AK3373" t="s">
        <v>7225</v>
      </c>
      <c r="AM3373">
        <v>1941</v>
      </c>
      <c r="AO3373">
        <v>46</v>
      </c>
      <c r="AQ3373" t="s">
        <v>11157</v>
      </c>
      <c r="AS3373" t="s">
        <v>11174</v>
      </c>
      <c r="AU3373">
        <v>7</v>
      </c>
      <c r="AW3373" t="s">
        <v>11187</v>
      </c>
      <c r="AZ3373" t="s">
        <v>11221</v>
      </c>
      <c r="BE3373" t="s">
        <v>13622</v>
      </c>
      <c r="BG3373" t="s">
        <v>15209</v>
      </c>
      <c r="BM3373" t="s">
        <v>15650</v>
      </c>
    </row>
    <row r="3374" spans="1:65">
      <c r="A3374" s="1">
        <f>HYPERLINK("https://lsnyc.legalserver.org/matter/dynamic-profile/view/0822605","16-0822605")</f>
        <v>0</v>
      </c>
      <c r="B3374" t="s">
        <v>193</v>
      </c>
      <c r="C3374" t="s">
        <v>246</v>
      </c>
      <c r="D3374" t="s">
        <v>980</v>
      </c>
      <c r="F3374" t="s">
        <v>1475</v>
      </c>
      <c r="G3374" t="s">
        <v>3483</v>
      </c>
      <c r="H3374" t="s">
        <v>5917</v>
      </c>
      <c r="I3374" t="s">
        <v>6611</v>
      </c>
      <c r="J3374" t="s">
        <v>7170</v>
      </c>
      <c r="K3374">
        <v>10452</v>
      </c>
      <c r="N3374" t="s">
        <v>7237</v>
      </c>
      <c r="O3374" t="s">
        <v>9395</v>
      </c>
      <c r="P3374">
        <v>2</v>
      </c>
      <c r="Q3374">
        <v>2</v>
      </c>
      <c r="R3374">
        <v>59.75</v>
      </c>
      <c r="U3374">
        <v>14520</v>
      </c>
      <c r="W3374">
        <v>0.3</v>
      </c>
      <c r="X3374" t="s">
        <v>758</v>
      </c>
      <c r="Y3374" t="s">
        <v>10899</v>
      </c>
      <c r="AA3374" t="s">
        <v>10974</v>
      </c>
      <c r="AB3374" t="s">
        <v>980</v>
      </c>
      <c r="AD3374" t="s">
        <v>11096</v>
      </c>
      <c r="AF3374" t="s">
        <v>11122</v>
      </c>
      <c r="AH3374" t="s">
        <v>10974</v>
      </c>
      <c r="AJ3374" t="s">
        <v>11141</v>
      </c>
      <c r="AK3374" t="s">
        <v>7225</v>
      </c>
      <c r="AM3374">
        <v>854.7</v>
      </c>
      <c r="AO3374">
        <v>62</v>
      </c>
      <c r="AQ3374" t="s">
        <v>11157</v>
      </c>
      <c r="AS3374" t="s">
        <v>11173</v>
      </c>
      <c r="AU3374">
        <v>20</v>
      </c>
      <c r="AW3374" t="s">
        <v>11187</v>
      </c>
      <c r="AZ3374" t="s">
        <v>11221</v>
      </c>
      <c r="BE3374" t="s">
        <v>13610</v>
      </c>
      <c r="BG3374" t="s">
        <v>15202</v>
      </c>
      <c r="BM3374" t="s">
        <v>15650</v>
      </c>
    </row>
    <row r="3375" spans="1:65">
      <c r="A3375" s="1">
        <f>HYPERLINK("https://lsnyc.legalserver.org/matter/dynamic-profile/view/1854343","17-1854343")</f>
        <v>0</v>
      </c>
      <c r="B3375" t="s">
        <v>193</v>
      </c>
      <c r="C3375" t="s">
        <v>246</v>
      </c>
      <c r="D3375" t="s">
        <v>985</v>
      </c>
      <c r="F3375" t="s">
        <v>1766</v>
      </c>
      <c r="G3375" t="s">
        <v>4264</v>
      </c>
      <c r="H3375" t="s">
        <v>5917</v>
      </c>
      <c r="I3375" t="s">
        <v>6573</v>
      </c>
      <c r="J3375" t="s">
        <v>7170</v>
      </c>
      <c r="K3375">
        <v>10452</v>
      </c>
      <c r="N3375" t="s">
        <v>7237</v>
      </c>
      <c r="O3375" t="s">
        <v>9427</v>
      </c>
      <c r="P3375">
        <v>2</v>
      </c>
      <c r="Q3375">
        <v>0</v>
      </c>
      <c r="R3375">
        <v>167.88</v>
      </c>
      <c r="U3375">
        <v>35664</v>
      </c>
      <c r="W3375">
        <v>0.9</v>
      </c>
      <c r="X3375" t="s">
        <v>758</v>
      </c>
      <c r="Y3375" t="s">
        <v>210</v>
      </c>
      <c r="AA3375" t="s">
        <v>10974</v>
      </c>
      <c r="AB3375" t="s">
        <v>458</v>
      </c>
      <c r="AD3375" t="s">
        <v>11096</v>
      </c>
      <c r="AF3375" t="s">
        <v>11122</v>
      </c>
      <c r="AH3375" t="s">
        <v>10974</v>
      </c>
      <c r="AJ3375" t="s">
        <v>11141</v>
      </c>
      <c r="AK3375" t="s">
        <v>7225</v>
      </c>
      <c r="AM3375">
        <v>789.7</v>
      </c>
      <c r="AO3375">
        <v>62</v>
      </c>
      <c r="AQ3375" t="s">
        <v>11157</v>
      </c>
      <c r="AS3375" t="s">
        <v>11173</v>
      </c>
      <c r="AU3375">
        <v>39</v>
      </c>
      <c r="AW3375" t="s">
        <v>11189</v>
      </c>
      <c r="AZ3375" t="s">
        <v>11221</v>
      </c>
      <c r="BE3375" t="s">
        <v>13645</v>
      </c>
      <c r="BF3375" t="s">
        <v>14364</v>
      </c>
      <c r="BG3375" t="s">
        <v>15205</v>
      </c>
      <c r="BM3375" t="s">
        <v>15650</v>
      </c>
    </row>
    <row r="3376" spans="1:65">
      <c r="A3376" s="1">
        <f>HYPERLINK("https://lsnyc.legalserver.org/matter/dynamic-profile/view/1833998","17-1833998")</f>
        <v>0</v>
      </c>
      <c r="B3376" t="s">
        <v>193</v>
      </c>
      <c r="C3376" t="s">
        <v>246</v>
      </c>
      <c r="D3376" t="s">
        <v>988</v>
      </c>
      <c r="F3376" t="s">
        <v>2433</v>
      </c>
      <c r="G3376" t="s">
        <v>3385</v>
      </c>
      <c r="H3376" t="s">
        <v>4975</v>
      </c>
      <c r="J3376" t="s">
        <v>7170</v>
      </c>
      <c r="K3376">
        <v>10452</v>
      </c>
      <c r="N3376" t="s">
        <v>7237</v>
      </c>
      <c r="O3376" t="s">
        <v>9390</v>
      </c>
      <c r="P3376">
        <v>1</v>
      </c>
      <c r="Q3376">
        <v>1</v>
      </c>
      <c r="R3376">
        <v>169.95</v>
      </c>
      <c r="U3376">
        <v>27600</v>
      </c>
      <c r="W3376">
        <v>0</v>
      </c>
      <c r="Y3376" t="s">
        <v>10899</v>
      </c>
      <c r="AA3376" t="s">
        <v>10974</v>
      </c>
      <c r="AB3376" t="s">
        <v>694</v>
      </c>
      <c r="AD3376" t="s">
        <v>11085</v>
      </c>
      <c r="AF3376" t="s">
        <v>11118</v>
      </c>
      <c r="AH3376" t="s">
        <v>10974</v>
      </c>
      <c r="AJ3376" t="s">
        <v>11141</v>
      </c>
      <c r="AK3376" t="s">
        <v>7225</v>
      </c>
      <c r="AM3376">
        <v>896.3099999999999</v>
      </c>
      <c r="AN3376" t="s">
        <v>11151</v>
      </c>
      <c r="AO3376" t="s">
        <v>11153</v>
      </c>
      <c r="AQ3376" t="s">
        <v>11157</v>
      </c>
      <c r="AS3376" t="s">
        <v>11173</v>
      </c>
      <c r="AU3376">
        <v>5</v>
      </c>
      <c r="AW3376" t="s">
        <v>11187</v>
      </c>
      <c r="AZ3376" t="s">
        <v>11221</v>
      </c>
      <c r="BC3376" t="s">
        <v>11528</v>
      </c>
      <c r="BE3376" t="s">
        <v>13606</v>
      </c>
      <c r="BG3376" t="s">
        <v>14477</v>
      </c>
      <c r="BM3376" t="s">
        <v>15650</v>
      </c>
    </row>
    <row r="3377" spans="1:65">
      <c r="A3377" s="1">
        <f>HYPERLINK("https://lsnyc.legalserver.org/matter/dynamic-profile/view/1854975","18-1854975")</f>
        <v>0</v>
      </c>
      <c r="B3377" t="s">
        <v>193</v>
      </c>
      <c r="C3377" t="s">
        <v>246</v>
      </c>
      <c r="D3377" t="s">
        <v>360</v>
      </c>
      <c r="F3377" t="s">
        <v>2447</v>
      </c>
      <c r="G3377" t="s">
        <v>2885</v>
      </c>
      <c r="H3377" t="s">
        <v>5917</v>
      </c>
      <c r="I3377" t="s">
        <v>6424</v>
      </c>
      <c r="J3377" t="s">
        <v>7170</v>
      </c>
      <c r="K3377">
        <v>10452</v>
      </c>
      <c r="N3377" t="s">
        <v>7237</v>
      </c>
      <c r="O3377" t="s">
        <v>9425</v>
      </c>
      <c r="P3377">
        <v>2</v>
      </c>
      <c r="Q3377">
        <v>3</v>
      </c>
      <c r="R3377">
        <v>63.65</v>
      </c>
      <c r="U3377">
        <v>18317.52</v>
      </c>
      <c r="W3377">
        <v>0</v>
      </c>
      <c r="Y3377" t="s">
        <v>10899</v>
      </c>
      <c r="AA3377" t="s">
        <v>10974</v>
      </c>
      <c r="AB3377" t="s">
        <v>458</v>
      </c>
      <c r="AD3377" t="s">
        <v>11096</v>
      </c>
      <c r="AF3377" t="s">
        <v>11122</v>
      </c>
      <c r="AH3377" t="s">
        <v>10974</v>
      </c>
      <c r="AJ3377" t="s">
        <v>11141</v>
      </c>
      <c r="AK3377" t="s">
        <v>7225</v>
      </c>
      <c r="AM3377">
        <v>2006</v>
      </c>
      <c r="AO3377">
        <v>62</v>
      </c>
      <c r="AQ3377" t="s">
        <v>11157</v>
      </c>
      <c r="AS3377" t="s">
        <v>11174</v>
      </c>
      <c r="AU3377">
        <v>3</v>
      </c>
      <c r="AW3377" t="s">
        <v>11187</v>
      </c>
      <c r="AZ3377" t="s">
        <v>11221</v>
      </c>
      <c r="BE3377" t="s">
        <v>13643</v>
      </c>
      <c r="BG3377" t="s">
        <v>15203</v>
      </c>
      <c r="BM3377" t="s">
        <v>15650</v>
      </c>
    </row>
    <row r="3378" spans="1:65">
      <c r="A3378" s="1">
        <f>HYPERLINK("https://lsnyc.legalserver.org/matter/dynamic-profile/view/1854880","17-1854880")</f>
        <v>0</v>
      </c>
      <c r="B3378" t="s">
        <v>193</v>
      </c>
      <c r="C3378" t="s">
        <v>246</v>
      </c>
      <c r="D3378" t="s">
        <v>523</v>
      </c>
      <c r="F3378" t="s">
        <v>2447</v>
      </c>
      <c r="G3378" t="s">
        <v>2885</v>
      </c>
      <c r="H3378" t="s">
        <v>5917</v>
      </c>
      <c r="I3378" t="s">
        <v>6424</v>
      </c>
      <c r="J3378" t="s">
        <v>7170</v>
      </c>
      <c r="K3378">
        <v>10452</v>
      </c>
      <c r="N3378" t="s">
        <v>7237</v>
      </c>
      <c r="O3378" t="s">
        <v>9425</v>
      </c>
      <c r="P3378">
        <v>2</v>
      </c>
      <c r="Q3378">
        <v>3</v>
      </c>
      <c r="R3378">
        <v>63.65</v>
      </c>
      <c r="U3378">
        <v>18317.52</v>
      </c>
      <c r="W3378">
        <v>0.4</v>
      </c>
      <c r="X3378" t="s">
        <v>523</v>
      </c>
      <c r="Y3378" t="s">
        <v>210</v>
      </c>
      <c r="AA3378" t="s">
        <v>10974</v>
      </c>
      <c r="AB3378" t="s">
        <v>458</v>
      </c>
      <c r="AD3378" t="s">
        <v>11096</v>
      </c>
      <c r="AF3378" t="s">
        <v>11122</v>
      </c>
      <c r="AH3378" t="s">
        <v>10974</v>
      </c>
      <c r="AJ3378" t="s">
        <v>11141</v>
      </c>
      <c r="AK3378" t="s">
        <v>7225</v>
      </c>
      <c r="AM3378">
        <v>2006</v>
      </c>
      <c r="AO3378">
        <v>62</v>
      </c>
      <c r="AQ3378" t="s">
        <v>11157</v>
      </c>
      <c r="AS3378" t="s">
        <v>11174</v>
      </c>
      <c r="AU3378">
        <v>3</v>
      </c>
      <c r="AW3378" t="s">
        <v>11187</v>
      </c>
      <c r="AZ3378" t="s">
        <v>11221</v>
      </c>
      <c r="BE3378" t="s">
        <v>13643</v>
      </c>
      <c r="BF3378" t="s">
        <v>14364</v>
      </c>
      <c r="BG3378" t="s">
        <v>15205</v>
      </c>
      <c r="BM3378" t="s">
        <v>15650</v>
      </c>
    </row>
    <row r="3379" spans="1:65">
      <c r="A3379" s="1">
        <f>HYPERLINK("https://lsnyc.legalserver.org/matter/dynamic-profile/view/0826082","17-0826082")</f>
        <v>0</v>
      </c>
      <c r="B3379" t="s">
        <v>193</v>
      </c>
      <c r="C3379" t="s">
        <v>246</v>
      </c>
      <c r="D3379" t="s">
        <v>623</v>
      </c>
      <c r="F3379" t="s">
        <v>2449</v>
      </c>
      <c r="G3379" t="s">
        <v>4265</v>
      </c>
      <c r="H3379" t="s">
        <v>4975</v>
      </c>
      <c r="I3379" t="s">
        <v>6514</v>
      </c>
      <c r="J3379" t="s">
        <v>7170</v>
      </c>
      <c r="K3379">
        <v>10452</v>
      </c>
      <c r="N3379" t="s">
        <v>7237</v>
      </c>
      <c r="O3379" t="s">
        <v>9428</v>
      </c>
      <c r="P3379">
        <v>1</v>
      </c>
      <c r="Q3379">
        <v>0</v>
      </c>
      <c r="R3379">
        <v>220.13</v>
      </c>
      <c r="U3379">
        <v>26152</v>
      </c>
      <c r="W3379">
        <v>6.3</v>
      </c>
      <c r="X3379" t="s">
        <v>435</v>
      </c>
      <c r="Y3379" t="s">
        <v>10899</v>
      </c>
      <c r="AA3379" t="s">
        <v>10974</v>
      </c>
      <c r="AB3379" t="s">
        <v>11013</v>
      </c>
      <c r="AD3379" t="s">
        <v>11109</v>
      </c>
      <c r="AF3379" t="s">
        <v>11121</v>
      </c>
      <c r="AH3379" t="s">
        <v>10974</v>
      </c>
      <c r="AI3379" t="s">
        <v>11126</v>
      </c>
      <c r="AK3379" t="s">
        <v>7225</v>
      </c>
      <c r="AL3379" t="s">
        <v>11150</v>
      </c>
      <c r="AM3379">
        <v>0</v>
      </c>
      <c r="AO3379">
        <v>130</v>
      </c>
      <c r="AQ3379" t="s">
        <v>11157</v>
      </c>
      <c r="AS3379" t="s">
        <v>11174</v>
      </c>
      <c r="AU3379">
        <v>9</v>
      </c>
      <c r="AW3379" t="s">
        <v>11187</v>
      </c>
      <c r="AZ3379" t="s">
        <v>11221</v>
      </c>
      <c r="BE3379" t="s">
        <v>13646</v>
      </c>
      <c r="BF3379" t="s">
        <v>14364</v>
      </c>
      <c r="BM3379" t="s">
        <v>15650</v>
      </c>
    </row>
    <row r="3380" spans="1:65">
      <c r="A3380" s="1">
        <f>HYPERLINK("https://lsnyc.legalserver.org/matter/dynamic-profile/view/0797447","16-0797447")</f>
        <v>0</v>
      </c>
      <c r="B3380" t="s">
        <v>193</v>
      </c>
      <c r="C3380" t="s">
        <v>246</v>
      </c>
      <c r="D3380" t="s">
        <v>707</v>
      </c>
      <c r="F3380" t="s">
        <v>1759</v>
      </c>
      <c r="G3380" t="s">
        <v>4266</v>
      </c>
      <c r="H3380" t="s">
        <v>5233</v>
      </c>
      <c r="I3380" t="s">
        <v>6983</v>
      </c>
      <c r="J3380" t="s">
        <v>7170</v>
      </c>
      <c r="K3380">
        <v>10453</v>
      </c>
      <c r="N3380" t="s">
        <v>7237</v>
      </c>
      <c r="O3380" t="s">
        <v>9429</v>
      </c>
      <c r="P3380">
        <v>1</v>
      </c>
      <c r="Q3380">
        <v>1</v>
      </c>
      <c r="R3380">
        <v>62.42</v>
      </c>
      <c r="U3380">
        <v>10000</v>
      </c>
      <c r="W3380">
        <v>0</v>
      </c>
      <c r="Y3380" t="s">
        <v>138</v>
      </c>
      <c r="AA3380" t="s">
        <v>10974</v>
      </c>
      <c r="AB3380" t="s">
        <v>791</v>
      </c>
      <c r="AD3380" t="s">
        <v>11107</v>
      </c>
      <c r="AF3380" t="s">
        <v>11118</v>
      </c>
      <c r="AH3380" t="s">
        <v>10974</v>
      </c>
      <c r="AJ3380" t="s">
        <v>11141</v>
      </c>
      <c r="AK3380" t="s">
        <v>7225</v>
      </c>
      <c r="AM3380">
        <v>1263</v>
      </c>
      <c r="AN3380" t="s">
        <v>11151</v>
      </c>
      <c r="AO3380" t="s">
        <v>11153</v>
      </c>
      <c r="AQ3380" t="s">
        <v>11157</v>
      </c>
      <c r="AR3380" t="s">
        <v>11172</v>
      </c>
      <c r="AU3380">
        <v>-1</v>
      </c>
      <c r="AW3380" t="s">
        <v>11187</v>
      </c>
      <c r="AZ3380" t="s">
        <v>11221</v>
      </c>
      <c r="BE3380" t="s">
        <v>13647</v>
      </c>
      <c r="BF3380" t="s">
        <v>14364</v>
      </c>
      <c r="BG3380" t="s">
        <v>11228</v>
      </c>
      <c r="BM3380" t="s">
        <v>15650</v>
      </c>
    </row>
    <row r="3381" spans="1:65">
      <c r="A3381" s="1">
        <f>HYPERLINK("https://lsnyc.legalserver.org/matter/dynamic-profile/view/1897335","19-1897335")</f>
        <v>0</v>
      </c>
      <c r="B3381" t="s">
        <v>193</v>
      </c>
      <c r="C3381" t="s">
        <v>246</v>
      </c>
      <c r="D3381" t="s">
        <v>583</v>
      </c>
      <c r="F3381" t="s">
        <v>1122</v>
      </c>
      <c r="G3381" t="s">
        <v>2877</v>
      </c>
      <c r="H3381" t="s">
        <v>5935</v>
      </c>
      <c r="I3381">
        <v>1</v>
      </c>
      <c r="J3381" t="s">
        <v>7170</v>
      </c>
      <c r="K3381">
        <v>10468</v>
      </c>
      <c r="N3381" t="s">
        <v>7237</v>
      </c>
      <c r="P3381">
        <v>3</v>
      </c>
      <c r="Q3381">
        <v>2</v>
      </c>
      <c r="R3381">
        <v>112.03</v>
      </c>
      <c r="U3381">
        <v>33800</v>
      </c>
      <c r="W3381">
        <v>3</v>
      </c>
      <c r="X3381" t="s">
        <v>1032</v>
      </c>
      <c r="Y3381" t="s">
        <v>193</v>
      </c>
      <c r="AA3381" t="s">
        <v>10974</v>
      </c>
      <c r="AB3381" t="s">
        <v>322</v>
      </c>
      <c r="AC3381" t="s">
        <v>11081</v>
      </c>
      <c r="AF3381" t="s">
        <v>11120</v>
      </c>
      <c r="AG3381" t="s">
        <v>11124</v>
      </c>
      <c r="AI3381" t="s">
        <v>11126</v>
      </c>
      <c r="AK3381" t="s">
        <v>7225</v>
      </c>
      <c r="AL3381" t="s">
        <v>11150</v>
      </c>
      <c r="AM3381">
        <v>0</v>
      </c>
      <c r="AN3381" t="s">
        <v>11151</v>
      </c>
      <c r="AO3381" t="s">
        <v>11153</v>
      </c>
      <c r="AP3381" t="s">
        <v>11155</v>
      </c>
      <c r="AR3381" t="s">
        <v>11172</v>
      </c>
      <c r="AT3381" t="s">
        <v>11184</v>
      </c>
      <c r="AU3381">
        <v>0</v>
      </c>
      <c r="AW3381" t="s">
        <v>11189</v>
      </c>
      <c r="BA3381" t="s">
        <v>11222</v>
      </c>
      <c r="BE3381" t="s">
        <v>13648</v>
      </c>
      <c r="BF3381" t="s">
        <v>14364</v>
      </c>
      <c r="BM3381" t="s">
        <v>15650</v>
      </c>
    </row>
    <row r="3382" spans="1:65">
      <c r="A3382" s="1">
        <f>HYPERLINK("https://lsnyc.legalserver.org/matter/dynamic-profile/view/1854981","18-1854981")</f>
        <v>0</v>
      </c>
      <c r="B3382" t="s">
        <v>193</v>
      </c>
      <c r="C3382" t="s">
        <v>246</v>
      </c>
      <c r="D3382" t="s">
        <v>360</v>
      </c>
      <c r="F3382" t="s">
        <v>1475</v>
      </c>
      <c r="G3382" t="s">
        <v>3514</v>
      </c>
      <c r="H3382" t="s">
        <v>5917</v>
      </c>
      <c r="I3382" t="s">
        <v>6503</v>
      </c>
      <c r="J3382" t="s">
        <v>7170</v>
      </c>
      <c r="K3382">
        <v>10452</v>
      </c>
      <c r="N3382" t="s">
        <v>7237</v>
      </c>
      <c r="O3382" t="s">
        <v>9430</v>
      </c>
      <c r="P3382">
        <v>2</v>
      </c>
      <c r="Q3382">
        <v>0</v>
      </c>
      <c r="R3382">
        <v>114.75</v>
      </c>
      <c r="U3382">
        <v>27432</v>
      </c>
      <c r="W3382">
        <v>0</v>
      </c>
      <c r="Y3382" t="s">
        <v>10899</v>
      </c>
      <c r="AA3382" t="s">
        <v>10974</v>
      </c>
      <c r="AB3382" t="s">
        <v>458</v>
      </c>
      <c r="AD3382" t="s">
        <v>11096</v>
      </c>
      <c r="AF3382" t="s">
        <v>11122</v>
      </c>
      <c r="AH3382" t="s">
        <v>10974</v>
      </c>
      <c r="AJ3382" t="s">
        <v>11141</v>
      </c>
      <c r="AK3382" t="s">
        <v>7225</v>
      </c>
      <c r="AM3382">
        <v>783.99</v>
      </c>
      <c r="AO3382">
        <v>62</v>
      </c>
      <c r="AQ3382" t="s">
        <v>11157</v>
      </c>
      <c r="AS3382" t="s">
        <v>11173</v>
      </c>
      <c r="AU3382">
        <v>40</v>
      </c>
      <c r="AW3382" t="s">
        <v>11189</v>
      </c>
      <c r="AZ3382" t="s">
        <v>11221</v>
      </c>
      <c r="BC3382" t="s">
        <v>11536</v>
      </c>
      <c r="BE3382" t="s">
        <v>13649</v>
      </c>
      <c r="BG3382" t="s">
        <v>15203</v>
      </c>
      <c r="BM3382" t="s">
        <v>15650</v>
      </c>
    </row>
    <row r="3383" spans="1:65">
      <c r="A3383" s="1">
        <f>HYPERLINK("https://lsnyc.legalserver.org/matter/dynamic-profile/view/1841231","17-1841231")</f>
        <v>0</v>
      </c>
      <c r="B3383" t="s">
        <v>193</v>
      </c>
      <c r="C3383" t="s">
        <v>246</v>
      </c>
      <c r="D3383" t="s">
        <v>694</v>
      </c>
      <c r="F3383" t="s">
        <v>1475</v>
      </c>
      <c r="G3383" t="s">
        <v>3514</v>
      </c>
      <c r="H3383" t="s">
        <v>5917</v>
      </c>
      <c r="I3383" t="s">
        <v>6503</v>
      </c>
      <c r="J3383" t="s">
        <v>7170</v>
      </c>
      <c r="K3383">
        <v>10452</v>
      </c>
      <c r="N3383" t="s">
        <v>7237</v>
      </c>
      <c r="O3383" t="s">
        <v>9430</v>
      </c>
      <c r="P3383">
        <v>2</v>
      </c>
      <c r="Q3383">
        <v>0</v>
      </c>
      <c r="R3383">
        <v>114.75</v>
      </c>
      <c r="U3383">
        <v>27432</v>
      </c>
      <c r="V3383" t="s">
        <v>10306</v>
      </c>
      <c r="W3383">
        <v>0.2</v>
      </c>
      <c r="X3383" t="s">
        <v>758</v>
      </c>
      <c r="Y3383" t="s">
        <v>10897</v>
      </c>
      <c r="AA3383" t="s">
        <v>10974</v>
      </c>
      <c r="AB3383" t="s">
        <v>694</v>
      </c>
      <c r="AD3383" t="s">
        <v>11096</v>
      </c>
      <c r="AF3383" t="s">
        <v>11122</v>
      </c>
      <c r="AH3383" t="s">
        <v>10974</v>
      </c>
      <c r="AJ3383" t="s">
        <v>11141</v>
      </c>
      <c r="AK3383" t="s">
        <v>7225</v>
      </c>
      <c r="AM3383">
        <v>783.99</v>
      </c>
      <c r="AN3383" t="s">
        <v>11151</v>
      </c>
      <c r="AO3383" t="s">
        <v>11153</v>
      </c>
      <c r="AQ3383" t="s">
        <v>11157</v>
      </c>
      <c r="AS3383" t="s">
        <v>11173</v>
      </c>
      <c r="AU3383">
        <v>40</v>
      </c>
      <c r="AW3383" t="s">
        <v>11189</v>
      </c>
      <c r="AZ3383" t="s">
        <v>11221</v>
      </c>
      <c r="BC3383" t="s">
        <v>11536</v>
      </c>
      <c r="BE3383" t="s">
        <v>13649</v>
      </c>
      <c r="BF3383" t="s">
        <v>14364</v>
      </c>
      <c r="BG3383" t="s">
        <v>15205</v>
      </c>
      <c r="BM3383" t="s">
        <v>15650</v>
      </c>
    </row>
    <row r="3384" spans="1:65">
      <c r="A3384" s="1">
        <f>HYPERLINK("https://lsnyc.legalserver.org/matter/dynamic-profile/view/0826078","17-0826078")</f>
        <v>0</v>
      </c>
      <c r="B3384" t="s">
        <v>193</v>
      </c>
      <c r="C3384" t="s">
        <v>246</v>
      </c>
      <c r="D3384" t="s">
        <v>623</v>
      </c>
      <c r="F3384" t="s">
        <v>2449</v>
      </c>
      <c r="G3384" t="s">
        <v>4265</v>
      </c>
      <c r="H3384" t="s">
        <v>4975</v>
      </c>
      <c r="I3384" t="s">
        <v>6514</v>
      </c>
      <c r="J3384" t="s">
        <v>7170</v>
      </c>
      <c r="K3384">
        <v>10452</v>
      </c>
      <c r="N3384" t="s">
        <v>7237</v>
      </c>
      <c r="O3384" t="s">
        <v>9428</v>
      </c>
      <c r="P3384">
        <v>1</v>
      </c>
      <c r="Q3384">
        <v>0</v>
      </c>
      <c r="R3384">
        <v>220.13</v>
      </c>
      <c r="U3384">
        <v>26152</v>
      </c>
      <c r="W3384">
        <v>1.5</v>
      </c>
      <c r="X3384" t="s">
        <v>390</v>
      </c>
      <c r="Y3384" t="s">
        <v>10899</v>
      </c>
      <c r="AA3384" t="s">
        <v>10974</v>
      </c>
      <c r="AB3384" t="s">
        <v>694</v>
      </c>
      <c r="AC3384" t="s">
        <v>11081</v>
      </c>
      <c r="AF3384" t="s">
        <v>11120</v>
      </c>
      <c r="AH3384" t="s">
        <v>10974</v>
      </c>
      <c r="AJ3384" t="s">
        <v>11141</v>
      </c>
      <c r="AK3384" t="s">
        <v>7225</v>
      </c>
      <c r="AL3384" t="s">
        <v>11150</v>
      </c>
      <c r="AM3384">
        <v>0</v>
      </c>
      <c r="AN3384" t="s">
        <v>11151</v>
      </c>
      <c r="AO3384" t="s">
        <v>11153</v>
      </c>
      <c r="AQ3384" t="s">
        <v>11157</v>
      </c>
      <c r="AS3384" t="s">
        <v>11174</v>
      </c>
      <c r="AU3384">
        <v>9</v>
      </c>
      <c r="AW3384" t="s">
        <v>11187</v>
      </c>
      <c r="AZ3384" t="s">
        <v>11221</v>
      </c>
      <c r="BE3384" t="s">
        <v>13646</v>
      </c>
      <c r="BF3384" t="s">
        <v>14364</v>
      </c>
      <c r="BM3384" t="s">
        <v>15650</v>
      </c>
    </row>
    <row r="3385" spans="1:65">
      <c r="A3385" s="1">
        <f>HYPERLINK("https://lsnyc.legalserver.org/matter/dynamic-profile/view/1861934","18-1861934")</f>
        <v>0</v>
      </c>
      <c r="B3385" t="s">
        <v>193</v>
      </c>
      <c r="C3385" t="s">
        <v>246</v>
      </c>
      <c r="D3385" t="s">
        <v>308</v>
      </c>
      <c r="F3385" t="s">
        <v>1140</v>
      </c>
      <c r="G3385" t="s">
        <v>1541</v>
      </c>
      <c r="H3385" t="s">
        <v>5233</v>
      </c>
      <c r="I3385" t="s">
        <v>6905</v>
      </c>
      <c r="J3385" t="s">
        <v>7170</v>
      </c>
      <c r="K3385">
        <v>10453</v>
      </c>
      <c r="N3385" t="s">
        <v>7237</v>
      </c>
      <c r="O3385" t="s">
        <v>9431</v>
      </c>
      <c r="P3385">
        <v>4</v>
      </c>
      <c r="Q3385">
        <v>2</v>
      </c>
      <c r="R3385">
        <v>60.95</v>
      </c>
      <c r="U3385">
        <v>20566</v>
      </c>
      <c r="W3385">
        <v>2.4</v>
      </c>
      <c r="X3385" t="s">
        <v>438</v>
      </c>
      <c r="Y3385" t="s">
        <v>210</v>
      </c>
      <c r="AA3385" t="s">
        <v>10974</v>
      </c>
      <c r="AB3385" t="s">
        <v>1047</v>
      </c>
      <c r="AD3385" t="s">
        <v>11101</v>
      </c>
      <c r="AF3385" t="s">
        <v>11118</v>
      </c>
      <c r="AH3385" t="s">
        <v>10974</v>
      </c>
      <c r="AJ3385" t="s">
        <v>11130</v>
      </c>
      <c r="AK3385" t="s">
        <v>7225</v>
      </c>
      <c r="AM3385">
        <v>1999.71</v>
      </c>
      <c r="AO3385">
        <v>46</v>
      </c>
      <c r="AQ3385" t="s">
        <v>11157</v>
      </c>
      <c r="AS3385" t="s">
        <v>11174</v>
      </c>
      <c r="AU3385">
        <v>4</v>
      </c>
      <c r="AW3385" t="s">
        <v>11187</v>
      </c>
      <c r="AZ3385" t="s">
        <v>11221</v>
      </c>
      <c r="BB3385" t="s">
        <v>11224</v>
      </c>
      <c r="BC3385" t="s">
        <v>11537</v>
      </c>
      <c r="BE3385" t="s">
        <v>13650</v>
      </c>
      <c r="BG3385" t="s">
        <v>15209</v>
      </c>
      <c r="BM3385" t="s">
        <v>15650</v>
      </c>
    </row>
    <row r="3386" spans="1:65">
      <c r="A3386" s="1">
        <f>HYPERLINK("https://lsnyc.legalserver.org/matter/dynamic-profile/view/0820651","16-0820651")</f>
        <v>0</v>
      </c>
      <c r="B3386" t="s">
        <v>193</v>
      </c>
      <c r="C3386" t="s">
        <v>246</v>
      </c>
      <c r="D3386" t="s">
        <v>987</v>
      </c>
      <c r="F3386" t="s">
        <v>2450</v>
      </c>
      <c r="G3386" t="s">
        <v>3786</v>
      </c>
      <c r="H3386" t="s">
        <v>5233</v>
      </c>
      <c r="I3386" t="s">
        <v>6440</v>
      </c>
      <c r="J3386" t="s">
        <v>7170</v>
      </c>
      <c r="K3386">
        <v>10453</v>
      </c>
      <c r="N3386" t="s">
        <v>7237</v>
      </c>
      <c r="O3386" t="s">
        <v>7576</v>
      </c>
      <c r="P3386">
        <v>2</v>
      </c>
      <c r="Q3386">
        <v>1</v>
      </c>
      <c r="R3386">
        <v>223.21</v>
      </c>
      <c r="U3386">
        <v>45000</v>
      </c>
      <c r="W3386">
        <v>0.5</v>
      </c>
      <c r="X3386" t="s">
        <v>987</v>
      </c>
      <c r="Y3386" t="s">
        <v>10899</v>
      </c>
      <c r="AA3386" t="s">
        <v>10974</v>
      </c>
      <c r="AB3386" t="s">
        <v>11064</v>
      </c>
      <c r="AD3386" t="s">
        <v>11085</v>
      </c>
      <c r="AF3386" t="s">
        <v>11118</v>
      </c>
      <c r="AH3386" t="s">
        <v>10974</v>
      </c>
      <c r="AJ3386" t="s">
        <v>11141</v>
      </c>
      <c r="AK3386" t="s">
        <v>7225</v>
      </c>
      <c r="AM3386">
        <v>1122</v>
      </c>
      <c r="AO3386">
        <v>46</v>
      </c>
      <c r="AQ3386" t="s">
        <v>11157</v>
      </c>
      <c r="AS3386" t="s">
        <v>11173</v>
      </c>
      <c r="AU3386">
        <v>1</v>
      </c>
      <c r="AW3386" t="s">
        <v>11189</v>
      </c>
      <c r="AZ3386" t="s">
        <v>11221</v>
      </c>
      <c r="BE3386" t="s">
        <v>13651</v>
      </c>
      <c r="BF3386" t="s">
        <v>14364</v>
      </c>
      <c r="BG3386" t="s">
        <v>15213</v>
      </c>
      <c r="BM3386" t="s">
        <v>15650</v>
      </c>
    </row>
    <row r="3387" spans="1:65">
      <c r="A3387" s="1">
        <f>HYPERLINK("https://lsnyc.legalserver.org/matter/dynamic-profile/view/1898235","19-1898235")</f>
        <v>0</v>
      </c>
      <c r="B3387" t="s">
        <v>193</v>
      </c>
      <c r="C3387" t="s">
        <v>246</v>
      </c>
      <c r="D3387" t="s">
        <v>591</v>
      </c>
      <c r="F3387" t="s">
        <v>1738</v>
      </c>
      <c r="G3387" t="s">
        <v>4263</v>
      </c>
      <c r="H3387" t="s">
        <v>5916</v>
      </c>
      <c r="I3387" t="s">
        <v>6415</v>
      </c>
      <c r="J3387" t="s">
        <v>7170</v>
      </c>
      <c r="K3387">
        <v>10467</v>
      </c>
      <c r="N3387" t="s">
        <v>7237</v>
      </c>
      <c r="O3387" t="s">
        <v>9422</v>
      </c>
      <c r="P3387">
        <v>1</v>
      </c>
      <c r="Q3387">
        <v>0</v>
      </c>
      <c r="R3387">
        <v>340.27</v>
      </c>
      <c r="U3387">
        <v>42500</v>
      </c>
      <c r="V3387" t="s">
        <v>10566</v>
      </c>
      <c r="W3387">
        <v>0</v>
      </c>
      <c r="Y3387" t="s">
        <v>10865</v>
      </c>
      <c r="AA3387" t="s">
        <v>10974</v>
      </c>
      <c r="AB3387" t="s">
        <v>273</v>
      </c>
      <c r="AD3387" t="s">
        <v>11100</v>
      </c>
      <c r="AF3387" t="s">
        <v>11120</v>
      </c>
      <c r="AH3387" t="s">
        <v>10974</v>
      </c>
      <c r="AJ3387" t="s">
        <v>11129</v>
      </c>
      <c r="AK3387" t="s">
        <v>7225</v>
      </c>
      <c r="AM3387">
        <v>752</v>
      </c>
      <c r="AO3387">
        <v>59</v>
      </c>
      <c r="AQ3387" t="s">
        <v>11157</v>
      </c>
      <c r="AS3387" t="s">
        <v>11173</v>
      </c>
      <c r="AU3387">
        <v>19</v>
      </c>
      <c r="AW3387" t="s">
        <v>11187</v>
      </c>
      <c r="BA3387" t="s">
        <v>11222</v>
      </c>
      <c r="BE3387" t="s">
        <v>13640</v>
      </c>
      <c r="BF3387" t="s">
        <v>14364</v>
      </c>
      <c r="BM3387" t="s">
        <v>15650</v>
      </c>
    </row>
    <row r="3388" spans="1:65">
      <c r="A3388" s="1">
        <f>HYPERLINK("https://lsnyc.legalserver.org/matter/dynamic-profile/view/1861923","18-1861923")</f>
        <v>0</v>
      </c>
      <c r="B3388" t="s">
        <v>193</v>
      </c>
      <c r="C3388" t="s">
        <v>246</v>
      </c>
      <c r="D3388" t="s">
        <v>308</v>
      </c>
      <c r="F3388" t="s">
        <v>2451</v>
      </c>
      <c r="G3388" t="s">
        <v>4260</v>
      </c>
      <c r="H3388" t="s">
        <v>5233</v>
      </c>
      <c r="I3388" t="s">
        <v>6984</v>
      </c>
      <c r="J3388" t="s">
        <v>7170</v>
      </c>
      <c r="K3388">
        <v>10453</v>
      </c>
      <c r="N3388" t="s">
        <v>7237</v>
      </c>
      <c r="O3388" t="s">
        <v>9432</v>
      </c>
      <c r="P3388">
        <v>2</v>
      </c>
      <c r="Q3388">
        <v>1</v>
      </c>
      <c r="R3388">
        <v>61.56</v>
      </c>
      <c r="U3388">
        <v>12792</v>
      </c>
      <c r="W3388">
        <v>0.8</v>
      </c>
      <c r="X3388" t="s">
        <v>308</v>
      </c>
      <c r="Y3388" t="s">
        <v>210</v>
      </c>
      <c r="AA3388" t="s">
        <v>10974</v>
      </c>
      <c r="AB3388" t="s">
        <v>1047</v>
      </c>
      <c r="AD3388" t="s">
        <v>11101</v>
      </c>
      <c r="AF3388" t="s">
        <v>11118</v>
      </c>
      <c r="AH3388" t="s">
        <v>10974</v>
      </c>
      <c r="AJ3388" t="s">
        <v>11130</v>
      </c>
      <c r="AK3388" t="s">
        <v>7225</v>
      </c>
      <c r="AM3388">
        <v>1126</v>
      </c>
      <c r="AO3388">
        <v>46</v>
      </c>
      <c r="AQ3388" t="s">
        <v>11157</v>
      </c>
      <c r="AS3388" t="s">
        <v>11176</v>
      </c>
      <c r="AU3388">
        <v>6</v>
      </c>
      <c r="AW3388" t="s">
        <v>11189</v>
      </c>
      <c r="AZ3388" t="s">
        <v>11221</v>
      </c>
      <c r="BB3388" t="s">
        <v>11224</v>
      </c>
      <c r="BC3388" t="s">
        <v>11538</v>
      </c>
      <c r="BE3388" t="s">
        <v>13652</v>
      </c>
      <c r="BG3388" t="s">
        <v>15209</v>
      </c>
      <c r="BM3388" t="s">
        <v>15650</v>
      </c>
    </row>
    <row r="3389" spans="1:65">
      <c r="A3389" s="1">
        <f>HYPERLINK("https://lsnyc.legalserver.org/matter/dynamic-profile/view/1854704","17-1854704")</f>
        <v>0</v>
      </c>
      <c r="B3389" t="s">
        <v>193</v>
      </c>
      <c r="C3389" t="s">
        <v>246</v>
      </c>
      <c r="D3389" t="s">
        <v>993</v>
      </c>
      <c r="F3389" t="s">
        <v>1484</v>
      </c>
      <c r="G3389" t="s">
        <v>4248</v>
      </c>
      <c r="H3389" t="s">
        <v>5917</v>
      </c>
      <c r="I3389" t="s">
        <v>6422</v>
      </c>
      <c r="J3389" t="s">
        <v>7170</v>
      </c>
      <c r="K3389">
        <v>10452</v>
      </c>
      <c r="N3389" t="s">
        <v>7237</v>
      </c>
      <c r="O3389" t="s">
        <v>9397</v>
      </c>
      <c r="P3389">
        <v>3</v>
      </c>
      <c r="Q3389">
        <v>1</v>
      </c>
      <c r="R3389">
        <v>479.67</v>
      </c>
      <c r="U3389">
        <v>193000</v>
      </c>
      <c r="W3389">
        <v>0.6</v>
      </c>
      <c r="X3389" t="s">
        <v>993</v>
      </c>
      <c r="Y3389" t="s">
        <v>210</v>
      </c>
      <c r="AA3389" t="s">
        <v>10974</v>
      </c>
      <c r="AB3389" t="s">
        <v>458</v>
      </c>
      <c r="AD3389" t="s">
        <v>11096</v>
      </c>
      <c r="AF3389" t="s">
        <v>11122</v>
      </c>
      <c r="AH3389" t="s">
        <v>10974</v>
      </c>
      <c r="AJ3389" t="s">
        <v>11141</v>
      </c>
      <c r="AK3389" t="s">
        <v>7225</v>
      </c>
      <c r="AM3389">
        <v>745.05</v>
      </c>
      <c r="AO3389">
        <v>62</v>
      </c>
      <c r="AQ3389" t="s">
        <v>11157</v>
      </c>
      <c r="AS3389" t="s">
        <v>11173</v>
      </c>
      <c r="AU3389">
        <v>39</v>
      </c>
      <c r="AW3389" t="s">
        <v>11189</v>
      </c>
      <c r="AZ3389" t="s">
        <v>11221</v>
      </c>
      <c r="BE3389" t="s">
        <v>13612</v>
      </c>
      <c r="BF3389" t="s">
        <v>14364</v>
      </c>
      <c r="BG3389" t="s">
        <v>15205</v>
      </c>
      <c r="BM3389" t="s">
        <v>15650</v>
      </c>
    </row>
    <row r="3390" spans="1:65">
      <c r="A3390" s="1">
        <f>HYPERLINK("https://lsnyc.legalserver.org/matter/dynamic-profile/view/0805337","16-0805337")</f>
        <v>0</v>
      </c>
      <c r="B3390" t="s">
        <v>193</v>
      </c>
      <c r="C3390" t="s">
        <v>246</v>
      </c>
      <c r="D3390" t="s">
        <v>454</v>
      </c>
      <c r="F3390" t="s">
        <v>2088</v>
      </c>
      <c r="G3390" t="s">
        <v>2962</v>
      </c>
      <c r="H3390" t="s">
        <v>4975</v>
      </c>
      <c r="I3390" t="s">
        <v>6839</v>
      </c>
      <c r="J3390" t="s">
        <v>7170</v>
      </c>
      <c r="K3390">
        <v>10452</v>
      </c>
      <c r="N3390" t="s">
        <v>7237</v>
      </c>
      <c r="O3390" t="s">
        <v>8739</v>
      </c>
      <c r="P3390">
        <v>2</v>
      </c>
      <c r="Q3390">
        <v>0</v>
      </c>
      <c r="R3390">
        <v>168.54</v>
      </c>
      <c r="U3390">
        <v>27000</v>
      </c>
      <c r="W3390">
        <v>461</v>
      </c>
      <c r="X3390" t="s">
        <v>728</v>
      </c>
      <c r="Y3390" t="s">
        <v>10905</v>
      </c>
      <c r="AA3390" t="s">
        <v>10974</v>
      </c>
      <c r="AB3390" t="s">
        <v>11013</v>
      </c>
      <c r="AD3390" t="s">
        <v>11109</v>
      </c>
      <c r="AF3390" t="s">
        <v>11121</v>
      </c>
      <c r="AH3390" t="s">
        <v>10974</v>
      </c>
      <c r="AJ3390" t="s">
        <v>11141</v>
      </c>
      <c r="AK3390" t="s">
        <v>7225</v>
      </c>
      <c r="AM3390">
        <v>1495</v>
      </c>
      <c r="AO3390">
        <v>130</v>
      </c>
      <c r="AQ3390" t="s">
        <v>11157</v>
      </c>
      <c r="AS3390" t="s">
        <v>11174</v>
      </c>
      <c r="AU3390">
        <v>8</v>
      </c>
      <c r="AW3390" t="s">
        <v>11187</v>
      </c>
      <c r="AZ3390" t="s">
        <v>11221</v>
      </c>
      <c r="BE3390" t="s">
        <v>12996</v>
      </c>
      <c r="BF3390" t="s">
        <v>14364</v>
      </c>
      <c r="BM3390" t="s">
        <v>15650</v>
      </c>
    </row>
    <row r="3391" spans="1:65">
      <c r="A3391" s="1">
        <f>HYPERLINK("https://lsnyc.legalserver.org/matter/dynamic-profile/view/1897509","19-1897509")</f>
        <v>0</v>
      </c>
      <c r="B3391" t="s">
        <v>193</v>
      </c>
      <c r="C3391" t="s">
        <v>246</v>
      </c>
      <c r="D3391" t="s">
        <v>664</v>
      </c>
      <c r="F3391" t="s">
        <v>2452</v>
      </c>
      <c r="G3391" t="s">
        <v>4267</v>
      </c>
      <c r="H3391" t="s">
        <v>5936</v>
      </c>
      <c r="I3391" t="s">
        <v>6826</v>
      </c>
      <c r="J3391" t="s">
        <v>7170</v>
      </c>
      <c r="K3391">
        <v>10452</v>
      </c>
      <c r="N3391" t="s">
        <v>7237</v>
      </c>
      <c r="P3391">
        <v>2</v>
      </c>
      <c r="Q3391">
        <v>0</v>
      </c>
      <c r="R3391">
        <v>61.5</v>
      </c>
      <c r="U3391">
        <v>10400</v>
      </c>
      <c r="W3391">
        <v>2</v>
      </c>
      <c r="X3391" t="s">
        <v>655</v>
      </c>
      <c r="Y3391" t="s">
        <v>193</v>
      </c>
      <c r="AA3391" t="s">
        <v>10974</v>
      </c>
      <c r="AB3391" t="s">
        <v>10979</v>
      </c>
      <c r="AD3391" t="s">
        <v>11101</v>
      </c>
      <c r="AF3391" t="s">
        <v>10384</v>
      </c>
      <c r="AH3391" t="s">
        <v>10975</v>
      </c>
      <c r="AJ3391" t="s">
        <v>11130</v>
      </c>
      <c r="AK3391" t="s">
        <v>7225</v>
      </c>
      <c r="AM3391">
        <v>1800</v>
      </c>
      <c r="AN3391" t="s">
        <v>11151</v>
      </c>
      <c r="AO3391" t="s">
        <v>11153</v>
      </c>
      <c r="AP3391" t="s">
        <v>11155</v>
      </c>
      <c r="AR3391" t="s">
        <v>11172</v>
      </c>
      <c r="AU3391">
        <v>6</v>
      </c>
      <c r="AW3391" t="s">
        <v>11187</v>
      </c>
      <c r="BA3391" t="s">
        <v>11223</v>
      </c>
      <c r="BC3391" t="s">
        <v>11539</v>
      </c>
      <c r="BE3391" t="s">
        <v>13653</v>
      </c>
      <c r="BF3391" t="s">
        <v>14364</v>
      </c>
      <c r="BM3391" t="s">
        <v>15650</v>
      </c>
    </row>
    <row r="3392" spans="1:65">
      <c r="A3392" s="1">
        <f>HYPERLINK("https://lsnyc.legalserver.org/matter/dynamic-profile/view/1907622","19-1907622")</f>
        <v>0</v>
      </c>
      <c r="B3392" t="s">
        <v>193</v>
      </c>
      <c r="C3392" t="s">
        <v>246</v>
      </c>
      <c r="D3392" t="s">
        <v>377</v>
      </c>
      <c r="F3392" t="s">
        <v>2091</v>
      </c>
      <c r="G3392" t="s">
        <v>2913</v>
      </c>
      <c r="H3392" t="s">
        <v>5558</v>
      </c>
      <c r="I3392" t="s">
        <v>6618</v>
      </c>
      <c r="J3392" t="s">
        <v>7170</v>
      </c>
      <c r="K3392">
        <v>10470</v>
      </c>
      <c r="N3392" t="s">
        <v>7237</v>
      </c>
      <c r="O3392" t="s">
        <v>8745</v>
      </c>
      <c r="P3392">
        <v>1</v>
      </c>
      <c r="Q3392">
        <v>0</v>
      </c>
      <c r="R3392">
        <v>0</v>
      </c>
      <c r="U3392">
        <v>0</v>
      </c>
      <c r="W3392">
        <v>0.2</v>
      </c>
      <c r="X3392" t="s">
        <v>377</v>
      </c>
      <c r="Y3392" t="s">
        <v>193</v>
      </c>
      <c r="AA3392" t="s">
        <v>10974</v>
      </c>
      <c r="AD3392" t="s">
        <v>11086</v>
      </c>
      <c r="AF3392" t="s">
        <v>11119</v>
      </c>
      <c r="AH3392" t="s">
        <v>10975</v>
      </c>
      <c r="AJ3392" t="s">
        <v>11130</v>
      </c>
      <c r="AK3392" t="s">
        <v>7225</v>
      </c>
      <c r="AL3392" t="s">
        <v>11150</v>
      </c>
      <c r="AM3392">
        <v>0</v>
      </c>
      <c r="AN3392" t="s">
        <v>11151</v>
      </c>
      <c r="AO3392" t="s">
        <v>11153</v>
      </c>
      <c r="AP3392" t="s">
        <v>11155</v>
      </c>
      <c r="AR3392" t="s">
        <v>11172</v>
      </c>
      <c r="AT3392" t="s">
        <v>11184</v>
      </c>
      <c r="AU3392">
        <v>0</v>
      </c>
      <c r="AW3392" t="s">
        <v>11187</v>
      </c>
      <c r="AX3392" t="s">
        <v>11212</v>
      </c>
      <c r="AZ3392" t="s">
        <v>11221</v>
      </c>
      <c r="BD3392" t="s">
        <v>11667</v>
      </c>
      <c r="BF3392" t="s">
        <v>14364</v>
      </c>
      <c r="BM3392" t="s">
        <v>15650</v>
      </c>
    </row>
    <row r="3393" spans="1:65">
      <c r="A3393" s="1">
        <f>HYPERLINK("https://lsnyc.legalserver.org/matter/dynamic-profile/view/0822558","16-0822558")</f>
        <v>0</v>
      </c>
      <c r="B3393" t="s">
        <v>193</v>
      </c>
      <c r="C3393" t="s">
        <v>246</v>
      </c>
      <c r="D3393" t="s">
        <v>980</v>
      </c>
      <c r="F3393" t="s">
        <v>2447</v>
      </c>
      <c r="G3393" t="s">
        <v>2885</v>
      </c>
      <c r="H3393" t="s">
        <v>5917</v>
      </c>
      <c r="I3393" t="s">
        <v>6424</v>
      </c>
      <c r="J3393" t="s">
        <v>7170</v>
      </c>
      <c r="K3393">
        <v>10452</v>
      </c>
      <c r="N3393" t="s">
        <v>7237</v>
      </c>
      <c r="O3393" t="s">
        <v>9425</v>
      </c>
      <c r="P3393">
        <v>2</v>
      </c>
      <c r="Q3393">
        <v>3</v>
      </c>
      <c r="R3393">
        <v>64.41</v>
      </c>
      <c r="U3393">
        <v>18317.52</v>
      </c>
      <c r="W3393">
        <v>0.3</v>
      </c>
      <c r="X3393" t="s">
        <v>458</v>
      </c>
      <c r="Y3393" t="s">
        <v>10899</v>
      </c>
      <c r="AA3393" t="s">
        <v>10974</v>
      </c>
      <c r="AB3393" t="s">
        <v>980</v>
      </c>
      <c r="AD3393" t="s">
        <v>11096</v>
      </c>
      <c r="AF3393" t="s">
        <v>11122</v>
      </c>
      <c r="AH3393" t="s">
        <v>10974</v>
      </c>
      <c r="AJ3393" t="s">
        <v>11141</v>
      </c>
      <c r="AK3393" t="s">
        <v>7225</v>
      </c>
      <c r="AM3393">
        <v>2006</v>
      </c>
      <c r="AO3393">
        <v>62</v>
      </c>
      <c r="AQ3393" t="s">
        <v>11157</v>
      </c>
      <c r="AS3393" t="s">
        <v>11174</v>
      </c>
      <c r="AU3393">
        <v>3</v>
      </c>
      <c r="AW3393" t="s">
        <v>11187</v>
      </c>
      <c r="AZ3393" t="s">
        <v>11221</v>
      </c>
      <c r="BE3393" t="s">
        <v>13643</v>
      </c>
      <c r="BG3393" t="s">
        <v>15202</v>
      </c>
      <c r="BM3393" t="s">
        <v>15650</v>
      </c>
    </row>
    <row r="3394" spans="1:65">
      <c r="A3394" s="1">
        <f>HYPERLINK("https://lsnyc.legalserver.org/matter/dynamic-profile/view/0816973","16-0816973")</f>
        <v>0</v>
      </c>
      <c r="B3394" t="s">
        <v>193</v>
      </c>
      <c r="C3394" t="s">
        <v>246</v>
      </c>
      <c r="D3394" t="s">
        <v>494</v>
      </c>
      <c r="F3394" t="s">
        <v>1475</v>
      </c>
      <c r="G3394" t="s">
        <v>3483</v>
      </c>
      <c r="H3394" t="s">
        <v>5917</v>
      </c>
      <c r="I3394" t="s">
        <v>6611</v>
      </c>
      <c r="J3394" t="s">
        <v>7170</v>
      </c>
      <c r="K3394">
        <v>10452</v>
      </c>
      <c r="N3394" t="s">
        <v>7237</v>
      </c>
      <c r="O3394" t="s">
        <v>9395</v>
      </c>
      <c r="P3394">
        <v>2</v>
      </c>
      <c r="Q3394">
        <v>2</v>
      </c>
      <c r="R3394">
        <v>59.75</v>
      </c>
      <c r="U3394">
        <v>14520</v>
      </c>
      <c r="W3394">
        <v>0.8</v>
      </c>
      <c r="X3394" t="s">
        <v>758</v>
      </c>
      <c r="Y3394" t="s">
        <v>10899</v>
      </c>
      <c r="AA3394" t="s">
        <v>10974</v>
      </c>
      <c r="AB3394" t="s">
        <v>838</v>
      </c>
      <c r="AD3394" t="s">
        <v>11096</v>
      </c>
      <c r="AF3394" t="s">
        <v>11122</v>
      </c>
      <c r="AH3394" t="s">
        <v>10974</v>
      </c>
      <c r="AJ3394" t="s">
        <v>11141</v>
      </c>
      <c r="AK3394" t="s">
        <v>7225</v>
      </c>
      <c r="AM3394">
        <v>854.7</v>
      </c>
      <c r="AO3394">
        <v>62</v>
      </c>
      <c r="AQ3394" t="s">
        <v>11157</v>
      </c>
      <c r="AS3394" t="s">
        <v>11173</v>
      </c>
      <c r="AU3394">
        <v>20</v>
      </c>
      <c r="AW3394" t="s">
        <v>11187</v>
      </c>
      <c r="AZ3394" t="s">
        <v>11221</v>
      </c>
      <c r="BE3394" t="s">
        <v>13610</v>
      </c>
      <c r="BG3394" t="s">
        <v>15206</v>
      </c>
      <c r="BM3394" t="s">
        <v>15650</v>
      </c>
    </row>
    <row r="3395" spans="1:65">
      <c r="A3395" s="1">
        <f>HYPERLINK("https://lsnyc.legalserver.org/matter/dynamic-profile/view/1861974","18-1861974")</f>
        <v>0</v>
      </c>
      <c r="B3395" t="s">
        <v>193</v>
      </c>
      <c r="C3395" t="s">
        <v>246</v>
      </c>
      <c r="D3395" t="s">
        <v>308</v>
      </c>
      <c r="F3395" t="s">
        <v>1512</v>
      </c>
      <c r="G3395" t="s">
        <v>3493</v>
      </c>
      <c r="H3395" t="s">
        <v>5233</v>
      </c>
      <c r="I3395" t="s">
        <v>6437</v>
      </c>
      <c r="J3395" t="s">
        <v>7170</v>
      </c>
      <c r="K3395">
        <v>10453</v>
      </c>
      <c r="N3395" t="s">
        <v>7237</v>
      </c>
      <c r="O3395" t="s">
        <v>9433</v>
      </c>
      <c r="P3395">
        <v>1</v>
      </c>
      <c r="Q3395">
        <v>0</v>
      </c>
      <c r="R3395">
        <v>65.23999999999999</v>
      </c>
      <c r="U3395">
        <v>7920</v>
      </c>
      <c r="W3395">
        <v>0</v>
      </c>
      <c r="Y3395" t="s">
        <v>210</v>
      </c>
      <c r="AA3395" t="s">
        <v>10974</v>
      </c>
      <c r="AB3395" t="s">
        <v>1047</v>
      </c>
      <c r="AD3395" t="s">
        <v>11101</v>
      </c>
      <c r="AF3395" t="s">
        <v>11118</v>
      </c>
      <c r="AH3395" t="s">
        <v>10974</v>
      </c>
      <c r="AJ3395" t="s">
        <v>11130</v>
      </c>
      <c r="AK3395" t="s">
        <v>7225</v>
      </c>
      <c r="AL3395" t="s">
        <v>11150</v>
      </c>
      <c r="AM3395">
        <v>0</v>
      </c>
      <c r="AO3395">
        <v>46</v>
      </c>
      <c r="AQ3395" t="s">
        <v>11157</v>
      </c>
      <c r="AS3395" t="s">
        <v>11174</v>
      </c>
      <c r="AU3395">
        <v>38</v>
      </c>
      <c r="AW3395" t="s">
        <v>11187</v>
      </c>
      <c r="AZ3395" t="s">
        <v>11221</v>
      </c>
      <c r="BB3395" t="s">
        <v>11224</v>
      </c>
      <c r="BC3395">
        <v>4596013</v>
      </c>
      <c r="BD3395" t="s">
        <v>11667</v>
      </c>
      <c r="BG3395" t="s">
        <v>15209</v>
      </c>
      <c r="BM3395" t="s">
        <v>15650</v>
      </c>
    </row>
    <row r="3396" spans="1:65">
      <c r="A3396" s="1">
        <f>HYPERLINK("https://lsnyc.legalserver.org/matter/dynamic-profile/view/1854898","17-1854898")</f>
        <v>0</v>
      </c>
      <c r="B3396" t="s">
        <v>193</v>
      </c>
      <c r="C3396" t="s">
        <v>246</v>
      </c>
      <c r="D3396" t="s">
        <v>523</v>
      </c>
      <c r="F3396" t="s">
        <v>2414</v>
      </c>
      <c r="G3396" t="s">
        <v>2985</v>
      </c>
      <c r="H3396" t="s">
        <v>5917</v>
      </c>
      <c r="I3396" t="s">
        <v>6591</v>
      </c>
      <c r="J3396" t="s">
        <v>7170</v>
      </c>
      <c r="K3396">
        <v>10452</v>
      </c>
      <c r="N3396" t="s">
        <v>7237</v>
      </c>
      <c r="O3396" t="s">
        <v>9400</v>
      </c>
      <c r="P3396">
        <v>3</v>
      </c>
      <c r="Q3396">
        <v>2</v>
      </c>
      <c r="R3396">
        <v>117.44</v>
      </c>
      <c r="U3396">
        <v>33800</v>
      </c>
      <c r="W3396">
        <v>0.5</v>
      </c>
      <c r="X3396" t="s">
        <v>758</v>
      </c>
      <c r="Y3396" t="s">
        <v>210</v>
      </c>
      <c r="AA3396" t="s">
        <v>10974</v>
      </c>
      <c r="AB3396" t="s">
        <v>458</v>
      </c>
      <c r="AD3396" t="s">
        <v>11096</v>
      </c>
      <c r="AF3396" t="s">
        <v>11122</v>
      </c>
      <c r="AH3396" t="s">
        <v>10974</v>
      </c>
      <c r="AJ3396" t="s">
        <v>11141</v>
      </c>
      <c r="AK3396" t="s">
        <v>7225</v>
      </c>
      <c r="AM3396">
        <v>1310</v>
      </c>
      <c r="AO3396">
        <v>62</v>
      </c>
      <c r="AQ3396" t="s">
        <v>11157</v>
      </c>
      <c r="AS3396" t="s">
        <v>11173</v>
      </c>
      <c r="AU3396">
        <v>24</v>
      </c>
      <c r="AW3396" t="s">
        <v>11209</v>
      </c>
      <c r="AZ3396" t="s">
        <v>11221</v>
      </c>
      <c r="BE3396" t="s">
        <v>13615</v>
      </c>
      <c r="BF3396" t="s">
        <v>14364</v>
      </c>
      <c r="BG3396" t="s">
        <v>15205</v>
      </c>
      <c r="BM3396" t="s">
        <v>15650</v>
      </c>
    </row>
    <row r="3397" spans="1:65">
      <c r="A3397" s="1">
        <f>HYPERLINK("https://lsnyc.legalserver.org/matter/dynamic-profile/view/1855288","18-1855288")</f>
        <v>0</v>
      </c>
      <c r="B3397" t="s">
        <v>193</v>
      </c>
      <c r="C3397" t="s">
        <v>246</v>
      </c>
      <c r="D3397" t="s">
        <v>997</v>
      </c>
      <c r="F3397" t="s">
        <v>2414</v>
      </c>
      <c r="G3397" t="s">
        <v>2985</v>
      </c>
      <c r="H3397" t="s">
        <v>5917</v>
      </c>
      <c r="I3397" t="s">
        <v>6591</v>
      </c>
      <c r="J3397" t="s">
        <v>7170</v>
      </c>
      <c r="K3397">
        <v>10452</v>
      </c>
      <c r="N3397" t="s">
        <v>7237</v>
      </c>
      <c r="O3397" t="s">
        <v>9400</v>
      </c>
      <c r="P3397">
        <v>3</v>
      </c>
      <c r="Q3397">
        <v>2</v>
      </c>
      <c r="R3397">
        <v>117.44</v>
      </c>
      <c r="U3397">
        <v>33800</v>
      </c>
      <c r="W3397">
        <v>0</v>
      </c>
      <c r="Y3397" t="s">
        <v>10899</v>
      </c>
      <c r="AA3397" t="s">
        <v>10974</v>
      </c>
      <c r="AB3397" t="s">
        <v>458</v>
      </c>
      <c r="AD3397" t="s">
        <v>11096</v>
      </c>
      <c r="AF3397" t="s">
        <v>11122</v>
      </c>
      <c r="AH3397" t="s">
        <v>10974</v>
      </c>
      <c r="AJ3397" t="s">
        <v>11141</v>
      </c>
      <c r="AK3397" t="s">
        <v>7225</v>
      </c>
      <c r="AM3397">
        <v>1310</v>
      </c>
      <c r="AO3397">
        <v>62</v>
      </c>
      <c r="AQ3397" t="s">
        <v>11157</v>
      </c>
      <c r="AS3397" t="s">
        <v>11173</v>
      </c>
      <c r="AU3397">
        <v>24</v>
      </c>
      <c r="AW3397" t="s">
        <v>11209</v>
      </c>
      <c r="AZ3397" t="s">
        <v>11221</v>
      </c>
      <c r="BE3397" t="s">
        <v>13615</v>
      </c>
      <c r="BG3397" t="s">
        <v>15203</v>
      </c>
      <c r="BM3397" t="s">
        <v>15650</v>
      </c>
    </row>
    <row r="3398" spans="1:65">
      <c r="A3398" s="1">
        <f>HYPERLINK("https://lsnyc.legalserver.org/matter/dynamic-profile/view/0822724","16-0822724")</f>
        <v>0</v>
      </c>
      <c r="B3398" t="s">
        <v>193</v>
      </c>
      <c r="C3398" t="s">
        <v>246</v>
      </c>
      <c r="D3398" t="s">
        <v>281</v>
      </c>
      <c r="F3398" t="s">
        <v>1766</v>
      </c>
      <c r="G3398" t="s">
        <v>4264</v>
      </c>
      <c r="H3398" t="s">
        <v>5917</v>
      </c>
      <c r="I3398" t="s">
        <v>6573</v>
      </c>
      <c r="J3398" t="s">
        <v>7170</v>
      </c>
      <c r="K3398">
        <v>10452</v>
      </c>
      <c r="N3398" t="s">
        <v>7237</v>
      </c>
      <c r="O3398" t="s">
        <v>9427</v>
      </c>
      <c r="P3398">
        <v>2</v>
      </c>
      <c r="Q3398">
        <v>0</v>
      </c>
      <c r="R3398">
        <v>170.19</v>
      </c>
      <c r="U3398">
        <v>35664</v>
      </c>
      <c r="W3398">
        <v>0.3</v>
      </c>
      <c r="X3398" t="s">
        <v>758</v>
      </c>
      <c r="Y3398" t="s">
        <v>10899</v>
      </c>
      <c r="AA3398" t="s">
        <v>10974</v>
      </c>
      <c r="AB3398" t="s">
        <v>774</v>
      </c>
      <c r="AD3398" t="s">
        <v>11096</v>
      </c>
      <c r="AF3398" t="s">
        <v>11122</v>
      </c>
      <c r="AH3398" t="s">
        <v>10974</v>
      </c>
      <c r="AJ3398" t="s">
        <v>11141</v>
      </c>
      <c r="AK3398" t="s">
        <v>7225</v>
      </c>
      <c r="AM3398">
        <v>789.7</v>
      </c>
      <c r="AO3398">
        <v>62</v>
      </c>
      <c r="AQ3398" t="s">
        <v>11157</v>
      </c>
      <c r="AS3398" t="s">
        <v>11173</v>
      </c>
      <c r="AU3398">
        <v>39</v>
      </c>
      <c r="AW3398" t="s">
        <v>11209</v>
      </c>
      <c r="AZ3398" t="s">
        <v>11221</v>
      </c>
      <c r="BE3398" t="s">
        <v>13645</v>
      </c>
      <c r="BG3398" t="s">
        <v>15202</v>
      </c>
      <c r="BM3398" t="s">
        <v>15650</v>
      </c>
    </row>
    <row r="3399" spans="1:65">
      <c r="A3399" s="1">
        <f>HYPERLINK("https://lsnyc.legalserver.org/matter/dynamic-profile/view/0816936","16-0816936")</f>
        <v>0</v>
      </c>
      <c r="B3399" t="s">
        <v>193</v>
      </c>
      <c r="C3399" t="s">
        <v>246</v>
      </c>
      <c r="D3399" t="s">
        <v>494</v>
      </c>
      <c r="F3399" t="s">
        <v>1766</v>
      </c>
      <c r="G3399" t="s">
        <v>4264</v>
      </c>
      <c r="H3399" t="s">
        <v>5917</v>
      </c>
      <c r="I3399" t="s">
        <v>6573</v>
      </c>
      <c r="J3399" t="s">
        <v>7170</v>
      </c>
      <c r="K3399">
        <v>10452</v>
      </c>
      <c r="N3399" t="s">
        <v>7237</v>
      </c>
      <c r="O3399" t="s">
        <v>9427</v>
      </c>
      <c r="P3399">
        <v>2</v>
      </c>
      <c r="Q3399">
        <v>0</v>
      </c>
      <c r="R3399">
        <v>170.19</v>
      </c>
      <c r="U3399">
        <v>35664</v>
      </c>
      <c r="W3399">
        <v>0.8</v>
      </c>
      <c r="X3399" t="s">
        <v>758</v>
      </c>
      <c r="Y3399" t="s">
        <v>10899</v>
      </c>
      <c r="AA3399" t="s">
        <v>10974</v>
      </c>
      <c r="AB3399" t="s">
        <v>838</v>
      </c>
      <c r="AD3399" t="s">
        <v>11096</v>
      </c>
      <c r="AF3399" t="s">
        <v>11122</v>
      </c>
      <c r="AH3399" t="s">
        <v>10974</v>
      </c>
      <c r="AJ3399" t="s">
        <v>11141</v>
      </c>
      <c r="AK3399" t="s">
        <v>7225</v>
      </c>
      <c r="AM3399">
        <v>789.7</v>
      </c>
      <c r="AO3399">
        <v>62</v>
      </c>
      <c r="AQ3399" t="s">
        <v>11157</v>
      </c>
      <c r="AS3399" t="s">
        <v>11173</v>
      </c>
      <c r="AU3399">
        <v>39</v>
      </c>
      <c r="AW3399" t="s">
        <v>11189</v>
      </c>
      <c r="AZ3399" t="s">
        <v>11221</v>
      </c>
      <c r="BE3399" t="s">
        <v>13645</v>
      </c>
      <c r="BG3399" t="s">
        <v>15206</v>
      </c>
      <c r="BM3399" t="s">
        <v>15650</v>
      </c>
    </row>
    <row r="3400" spans="1:65">
      <c r="A3400" s="1">
        <f>HYPERLINK("https://lsnyc.legalserver.org/matter/dynamic-profile/view/0822575","16-0822575")</f>
        <v>0</v>
      </c>
      <c r="B3400" t="s">
        <v>193</v>
      </c>
      <c r="C3400" t="s">
        <v>246</v>
      </c>
      <c r="D3400" t="s">
        <v>980</v>
      </c>
      <c r="F3400" t="s">
        <v>1383</v>
      </c>
      <c r="G3400" t="s">
        <v>3004</v>
      </c>
      <c r="H3400" t="s">
        <v>5917</v>
      </c>
      <c r="I3400" t="s">
        <v>6437</v>
      </c>
      <c r="J3400" t="s">
        <v>7170</v>
      </c>
      <c r="K3400">
        <v>10452</v>
      </c>
      <c r="N3400" t="s">
        <v>7237</v>
      </c>
      <c r="O3400" t="s">
        <v>9399</v>
      </c>
      <c r="P3400">
        <v>3</v>
      </c>
      <c r="Q3400">
        <v>0</v>
      </c>
      <c r="R3400">
        <v>167.05</v>
      </c>
      <c r="U3400">
        <v>33677.8</v>
      </c>
      <c r="W3400">
        <v>0.3</v>
      </c>
      <c r="X3400" t="s">
        <v>458</v>
      </c>
      <c r="Y3400" t="s">
        <v>10899</v>
      </c>
      <c r="AA3400" t="s">
        <v>10974</v>
      </c>
      <c r="AB3400" t="s">
        <v>980</v>
      </c>
      <c r="AD3400" t="s">
        <v>11096</v>
      </c>
      <c r="AF3400" t="s">
        <v>11122</v>
      </c>
      <c r="AH3400" t="s">
        <v>10974</v>
      </c>
      <c r="AJ3400" t="s">
        <v>11141</v>
      </c>
      <c r="AK3400" t="s">
        <v>7225</v>
      </c>
      <c r="AM3400">
        <v>1642.54</v>
      </c>
      <c r="AO3400">
        <v>62</v>
      </c>
      <c r="AQ3400" t="s">
        <v>11157</v>
      </c>
      <c r="AS3400" t="s">
        <v>11174</v>
      </c>
      <c r="AU3400">
        <v>15</v>
      </c>
      <c r="AW3400" t="s">
        <v>11189</v>
      </c>
      <c r="AZ3400" t="s">
        <v>11221</v>
      </c>
      <c r="BE3400" t="s">
        <v>13614</v>
      </c>
      <c r="BG3400" t="s">
        <v>15202</v>
      </c>
      <c r="BM3400" t="s">
        <v>15650</v>
      </c>
    </row>
    <row r="3401" spans="1:65">
      <c r="A3401" s="1">
        <f>HYPERLINK("https://lsnyc.legalserver.org/matter/dynamic-profile/view/1858760","18-1858760")</f>
        <v>0</v>
      </c>
      <c r="B3401" t="s">
        <v>193</v>
      </c>
      <c r="C3401" t="s">
        <v>246</v>
      </c>
      <c r="D3401" t="s">
        <v>1002</v>
      </c>
      <c r="F3401" t="s">
        <v>1766</v>
      </c>
      <c r="G3401" t="s">
        <v>4264</v>
      </c>
      <c r="H3401" t="s">
        <v>5917</v>
      </c>
      <c r="I3401" t="s">
        <v>6573</v>
      </c>
      <c r="J3401" t="s">
        <v>7170</v>
      </c>
      <c r="K3401">
        <v>10452</v>
      </c>
      <c r="N3401" t="s">
        <v>7237</v>
      </c>
      <c r="O3401" t="s">
        <v>9427</v>
      </c>
      <c r="P3401">
        <v>2</v>
      </c>
      <c r="Q3401">
        <v>0</v>
      </c>
      <c r="R3401">
        <v>216.67</v>
      </c>
      <c r="U3401">
        <v>35664</v>
      </c>
      <c r="W3401">
        <v>0</v>
      </c>
      <c r="Y3401" t="s">
        <v>210</v>
      </c>
      <c r="AA3401" t="s">
        <v>10974</v>
      </c>
      <c r="AB3401" t="s">
        <v>680</v>
      </c>
      <c r="AD3401" t="s">
        <v>11096</v>
      </c>
      <c r="AF3401" t="s">
        <v>11122</v>
      </c>
      <c r="AH3401" t="s">
        <v>10974</v>
      </c>
      <c r="AJ3401" t="s">
        <v>11141</v>
      </c>
      <c r="AK3401" t="s">
        <v>7225</v>
      </c>
      <c r="AL3401" t="s">
        <v>11150</v>
      </c>
      <c r="AM3401">
        <v>0</v>
      </c>
      <c r="AO3401">
        <v>62</v>
      </c>
      <c r="AQ3401" t="s">
        <v>11157</v>
      </c>
      <c r="AS3401" t="s">
        <v>11173</v>
      </c>
      <c r="AT3401" t="s">
        <v>11184</v>
      </c>
      <c r="AU3401">
        <v>0</v>
      </c>
      <c r="AW3401" t="s">
        <v>11189</v>
      </c>
      <c r="AZ3401" t="s">
        <v>11221</v>
      </c>
      <c r="BE3401" t="s">
        <v>13645</v>
      </c>
      <c r="BG3401" t="s">
        <v>15203</v>
      </c>
      <c r="BM3401" t="s">
        <v>15650</v>
      </c>
    </row>
    <row r="3402" spans="1:65">
      <c r="A3402" s="1">
        <f>HYPERLINK("https://lsnyc.legalserver.org/matter/dynamic-profile/view/0797650","16-0797650")</f>
        <v>0</v>
      </c>
      <c r="B3402" t="s">
        <v>193</v>
      </c>
      <c r="C3402" t="s">
        <v>246</v>
      </c>
      <c r="D3402" t="s">
        <v>989</v>
      </c>
      <c r="F3402" t="s">
        <v>1456</v>
      </c>
      <c r="G3402" t="s">
        <v>3209</v>
      </c>
      <c r="H3402" t="s">
        <v>5233</v>
      </c>
      <c r="I3402" t="s">
        <v>6968</v>
      </c>
      <c r="J3402" t="s">
        <v>7170</v>
      </c>
      <c r="K3402">
        <v>10453</v>
      </c>
      <c r="N3402" t="s">
        <v>7237</v>
      </c>
      <c r="O3402" t="s">
        <v>9359</v>
      </c>
      <c r="P3402">
        <v>1</v>
      </c>
      <c r="Q3402">
        <v>0</v>
      </c>
      <c r="R3402">
        <v>28.89</v>
      </c>
      <c r="U3402">
        <v>3432</v>
      </c>
      <c r="W3402">
        <v>315.35</v>
      </c>
      <c r="X3402" t="s">
        <v>1010</v>
      </c>
      <c r="Y3402" t="s">
        <v>138</v>
      </c>
      <c r="AA3402" t="s">
        <v>10974</v>
      </c>
      <c r="AB3402" t="s">
        <v>398</v>
      </c>
      <c r="AD3402" t="s">
        <v>11107</v>
      </c>
      <c r="AF3402" t="s">
        <v>11118</v>
      </c>
      <c r="AH3402" t="s">
        <v>10974</v>
      </c>
      <c r="AJ3402" t="s">
        <v>11141</v>
      </c>
      <c r="AK3402" t="s">
        <v>7225</v>
      </c>
      <c r="AM3402">
        <v>533.61</v>
      </c>
      <c r="AN3402" t="s">
        <v>11151</v>
      </c>
      <c r="AO3402" t="s">
        <v>11153</v>
      </c>
      <c r="AQ3402" t="s">
        <v>11157</v>
      </c>
      <c r="AR3402" t="s">
        <v>11172</v>
      </c>
      <c r="AU3402">
        <v>30</v>
      </c>
      <c r="AW3402" t="s">
        <v>11187</v>
      </c>
      <c r="AZ3402" t="s">
        <v>11221</v>
      </c>
      <c r="BE3402" t="s">
        <v>13577</v>
      </c>
      <c r="BG3402" t="s">
        <v>15211</v>
      </c>
      <c r="BM3402" t="s">
        <v>15650</v>
      </c>
    </row>
    <row r="3403" spans="1:65">
      <c r="A3403" s="1">
        <f>HYPERLINK("https://lsnyc.legalserver.org/matter/dynamic-profile/view/1833966","17-1833966")</f>
        <v>0</v>
      </c>
      <c r="B3403" t="s">
        <v>193</v>
      </c>
      <c r="C3403" t="s">
        <v>246</v>
      </c>
      <c r="D3403" t="s">
        <v>988</v>
      </c>
      <c r="F3403" t="s">
        <v>1456</v>
      </c>
      <c r="G3403" t="s">
        <v>3209</v>
      </c>
      <c r="H3403" t="s">
        <v>5233</v>
      </c>
      <c r="I3403" t="s">
        <v>6968</v>
      </c>
      <c r="J3403" t="s">
        <v>7170</v>
      </c>
      <c r="K3403">
        <v>10453</v>
      </c>
      <c r="N3403" t="s">
        <v>7237</v>
      </c>
      <c r="O3403" t="s">
        <v>9359</v>
      </c>
      <c r="P3403">
        <v>1</v>
      </c>
      <c r="Q3403">
        <v>0</v>
      </c>
      <c r="R3403">
        <v>28.46</v>
      </c>
      <c r="U3403">
        <v>3432</v>
      </c>
      <c r="W3403">
        <v>5.4</v>
      </c>
      <c r="X3403" t="s">
        <v>289</v>
      </c>
      <c r="Y3403" t="s">
        <v>10899</v>
      </c>
      <c r="AA3403" t="s">
        <v>10974</v>
      </c>
      <c r="AB3403" t="s">
        <v>11007</v>
      </c>
      <c r="AD3403" t="s">
        <v>11101</v>
      </c>
      <c r="AF3403" t="s">
        <v>11118</v>
      </c>
      <c r="AH3403" t="s">
        <v>10974</v>
      </c>
      <c r="AJ3403" t="s">
        <v>11129</v>
      </c>
      <c r="AK3403" t="s">
        <v>7225</v>
      </c>
      <c r="AM3403">
        <v>533.61</v>
      </c>
      <c r="AO3403">
        <v>46</v>
      </c>
      <c r="AQ3403" t="s">
        <v>11157</v>
      </c>
      <c r="AR3403" t="s">
        <v>11172</v>
      </c>
      <c r="AU3403">
        <v>30</v>
      </c>
      <c r="AW3403" t="s">
        <v>11187</v>
      </c>
      <c r="AZ3403" t="s">
        <v>11221</v>
      </c>
      <c r="BE3403" t="s">
        <v>13577</v>
      </c>
      <c r="BF3403" t="s">
        <v>14364</v>
      </c>
      <c r="BG3403" t="s">
        <v>15225</v>
      </c>
      <c r="BM3403" t="s">
        <v>15650</v>
      </c>
    </row>
    <row r="3404" spans="1:65">
      <c r="A3404" s="1">
        <f>HYPERLINK("https://lsnyc.legalserver.org/matter/dynamic-profile/view/0799269","16-0799269")</f>
        <v>0</v>
      </c>
      <c r="B3404" t="s">
        <v>193</v>
      </c>
      <c r="C3404" t="s">
        <v>246</v>
      </c>
      <c r="D3404" t="s">
        <v>996</v>
      </c>
      <c r="F3404" t="s">
        <v>1475</v>
      </c>
      <c r="G3404" t="s">
        <v>3514</v>
      </c>
      <c r="H3404" t="s">
        <v>5917</v>
      </c>
      <c r="I3404" t="s">
        <v>6503</v>
      </c>
      <c r="J3404" t="s">
        <v>7170</v>
      </c>
      <c r="K3404">
        <v>10452</v>
      </c>
      <c r="N3404" t="s">
        <v>7237</v>
      </c>
      <c r="O3404" t="s">
        <v>9430</v>
      </c>
      <c r="P3404">
        <v>2</v>
      </c>
      <c r="Q3404">
        <v>0</v>
      </c>
      <c r="R3404">
        <v>170.94</v>
      </c>
      <c r="U3404">
        <v>27384</v>
      </c>
      <c r="W3404">
        <v>1</v>
      </c>
      <c r="X3404" t="s">
        <v>758</v>
      </c>
      <c r="Y3404" t="s">
        <v>138</v>
      </c>
      <c r="AA3404" t="s">
        <v>10974</v>
      </c>
      <c r="AB3404" t="s">
        <v>999</v>
      </c>
      <c r="AD3404" t="s">
        <v>11096</v>
      </c>
      <c r="AF3404" t="s">
        <v>11122</v>
      </c>
      <c r="AH3404" t="s">
        <v>10974</v>
      </c>
      <c r="AJ3404" t="s">
        <v>11141</v>
      </c>
      <c r="AK3404" t="s">
        <v>7225</v>
      </c>
      <c r="AM3404">
        <v>783.99</v>
      </c>
      <c r="AO3404">
        <v>61</v>
      </c>
      <c r="AQ3404" t="s">
        <v>11157</v>
      </c>
      <c r="AS3404" t="s">
        <v>11173</v>
      </c>
      <c r="AU3404">
        <v>40</v>
      </c>
      <c r="AW3404" t="s">
        <v>11189</v>
      </c>
      <c r="AZ3404" t="s">
        <v>11221</v>
      </c>
      <c r="BE3404" t="s">
        <v>13649</v>
      </c>
      <c r="BF3404" t="s">
        <v>14364</v>
      </c>
      <c r="BG3404" t="s">
        <v>15204</v>
      </c>
      <c r="BM3404" t="s">
        <v>15650</v>
      </c>
    </row>
    <row r="3405" spans="1:65">
      <c r="A3405" s="1">
        <f>HYPERLINK("https://lsnyc.legalserver.org/matter/dynamic-profile/view/0799258","16-0799258")</f>
        <v>0</v>
      </c>
      <c r="B3405" t="s">
        <v>193</v>
      </c>
      <c r="C3405" t="s">
        <v>246</v>
      </c>
      <c r="D3405" t="s">
        <v>996</v>
      </c>
      <c r="F3405" t="s">
        <v>1383</v>
      </c>
      <c r="G3405" t="s">
        <v>3004</v>
      </c>
      <c r="H3405" t="s">
        <v>5917</v>
      </c>
      <c r="I3405" t="s">
        <v>6437</v>
      </c>
      <c r="J3405" t="s">
        <v>7170</v>
      </c>
      <c r="K3405">
        <v>10452</v>
      </c>
      <c r="N3405" t="s">
        <v>7237</v>
      </c>
      <c r="O3405" t="s">
        <v>9399</v>
      </c>
      <c r="P3405">
        <v>3</v>
      </c>
      <c r="Q3405">
        <v>0</v>
      </c>
      <c r="R3405">
        <v>167.05</v>
      </c>
      <c r="U3405">
        <v>33677.8</v>
      </c>
      <c r="W3405">
        <v>0.55</v>
      </c>
      <c r="X3405" t="s">
        <v>758</v>
      </c>
      <c r="Y3405" t="s">
        <v>138</v>
      </c>
      <c r="AA3405" t="s">
        <v>10974</v>
      </c>
      <c r="AB3405" t="s">
        <v>999</v>
      </c>
      <c r="AD3405" t="s">
        <v>11096</v>
      </c>
      <c r="AF3405" t="s">
        <v>11122</v>
      </c>
      <c r="AH3405" t="s">
        <v>10974</v>
      </c>
      <c r="AJ3405" t="s">
        <v>11141</v>
      </c>
      <c r="AK3405" t="s">
        <v>7225</v>
      </c>
      <c r="AM3405">
        <v>1642.54</v>
      </c>
      <c r="AO3405">
        <v>61</v>
      </c>
      <c r="AQ3405" t="s">
        <v>11157</v>
      </c>
      <c r="AS3405" t="s">
        <v>11174</v>
      </c>
      <c r="AU3405">
        <v>15</v>
      </c>
      <c r="AW3405" t="s">
        <v>11189</v>
      </c>
      <c r="AZ3405" t="s">
        <v>11221</v>
      </c>
      <c r="BE3405" t="s">
        <v>13614</v>
      </c>
      <c r="BF3405" t="s">
        <v>14364</v>
      </c>
      <c r="BG3405" t="s">
        <v>15204</v>
      </c>
      <c r="BM3405" t="s">
        <v>15650</v>
      </c>
    </row>
    <row r="3406" spans="1:65">
      <c r="A3406" s="1">
        <f>HYPERLINK("https://lsnyc.legalserver.org/matter/dynamic-profile/view/1854948","18-1854948")</f>
        <v>0</v>
      </c>
      <c r="B3406" t="s">
        <v>193</v>
      </c>
      <c r="C3406" t="s">
        <v>246</v>
      </c>
      <c r="D3406" t="s">
        <v>360</v>
      </c>
      <c r="F3406" t="s">
        <v>1475</v>
      </c>
      <c r="G3406" t="s">
        <v>3483</v>
      </c>
      <c r="H3406" t="s">
        <v>5917</v>
      </c>
      <c r="I3406" t="s">
        <v>6611</v>
      </c>
      <c r="J3406" t="s">
        <v>7170</v>
      </c>
      <c r="K3406">
        <v>10452</v>
      </c>
      <c r="N3406" t="s">
        <v>7237</v>
      </c>
      <c r="O3406" t="s">
        <v>9395</v>
      </c>
      <c r="P3406">
        <v>2</v>
      </c>
      <c r="Q3406">
        <v>2</v>
      </c>
      <c r="R3406">
        <v>59.02</v>
      </c>
      <c r="U3406">
        <v>14520</v>
      </c>
      <c r="W3406">
        <v>0</v>
      </c>
      <c r="Y3406" t="s">
        <v>10899</v>
      </c>
      <c r="AA3406" t="s">
        <v>10974</v>
      </c>
      <c r="AB3406" t="s">
        <v>458</v>
      </c>
      <c r="AD3406" t="s">
        <v>11096</v>
      </c>
      <c r="AF3406" t="s">
        <v>11122</v>
      </c>
      <c r="AH3406" t="s">
        <v>10974</v>
      </c>
      <c r="AJ3406" t="s">
        <v>11141</v>
      </c>
      <c r="AK3406" t="s">
        <v>7225</v>
      </c>
      <c r="AM3406">
        <v>854.7</v>
      </c>
      <c r="AO3406">
        <v>62</v>
      </c>
      <c r="AQ3406" t="s">
        <v>11157</v>
      </c>
      <c r="AS3406" t="s">
        <v>11173</v>
      </c>
      <c r="AU3406">
        <v>20</v>
      </c>
      <c r="AW3406" t="s">
        <v>11187</v>
      </c>
      <c r="AZ3406" t="s">
        <v>11221</v>
      </c>
      <c r="BE3406" t="s">
        <v>13610</v>
      </c>
      <c r="BG3406" t="s">
        <v>15203</v>
      </c>
      <c r="BM3406" t="s">
        <v>15650</v>
      </c>
    </row>
    <row r="3407" spans="1:65">
      <c r="A3407" s="1">
        <f>HYPERLINK("https://lsnyc.legalserver.org/matter/dynamic-profile/view/0794225","15-0794225")</f>
        <v>0</v>
      </c>
      <c r="B3407" t="s">
        <v>193</v>
      </c>
      <c r="C3407" t="s">
        <v>246</v>
      </c>
      <c r="D3407" t="s">
        <v>989</v>
      </c>
      <c r="F3407" t="s">
        <v>1093</v>
      </c>
      <c r="G3407" t="s">
        <v>2938</v>
      </c>
      <c r="H3407" t="s">
        <v>5233</v>
      </c>
      <c r="I3407" t="s">
        <v>6985</v>
      </c>
      <c r="J3407" t="s">
        <v>7170</v>
      </c>
      <c r="K3407">
        <v>10453</v>
      </c>
      <c r="N3407" t="s">
        <v>7237</v>
      </c>
      <c r="O3407" t="s">
        <v>8386</v>
      </c>
      <c r="P3407">
        <v>1</v>
      </c>
      <c r="Q3407">
        <v>2</v>
      </c>
      <c r="R3407">
        <v>7.77</v>
      </c>
      <c r="U3407">
        <v>1560</v>
      </c>
      <c r="W3407">
        <v>0.32</v>
      </c>
      <c r="X3407" t="s">
        <v>913</v>
      </c>
      <c r="Y3407" t="s">
        <v>138</v>
      </c>
      <c r="AA3407" t="s">
        <v>10974</v>
      </c>
      <c r="AB3407" t="s">
        <v>791</v>
      </c>
      <c r="AD3407" t="s">
        <v>11107</v>
      </c>
      <c r="AF3407" t="s">
        <v>11118</v>
      </c>
      <c r="AH3407" t="s">
        <v>10974</v>
      </c>
      <c r="AJ3407" t="s">
        <v>11130</v>
      </c>
      <c r="AK3407" t="s">
        <v>7225</v>
      </c>
      <c r="AL3407" t="s">
        <v>11150</v>
      </c>
      <c r="AM3407">
        <v>0</v>
      </c>
      <c r="AN3407" t="s">
        <v>11151</v>
      </c>
      <c r="AO3407" t="s">
        <v>11153</v>
      </c>
      <c r="AQ3407" t="s">
        <v>11157</v>
      </c>
      <c r="AR3407" t="s">
        <v>11172</v>
      </c>
      <c r="AU3407">
        <v>3</v>
      </c>
      <c r="AW3407" t="s">
        <v>11189</v>
      </c>
      <c r="AZ3407" t="s">
        <v>11221</v>
      </c>
      <c r="BD3407" t="s">
        <v>11667</v>
      </c>
      <c r="BG3407" t="s">
        <v>15211</v>
      </c>
      <c r="BM3407" t="s">
        <v>15650</v>
      </c>
    </row>
    <row r="3408" spans="1:65">
      <c r="A3408" s="1">
        <f>HYPERLINK("https://lsnyc.legalserver.org/matter/dynamic-profile/view/0816978","16-0816978")</f>
        <v>0</v>
      </c>
      <c r="B3408" t="s">
        <v>193</v>
      </c>
      <c r="C3408" t="s">
        <v>246</v>
      </c>
      <c r="D3408" t="s">
        <v>494</v>
      </c>
      <c r="F3408" t="s">
        <v>1383</v>
      </c>
      <c r="G3408" t="s">
        <v>3004</v>
      </c>
      <c r="H3408" t="s">
        <v>5917</v>
      </c>
      <c r="I3408" t="s">
        <v>6437</v>
      </c>
      <c r="J3408" t="s">
        <v>7170</v>
      </c>
      <c r="K3408">
        <v>10452</v>
      </c>
      <c r="N3408" t="s">
        <v>7237</v>
      </c>
      <c r="O3408" t="s">
        <v>9399</v>
      </c>
      <c r="P3408">
        <v>3</v>
      </c>
      <c r="Q3408">
        <v>0</v>
      </c>
      <c r="R3408">
        <v>167.05</v>
      </c>
      <c r="U3408">
        <v>33677.8</v>
      </c>
      <c r="W3408">
        <v>0.8</v>
      </c>
      <c r="X3408" t="s">
        <v>758</v>
      </c>
      <c r="Y3408" t="s">
        <v>10899</v>
      </c>
      <c r="AA3408" t="s">
        <v>10974</v>
      </c>
      <c r="AB3408" t="s">
        <v>838</v>
      </c>
      <c r="AD3408" t="s">
        <v>11096</v>
      </c>
      <c r="AF3408" t="s">
        <v>11122</v>
      </c>
      <c r="AH3408" t="s">
        <v>10974</v>
      </c>
      <c r="AJ3408" t="s">
        <v>11141</v>
      </c>
      <c r="AK3408" t="s">
        <v>7225</v>
      </c>
      <c r="AM3408">
        <v>1642.54</v>
      </c>
      <c r="AO3408">
        <v>62</v>
      </c>
      <c r="AQ3408" t="s">
        <v>11157</v>
      </c>
      <c r="AS3408" t="s">
        <v>11174</v>
      </c>
      <c r="AU3408">
        <v>15</v>
      </c>
      <c r="AW3408" t="s">
        <v>11189</v>
      </c>
      <c r="AZ3408" t="s">
        <v>11221</v>
      </c>
      <c r="BE3408" t="s">
        <v>13614</v>
      </c>
      <c r="BG3408" t="s">
        <v>15206</v>
      </c>
      <c r="BM3408" t="s">
        <v>15650</v>
      </c>
    </row>
    <row r="3409" spans="1:67">
      <c r="A3409" s="1">
        <f>HYPERLINK("https://lsnyc.legalserver.org/matter/dynamic-profile/view/0799619","16-0799619")</f>
        <v>0</v>
      </c>
      <c r="B3409" t="s">
        <v>193</v>
      </c>
      <c r="C3409" t="s">
        <v>246</v>
      </c>
      <c r="D3409" t="s">
        <v>996</v>
      </c>
      <c r="F3409" t="s">
        <v>1766</v>
      </c>
      <c r="G3409" t="s">
        <v>4264</v>
      </c>
      <c r="H3409" t="s">
        <v>5917</v>
      </c>
      <c r="I3409" t="s">
        <v>6573</v>
      </c>
      <c r="J3409" t="s">
        <v>7170</v>
      </c>
      <c r="K3409">
        <v>10452</v>
      </c>
      <c r="N3409" t="s">
        <v>7237</v>
      </c>
      <c r="O3409" t="s">
        <v>9427</v>
      </c>
      <c r="P3409">
        <v>2</v>
      </c>
      <c r="Q3409">
        <v>0</v>
      </c>
      <c r="R3409">
        <v>170.19</v>
      </c>
      <c r="U3409">
        <v>27264</v>
      </c>
      <c r="W3409">
        <v>0.5</v>
      </c>
      <c r="X3409" t="s">
        <v>758</v>
      </c>
      <c r="Y3409" t="s">
        <v>138</v>
      </c>
      <c r="AA3409" t="s">
        <v>10974</v>
      </c>
      <c r="AB3409" t="s">
        <v>999</v>
      </c>
      <c r="AD3409" t="s">
        <v>11096</v>
      </c>
      <c r="AF3409" t="s">
        <v>11122</v>
      </c>
      <c r="AH3409" t="s">
        <v>10974</v>
      </c>
      <c r="AJ3409" t="s">
        <v>11141</v>
      </c>
      <c r="AK3409" t="s">
        <v>7225</v>
      </c>
      <c r="AM3409">
        <v>789.7</v>
      </c>
      <c r="AO3409">
        <v>61</v>
      </c>
      <c r="AQ3409" t="s">
        <v>11157</v>
      </c>
      <c r="AS3409" t="s">
        <v>11173</v>
      </c>
      <c r="AU3409">
        <v>39</v>
      </c>
      <c r="AW3409" t="s">
        <v>11209</v>
      </c>
      <c r="AZ3409" t="s">
        <v>11221</v>
      </c>
      <c r="BE3409" t="s">
        <v>13645</v>
      </c>
      <c r="BF3409" t="s">
        <v>14364</v>
      </c>
      <c r="BG3409" t="s">
        <v>15204</v>
      </c>
      <c r="BM3409" t="s">
        <v>15650</v>
      </c>
    </row>
    <row r="3410" spans="1:67">
      <c r="A3410" s="1">
        <f>HYPERLINK("https://lsnyc.legalserver.org/matter/dynamic-profile/view/E-68000282","S12E-68000282")</f>
        <v>0</v>
      </c>
      <c r="B3410" t="s">
        <v>194</v>
      </c>
      <c r="C3410" t="s">
        <v>248</v>
      </c>
      <c r="D3410" t="s">
        <v>1003</v>
      </c>
      <c r="F3410" t="s">
        <v>2453</v>
      </c>
      <c r="G3410" t="s">
        <v>4268</v>
      </c>
      <c r="H3410" t="s">
        <v>5937</v>
      </c>
      <c r="J3410" t="s">
        <v>7174</v>
      </c>
      <c r="K3410">
        <v>11209</v>
      </c>
      <c r="N3410" t="s">
        <v>7237</v>
      </c>
      <c r="O3410" t="s">
        <v>9434</v>
      </c>
      <c r="P3410">
        <v>1</v>
      </c>
      <c r="Q3410">
        <v>0</v>
      </c>
      <c r="R3410">
        <v>83.90000000000001</v>
      </c>
      <c r="U3410">
        <v>9372</v>
      </c>
      <c r="W3410">
        <v>239.65</v>
      </c>
      <c r="X3410" t="s">
        <v>588</v>
      </c>
      <c r="Y3410" t="s">
        <v>10958</v>
      </c>
      <c r="Z3410" t="s">
        <v>10972</v>
      </c>
      <c r="AA3410" t="s">
        <v>10976</v>
      </c>
      <c r="AD3410" t="s">
        <v>11096</v>
      </c>
      <c r="AF3410" t="s">
        <v>11122</v>
      </c>
      <c r="AG3410" t="s">
        <v>11124</v>
      </c>
      <c r="AI3410" t="s">
        <v>11126</v>
      </c>
      <c r="AK3410" t="s">
        <v>7225</v>
      </c>
      <c r="AL3410" t="s">
        <v>11150</v>
      </c>
      <c r="AM3410">
        <v>0</v>
      </c>
      <c r="AN3410" t="s">
        <v>11151</v>
      </c>
      <c r="AO3410" t="s">
        <v>11153</v>
      </c>
      <c r="AP3410" t="s">
        <v>11155</v>
      </c>
      <c r="AR3410" t="s">
        <v>11172</v>
      </c>
      <c r="AT3410" t="s">
        <v>11184</v>
      </c>
      <c r="AU3410">
        <v>0</v>
      </c>
      <c r="AW3410" t="s">
        <v>11187</v>
      </c>
      <c r="AX3410" t="s">
        <v>11212</v>
      </c>
      <c r="AZ3410" t="s">
        <v>11221</v>
      </c>
      <c r="BD3410" t="s">
        <v>11667</v>
      </c>
      <c r="BF3410" t="s">
        <v>14364</v>
      </c>
      <c r="BM3410" t="s">
        <v>15650</v>
      </c>
    </row>
    <row r="3411" spans="1:67">
      <c r="A3411" s="1">
        <f>HYPERLINK("https://lsnyc.legalserver.org/matter/dynamic-profile/view/1884815","18-1884815")</f>
        <v>0</v>
      </c>
      <c r="B3411" t="s">
        <v>195</v>
      </c>
      <c r="C3411" t="s">
        <v>248</v>
      </c>
      <c r="D3411" t="s">
        <v>668</v>
      </c>
      <c r="E3411" t="s">
        <v>297</v>
      </c>
      <c r="F3411" t="s">
        <v>2454</v>
      </c>
      <c r="G3411" t="s">
        <v>4269</v>
      </c>
      <c r="H3411" t="s">
        <v>5938</v>
      </c>
      <c r="I3411" t="s">
        <v>6493</v>
      </c>
      <c r="J3411" t="s">
        <v>7174</v>
      </c>
      <c r="K3411">
        <v>11207</v>
      </c>
      <c r="L3411" t="s">
        <v>7223</v>
      </c>
      <c r="N3411" t="s">
        <v>7237</v>
      </c>
      <c r="O3411" t="s">
        <v>9435</v>
      </c>
      <c r="P3411">
        <v>1</v>
      </c>
      <c r="Q3411">
        <v>0</v>
      </c>
      <c r="R3411">
        <v>82.73</v>
      </c>
      <c r="U3411">
        <v>10044</v>
      </c>
      <c r="W3411">
        <v>60.25</v>
      </c>
      <c r="X3411" t="s">
        <v>297</v>
      </c>
      <c r="Y3411" t="s">
        <v>10890</v>
      </c>
      <c r="Z3411" t="s">
        <v>10972</v>
      </c>
      <c r="AA3411" t="s">
        <v>10976</v>
      </c>
      <c r="AD3411" t="s">
        <v>11083</v>
      </c>
      <c r="AE3411" t="s">
        <v>11117</v>
      </c>
      <c r="AG3411" t="s">
        <v>11124</v>
      </c>
      <c r="AJ3411" t="s">
        <v>11143</v>
      </c>
      <c r="AK3411" t="s">
        <v>7225</v>
      </c>
      <c r="AM3411">
        <v>1200</v>
      </c>
      <c r="AO3411">
        <v>3</v>
      </c>
      <c r="AP3411" t="s">
        <v>11155</v>
      </c>
      <c r="AS3411" t="s">
        <v>11180</v>
      </c>
      <c r="AU3411">
        <v>4</v>
      </c>
      <c r="AW3411" t="s">
        <v>11187</v>
      </c>
      <c r="AX3411" t="s">
        <v>11212</v>
      </c>
      <c r="AZ3411" t="s">
        <v>11221</v>
      </c>
      <c r="BE3411" t="s">
        <v>13654</v>
      </c>
      <c r="BF3411" t="s">
        <v>14364</v>
      </c>
      <c r="BG3411" t="s">
        <v>15226</v>
      </c>
      <c r="BI3411" t="s">
        <v>15612</v>
      </c>
      <c r="BM3411" t="s">
        <v>15651</v>
      </c>
      <c r="BN3411" t="s">
        <v>15653</v>
      </c>
      <c r="BO3411" t="s">
        <v>15691</v>
      </c>
    </row>
    <row r="3412" spans="1:67">
      <c r="A3412" s="1">
        <f>HYPERLINK("https://lsnyc.legalserver.org/matter/dynamic-profile/view/1865107","18-1865107")</f>
        <v>0</v>
      </c>
      <c r="B3412" t="s">
        <v>196</v>
      </c>
      <c r="C3412" t="s">
        <v>247</v>
      </c>
      <c r="D3412" t="s">
        <v>962</v>
      </c>
      <c r="F3412" t="s">
        <v>2455</v>
      </c>
      <c r="G3412" t="s">
        <v>4270</v>
      </c>
      <c r="H3412" t="s">
        <v>5939</v>
      </c>
      <c r="I3412" t="s">
        <v>6440</v>
      </c>
      <c r="J3412" t="s">
        <v>7195</v>
      </c>
      <c r="K3412">
        <v>11105</v>
      </c>
      <c r="N3412" t="s">
        <v>7241</v>
      </c>
      <c r="O3412" t="s">
        <v>9436</v>
      </c>
      <c r="P3412">
        <v>1</v>
      </c>
      <c r="Q3412">
        <v>0</v>
      </c>
      <c r="R3412">
        <v>85.67</v>
      </c>
      <c r="U3412">
        <v>10400</v>
      </c>
      <c r="W3412">
        <v>65.59999999999999</v>
      </c>
      <c r="X3412" t="s">
        <v>266</v>
      </c>
      <c r="Y3412" t="s">
        <v>10959</v>
      </c>
      <c r="AA3412" t="s">
        <v>10974</v>
      </c>
      <c r="AB3412" t="s">
        <v>974</v>
      </c>
      <c r="AD3412" t="s">
        <v>11111</v>
      </c>
      <c r="AF3412" t="s">
        <v>11118</v>
      </c>
      <c r="AH3412" t="s">
        <v>10975</v>
      </c>
      <c r="AJ3412" t="s">
        <v>11129</v>
      </c>
      <c r="AK3412" t="s">
        <v>7225</v>
      </c>
      <c r="AM3412">
        <v>251</v>
      </c>
      <c r="AO3412">
        <v>9</v>
      </c>
      <c r="AQ3412" t="s">
        <v>11161</v>
      </c>
      <c r="AS3412" t="s">
        <v>11173</v>
      </c>
      <c r="AU3412">
        <v>6</v>
      </c>
      <c r="AW3412" t="s">
        <v>11189</v>
      </c>
      <c r="AY3412" t="s">
        <v>11213</v>
      </c>
      <c r="BA3412" t="s">
        <v>11222</v>
      </c>
      <c r="BC3412" t="s">
        <v>11540</v>
      </c>
      <c r="BE3412" t="s">
        <v>13655</v>
      </c>
      <c r="BF3412" t="s">
        <v>14364</v>
      </c>
      <c r="BG3412" t="s">
        <v>15227</v>
      </c>
      <c r="BM3412" t="s">
        <v>15650</v>
      </c>
    </row>
    <row r="3413" spans="1:67">
      <c r="A3413" s="1">
        <f>HYPERLINK("https://lsnyc.legalserver.org/matter/dynamic-profile/view/1891566","19-1891566")</f>
        <v>0</v>
      </c>
      <c r="B3413" t="s">
        <v>197</v>
      </c>
      <c r="C3413" t="s">
        <v>248</v>
      </c>
      <c r="D3413" t="s">
        <v>636</v>
      </c>
      <c r="F3413" t="s">
        <v>1379</v>
      </c>
      <c r="G3413" t="s">
        <v>1643</v>
      </c>
      <c r="H3413" t="s">
        <v>5124</v>
      </c>
      <c r="I3413" t="s">
        <v>6986</v>
      </c>
      <c r="J3413" t="s">
        <v>7174</v>
      </c>
      <c r="K3413">
        <v>11233</v>
      </c>
      <c r="N3413" t="s">
        <v>7237</v>
      </c>
      <c r="O3413" t="s">
        <v>9437</v>
      </c>
      <c r="P3413">
        <v>1</v>
      </c>
      <c r="Q3413">
        <v>2</v>
      </c>
      <c r="R3413">
        <v>281.29</v>
      </c>
      <c r="S3413" t="s">
        <v>776</v>
      </c>
      <c r="T3413" t="s">
        <v>10276</v>
      </c>
      <c r="U3413">
        <v>60000</v>
      </c>
      <c r="V3413" t="s">
        <v>10567</v>
      </c>
      <c r="W3413">
        <v>0</v>
      </c>
      <c r="Y3413" t="s">
        <v>225</v>
      </c>
      <c r="AA3413" t="s">
        <v>10974</v>
      </c>
      <c r="AB3413" t="s">
        <v>395</v>
      </c>
      <c r="AD3413" t="s">
        <v>11100</v>
      </c>
      <c r="AF3413" t="s">
        <v>10384</v>
      </c>
      <c r="AH3413" t="s">
        <v>10974</v>
      </c>
      <c r="AI3413" t="s">
        <v>11126</v>
      </c>
      <c r="AK3413" t="s">
        <v>7225</v>
      </c>
      <c r="AM3413">
        <v>1003</v>
      </c>
      <c r="AO3413">
        <v>359</v>
      </c>
      <c r="AQ3413" t="s">
        <v>11157</v>
      </c>
      <c r="AR3413" t="s">
        <v>11172</v>
      </c>
      <c r="AU3413">
        <v>13</v>
      </c>
      <c r="AW3413" t="s">
        <v>11187</v>
      </c>
      <c r="AY3413" t="s">
        <v>11213</v>
      </c>
      <c r="AZ3413" t="s">
        <v>11221</v>
      </c>
      <c r="BD3413" t="s">
        <v>11667</v>
      </c>
      <c r="BF3413" t="s">
        <v>14364</v>
      </c>
      <c r="BG3413" t="s">
        <v>11228</v>
      </c>
      <c r="BM3413" t="s">
        <v>15650</v>
      </c>
    </row>
    <row r="3414" spans="1:67">
      <c r="A3414" s="1">
        <f>HYPERLINK("https://lsnyc.legalserver.org/matter/dynamic-profile/view/1891452","19-1891452")</f>
        <v>0</v>
      </c>
      <c r="B3414" t="s">
        <v>197</v>
      </c>
      <c r="C3414" t="s">
        <v>248</v>
      </c>
      <c r="D3414" t="s">
        <v>636</v>
      </c>
      <c r="F3414" t="s">
        <v>1406</v>
      </c>
      <c r="G3414" t="s">
        <v>4271</v>
      </c>
      <c r="H3414" t="s">
        <v>5124</v>
      </c>
      <c r="I3414" t="s">
        <v>6416</v>
      </c>
      <c r="J3414" t="s">
        <v>7174</v>
      </c>
      <c r="K3414">
        <v>11233</v>
      </c>
      <c r="N3414" t="s">
        <v>7237</v>
      </c>
      <c r="O3414" t="s">
        <v>9438</v>
      </c>
      <c r="P3414">
        <v>2</v>
      </c>
      <c r="Q3414">
        <v>0</v>
      </c>
      <c r="R3414">
        <v>674.16</v>
      </c>
      <c r="U3414">
        <v>114000</v>
      </c>
      <c r="V3414" t="s">
        <v>10568</v>
      </c>
      <c r="W3414">
        <v>0</v>
      </c>
      <c r="Y3414" t="s">
        <v>101</v>
      </c>
      <c r="AA3414" t="s">
        <v>10974</v>
      </c>
      <c r="AB3414" t="s">
        <v>395</v>
      </c>
      <c r="AD3414" t="s">
        <v>11100</v>
      </c>
      <c r="AF3414" t="s">
        <v>10384</v>
      </c>
      <c r="AH3414" t="s">
        <v>10974</v>
      </c>
      <c r="AJ3414" t="s">
        <v>11134</v>
      </c>
      <c r="AK3414" t="s">
        <v>7225</v>
      </c>
      <c r="AM3414">
        <v>1133</v>
      </c>
      <c r="AO3414">
        <v>764</v>
      </c>
      <c r="AQ3414" t="s">
        <v>11157</v>
      </c>
      <c r="AS3414" t="s">
        <v>11173</v>
      </c>
      <c r="AU3414">
        <v>36</v>
      </c>
      <c r="AW3414" t="s">
        <v>11187</v>
      </c>
      <c r="AY3414" t="s">
        <v>11213</v>
      </c>
      <c r="AZ3414" t="s">
        <v>11221</v>
      </c>
      <c r="BE3414" t="s">
        <v>13656</v>
      </c>
      <c r="BF3414" t="s">
        <v>14364</v>
      </c>
      <c r="BM3414" t="s">
        <v>15650</v>
      </c>
    </row>
    <row r="3415" spans="1:67">
      <c r="A3415" s="1">
        <f>HYPERLINK("https://lsnyc.legalserver.org/matter/dynamic-profile/view/1897406","19-1897406")</f>
        <v>0</v>
      </c>
      <c r="B3415" t="s">
        <v>197</v>
      </c>
      <c r="C3415" t="s">
        <v>248</v>
      </c>
      <c r="D3415" t="s">
        <v>583</v>
      </c>
      <c r="F3415" t="s">
        <v>2456</v>
      </c>
      <c r="G3415" t="s">
        <v>4272</v>
      </c>
      <c r="H3415" t="s">
        <v>4798</v>
      </c>
      <c r="I3415" t="s">
        <v>6665</v>
      </c>
      <c r="J3415" t="s">
        <v>7174</v>
      </c>
      <c r="K3415">
        <v>11233</v>
      </c>
      <c r="N3415" t="s">
        <v>7237</v>
      </c>
      <c r="O3415" t="s">
        <v>9439</v>
      </c>
      <c r="P3415">
        <v>1</v>
      </c>
      <c r="Q3415">
        <v>0</v>
      </c>
      <c r="R3415">
        <v>264.21</v>
      </c>
      <c r="U3415">
        <v>33000</v>
      </c>
      <c r="V3415" t="s">
        <v>10569</v>
      </c>
      <c r="W3415">
        <v>0</v>
      </c>
      <c r="Y3415" t="s">
        <v>225</v>
      </c>
      <c r="AA3415" t="s">
        <v>10974</v>
      </c>
      <c r="AB3415" t="s">
        <v>395</v>
      </c>
      <c r="AD3415" t="s">
        <v>11100</v>
      </c>
      <c r="AF3415" t="s">
        <v>10384</v>
      </c>
      <c r="AH3415" t="s">
        <v>10974</v>
      </c>
      <c r="AJ3415" t="s">
        <v>11140</v>
      </c>
      <c r="AK3415" t="s">
        <v>7225</v>
      </c>
      <c r="AM3415">
        <v>601</v>
      </c>
      <c r="AO3415">
        <v>359</v>
      </c>
      <c r="AQ3415" t="s">
        <v>11157</v>
      </c>
      <c r="AR3415" t="s">
        <v>11172</v>
      </c>
      <c r="AU3415">
        <v>7</v>
      </c>
      <c r="AW3415" t="s">
        <v>11187</v>
      </c>
      <c r="AY3415" t="s">
        <v>11213</v>
      </c>
      <c r="AZ3415" t="s">
        <v>11221</v>
      </c>
      <c r="BD3415" t="s">
        <v>11667</v>
      </c>
      <c r="BF3415" t="s">
        <v>14364</v>
      </c>
      <c r="BM3415" t="s">
        <v>15650</v>
      </c>
    </row>
    <row r="3416" spans="1:67">
      <c r="A3416" s="1">
        <f>HYPERLINK("https://lsnyc.legalserver.org/matter/dynamic-profile/view/1897609","19-1897609")</f>
        <v>0</v>
      </c>
      <c r="B3416" t="s">
        <v>197</v>
      </c>
      <c r="C3416" t="s">
        <v>248</v>
      </c>
      <c r="D3416" t="s">
        <v>389</v>
      </c>
      <c r="F3416" t="s">
        <v>1116</v>
      </c>
      <c r="G3416" t="s">
        <v>4273</v>
      </c>
      <c r="H3416" t="s">
        <v>4798</v>
      </c>
      <c r="I3416" t="s">
        <v>6987</v>
      </c>
      <c r="J3416" t="s">
        <v>7174</v>
      </c>
      <c r="K3416">
        <v>11233</v>
      </c>
      <c r="N3416" t="s">
        <v>7237</v>
      </c>
      <c r="O3416" t="s">
        <v>9440</v>
      </c>
      <c r="P3416">
        <v>1</v>
      </c>
      <c r="Q3416">
        <v>0</v>
      </c>
      <c r="R3416">
        <v>256.2</v>
      </c>
      <c r="U3416">
        <v>32000</v>
      </c>
      <c r="V3416" t="s">
        <v>10569</v>
      </c>
      <c r="W3416">
        <v>0</v>
      </c>
      <c r="Y3416" t="s">
        <v>225</v>
      </c>
      <c r="AA3416" t="s">
        <v>10974</v>
      </c>
      <c r="AB3416" t="s">
        <v>874</v>
      </c>
      <c r="AD3416" t="s">
        <v>11098</v>
      </c>
      <c r="AF3416" t="s">
        <v>11122</v>
      </c>
      <c r="AH3416" t="s">
        <v>10974</v>
      </c>
      <c r="AJ3416" t="s">
        <v>11140</v>
      </c>
      <c r="AK3416" t="s">
        <v>7225</v>
      </c>
      <c r="AM3416">
        <v>865</v>
      </c>
      <c r="AO3416">
        <v>359</v>
      </c>
      <c r="AQ3416" t="s">
        <v>11157</v>
      </c>
      <c r="AR3416" t="s">
        <v>11172</v>
      </c>
      <c r="AU3416">
        <v>26</v>
      </c>
      <c r="AW3416" t="s">
        <v>11187</v>
      </c>
      <c r="AY3416" t="s">
        <v>11213</v>
      </c>
      <c r="AZ3416" t="s">
        <v>11221</v>
      </c>
      <c r="BD3416" t="s">
        <v>11667</v>
      </c>
      <c r="BF3416" t="s">
        <v>14364</v>
      </c>
      <c r="BG3416" t="s">
        <v>15228</v>
      </c>
      <c r="BM3416" t="s">
        <v>15650</v>
      </c>
    </row>
    <row r="3417" spans="1:67">
      <c r="A3417" s="1">
        <f>HYPERLINK("https://lsnyc.legalserver.org/matter/dynamic-profile/view/1886406","18-1886406")</f>
        <v>0</v>
      </c>
      <c r="B3417" t="s">
        <v>197</v>
      </c>
      <c r="C3417" t="s">
        <v>248</v>
      </c>
      <c r="D3417" t="s">
        <v>1004</v>
      </c>
      <c r="F3417" t="s">
        <v>1895</v>
      </c>
      <c r="G3417" t="s">
        <v>2905</v>
      </c>
      <c r="H3417" t="s">
        <v>4798</v>
      </c>
      <c r="I3417" t="s">
        <v>6616</v>
      </c>
      <c r="J3417" t="s">
        <v>7174</v>
      </c>
      <c r="K3417">
        <v>11233</v>
      </c>
      <c r="N3417" t="s">
        <v>7237</v>
      </c>
      <c r="O3417" t="s">
        <v>9441</v>
      </c>
      <c r="P3417">
        <v>2</v>
      </c>
      <c r="Q3417">
        <v>4</v>
      </c>
      <c r="R3417">
        <v>0.06</v>
      </c>
      <c r="U3417">
        <v>20</v>
      </c>
      <c r="W3417">
        <v>0</v>
      </c>
      <c r="Y3417" t="s">
        <v>101</v>
      </c>
      <c r="AA3417" t="s">
        <v>10974</v>
      </c>
      <c r="AB3417" t="s">
        <v>678</v>
      </c>
      <c r="AD3417" t="s">
        <v>11098</v>
      </c>
      <c r="AF3417" t="s">
        <v>11122</v>
      </c>
      <c r="AH3417" t="s">
        <v>10974</v>
      </c>
      <c r="AJ3417" t="s">
        <v>11132</v>
      </c>
      <c r="AK3417" t="s">
        <v>7225</v>
      </c>
      <c r="AM3417">
        <v>1036</v>
      </c>
      <c r="AO3417">
        <v>764</v>
      </c>
      <c r="AQ3417" t="s">
        <v>11157</v>
      </c>
      <c r="AS3417" t="s">
        <v>11174</v>
      </c>
      <c r="AU3417">
        <v>13</v>
      </c>
      <c r="AW3417" t="s">
        <v>11187</v>
      </c>
      <c r="AY3417" t="s">
        <v>11213</v>
      </c>
      <c r="AZ3417" t="s">
        <v>11221</v>
      </c>
      <c r="BE3417" t="s">
        <v>13657</v>
      </c>
      <c r="BF3417" t="s">
        <v>14364</v>
      </c>
      <c r="BG3417" t="s">
        <v>15228</v>
      </c>
      <c r="BM3417" t="s">
        <v>15650</v>
      </c>
    </row>
    <row r="3418" spans="1:67">
      <c r="A3418" s="1">
        <f>HYPERLINK("https://lsnyc.legalserver.org/matter/dynamic-profile/view/1898966","19-1898966")</f>
        <v>0</v>
      </c>
      <c r="B3418" t="s">
        <v>197</v>
      </c>
      <c r="C3418" t="s">
        <v>248</v>
      </c>
      <c r="D3418" t="s">
        <v>608</v>
      </c>
      <c r="F3418" t="s">
        <v>1137</v>
      </c>
      <c r="G3418" t="s">
        <v>2905</v>
      </c>
      <c r="H3418" t="s">
        <v>5940</v>
      </c>
      <c r="I3418" t="s">
        <v>6571</v>
      </c>
      <c r="J3418" t="s">
        <v>7174</v>
      </c>
      <c r="K3418">
        <v>11233</v>
      </c>
      <c r="N3418" t="s">
        <v>7237</v>
      </c>
      <c r="O3418" t="s">
        <v>9442</v>
      </c>
      <c r="P3418">
        <v>1</v>
      </c>
      <c r="Q3418">
        <v>0</v>
      </c>
      <c r="R3418">
        <v>264.21</v>
      </c>
      <c r="U3418">
        <v>33000</v>
      </c>
      <c r="V3418" t="s">
        <v>10570</v>
      </c>
      <c r="W3418">
        <v>0</v>
      </c>
      <c r="Y3418" t="s">
        <v>101</v>
      </c>
      <c r="AA3418" t="s">
        <v>10974</v>
      </c>
      <c r="AB3418" t="s">
        <v>874</v>
      </c>
      <c r="AD3418" t="s">
        <v>11098</v>
      </c>
      <c r="AF3418" t="s">
        <v>11122</v>
      </c>
      <c r="AH3418" t="s">
        <v>10974</v>
      </c>
      <c r="AJ3418" t="s">
        <v>11104</v>
      </c>
      <c r="AK3418" t="s">
        <v>7225</v>
      </c>
      <c r="AM3418">
        <v>913</v>
      </c>
      <c r="AO3418">
        <v>359</v>
      </c>
      <c r="AQ3418" t="s">
        <v>11157</v>
      </c>
      <c r="AR3418" t="s">
        <v>11172</v>
      </c>
      <c r="AU3418">
        <v>20</v>
      </c>
      <c r="AW3418" t="s">
        <v>11187</v>
      </c>
      <c r="AY3418" t="s">
        <v>11213</v>
      </c>
      <c r="AZ3418" t="s">
        <v>11221</v>
      </c>
      <c r="BA3418" t="s">
        <v>11173</v>
      </c>
      <c r="BD3418" t="s">
        <v>11667</v>
      </c>
      <c r="BF3418" t="s">
        <v>14364</v>
      </c>
      <c r="BG3418" t="s">
        <v>15229</v>
      </c>
      <c r="BM3418" t="s">
        <v>15650</v>
      </c>
    </row>
    <row r="3419" spans="1:67">
      <c r="A3419" s="1">
        <f>HYPERLINK("https://lsnyc.legalserver.org/matter/dynamic-profile/view/1897614","19-1897614")</f>
        <v>0</v>
      </c>
      <c r="B3419" t="s">
        <v>197</v>
      </c>
      <c r="C3419" t="s">
        <v>248</v>
      </c>
      <c r="D3419" t="s">
        <v>389</v>
      </c>
      <c r="F3419" t="s">
        <v>1116</v>
      </c>
      <c r="G3419" t="s">
        <v>4273</v>
      </c>
      <c r="H3419" t="s">
        <v>4798</v>
      </c>
      <c r="I3419" t="s">
        <v>6987</v>
      </c>
      <c r="J3419" t="s">
        <v>7174</v>
      </c>
      <c r="K3419">
        <v>11233</v>
      </c>
      <c r="N3419" t="s">
        <v>7237</v>
      </c>
      <c r="O3419" t="s">
        <v>9440</v>
      </c>
      <c r="P3419">
        <v>1</v>
      </c>
      <c r="Q3419">
        <v>0</v>
      </c>
      <c r="R3419">
        <v>256.2</v>
      </c>
      <c r="U3419">
        <v>32000</v>
      </c>
      <c r="V3419" t="s">
        <v>10571</v>
      </c>
      <c r="W3419">
        <v>0</v>
      </c>
      <c r="Y3419" t="s">
        <v>225</v>
      </c>
      <c r="AA3419" t="s">
        <v>10974</v>
      </c>
      <c r="AB3419" t="s">
        <v>395</v>
      </c>
      <c r="AD3419" t="s">
        <v>11100</v>
      </c>
      <c r="AF3419" t="s">
        <v>10384</v>
      </c>
      <c r="AH3419" t="s">
        <v>10974</v>
      </c>
      <c r="AJ3419" t="s">
        <v>11140</v>
      </c>
      <c r="AK3419" t="s">
        <v>7225</v>
      </c>
      <c r="AM3419">
        <v>865</v>
      </c>
      <c r="AO3419">
        <v>359</v>
      </c>
      <c r="AQ3419" t="s">
        <v>11157</v>
      </c>
      <c r="AR3419" t="s">
        <v>11172</v>
      </c>
      <c r="AU3419">
        <v>26</v>
      </c>
      <c r="AW3419" t="s">
        <v>11187</v>
      </c>
      <c r="AY3419" t="s">
        <v>11213</v>
      </c>
      <c r="AZ3419" t="s">
        <v>11221</v>
      </c>
      <c r="BD3419" t="s">
        <v>11667</v>
      </c>
      <c r="BF3419" t="s">
        <v>14364</v>
      </c>
      <c r="BM3419" t="s">
        <v>15650</v>
      </c>
    </row>
    <row r="3420" spans="1:67">
      <c r="A3420" s="1">
        <f>HYPERLINK("https://lsnyc.legalserver.org/matter/dynamic-profile/view/1891469","19-1891469")</f>
        <v>0</v>
      </c>
      <c r="B3420" t="s">
        <v>197</v>
      </c>
      <c r="C3420" t="s">
        <v>248</v>
      </c>
      <c r="D3420" t="s">
        <v>636</v>
      </c>
      <c r="F3420" t="s">
        <v>2457</v>
      </c>
      <c r="G3420" t="s">
        <v>3337</v>
      </c>
      <c r="H3420" t="s">
        <v>5124</v>
      </c>
      <c r="I3420" t="s">
        <v>6607</v>
      </c>
      <c r="J3420" t="s">
        <v>7174</v>
      </c>
      <c r="K3420">
        <v>11233</v>
      </c>
      <c r="N3420" t="s">
        <v>7237</v>
      </c>
      <c r="O3420" t="s">
        <v>9443</v>
      </c>
      <c r="P3420">
        <v>3</v>
      </c>
      <c r="Q3420">
        <v>0</v>
      </c>
      <c r="R3420">
        <v>209.07</v>
      </c>
      <c r="S3420" t="s">
        <v>776</v>
      </c>
      <c r="T3420" t="s">
        <v>10276</v>
      </c>
      <c r="U3420">
        <v>44595</v>
      </c>
      <c r="V3420" t="s">
        <v>10572</v>
      </c>
      <c r="W3420">
        <v>0</v>
      </c>
      <c r="Y3420" t="s">
        <v>101</v>
      </c>
      <c r="AA3420" t="s">
        <v>10974</v>
      </c>
      <c r="AB3420" t="s">
        <v>395</v>
      </c>
      <c r="AD3420" t="s">
        <v>11100</v>
      </c>
      <c r="AF3420" t="s">
        <v>10384</v>
      </c>
      <c r="AH3420" t="s">
        <v>10974</v>
      </c>
      <c r="AJ3420" t="s">
        <v>11104</v>
      </c>
      <c r="AK3420" t="s">
        <v>7225</v>
      </c>
      <c r="AM3420">
        <v>1121</v>
      </c>
      <c r="AO3420">
        <v>359</v>
      </c>
      <c r="AQ3420" t="s">
        <v>11157</v>
      </c>
      <c r="AS3420" t="s">
        <v>11173</v>
      </c>
      <c r="AU3420">
        <v>4</v>
      </c>
      <c r="AW3420" t="s">
        <v>11187</v>
      </c>
      <c r="AY3420" t="s">
        <v>11213</v>
      </c>
      <c r="AZ3420" t="s">
        <v>11221</v>
      </c>
      <c r="BD3420" t="s">
        <v>11667</v>
      </c>
      <c r="BF3420" t="s">
        <v>14364</v>
      </c>
      <c r="BM3420" t="s">
        <v>15650</v>
      </c>
    </row>
    <row r="3421" spans="1:67">
      <c r="A3421" s="1">
        <f>HYPERLINK("https://lsnyc.legalserver.org/matter/dynamic-profile/view/1890535","19-1890535")</f>
        <v>0</v>
      </c>
      <c r="B3421" t="s">
        <v>197</v>
      </c>
      <c r="C3421" t="s">
        <v>248</v>
      </c>
      <c r="D3421" t="s">
        <v>442</v>
      </c>
      <c r="F3421" t="s">
        <v>2457</v>
      </c>
      <c r="G3421" t="s">
        <v>3337</v>
      </c>
      <c r="H3421" t="s">
        <v>5124</v>
      </c>
      <c r="I3421" t="s">
        <v>6607</v>
      </c>
      <c r="J3421" t="s">
        <v>7174</v>
      </c>
      <c r="K3421">
        <v>11233</v>
      </c>
      <c r="N3421" t="s">
        <v>7237</v>
      </c>
      <c r="O3421" t="s">
        <v>9443</v>
      </c>
      <c r="P3421">
        <v>3</v>
      </c>
      <c r="Q3421">
        <v>0</v>
      </c>
      <c r="R3421">
        <v>209.07</v>
      </c>
      <c r="S3421" t="s">
        <v>776</v>
      </c>
      <c r="T3421" t="s">
        <v>10276</v>
      </c>
      <c r="U3421">
        <v>44595</v>
      </c>
      <c r="V3421" t="s">
        <v>10573</v>
      </c>
      <c r="W3421">
        <v>0</v>
      </c>
      <c r="Y3421" t="s">
        <v>225</v>
      </c>
      <c r="AA3421" t="s">
        <v>10974</v>
      </c>
      <c r="AB3421" t="s">
        <v>874</v>
      </c>
      <c r="AD3421" t="s">
        <v>11098</v>
      </c>
      <c r="AF3421" t="s">
        <v>11122</v>
      </c>
      <c r="AH3421" t="s">
        <v>10974</v>
      </c>
      <c r="AJ3421" t="s">
        <v>11104</v>
      </c>
      <c r="AK3421" t="s">
        <v>7225</v>
      </c>
      <c r="AM3421">
        <v>1121</v>
      </c>
      <c r="AO3421">
        <v>359</v>
      </c>
      <c r="AQ3421" t="s">
        <v>11157</v>
      </c>
      <c r="AS3421" t="s">
        <v>11173</v>
      </c>
      <c r="AU3421">
        <v>4</v>
      </c>
      <c r="AW3421" t="s">
        <v>11187</v>
      </c>
      <c r="AY3421" t="s">
        <v>11213</v>
      </c>
      <c r="AZ3421" t="s">
        <v>11221</v>
      </c>
      <c r="BA3421" t="s">
        <v>11173</v>
      </c>
      <c r="BC3421" t="s">
        <v>11173</v>
      </c>
      <c r="BD3421" t="s">
        <v>11667</v>
      </c>
      <c r="BF3421" t="s">
        <v>14364</v>
      </c>
      <c r="BG3421" t="s">
        <v>15229</v>
      </c>
      <c r="BM3421" t="s">
        <v>15650</v>
      </c>
    </row>
    <row r="3422" spans="1:67">
      <c r="A3422" s="1">
        <f>HYPERLINK("https://lsnyc.legalserver.org/matter/dynamic-profile/view/1889442","19-1889442")</f>
        <v>0</v>
      </c>
      <c r="B3422" t="s">
        <v>197</v>
      </c>
      <c r="C3422" t="s">
        <v>248</v>
      </c>
      <c r="D3422" t="s">
        <v>480</v>
      </c>
      <c r="F3422" t="s">
        <v>2458</v>
      </c>
      <c r="G3422" t="s">
        <v>3281</v>
      </c>
      <c r="H3422" t="s">
        <v>5124</v>
      </c>
      <c r="I3422" t="s">
        <v>6988</v>
      </c>
      <c r="J3422" t="s">
        <v>7174</v>
      </c>
      <c r="K3422">
        <v>11233</v>
      </c>
      <c r="N3422" t="s">
        <v>7237</v>
      </c>
      <c r="O3422" t="s">
        <v>9444</v>
      </c>
      <c r="P3422">
        <v>3</v>
      </c>
      <c r="Q3422">
        <v>0</v>
      </c>
      <c r="R3422">
        <v>909.52</v>
      </c>
      <c r="U3422">
        <v>194000</v>
      </c>
      <c r="W3422">
        <v>0</v>
      </c>
      <c r="Y3422" t="s">
        <v>101</v>
      </c>
      <c r="AA3422" t="s">
        <v>10974</v>
      </c>
      <c r="AB3422" t="s">
        <v>672</v>
      </c>
      <c r="AD3422" t="s">
        <v>11098</v>
      </c>
      <c r="AF3422" t="s">
        <v>11122</v>
      </c>
      <c r="AH3422" t="s">
        <v>10974</v>
      </c>
      <c r="AI3422" t="s">
        <v>11126</v>
      </c>
      <c r="AK3422" t="s">
        <v>7225</v>
      </c>
      <c r="AL3422" t="s">
        <v>11150</v>
      </c>
      <c r="AM3422">
        <v>0</v>
      </c>
      <c r="AN3422" t="s">
        <v>11151</v>
      </c>
      <c r="AO3422" t="s">
        <v>11153</v>
      </c>
      <c r="AQ3422" t="s">
        <v>11157</v>
      </c>
      <c r="AR3422" t="s">
        <v>11172</v>
      </c>
      <c r="AT3422" t="s">
        <v>11184</v>
      </c>
      <c r="AU3422">
        <v>0</v>
      </c>
      <c r="AW3422" t="s">
        <v>11187</v>
      </c>
      <c r="AY3422" t="s">
        <v>11213</v>
      </c>
      <c r="AZ3422" t="s">
        <v>11221</v>
      </c>
      <c r="BD3422" t="s">
        <v>11667</v>
      </c>
      <c r="BF3422" t="s">
        <v>14364</v>
      </c>
      <c r="BG3422" t="s">
        <v>15229</v>
      </c>
      <c r="BM3422" t="s">
        <v>15650</v>
      </c>
    </row>
    <row r="3423" spans="1:67">
      <c r="A3423" s="1">
        <f>HYPERLINK("https://lsnyc.legalserver.org/matter/dynamic-profile/view/1897349","19-1897349")</f>
        <v>0</v>
      </c>
      <c r="B3423" t="s">
        <v>197</v>
      </c>
      <c r="C3423" t="s">
        <v>248</v>
      </c>
      <c r="D3423" t="s">
        <v>583</v>
      </c>
      <c r="F3423" t="s">
        <v>1406</v>
      </c>
      <c r="G3423" t="s">
        <v>4274</v>
      </c>
      <c r="H3423" t="s">
        <v>5124</v>
      </c>
      <c r="I3423" t="s">
        <v>6720</v>
      </c>
      <c r="J3423" t="s">
        <v>7174</v>
      </c>
      <c r="K3423">
        <v>11233</v>
      </c>
      <c r="N3423" t="s">
        <v>7237</v>
      </c>
      <c r="O3423" t="s">
        <v>9445</v>
      </c>
      <c r="P3423">
        <v>2</v>
      </c>
      <c r="Q3423">
        <v>0</v>
      </c>
      <c r="R3423">
        <v>266.11</v>
      </c>
      <c r="U3423">
        <v>45000</v>
      </c>
      <c r="W3423">
        <v>0</v>
      </c>
      <c r="Y3423" t="s">
        <v>225</v>
      </c>
      <c r="AA3423" t="s">
        <v>10974</v>
      </c>
      <c r="AB3423" t="s">
        <v>395</v>
      </c>
      <c r="AD3423" t="s">
        <v>11100</v>
      </c>
      <c r="AF3423" t="s">
        <v>10384</v>
      </c>
      <c r="AH3423" t="s">
        <v>10974</v>
      </c>
      <c r="AJ3423" t="s">
        <v>11140</v>
      </c>
      <c r="AK3423" t="s">
        <v>7225</v>
      </c>
      <c r="AM3423">
        <v>780</v>
      </c>
      <c r="AO3423">
        <v>359</v>
      </c>
      <c r="AQ3423" t="s">
        <v>11157</v>
      </c>
      <c r="AR3423" t="s">
        <v>11172</v>
      </c>
      <c r="AU3423">
        <v>21</v>
      </c>
      <c r="AW3423" t="s">
        <v>11187</v>
      </c>
      <c r="AY3423" t="s">
        <v>11213</v>
      </c>
      <c r="AZ3423" t="s">
        <v>11221</v>
      </c>
      <c r="BD3423" t="s">
        <v>11667</v>
      </c>
      <c r="BF3423" t="s">
        <v>14364</v>
      </c>
      <c r="BM3423" t="s">
        <v>15650</v>
      </c>
    </row>
    <row r="3424" spans="1:67">
      <c r="A3424" s="1">
        <f>HYPERLINK("https://lsnyc.legalserver.org/matter/dynamic-profile/view/1909087","19-1909087")</f>
        <v>0</v>
      </c>
      <c r="B3424" t="s">
        <v>197</v>
      </c>
      <c r="C3424" t="s">
        <v>248</v>
      </c>
      <c r="D3424" t="s">
        <v>598</v>
      </c>
      <c r="F3424" t="s">
        <v>2459</v>
      </c>
      <c r="G3424" t="s">
        <v>4275</v>
      </c>
      <c r="H3424" t="s">
        <v>5940</v>
      </c>
      <c r="I3424" t="s">
        <v>6405</v>
      </c>
      <c r="J3424" t="s">
        <v>7174</v>
      </c>
      <c r="K3424">
        <v>11233</v>
      </c>
      <c r="N3424" t="s">
        <v>7237</v>
      </c>
      <c r="O3424" t="s">
        <v>9446</v>
      </c>
      <c r="P3424">
        <v>2</v>
      </c>
      <c r="Q3424">
        <v>1</v>
      </c>
      <c r="R3424">
        <v>201.59</v>
      </c>
      <c r="U3424">
        <v>43000</v>
      </c>
      <c r="V3424" t="s">
        <v>10574</v>
      </c>
      <c r="W3424">
        <v>0</v>
      </c>
      <c r="Y3424" t="s">
        <v>101</v>
      </c>
      <c r="AA3424" t="s">
        <v>10974</v>
      </c>
      <c r="AB3424" t="s">
        <v>10988</v>
      </c>
      <c r="AD3424" t="s">
        <v>11098</v>
      </c>
      <c r="AF3424" t="s">
        <v>11122</v>
      </c>
      <c r="AH3424" t="s">
        <v>10974</v>
      </c>
      <c r="AJ3424" t="s">
        <v>11104</v>
      </c>
      <c r="AK3424" t="s">
        <v>7225</v>
      </c>
      <c r="AM3424">
        <v>840.39</v>
      </c>
      <c r="AO3424">
        <v>359</v>
      </c>
      <c r="AQ3424" t="s">
        <v>11157</v>
      </c>
      <c r="AS3424" t="s">
        <v>11173</v>
      </c>
      <c r="AU3424">
        <v>8</v>
      </c>
      <c r="AW3424" t="s">
        <v>11187</v>
      </c>
      <c r="AY3424" t="s">
        <v>11213</v>
      </c>
      <c r="AZ3424" t="s">
        <v>11221</v>
      </c>
      <c r="BA3424" t="s">
        <v>11173</v>
      </c>
      <c r="BD3424" t="s">
        <v>11667</v>
      </c>
      <c r="BG3424" t="s">
        <v>15230</v>
      </c>
      <c r="BM3424" t="s">
        <v>15650</v>
      </c>
    </row>
    <row r="3425" spans="1:65">
      <c r="A3425" s="1">
        <f>HYPERLINK("https://lsnyc.legalserver.org/matter/dynamic-profile/view/1892770","19-1892770")</f>
        <v>0</v>
      </c>
      <c r="B3425" t="s">
        <v>197</v>
      </c>
      <c r="C3425" t="s">
        <v>248</v>
      </c>
      <c r="D3425" t="s">
        <v>729</v>
      </c>
      <c r="F3425" t="s">
        <v>2460</v>
      </c>
      <c r="G3425" t="s">
        <v>4276</v>
      </c>
      <c r="H3425" t="s">
        <v>5941</v>
      </c>
      <c r="I3425" t="s">
        <v>6479</v>
      </c>
      <c r="J3425" t="s">
        <v>7174</v>
      </c>
      <c r="K3425">
        <v>11233</v>
      </c>
      <c r="N3425" t="s">
        <v>7237</v>
      </c>
      <c r="O3425" t="s">
        <v>9447</v>
      </c>
      <c r="P3425">
        <v>2</v>
      </c>
      <c r="Q3425">
        <v>1</v>
      </c>
      <c r="R3425">
        <v>281.29</v>
      </c>
      <c r="U3425">
        <v>60000</v>
      </c>
      <c r="V3425" t="s">
        <v>10575</v>
      </c>
      <c r="W3425">
        <v>0</v>
      </c>
      <c r="Y3425" t="s">
        <v>101</v>
      </c>
      <c r="AA3425" t="s">
        <v>10974</v>
      </c>
      <c r="AB3425" t="s">
        <v>395</v>
      </c>
      <c r="AD3425" t="s">
        <v>11100</v>
      </c>
      <c r="AF3425" t="s">
        <v>10384</v>
      </c>
      <c r="AH3425" t="s">
        <v>10974</v>
      </c>
      <c r="AJ3425" t="s">
        <v>11104</v>
      </c>
      <c r="AK3425" t="s">
        <v>7225</v>
      </c>
      <c r="AM3425">
        <v>1200</v>
      </c>
      <c r="AO3425">
        <v>359</v>
      </c>
      <c r="AQ3425" t="s">
        <v>11157</v>
      </c>
      <c r="AR3425" t="s">
        <v>11172</v>
      </c>
      <c r="AU3425">
        <v>4</v>
      </c>
      <c r="AW3425" t="s">
        <v>11187</v>
      </c>
      <c r="AY3425" t="s">
        <v>11213</v>
      </c>
      <c r="AZ3425" t="s">
        <v>11221</v>
      </c>
      <c r="BD3425" t="s">
        <v>11667</v>
      </c>
      <c r="BF3425" t="s">
        <v>14364</v>
      </c>
      <c r="BM3425" t="s">
        <v>15650</v>
      </c>
    </row>
    <row r="3426" spans="1:65">
      <c r="A3426" s="1">
        <f>HYPERLINK("https://lsnyc.legalserver.org/matter/dynamic-profile/view/1897206","19-1897206")</f>
        <v>0</v>
      </c>
      <c r="B3426" t="s">
        <v>197</v>
      </c>
      <c r="C3426" t="s">
        <v>248</v>
      </c>
      <c r="D3426" t="s">
        <v>444</v>
      </c>
      <c r="F3426" t="s">
        <v>1155</v>
      </c>
      <c r="G3426" t="s">
        <v>4277</v>
      </c>
      <c r="H3426" t="s">
        <v>5940</v>
      </c>
      <c r="I3426" t="s">
        <v>6436</v>
      </c>
      <c r="J3426" t="s">
        <v>7174</v>
      </c>
      <c r="K3426">
        <v>11233</v>
      </c>
      <c r="N3426" t="s">
        <v>7237</v>
      </c>
      <c r="O3426" t="s">
        <v>7500</v>
      </c>
      <c r="P3426">
        <v>1</v>
      </c>
      <c r="Q3426">
        <v>2</v>
      </c>
      <c r="R3426">
        <v>262.54</v>
      </c>
      <c r="U3426">
        <v>56000</v>
      </c>
      <c r="V3426" t="s">
        <v>10576</v>
      </c>
      <c r="W3426">
        <v>0</v>
      </c>
      <c r="Y3426" t="s">
        <v>101</v>
      </c>
      <c r="AA3426" t="s">
        <v>10974</v>
      </c>
      <c r="AB3426" t="s">
        <v>395</v>
      </c>
      <c r="AD3426" t="s">
        <v>11100</v>
      </c>
      <c r="AF3426" t="s">
        <v>10384</v>
      </c>
      <c r="AH3426" t="s">
        <v>10974</v>
      </c>
      <c r="AJ3426" t="s">
        <v>11104</v>
      </c>
      <c r="AK3426" t="s">
        <v>7225</v>
      </c>
      <c r="AM3426">
        <v>651</v>
      </c>
      <c r="AO3426">
        <v>359</v>
      </c>
      <c r="AQ3426" t="s">
        <v>11157</v>
      </c>
      <c r="AR3426" t="s">
        <v>11172</v>
      </c>
      <c r="AU3426">
        <v>40</v>
      </c>
      <c r="AW3426" t="s">
        <v>11189</v>
      </c>
      <c r="AY3426" t="s">
        <v>11213</v>
      </c>
      <c r="AZ3426" t="s">
        <v>11221</v>
      </c>
      <c r="BD3426" t="s">
        <v>11667</v>
      </c>
      <c r="BF3426" t="s">
        <v>14364</v>
      </c>
      <c r="BM3426" t="s">
        <v>15650</v>
      </c>
    </row>
    <row r="3427" spans="1:65">
      <c r="A3427" s="1">
        <f>HYPERLINK("https://lsnyc.legalserver.org/matter/dynamic-profile/view/1891447","19-1891447")</f>
        <v>0</v>
      </c>
      <c r="B3427" t="s">
        <v>197</v>
      </c>
      <c r="C3427" t="s">
        <v>248</v>
      </c>
      <c r="D3427" t="s">
        <v>636</v>
      </c>
      <c r="F3427" t="s">
        <v>2461</v>
      </c>
      <c r="G3427" t="s">
        <v>3661</v>
      </c>
      <c r="H3427" t="s">
        <v>5124</v>
      </c>
      <c r="I3427" t="s">
        <v>6989</v>
      </c>
      <c r="J3427" t="s">
        <v>7174</v>
      </c>
      <c r="K3427">
        <v>11233</v>
      </c>
      <c r="N3427" t="s">
        <v>7237</v>
      </c>
      <c r="O3427" t="s">
        <v>9448</v>
      </c>
      <c r="P3427">
        <v>1</v>
      </c>
      <c r="Q3427">
        <v>0</v>
      </c>
      <c r="R3427">
        <v>224.18</v>
      </c>
      <c r="S3427" t="s">
        <v>776</v>
      </c>
      <c r="T3427" t="s">
        <v>10276</v>
      </c>
      <c r="U3427">
        <v>28000</v>
      </c>
      <c r="V3427" t="s">
        <v>10577</v>
      </c>
      <c r="W3427">
        <v>0</v>
      </c>
      <c r="Y3427" t="s">
        <v>101</v>
      </c>
      <c r="AA3427" t="s">
        <v>10974</v>
      </c>
      <c r="AB3427" t="s">
        <v>395</v>
      </c>
      <c r="AD3427" t="s">
        <v>11100</v>
      </c>
      <c r="AF3427" t="s">
        <v>10384</v>
      </c>
      <c r="AH3427" t="s">
        <v>10974</v>
      </c>
      <c r="AJ3427" t="s">
        <v>11134</v>
      </c>
      <c r="AK3427" t="s">
        <v>7225</v>
      </c>
      <c r="AM3427">
        <v>1094</v>
      </c>
      <c r="AO3427">
        <v>764</v>
      </c>
      <c r="AQ3427" t="s">
        <v>11157</v>
      </c>
      <c r="AS3427" t="s">
        <v>11173</v>
      </c>
      <c r="AU3427">
        <v>40</v>
      </c>
      <c r="AW3427" t="s">
        <v>11187</v>
      </c>
      <c r="AY3427" t="s">
        <v>11213</v>
      </c>
      <c r="AZ3427" t="s">
        <v>11221</v>
      </c>
      <c r="BD3427" t="s">
        <v>11667</v>
      </c>
      <c r="BF3427" t="s">
        <v>14364</v>
      </c>
      <c r="BM3427" t="s">
        <v>15650</v>
      </c>
    </row>
    <row r="3428" spans="1:65">
      <c r="A3428" s="1">
        <f>HYPERLINK("https://lsnyc.legalserver.org/matter/dynamic-profile/view/1886541","18-1886541")</f>
        <v>0</v>
      </c>
      <c r="B3428" t="s">
        <v>197</v>
      </c>
      <c r="C3428" t="s">
        <v>248</v>
      </c>
      <c r="D3428" t="s">
        <v>300</v>
      </c>
      <c r="F3428" t="s">
        <v>1406</v>
      </c>
      <c r="G3428" t="s">
        <v>4271</v>
      </c>
      <c r="H3428" t="s">
        <v>5124</v>
      </c>
      <c r="I3428" t="s">
        <v>6416</v>
      </c>
      <c r="J3428" t="s">
        <v>7174</v>
      </c>
      <c r="K3428">
        <v>11233</v>
      </c>
      <c r="N3428" t="s">
        <v>7237</v>
      </c>
      <c r="O3428" t="s">
        <v>9438</v>
      </c>
      <c r="P3428">
        <v>2</v>
      </c>
      <c r="Q3428">
        <v>0</v>
      </c>
      <c r="R3428">
        <v>692.59</v>
      </c>
      <c r="U3428">
        <v>114000</v>
      </c>
      <c r="W3428">
        <v>0</v>
      </c>
      <c r="Y3428" t="s">
        <v>101</v>
      </c>
      <c r="AA3428" t="s">
        <v>10974</v>
      </c>
      <c r="AB3428" t="s">
        <v>11067</v>
      </c>
      <c r="AD3428" t="s">
        <v>11098</v>
      </c>
      <c r="AF3428" t="s">
        <v>11122</v>
      </c>
      <c r="AH3428" t="s">
        <v>10974</v>
      </c>
      <c r="AJ3428" t="s">
        <v>11132</v>
      </c>
      <c r="AK3428" t="s">
        <v>7225</v>
      </c>
      <c r="AM3428">
        <v>1133</v>
      </c>
      <c r="AO3428">
        <v>764</v>
      </c>
      <c r="AQ3428" t="s">
        <v>11157</v>
      </c>
      <c r="AS3428" t="s">
        <v>11173</v>
      </c>
      <c r="AU3428">
        <v>36</v>
      </c>
      <c r="AW3428" t="s">
        <v>11187</v>
      </c>
      <c r="AY3428" t="s">
        <v>11213</v>
      </c>
      <c r="AZ3428" t="s">
        <v>11221</v>
      </c>
      <c r="BE3428" t="s">
        <v>13656</v>
      </c>
      <c r="BF3428" t="s">
        <v>14364</v>
      </c>
      <c r="BG3428" t="s">
        <v>15229</v>
      </c>
      <c r="BM3428" t="s">
        <v>15650</v>
      </c>
    </row>
    <row r="3429" spans="1:65">
      <c r="A3429" s="1">
        <f>HYPERLINK("https://lsnyc.legalserver.org/matter/dynamic-profile/view/1891635","19-1891635")</f>
        <v>0</v>
      </c>
      <c r="B3429" t="s">
        <v>197</v>
      </c>
      <c r="C3429" t="s">
        <v>248</v>
      </c>
      <c r="D3429" t="s">
        <v>515</v>
      </c>
      <c r="F3429" t="s">
        <v>1904</v>
      </c>
      <c r="G3429" t="s">
        <v>4278</v>
      </c>
      <c r="H3429" t="s">
        <v>4798</v>
      </c>
      <c r="I3429" t="s">
        <v>6592</v>
      </c>
      <c r="J3429" t="s">
        <v>7174</v>
      </c>
      <c r="K3429">
        <v>11233</v>
      </c>
      <c r="N3429" t="s">
        <v>7237</v>
      </c>
      <c r="O3429" t="s">
        <v>9449</v>
      </c>
      <c r="P3429">
        <v>2</v>
      </c>
      <c r="Q3429">
        <v>0</v>
      </c>
      <c r="R3429">
        <v>195.15</v>
      </c>
      <c r="U3429">
        <v>33000</v>
      </c>
      <c r="V3429" t="s">
        <v>10578</v>
      </c>
      <c r="W3429">
        <v>0</v>
      </c>
      <c r="Y3429" t="s">
        <v>225</v>
      </c>
      <c r="AA3429" t="s">
        <v>10974</v>
      </c>
      <c r="AB3429" t="s">
        <v>874</v>
      </c>
      <c r="AD3429" t="s">
        <v>11098</v>
      </c>
      <c r="AF3429" t="s">
        <v>11122</v>
      </c>
      <c r="AH3429" t="s">
        <v>10974</v>
      </c>
      <c r="AI3429" t="s">
        <v>11126</v>
      </c>
      <c r="AK3429" t="s">
        <v>7225</v>
      </c>
      <c r="AM3429">
        <v>1442</v>
      </c>
      <c r="AO3429">
        <v>359</v>
      </c>
      <c r="AQ3429" t="s">
        <v>11157</v>
      </c>
      <c r="AR3429" t="s">
        <v>11172</v>
      </c>
      <c r="AU3429">
        <v>28</v>
      </c>
      <c r="AW3429" t="s">
        <v>11187</v>
      </c>
      <c r="AY3429" t="s">
        <v>11213</v>
      </c>
      <c r="AZ3429" t="s">
        <v>11221</v>
      </c>
      <c r="BD3429" t="s">
        <v>11667</v>
      </c>
      <c r="BF3429" t="s">
        <v>14364</v>
      </c>
      <c r="BG3429" t="s">
        <v>15228</v>
      </c>
      <c r="BM3429" t="s">
        <v>15650</v>
      </c>
    </row>
    <row r="3430" spans="1:65">
      <c r="A3430" s="1">
        <f>HYPERLINK("https://lsnyc.legalserver.org/matter/dynamic-profile/view/1892764","19-1892764")</f>
        <v>0</v>
      </c>
      <c r="B3430" t="s">
        <v>197</v>
      </c>
      <c r="C3430" t="s">
        <v>248</v>
      </c>
      <c r="D3430" t="s">
        <v>729</v>
      </c>
      <c r="F3430" t="s">
        <v>2460</v>
      </c>
      <c r="G3430" t="s">
        <v>4276</v>
      </c>
      <c r="H3430" t="s">
        <v>5941</v>
      </c>
      <c r="I3430" t="s">
        <v>6479</v>
      </c>
      <c r="J3430" t="s">
        <v>7174</v>
      </c>
      <c r="K3430">
        <v>11233</v>
      </c>
      <c r="N3430" t="s">
        <v>7237</v>
      </c>
      <c r="O3430" t="s">
        <v>9447</v>
      </c>
      <c r="P3430">
        <v>2</v>
      </c>
      <c r="Q3430">
        <v>1</v>
      </c>
      <c r="R3430">
        <v>281.29</v>
      </c>
      <c r="U3430">
        <v>60000</v>
      </c>
      <c r="V3430" t="s">
        <v>10579</v>
      </c>
      <c r="W3430">
        <v>0</v>
      </c>
      <c r="Y3430" t="s">
        <v>101</v>
      </c>
      <c r="AA3430" t="s">
        <v>10974</v>
      </c>
      <c r="AB3430" t="s">
        <v>874</v>
      </c>
      <c r="AD3430" t="s">
        <v>11098</v>
      </c>
      <c r="AF3430" t="s">
        <v>11122</v>
      </c>
      <c r="AH3430" t="s">
        <v>10974</v>
      </c>
      <c r="AJ3430" t="s">
        <v>11104</v>
      </c>
      <c r="AK3430" t="s">
        <v>7225</v>
      </c>
      <c r="AM3430">
        <v>1200</v>
      </c>
      <c r="AO3430">
        <v>359</v>
      </c>
      <c r="AQ3430" t="s">
        <v>11157</v>
      </c>
      <c r="AR3430" t="s">
        <v>11172</v>
      </c>
      <c r="AU3430">
        <v>4</v>
      </c>
      <c r="AW3430" t="s">
        <v>11187</v>
      </c>
      <c r="AY3430" t="s">
        <v>11213</v>
      </c>
      <c r="AZ3430" t="s">
        <v>11221</v>
      </c>
      <c r="BD3430" t="s">
        <v>11667</v>
      </c>
      <c r="BF3430" t="s">
        <v>14364</v>
      </c>
      <c r="BG3430" t="s">
        <v>15228</v>
      </c>
      <c r="BM3430" t="s">
        <v>15650</v>
      </c>
    </row>
    <row r="3431" spans="1:65">
      <c r="A3431" s="1">
        <f>HYPERLINK("https://lsnyc.legalserver.org/matter/dynamic-profile/view/1897534","19-1897534")</f>
        <v>0</v>
      </c>
      <c r="B3431" t="s">
        <v>197</v>
      </c>
      <c r="C3431" t="s">
        <v>248</v>
      </c>
      <c r="D3431" t="s">
        <v>664</v>
      </c>
      <c r="F3431" t="s">
        <v>2462</v>
      </c>
      <c r="G3431" t="s">
        <v>4279</v>
      </c>
      <c r="H3431" t="s">
        <v>5124</v>
      </c>
      <c r="I3431" t="s">
        <v>6990</v>
      </c>
      <c r="J3431" t="s">
        <v>7174</v>
      </c>
      <c r="K3431">
        <v>11233</v>
      </c>
      <c r="N3431" t="s">
        <v>7237</v>
      </c>
      <c r="O3431" t="s">
        <v>9450</v>
      </c>
      <c r="P3431">
        <v>1</v>
      </c>
      <c r="Q3431">
        <v>0</v>
      </c>
      <c r="R3431">
        <v>264.21</v>
      </c>
      <c r="U3431">
        <v>33000</v>
      </c>
      <c r="V3431" t="s">
        <v>10569</v>
      </c>
      <c r="W3431">
        <v>0</v>
      </c>
      <c r="Y3431" t="s">
        <v>225</v>
      </c>
      <c r="AA3431" t="s">
        <v>10974</v>
      </c>
      <c r="AB3431" t="s">
        <v>874</v>
      </c>
      <c r="AD3431" t="s">
        <v>11098</v>
      </c>
      <c r="AF3431" t="s">
        <v>11122</v>
      </c>
      <c r="AH3431" t="s">
        <v>10974</v>
      </c>
      <c r="AJ3431" t="s">
        <v>11140</v>
      </c>
      <c r="AK3431" t="s">
        <v>7225</v>
      </c>
      <c r="AL3431" t="s">
        <v>11150</v>
      </c>
      <c r="AM3431">
        <v>0</v>
      </c>
      <c r="AO3431">
        <v>359</v>
      </c>
      <c r="AQ3431" t="s">
        <v>11157</v>
      </c>
      <c r="AR3431" t="s">
        <v>11172</v>
      </c>
      <c r="AU3431">
        <v>40</v>
      </c>
      <c r="AW3431" t="s">
        <v>11187</v>
      </c>
      <c r="AY3431" t="s">
        <v>11213</v>
      </c>
      <c r="AZ3431" t="s">
        <v>11221</v>
      </c>
      <c r="BD3431" t="s">
        <v>11667</v>
      </c>
      <c r="BF3431" t="s">
        <v>14364</v>
      </c>
      <c r="BG3431" t="s">
        <v>15229</v>
      </c>
      <c r="BM3431" t="s">
        <v>15650</v>
      </c>
    </row>
    <row r="3432" spans="1:65">
      <c r="A3432" s="1">
        <f>HYPERLINK("https://lsnyc.legalserver.org/matter/dynamic-profile/view/1897404","19-1897404")</f>
        <v>0</v>
      </c>
      <c r="B3432" t="s">
        <v>197</v>
      </c>
      <c r="C3432" t="s">
        <v>248</v>
      </c>
      <c r="D3432" t="s">
        <v>583</v>
      </c>
      <c r="F3432" t="s">
        <v>2456</v>
      </c>
      <c r="G3432" t="s">
        <v>4272</v>
      </c>
      <c r="H3432" t="s">
        <v>4798</v>
      </c>
      <c r="I3432" t="s">
        <v>6665</v>
      </c>
      <c r="J3432" t="s">
        <v>7174</v>
      </c>
      <c r="K3432">
        <v>11233</v>
      </c>
      <c r="N3432" t="s">
        <v>7237</v>
      </c>
      <c r="O3432" t="s">
        <v>9439</v>
      </c>
      <c r="P3432">
        <v>1</v>
      </c>
      <c r="Q3432">
        <v>0</v>
      </c>
      <c r="R3432">
        <v>264.21</v>
      </c>
      <c r="U3432">
        <v>33000</v>
      </c>
      <c r="V3432" t="s">
        <v>10580</v>
      </c>
      <c r="W3432">
        <v>0</v>
      </c>
      <c r="Y3432" t="s">
        <v>225</v>
      </c>
      <c r="AA3432" t="s">
        <v>10974</v>
      </c>
      <c r="AB3432" t="s">
        <v>874</v>
      </c>
      <c r="AD3432" t="s">
        <v>11098</v>
      </c>
      <c r="AF3432" t="s">
        <v>11122</v>
      </c>
      <c r="AH3432" t="s">
        <v>10974</v>
      </c>
      <c r="AJ3432" t="s">
        <v>11140</v>
      </c>
      <c r="AK3432" t="s">
        <v>7225</v>
      </c>
      <c r="AM3432">
        <v>601</v>
      </c>
      <c r="AO3432">
        <v>359</v>
      </c>
      <c r="AQ3432" t="s">
        <v>11157</v>
      </c>
      <c r="AR3432" t="s">
        <v>11172</v>
      </c>
      <c r="AU3432">
        <v>7</v>
      </c>
      <c r="AW3432" t="s">
        <v>11187</v>
      </c>
      <c r="AY3432" t="s">
        <v>11213</v>
      </c>
      <c r="AZ3432" t="s">
        <v>11221</v>
      </c>
      <c r="BD3432" t="s">
        <v>11667</v>
      </c>
      <c r="BF3432" t="s">
        <v>14364</v>
      </c>
      <c r="BG3432" t="s">
        <v>15228</v>
      </c>
      <c r="BM3432" t="s">
        <v>15650</v>
      </c>
    </row>
    <row r="3433" spans="1:65">
      <c r="A3433" s="1">
        <f>HYPERLINK("https://lsnyc.legalserver.org/matter/dynamic-profile/view/1892521","19-1892521")</f>
        <v>0</v>
      </c>
      <c r="B3433" t="s">
        <v>197</v>
      </c>
      <c r="C3433" t="s">
        <v>248</v>
      </c>
      <c r="D3433" t="s">
        <v>403</v>
      </c>
      <c r="F3433" t="s">
        <v>1093</v>
      </c>
      <c r="G3433" t="s">
        <v>2954</v>
      </c>
      <c r="H3433" t="s">
        <v>4798</v>
      </c>
      <c r="I3433" t="s">
        <v>6568</v>
      </c>
      <c r="J3433" t="s">
        <v>7174</v>
      </c>
      <c r="K3433">
        <v>11233</v>
      </c>
      <c r="N3433" t="s">
        <v>7237</v>
      </c>
      <c r="O3433" t="s">
        <v>9451</v>
      </c>
      <c r="P3433">
        <v>1</v>
      </c>
      <c r="Q3433">
        <v>0</v>
      </c>
      <c r="R3433">
        <v>280.22</v>
      </c>
      <c r="U3433">
        <v>35000</v>
      </c>
      <c r="V3433" t="s">
        <v>10581</v>
      </c>
      <c r="W3433">
        <v>0</v>
      </c>
      <c r="Y3433" t="s">
        <v>101</v>
      </c>
      <c r="AA3433" t="s">
        <v>10974</v>
      </c>
      <c r="AB3433" t="s">
        <v>874</v>
      </c>
      <c r="AD3433" t="s">
        <v>11098</v>
      </c>
      <c r="AF3433" t="s">
        <v>11122</v>
      </c>
      <c r="AH3433" t="s">
        <v>10974</v>
      </c>
      <c r="AJ3433" t="s">
        <v>11104</v>
      </c>
      <c r="AK3433" t="s">
        <v>7225</v>
      </c>
      <c r="AM3433">
        <v>2500</v>
      </c>
      <c r="AO3433">
        <v>359</v>
      </c>
      <c r="AQ3433" t="s">
        <v>11157</v>
      </c>
      <c r="AR3433" t="s">
        <v>11172</v>
      </c>
      <c r="AU3433">
        <v>51</v>
      </c>
      <c r="AW3433" t="s">
        <v>11187</v>
      </c>
      <c r="AY3433" t="s">
        <v>11213</v>
      </c>
      <c r="AZ3433" t="s">
        <v>11221</v>
      </c>
      <c r="BD3433" t="s">
        <v>11667</v>
      </c>
      <c r="BF3433" t="s">
        <v>14364</v>
      </c>
      <c r="BG3433" t="s">
        <v>15228</v>
      </c>
      <c r="BM3433" t="s">
        <v>15650</v>
      </c>
    </row>
    <row r="3434" spans="1:65">
      <c r="A3434" s="1">
        <f>HYPERLINK("https://lsnyc.legalserver.org/matter/dynamic-profile/view/1892761","19-1892761")</f>
        <v>0</v>
      </c>
      <c r="B3434" t="s">
        <v>197</v>
      </c>
      <c r="C3434" t="s">
        <v>248</v>
      </c>
      <c r="D3434" t="s">
        <v>729</v>
      </c>
      <c r="F3434" t="s">
        <v>2463</v>
      </c>
      <c r="G3434" t="s">
        <v>4280</v>
      </c>
      <c r="H3434" t="s">
        <v>5940</v>
      </c>
      <c r="I3434" t="s">
        <v>6700</v>
      </c>
      <c r="J3434" t="s">
        <v>7174</v>
      </c>
      <c r="K3434">
        <v>11233</v>
      </c>
      <c r="N3434" t="s">
        <v>7237</v>
      </c>
      <c r="O3434" t="s">
        <v>9452</v>
      </c>
      <c r="P3434">
        <v>2</v>
      </c>
      <c r="Q3434">
        <v>0</v>
      </c>
      <c r="R3434">
        <v>283.86</v>
      </c>
      <c r="S3434" t="s">
        <v>776</v>
      </c>
      <c r="T3434" t="s">
        <v>10276</v>
      </c>
      <c r="U3434">
        <v>48000</v>
      </c>
      <c r="V3434" t="s">
        <v>10582</v>
      </c>
      <c r="W3434">
        <v>0</v>
      </c>
      <c r="Y3434" t="s">
        <v>101</v>
      </c>
      <c r="AA3434" t="s">
        <v>10974</v>
      </c>
      <c r="AB3434" t="s">
        <v>874</v>
      </c>
      <c r="AD3434" t="s">
        <v>11098</v>
      </c>
      <c r="AF3434" t="s">
        <v>11122</v>
      </c>
      <c r="AH3434" t="s">
        <v>10974</v>
      </c>
      <c r="AJ3434" t="s">
        <v>11104</v>
      </c>
      <c r="AK3434" t="s">
        <v>7225</v>
      </c>
      <c r="AM3434">
        <v>1825</v>
      </c>
      <c r="AO3434">
        <v>359</v>
      </c>
      <c r="AQ3434" t="s">
        <v>11157</v>
      </c>
      <c r="AR3434" t="s">
        <v>11172</v>
      </c>
      <c r="AU3434">
        <v>1</v>
      </c>
      <c r="AW3434" t="s">
        <v>11187</v>
      </c>
      <c r="AY3434" t="s">
        <v>11213</v>
      </c>
      <c r="AZ3434" t="s">
        <v>11221</v>
      </c>
      <c r="BD3434" t="s">
        <v>11667</v>
      </c>
      <c r="BF3434" t="s">
        <v>14364</v>
      </c>
      <c r="BG3434" t="s">
        <v>15229</v>
      </c>
      <c r="BM3434" t="s">
        <v>15650</v>
      </c>
    </row>
    <row r="3435" spans="1:65">
      <c r="A3435" s="1">
        <f>HYPERLINK("https://lsnyc.legalserver.org/matter/dynamic-profile/view/1891531","19-1891531")</f>
        <v>0</v>
      </c>
      <c r="B3435" t="s">
        <v>197</v>
      </c>
      <c r="C3435" t="s">
        <v>248</v>
      </c>
      <c r="D3435" t="s">
        <v>636</v>
      </c>
      <c r="F3435" t="s">
        <v>2464</v>
      </c>
      <c r="G3435" t="s">
        <v>4281</v>
      </c>
      <c r="H3435" t="s">
        <v>4798</v>
      </c>
      <c r="I3435" t="s">
        <v>6564</v>
      </c>
      <c r="J3435" t="s">
        <v>7174</v>
      </c>
      <c r="K3435">
        <v>11233</v>
      </c>
      <c r="N3435" t="s">
        <v>7237</v>
      </c>
      <c r="O3435" t="s">
        <v>7772</v>
      </c>
      <c r="P3435">
        <v>2</v>
      </c>
      <c r="Q3435">
        <v>0</v>
      </c>
      <c r="R3435">
        <v>696.9400000000001</v>
      </c>
      <c r="U3435">
        <v>117853</v>
      </c>
      <c r="V3435" t="s">
        <v>10578</v>
      </c>
      <c r="W3435">
        <v>0</v>
      </c>
      <c r="Y3435" t="s">
        <v>225</v>
      </c>
      <c r="AA3435" t="s">
        <v>10974</v>
      </c>
      <c r="AB3435" t="s">
        <v>874</v>
      </c>
      <c r="AD3435" t="s">
        <v>11098</v>
      </c>
      <c r="AF3435" t="s">
        <v>11122</v>
      </c>
      <c r="AH3435" t="s">
        <v>10974</v>
      </c>
      <c r="AI3435" t="s">
        <v>11126</v>
      </c>
      <c r="AK3435" t="s">
        <v>7225</v>
      </c>
      <c r="AM3435">
        <v>1195</v>
      </c>
      <c r="AO3435">
        <v>359</v>
      </c>
      <c r="AQ3435" t="s">
        <v>11157</v>
      </c>
      <c r="AS3435" t="s">
        <v>11173</v>
      </c>
      <c r="AU3435">
        <v>30</v>
      </c>
      <c r="AW3435" t="s">
        <v>11187</v>
      </c>
      <c r="AY3435" t="s">
        <v>11213</v>
      </c>
      <c r="AZ3435" t="s">
        <v>11221</v>
      </c>
      <c r="BA3435" t="s">
        <v>11173</v>
      </c>
      <c r="BC3435" t="s">
        <v>11173</v>
      </c>
      <c r="BD3435" t="s">
        <v>11667</v>
      </c>
      <c r="BF3435" t="s">
        <v>14364</v>
      </c>
      <c r="BG3435" t="s">
        <v>15228</v>
      </c>
      <c r="BM3435" t="s">
        <v>15650</v>
      </c>
    </row>
    <row r="3436" spans="1:65">
      <c r="A3436" s="1">
        <f>HYPERLINK("https://lsnyc.legalserver.org/matter/dynamic-profile/view/1892076","19-1892076")</f>
        <v>0</v>
      </c>
      <c r="B3436" t="s">
        <v>197</v>
      </c>
      <c r="C3436" t="s">
        <v>248</v>
      </c>
      <c r="D3436" t="s">
        <v>342</v>
      </c>
      <c r="F3436" t="s">
        <v>2465</v>
      </c>
      <c r="G3436" t="s">
        <v>1735</v>
      </c>
      <c r="H3436" t="s">
        <v>4798</v>
      </c>
      <c r="I3436" t="s">
        <v>6415</v>
      </c>
      <c r="J3436" t="s">
        <v>7174</v>
      </c>
      <c r="K3436">
        <v>11233</v>
      </c>
      <c r="N3436" t="s">
        <v>7237</v>
      </c>
      <c r="O3436" t="s">
        <v>9453</v>
      </c>
      <c r="P3436">
        <v>2</v>
      </c>
      <c r="Q3436">
        <v>1</v>
      </c>
      <c r="R3436">
        <v>281.29</v>
      </c>
      <c r="U3436">
        <v>60000</v>
      </c>
      <c r="V3436" t="s">
        <v>10583</v>
      </c>
      <c r="W3436">
        <v>0</v>
      </c>
      <c r="Y3436" t="s">
        <v>101</v>
      </c>
      <c r="AA3436" t="s">
        <v>10974</v>
      </c>
      <c r="AB3436" t="s">
        <v>395</v>
      </c>
      <c r="AD3436" t="s">
        <v>11100</v>
      </c>
      <c r="AF3436" t="s">
        <v>10384</v>
      </c>
      <c r="AH3436" t="s">
        <v>10974</v>
      </c>
      <c r="AJ3436" t="s">
        <v>11104</v>
      </c>
      <c r="AK3436" t="s">
        <v>7225</v>
      </c>
      <c r="AM3436">
        <v>978</v>
      </c>
      <c r="AO3436">
        <v>359</v>
      </c>
      <c r="AQ3436" t="s">
        <v>11157</v>
      </c>
      <c r="AS3436" t="s">
        <v>11173</v>
      </c>
      <c r="AU3436">
        <v>3</v>
      </c>
      <c r="AW3436" t="s">
        <v>11187</v>
      </c>
      <c r="AY3436" t="s">
        <v>11213</v>
      </c>
      <c r="AZ3436" t="s">
        <v>11221</v>
      </c>
      <c r="BD3436" t="s">
        <v>11667</v>
      </c>
      <c r="BF3436" t="s">
        <v>14364</v>
      </c>
      <c r="BM3436" t="s">
        <v>15650</v>
      </c>
    </row>
    <row r="3437" spans="1:65">
      <c r="A3437" s="1">
        <f>HYPERLINK("https://lsnyc.legalserver.org/matter/dynamic-profile/view/1896517","19-1896517")</f>
        <v>0</v>
      </c>
      <c r="B3437" t="s">
        <v>197</v>
      </c>
      <c r="C3437" t="s">
        <v>248</v>
      </c>
      <c r="D3437" t="s">
        <v>427</v>
      </c>
      <c r="F3437" t="s">
        <v>1860</v>
      </c>
      <c r="G3437" t="s">
        <v>1137</v>
      </c>
      <c r="H3437" t="s">
        <v>5942</v>
      </c>
      <c r="I3437" t="s">
        <v>6440</v>
      </c>
      <c r="J3437" t="s">
        <v>7174</v>
      </c>
      <c r="K3437">
        <v>11213</v>
      </c>
      <c r="N3437" t="s">
        <v>7237</v>
      </c>
      <c r="O3437" t="s">
        <v>9454</v>
      </c>
      <c r="P3437">
        <v>1</v>
      </c>
      <c r="Q3437">
        <v>0</v>
      </c>
      <c r="R3437">
        <v>0</v>
      </c>
      <c r="U3437">
        <v>0</v>
      </c>
      <c r="W3437">
        <v>72.15000000000001</v>
      </c>
      <c r="X3437" t="s">
        <v>638</v>
      </c>
      <c r="Y3437" t="s">
        <v>225</v>
      </c>
      <c r="AA3437" t="s">
        <v>10974</v>
      </c>
      <c r="AB3437" t="s">
        <v>800</v>
      </c>
      <c r="AD3437" t="s">
        <v>11082</v>
      </c>
      <c r="AF3437" t="s">
        <v>11118</v>
      </c>
      <c r="AH3437" t="s">
        <v>10975</v>
      </c>
      <c r="AI3437" t="s">
        <v>11126</v>
      </c>
      <c r="AK3437" t="s">
        <v>7225</v>
      </c>
      <c r="AL3437" t="s">
        <v>11150</v>
      </c>
      <c r="AM3437">
        <v>0</v>
      </c>
      <c r="AN3437" t="s">
        <v>11151</v>
      </c>
      <c r="AO3437" t="s">
        <v>11153</v>
      </c>
      <c r="AP3437" t="s">
        <v>11155</v>
      </c>
      <c r="AR3437" t="s">
        <v>11172</v>
      </c>
      <c r="AT3437" t="s">
        <v>11184</v>
      </c>
      <c r="AU3437">
        <v>0</v>
      </c>
      <c r="AW3437" t="s">
        <v>11187</v>
      </c>
      <c r="AY3437" t="s">
        <v>11213</v>
      </c>
      <c r="BA3437" t="s">
        <v>11222</v>
      </c>
      <c r="BD3437" t="s">
        <v>11667</v>
      </c>
      <c r="BG3437" t="s">
        <v>15231</v>
      </c>
      <c r="BM3437" t="s">
        <v>15650</v>
      </c>
    </row>
    <row r="3438" spans="1:65">
      <c r="A3438" s="1">
        <f>HYPERLINK("https://lsnyc.legalserver.org/matter/dynamic-profile/view/1892762","19-1892762")</f>
        <v>0</v>
      </c>
      <c r="B3438" t="s">
        <v>197</v>
      </c>
      <c r="C3438" t="s">
        <v>248</v>
      </c>
      <c r="D3438" t="s">
        <v>729</v>
      </c>
      <c r="F3438" t="s">
        <v>2463</v>
      </c>
      <c r="G3438" t="s">
        <v>4280</v>
      </c>
      <c r="H3438" t="s">
        <v>5940</v>
      </c>
      <c r="I3438" t="s">
        <v>6700</v>
      </c>
      <c r="J3438" t="s">
        <v>7174</v>
      </c>
      <c r="K3438">
        <v>11233</v>
      </c>
      <c r="N3438" t="s">
        <v>7237</v>
      </c>
      <c r="O3438" t="s">
        <v>9452</v>
      </c>
      <c r="P3438">
        <v>2</v>
      </c>
      <c r="Q3438">
        <v>0</v>
      </c>
      <c r="R3438">
        <v>283.86</v>
      </c>
      <c r="S3438" t="s">
        <v>776</v>
      </c>
      <c r="T3438" t="s">
        <v>10276</v>
      </c>
      <c r="U3438">
        <v>48000</v>
      </c>
      <c r="V3438" t="s">
        <v>10584</v>
      </c>
      <c r="W3438">
        <v>0</v>
      </c>
      <c r="Y3438" t="s">
        <v>101</v>
      </c>
      <c r="AA3438" t="s">
        <v>10974</v>
      </c>
      <c r="AB3438" t="s">
        <v>395</v>
      </c>
      <c r="AD3438" t="s">
        <v>11100</v>
      </c>
      <c r="AF3438" t="s">
        <v>10384</v>
      </c>
      <c r="AH3438" t="s">
        <v>10974</v>
      </c>
      <c r="AJ3438" t="s">
        <v>11104</v>
      </c>
      <c r="AK3438" t="s">
        <v>7225</v>
      </c>
      <c r="AM3438">
        <v>1825</v>
      </c>
      <c r="AO3438">
        <v>359</v>
      </c>
      <c r="AQ3438" t="s">
        <v>11157</v>
      </c>
      <c r="AR3438" t="s">
        <v>11172</v>
      </c>
      <c r="AU3438">
        <v>1</v>
      </c>
      <c r="AW3438" t="s">
        <v>11187</v>
      </c>
      <c r="AY3438" t="s">
        <v>11213</v>
      </c>
      <c r="AZ3438" t="s">
        <v>11221</v>
      </c>
      <c r="BD3438" t="s">
        <v>11667</v>
      </c>
      <c r="BF3438" t="s">
        <v>14364</v>
      </c>
      <c r="BM3438" t="s">
        <v>15650</v>
      </c>
    </row>
    <row r="3439" spans="1:65">
      <c r="A3439" s="1">
        <f>HYPERLINK("https://lsnyc.legalserver.org/matter/dynamic-profile/view/1892522","19-1892522")</f>
        <v>0</v>
      </c>
      <c r="B3439" t="s">
        <v>197</v>
      </c>
      <c r="C3439" t="s">
        <v>248</v>
      </c>
      <c r="D3439" t="s">
        <v>403</v>
      </c>
      <c r="F3439" t="s">
        <v>1093</v>
      </c>
      <c r="G3439" t="s">
        <v>2954</v>
      </c>
      <c r="H3439" t="s">
        <v>4798</v>
      </c>
      <c r="I3439" t="s">
        <v>6568</v>
      </c>
      <c r="J3439" t="s">
        <v>7174</v>
      </c>
      <c r="K3439">
        <v>11233</v>
      </c>
      <c r="N3439" t="s">
        <v>7237</v>
      </c>
      <c r="O3439" t="s">
        <v>9451</v>
      </c>
      <c r="P3439">
        <v>1</v>
      </c>
      <c r="Q3439">
        <v>0</v>
      </c>
      <c r="R3439">
        <v>280.22</v>
      </c>
      <c r="U3439">
        <v>35000</v>
      </c>
      <c r="V3439" t="s">
        <v>10585</v>
      </c>
      <c r="W3439">
        <v>0</v>
      </c>
      <c r="Y3439" t="s">
        <v>101</v>
      </c>
      <c r="AA3439" t="s">
        <v>10974</v>
      </c>
      <c r="AB3439" t="s">
        <v>395</v>
      </c>
      <c r="AD3439" t="s">
        <v>11100</v>
      </c>
      <c r="AF3439" t="s">
        <v>10384</v>
      </c>
      <c r="AH3439" t="s">
        <v>10974</v>
      </c>
      <c r="AJ3439" t="s">
        <v>11104</v>
      </c>
      <c r="AK3439" t="s">
        <v>7225</v>
      </c>
      <c r="AM3439">
        <v>2500</v>
      </c>
      <c r="AO3439">
        <v>359</v>
      </c>
      <c r="AQ3439" t="s">
        <v>11157</v>
      </c>
      <c r="AR3439" t="s">
        <v>11172</v>
      </c>
      <c r="AU3439">
        <v>51</v>
      </c>
      <c r="AW3439" t="s">
        <v>11187</v>
      </c>
      <c r="AY3439" t="s">
        <v>11213</v>
      </c>
      <c r="AZ3439" t="s">
        <v>11221</v>
      </c>
      <c r="BD3439" t="s">
        <v>11667</v>
      </c>
      <c r="BF3439" t="s">
        <v>14364</v>
      </c>
      <c r="BM3439" t="s">
        <v>15650</v>
      </c>
    </row>
    <row r="3440" spans="1:65">
      <c r="A3440" s="1">
        <f>HYPERLINK("https://lsnyc.legalserver.org/matter/dynamic-profile/view/1891458","19-1891458")</f>
        <v>0</v>
      </c>
      <c r="B3440" t="s">
        <v>197</v>
      </c>
      <c r="C3440" t="s">
        <v>248</v>
      </c>
      <c r="D3440" t="s">
        <v>636</v>
      </c>
      <c r="F3440" t="s">
        <v>2458</v>
      </c>
      <c r="G3440" t="s">
        <v>3281</v>
      </c>
      <c r="H3440" t="s">
        <v>5124</v>
      </c>
      <c r="I3440" t="s">
        <v>6988</v>
      </c>
      <c r="J3440" t="s">
        <v>7174</v>
      </c>
      <c r="K3440">
        <v>11233</v>
      </c>
      <c r="N3440" t="s">
        <v>7237</v>
      </c>
      <c r="O3440" t="s">
        <v>9444</v>
      </c>
      <c r="P3440">
        <v>3</v>
      </c>
      <c r="Q3440">
        <v>0</v>
      </c>
      <c r="R3440">
        <v>909.52</v>
      </c>
      <c r="U3440">
        <v>194000</v>
      </c>
      <c r="V3440" t="s">
        <v>10586</v>
      </c>
      <c r="W3440">
        <v>0</v>
      </c>
      <c r="Y3440" t="s">
        <v>101</v>
      </c>
      <c r="AA3440" t="s">
        <v>10974</v>
      </c>
      <c r="AB3440" t="s">
        <v>395</v>
      </c>
      <c r="AD3440" t="s">
        <v>11100</v>
      </c>
      <c r="AF3440" t="s">
        <v>10384</v>
      </c>
      <c r="AH3440" t="s">
        <v>10974</v>
      </c>
      <c r="AJ3440" t="s">
        <v>11134</v>
      </c>
      <c r="AK3440" t="s">
        <v>7225</v>
      </c>
      <c r="AL3440" t="s">
        <v>11150</v>
      </c>
      <c r="AM3440">
        <v>0</v>
      </c>
      <c r="AO3440">
        <v>764</v>
      </c>
      <c r="AQ3440" t="s">
        <v>11157</v>
      </c>
      <c r="AS3440" t="s">
        <v>11173</v>
      </c>
      <c r="AT3440" t="s">
        <v>11184</v>
      </c>
      <c r="AU3440">
        <v>0</v>
      </c>
      <c r="AW3440" t="s">
        <v>11187</v>
      </c>
      <c r="AY3440" t="s">
        <v>11213</v>
      </c>
      <c r="AZ3440" t="s">
        <v>11221</v>
      </c>
      <c r="BD3440" t="s">
        <v>11667</v>
      </c>
      <c r="BF3440" t="s">
        <v>14364</v>
      </c>
      <c r="BM3440" t="s">
        <v>15650</v>
      </c>
    </row>
    <row r="3441" spans="1:65">
      <c r="A3441" s="1">
        <f>HYPERLINK("https://lsnyc.legalserver.org/matter/dynamic-profile/view/1876504","18-1876504")</f>
        <v>0</v>
      </c>
      <c r="B3441" t="s">
        <v>197</v>
      </c>
      <c r="C3441" t="s">
        <v>248</v>
      </c>
      <c r="D3441" t="s">
        <v>527</v>
      </c>
      <c r="F3441" t="s">
        <v>1406</v>
      </c>
      <c r="G3441" t="s">
        <v>4282</v>
      </c>
      <c r="H3441" t="s">
        <v>5010</v>
      </c>
      <c r="I3441">
        <v>24</v>
      </c>
      <c r="J3441" t="s">
        <v>7174</v>
      </c>
      <c r="K3441">
        <v>11213</v>
      </c>
      <c r="N3441" t="s">
        <v>7237</v>
      </c>
      <c r="O3441" t="s">
        <v>9455</v>
      </c>
      <c r="P3441">
        <v>3</v>
      </c>
      <c r="Q3441">
        <v>0</v>
      </c>
      <c r="R3441">
        <v>203.08</v>
      </c>
      <c r="S3441" t="s">
        <v>425</v>
      </c>
      <c r="T3441" t="s">
        <v>10276</v>
      </c>
      <c r="U3441">
        <v>42200</v>
      </c>
      <c r="W3441">
        <v>665.95</v>
      </c>
      <c r="X3441" t="s">
        <v>272</v>
      </c>
      <c r="Y3441" t="s">
        <v>225</v>
      </c>
      <c r="AA3441" t="s">
        <v>10974</v>
      </c>
      <c r="AB3441" t="s">
        <v>291</v>
      </c>
      <c r="AD3441" t="s">
        <v>11101</v>
      </c>
      <c r="AF3441" t="s">
        <v>11118</v>
      </c>
      <c r="AH3441" t="s">
        <v>10974</v>
      </c>
      <c r="AJ3441" t="s">
        <v>11141</v>
      </c>
      <c r="AK3441" t="s">
        <v>7225</v>
      </c>
      <c r="AM3441">
        <v>917</v>
      </c>
      <c r="AO3441">
        <v>31</v>
      </c>
      <c r="AQ3441" t="s">
        <v>11157</v>
      </c>
      <c r="AS3441" t="s">
        <v>11173</v>
      </c>
      <c r="AU3441">
        <v>18</v>
      </c>
      <c r="AW3441" t="s">
        <v>11187</v>
      </c>
      <c r="AZ3441" t="s">
        <v>11221</v>
      </c>
      <c r="BE3441" t="s">
        <v>13658</v>
      </c>
      <c r="BG3441" t="s">
        <v>14508</v>
      </c>
      <c r="BM3441" t="s">
        <v>15650</v>
      </c>
    </row>
    <row r="3442" spans="1:65">
      <c r="A3442" s="1">
        <f>HYPERLINK("https://lsnyc.legalserver.org/matter/dynamic-profile/view/1891565","19-1891565")</f>
        <v>0</v>
      </c>
      <c r="B3442" t="s">
        <v>197</v>
      </c>
      <c r="C3442" t="s">
        <v>248</v>
      </c>
      <c r="D3442" t="s">
        <v>636</v>
      </c>
      <c r="F3442" t="s">
        <v>1379</v>
      </c>
      <c r="G3442" t="s">
        <v>1643</v>
      </c>
      <c r="H3442" t="s">
        <v>5124</v>
      </c>
      <c r="I3442" t="s">
        <v>6986</v>
      </c>
      <c r="J3442" t="s">
        <v>7174</v>
      </c>
      <c r="K3442">
        <v>11233</v>
      </c>
      <c r="N3442" t="s">
        <v>7237</v>
      </c>
      <c r="O3442" t="s">
        <v>9437</v>
      </c>
      <c r="P3442">
        <v>1</v>
      </c>
      <c r="Q3442">
        <v>2</v>
      </c>
      <c r="R3442">
        <v>281.29</v>
      </c>
      <c r="S3442" t="s">
        <v>776</v>
      </c>
      <c r="T3442" t="s">
        <v>10276</v>
      </c>
      <c r="U3442">
        <v>60000</v>
      </c>
      <c r="V3442" t="s">
        <v>10578</v>
      </c>
      <c r="W3442">
        <v>0</v>
      </c>
      <c r="Y3442" t="s">
        <v>225</v>
      </c>
      <c r="AA3442" t="s">
        <v>10974</v>
      </c>
      <c r="AB3442" t="s">
        <v>874</v>
      </c>
      <c r="AD3442" t="s">
        <v>11098</v>
      </c>
      <c r="AF3442" t="s">
        <v>11122</v>
      </c>
      <c r="AH3442" t="s">
        <v>10974</v>
      </c>
      <c r="AI3442" t="s">
        <v>11126</v>
      </c>
      <c r="AK3442" t="s">
        <v>7225</v>
      </c>
      <c r="AM3442">
        <v>1003</v>
      </c>
      <c r="AO3442">
        <v>359</v>
      </c>
      <c r="AQ3442" t="s">
        <v>11157</v>
      </c>
      <c r="AR3442" t="s">
        <v>11172</v>
      </c>
      <c r="AU3442">
        <v>13</v>
      </c>
      <c r="AW3442" t="s">
        <v>11187</v>
      </c>
      <c r="AY3442" t="s">
        <v>11213</v>
      </c>
      <c r="AZ3442" t="s">
        <v>11221</v>
      </c>
      <c r="BD3442" t="s">
        <v>11667</v>
      </c>
      <c r="BF3442" t="s">
        <v>14364</v>
      </c>
      <c r="BG3442" t="s">
        <v>15229</v>
      </c>
      <c r="BM3442" t="s">
        <v>15650</v>
      </c>
    </row>
    <row r="3443" spans="1:65">
      <c r="A3443" s="1">
        <f>HYPERLINK("https://lsnyc.legalserver.org/matter/dynamic-profile/view/1892069","19-1892069")</f>
        <v>0</v>
      </c>
      <c r="B3443" t="s">
        <v>197</v>
      </c>
      <c r="C3443" t="s">
        <v>248</v>
      </c>
      <c r="D3443" t="s">
        <v>342</v>
      </c>
      <c r="F3443" t="s">
        <v>2465</v>
      </c>
      <c r="G3443" t="s">
        <v>1735</v>
      </c>
      <c r="H3443" t="s">
        <v>4798</v>
      </c>
      <c r="I3443" t="s">
        <v>6415</v>
      </c>
      <c r="J3443" t="s">
        <v>7174</v>
      </c>
      <c r="K3443">
        <v>11233</v>
      </c>
      <c r="N3443" t="s">
        <v>7237</v>
      </c>
      <c r="O3443" t="s">
        <v>9453</v>
      </c>
      <c r="P3443">
        <v>2</v>
      </c>
      <c r="Q3443">
        <v>1</v>
      </c>
      <c r="R3443">
        <v>281.29</v>
      </c>
      <c r="U3443">
        <v>60000</v>
      </c>
      <c r="V3443" t="s">
        <v>10581</v>
      </c>
      <c r="W3443">
        <v>0</v>
      </c>
      <c r="Y3443" t="s">
        <v>101</v>
      </c>
      <c r="AA3443" t="s">
        <v>10974</v>
      </c>
      <c r="AB3443" t="s">
        <v>874</v>
      </c>
      <c r="AD3443" t="s">
        <v>11098</v>
      </c>
      <c r="AF3443" t="s">
        <v>11122</v>
      </c>
      <c r="AH3443" t="s">
        <v>10974</v>
      </c>
      <c r="AJ3443" t="s">
        <v>11104</v>
      </c>
      <c r="AK3443" t="s">
        <v>7225</v>
      </c>
      <c r="AM3443">
        <v>978</v>
      </c>
      <c r="AO3443">
        <v>359</v>
      </c>
      <c r="AQ3443" t="s">
        <v>11157</v>
      </c>
      <c r="AS3443" t="s">
        <v>11173</v>
      </c>
      <c r="AU3443">
        <v>3</v>
      </c>
      <c r="AW3443" t="s">
        <v>11187</v>
      </c>
      <c r="AY3443" t="s">
        <v>11213</v>
      </c>
      <c r="AZ3443" t="s">
        <v>11221</v>
      </c>
      <c r="BD3443" t="s">
        <v>11667</v>
      </c>
      <c r="BF3443" t="s">
        <v>14364</v>
      </c>
      <c r="BG3443" t="s">
        <v>15228</v>
      </c>
      <c r="BM3443" t="s">
        <v>15650</v>
      </c>
    </row>
    <row r="3444" spans="1:65">
      <c r="A3444" s="1">
        <f>HYPERLINK("https://lsnyc.legalserver.org/matter/dynamic-profile/view/1891660","19-1891660")</f>
        <v>0</v>
      </c>
      <c r="B3444" t="s">
        <v>197</v>
      </c>
      <c r="C3444" t="s">
        <v>248</v>
      </c>
      <c r="D3444" t="s">
        <v>515</v>
      </c>
      <c r="F3444" t="s">
        <v>1904</v>
      </c>
      <c r="G3444" t="s">
        <v>4278</v>
      </c>
      <c r="H3444" t="s">
        <v>4798</v>
      </c>
      <c r="I3444" t="s">
        <v>6592</v>
      </c>
      <c r="J3444" t="s">
        <v>7174</v>
      </c>
      <c r="K3444">
        <v>11233</v>
      </c>
      <c r="N3444" t="s">
        <v>7237</v>
      </c>
      <c r="O3444" t="s">
        <v>9449</v>
      </c>
      <c r="P3444">
        <v>2</v>
      </c>
      <c r="Q3444">
        <v>0</v>
      </c>
      <c r="R3444">
        <v>195.15</v>
      </c>
      <c r="U3444">
        <v>33000</v>
      </c>
      <c r="V3444" t="s">
        <v>10587</v>
      </c>
      <c r="W3444">
        <v>0</v>
      </c>
      <c r="Y3444" t="s">
        <v>225</v>
      </c>
      <c r="AA3444" t="s">
        <v>10974</v>
      </c>
      <c r="AB3444" t="s">
        <v>395</v>
      </c>
      <c r="AD3444" t="s">
        <v>11100</v>
      </c>
      <c r="AF3444" t="s">
        <v>10384</v>
      </c>
      <c r="AH3444" t="s">
        <v>10974</v>
      </c>
      <c r="AI3444" t="s">
        <v>11126</v>
      </c>
      <c r="AK3444" t="s">
        <v>7225</v>
      </c>
      <c r="AM3444">
        <v>1442</v>
      </c>
      <c r="AO3444">
        <v>359</v>
      </c>
      <c r="AQ3444" t="s">
        <v>11157</v>
      </c>
      <c r="AR3444" t="s">
        <v>11172</v>
      </c>
      <c r="AU3444">
        <v>28</v>
      </c>
      <c r="AW3444" t="s">
        <v>11187</v>
      </c>
      <c r="AY3444" t="s">
        <v>11213</v>
      </c>
      <c r="AZ3444" t="s">
        <v>11221</v>
      </c>
      <c r="BD3444" t="s">
        <v>11667</v>
      </c>
      <c r="BF3444" t="s">
        <v>14364</v>
      </c>
      <c r="BG3444" t="s">
        <v>11173</v>
      </c>
      <c r="BM3444" t="s">
        <v>15650</v>
      </c>
    </row>
    <row r="3445" spans="1:65">
      <c r="A3445" s="1">
        <f>HYPERLINK("https://lsnyc.legalserver.org/matter/dynamic-profile/view/1897205","19-1897205")</f>
        <v>0</v>
      </c>
      <c r="B3445" t="s">
        <v>197</v>
      </c>
      <c r="C3445" t="s">
        <v>248</v>
      </c>
      <c r="D3445" t="s">
        <v>444</v>
      </c>
      <c r="F3445" t="s">
        <v>1155</v>
      </c>
      <c r="G3445" t="s">
        <v>4277</v>
      </c>
      <c r="H3445" t="s">
        <v>5940</v>
      </c>
      <c r="I3445" t="s">
        <v>6436</v>
      </c>
      <c r="J3445" t="s">
        <v>7174</v>
      </c>
      <c r="K3445">
        <v>11233</v>
      </c>
      <c r="N3445" t="s">
        <v>7237</v>
      </c>
      <c r="O3445" t="s">
        <v>7500</v>
      </c>
      <c r="P3445">
        <v>1</v>
      </c>
      <c r="Q3445">
        <v>2</v>
      </c>
      <c r="R3445">
        <v>262.54</v>
      </c>
      <c r="U3445">
        <v>56000</v>
      </c>
      <c r="V3445" t="s">
        <v>10588</v>
      </c>
      <c r="W3445">
        <v>0</v>
      </c>
      <c r="Y3445" t="s">
        <v>101</v>
      </c>
      <c r="AA3445" t="s">
        <v>10974</v>
      </c>
      <c r="AB3445" t="s">
        <v>874</v>
      </c>
      <c r="AD3445" t="s">
        <v>11098</v>
      </c>
      <c r="AF3445" t="s">
        <v>11122</v>
      </c>
      <c r="AH3445" t="s">
        <v>10974</v>
      </c>
      <c r="AJ3445" t="s">
        <v>11104</v>
      </c>
      <c r="AK3445" t="s">
        <v>7225</v>
      </c>
      <c r="AM3445">
        <v>651.8</v>
      </c>
      <c r="AO3445">
        <v>359</v>
      </c>
      <c r="AQ3445" t="s">
        <v>11157</v>
      </c>
      <c r="AR3445" t="s">
        <v>11172</v>
      </c>
      <c r="AU3445">
        <v>40</v>
      </c>
      <c r="AW3445" t="s">
        <v>11189</v>
      </c>
      <c r="AY3445" t="s">
        <v>11213</v>
      </c>
      <c r="AZ3445" t="s">
        <v>11221</v>
      </c>
      <c r="BD3445" t="s">
        <v>11667</v>
      </c>
      <c r="BF3445" t="s">
        <v>14364</v>
      </c>
      <c r="BG3445" t="s">
        <v>15229</v>
      </c>
      <c r="BM3445" t="s">
        <v>15650</v>
      </c>
    </row>
    <row r="3446" spans="1:65">
      <c r="A3446" s="1">
        <f>HYPERLINK("https://lsnyc.legalserver.org/matter/dynamic-profile/view/1897171","19-1897171")</f>
        <v>0</v>
      </c>
      <c r="B3446" t="s">
        <v>197</v>
      </c>
      <c r="C3446" t="s">
        <v>248</v>
      </c>
      <c r="D3446" t="s">
        <v>444</v>
      </c>
      <c r="F3446" t="s">
        <v>2466</v>
      </c>
      <c r="G3446" t="s">
        <v>4283</v>
      </c>
      <c r="H3446" t="s">
        <v>5124</v>
      </c>
      <c r="I3446" t="s">
        <v>6991</v>
      </c>
      <c r="J3446" t="s">
        <v>7174</v>
      </c>
      <c r="K3446">
        <v>11233</v>
      </c>
      <c r="N3446" t="s">
        <v>7237</v>
      </c>
      <c r="O3446" t="s">
        <v>7772</v>
      </c>
      <c r="P3446">
        <v>1</v>
      </c>
      <c r="Q3446">
        <v>0</v>
      </c>
      <c r="R3446">
        <v>0</v>
      </c>
      <c r="U3446">
        <v>0</v>
      </c>
      <c r="V3446" t="s">
        <v>10589</v>
      </c>
      <c r="W3446">
        <v>0</v>
      </c>
      <c r="Y3446" t="s">
        <v>101</v>
      </c>
      <c r="AA3446" t="s">
        <v>10974</v>
      </c>
      <c r="AB3446" t="s">
        <v>395</v>
      </c>
      <c r="AD3446" t="s">
        <v>11100</v>
      </c>
      <c r="AF3446" t="s">
        <v>10384</v>
      </c>
      <c r="AH3446" t="s">
        <v>10974</v>
      </c>
      <c r="AJ3446" t="s">
        <v>11104</v>
      </c>
      <c r="AK3446" t="s">
        <v>7225</v>
      </c>
      <c r="AM3446">
        <v>1294.06</v>
      </c>
      <c r="AO3446">
        <v>359</v>
      </c>
      <c r="AQ3446" t="s">
        <v>11157</v>
      </c>
      <c r="AS3446" t="s">
        <v>11173</v>
      </c>
      <c r="AU3446">
        <v>27</v>
      </c>
      <c r="AW3446" t="s">
        <v>11187</v>
      </c>
      <c r="AY3446" t="s">
        <v>11213</v>
      </c>
      <c r="AZ3446" t="s">
        <v>11221</v>
      </c>
      <c r="BD3446" t="s">
        <v>11667</v>
      </c>
      <c r="BF3446" t="s">
        <v>14364</v>
      </c>
      <c r="BM3446" t="s">
        <v>15650</v>
      </c>
    </row>
    <row r="3447" spans="1:65">
      <c r="A3447" s="1">
        <f>HYPERLINK("https://lsnyc.legalserver.org/matter/dynamic-profile/view/1897521","19-1897521")</f>
        <v>0</v>
      </c>
      <c r="B3447" t="s">
        <v>197</v>
      </c>
      <c r="C3447" t="s">
        <v>248</v>
      </c>
      <c r="D3447" t="s">
        <v>664</v>
      </c>
      <c r="F3447" t="s">
        <v>1183</v>
      </c>
      <c r="G3447" t="s">
        <v>3079</v>
      </c>
      <c r="H3447" t="s">
        <v>4798</v>
      </c>
      <c r="I3447" t="s">
        <v>6992</v>
      </c>
      <c r="J3447" t="s">
        <v>7174</v>
      </c>
      <c r="K3447">
        <v>11233</v>
      </c>
      <c r="N3447" t="s">
        <v>7237</v>
      </c>
      <c r="O3447" t="s">
        <v>9456</v>
      </c>
      <c r="P3447">
        <v>1</v>
      </c>
      <c r="Q3447">
        <v>1</v>
      </c>
      <c r="R3447">
        <v>189.24</v>
      </c>
      <c r="U3447">
        <v>32000</v>
      </c>
      <c r="V3447" t="s">
        <v>10590</v>
      </c>
      <c r="W3447">
        <v>0</v>
      </c>
      <c r="Y3447" t="s">
        <v>225</v>
      </c>
      <c r="AA3447" t="s">
        <v>10974</v>
      </c>
      <c r="AB3447" t="s">
        <v>395</v>
      </c>
      <c r="AD3447" t="s">
        <v>11100</v>
      </c>
      <c r="AF3447" t="s">
        <v>10384</v>
      </c>
      <c r="AH3447" t="s">
        <v>10974</v>
      </c>
      <c r="AI3447" t="s">
        <v>11126</v>
      </c>
      <c r="AK3447" t="s">
        <v>7225</v>
      </c>
      <c r="AM3447">
        <v>981</v>
      </c>
      <c r="AO3447">
        <v>359</v>
      </c>
      <c r="AQ3447" t="s">
        <v>11157</v>
      </c>
      <c r="AR3447" t="s">
        <v>11172</v>
      </c>
      <c r="AU3447">
        <v>20</v>
      </c>
      <c r="AW3447" t="s">
        <v>11187</v>
      </c>
      <c r="AY3447" t="s">
        <v>11213</v>
      </c>
      <c r="AZ3447" t="s">
        <v>11221</v>
      </c>
      <c r="BD3447" t="s">
        <v>11667</v>
      </c>
      <c r="BF3447" t="s">
        <v>14364</v>
      </c>
      <c r="BM3447" t="s">
        <v>15650</v>
      </c>
    </row>
    <row r="3448" spans="1:65">
      <c r="A3448" s="1">
        <f>HYPERLINK("https://lsnyc.legalserver.org/matter/dynamic-profile/view/1902021","19-1902021")</f>
        <v>0</v>
      </c>
      <c r="B3448" t="s">
        <v>197</v>
      </c>
      <c r="C3448" t="s">
        <v>248</v>
      </c>
      <c r="D3448" t="s">
        <v>590</v>
      </c>
      <c r="F3448" t="s">
        <v>1629</v>
      </c>
      <c r="G3448" t="s">
        <v>2254</v>
      </c>
      <c r="H3448" t="s">
        <v>4798</v>
      </c>
      <c r="I3448" t="s">
        <v>6993</v>
      </c>
      <c r="J3448" t="s">
        <v>7174</v>
      </c>
      <c r="K3448">
        <v>11233</v>
      </c>
      <c r="N3448" t="s">
        <v>7237</v>
      </c>
      <c r="O3448" t="s">
        <v>9457</v>
      </c>
      <c r="P3448">
        <v>1</v>
      </c>
      <c r="Q3448">
        <v>0</v>
      </c>
      <c r="R3448">
        <v>0</v>
      </c>
      <c r="U3448">
        <v>0</v>
      </c>
      <c r="V3448" t="s">
        <v>10591</v>
      </c>
      <c r="W3448">
        <v>0</v>
      </c>
      <c r="Y3448" t="s">
        <v>101</v>
      </c>
      <c r="AA3448" t="s">
        <v>10974</v>
      </c>
      <c r="AB3448" t="s">
        <v>395</v>
      </c>
      <c r="AD3448" t="s">
        <v>11100</v>
      </c>
      <c r="AF3448" t="s">
        <v>10384</v>
      </c>
      <c r="AH3448" t="s">
        <v>10974</v>
      </c>
      <c r="AJ3448" t="s">
        <v>11104</v>
      </c>
      <c r="AK3448" t="s">
        <v>7225</v>
      </c>
      <c r="AM3448">
        <v>1126</v>
      </c>
      <c r="AO3448">
        <v>359</v>
      </c>
      <c r="AQ3448" t="s">
        <v>11157</v>
      </c>
      <c r="AR3448" t="s">
        <v>11172</v>
      </c>
      <c r="AU3448">
        <v>45</v>
      </c>
      <c r="AW3448" t="s">
        <v>11187</v>
      </c>
      <c r="AY3448" t="s">
        <v>11213</v>
      </c>
      <c r="AZ3448" t="s">
        <v>11221</v>
      </c>
      <c r="BA3448" t="s">
        <v>11173</v>
      </c>
      <c r="BD3448" t="s">
        <v>11667</v>
      </c>
      <c r="BF3448" t="s">
        <v>14364</v>
      </c>
      <c r="BG3448" t="s">
        <v>11086</v>
      </c>
      <c r="BM3448" t="s">
        <v>15650</v>
      </c>
    </row>
    <row r="3449" spans="1:65">
      <c r="A3449" s="1">
        <f>HYPERLINK("https://lsnyc.legalserver.org/matter/dynamic-profile/view/1901995","19-1901995")</f>
        <v>0</v>
      </c>
      <c r="B3449" t="s">
        <v>197</v>
      </c>
      <c r="C3449" t="s">
        <v>248</v>
      </c>
      <c r="D3449" t="s">
        <v>590</v>
      </c>
      <c r="F3449" t="s">
        <v>1295</v>
      </c>
      <c r="G3449" t="s">
        <v>4284</v>
      </c>
      <c r="H3449" t="s">
        <v>4798</v>
      </c>
      <c r="I3449" t="s">
        <v>6552</v>
      </c>
      <c r="J3449" t="s">
        <v>7174</v>
      </c>
      <c r="K3449">
        <v>11233</v>
      </c>
      <c r="N3449" t="s">
        <v>7237</v>
      </c>
      <c r="O3449" t="s">
        <v>9458</v>
      </c>
      <c r="P3449">
        <v>1</v>
      </c>
      <c r="Q3449">
        <v>0</v>
      </c>
      <c r="R3449">
        <v>0</v>
      </c>
      <c r="U3449">
        <v>0</v>
      </c>
      <c r="V3449" t="s">
        <v>10592</v>
      </c>
      <c r="W3449">
        <v>0</v>
      </c>
      <c r="Y3449" t="s">
        <v>101</v>
      </c>
      <c r="AA3449" t="s">
        <v>10974</v>
      </c>
      <c r="AB3449" t="s">
        <v>395</v>
      </c>
      <c r="AD3449" t="s">
        <v>11100</v>
      </c>
      <c r="AF3449" t="s">
        <v>10384</v>
      </c>
      <c r="AH3449" t="s">
        <v>10974</v>
      </c>
      <c r="AJ3449" t="s">
        <v>11104</v>
      </c>
      <c r="AK3449" t="s">
        <v>7225</v>
      </c>
      <c r="AM3449">
        <v>840</v>
      </c>
      <c r="AO3449">
        <v>359</v>
      </c>
      <c r="AQ3449" t="s">
        <v>11157</v>
      </c>
      <c r="AR3449" t="s">
        <v>11172</v>
      </c>
      <c r="AU3449">
        <v>9</v>
      </c>
      <c r="AW3449" t="s">
        <v>11187</v>
      </c>
      <c r="AY3449" t="s">
        <v>11213</v>
      </c>
      <c r="AZ3449" t="s">
        <v>11221</v>
      </c>
      <c r="BA3449" t="s">
        <v>11173</v>
      </c>
      <c r="BD3449" t="s">
        <v>11667</v>
      </c>
      <c r="BF3449" t="s">
        <v>14364</v>
      </c>
      <c r="BG3449" t="s">
        <v>11086</v>
      </c>
      <c r="BM3449" t="s">
        <v>15650</v>
      </c>
    </row>
    <row r="3450" spans="1:65">
      <c r="A3450" s="1">
        <f>HYPERLINK("https://lsnyc.legalserver.org/matter/dynamic-profile/view/1891580","19-1891580")</f>
        <v>0</v>
      </c>
      <c r="B3450" t="s">
        <v>197</v>
      </c>
      <c r="C3450" t="s">
        <v>248</v>
      </c>
      <c r="D3450" t="s">
        <v>515</v>
      </c>
      <c r="F3450" t="s">
        <v>1294</v>
      </c>
      <c r="G3450" t="s">
        <v>4285</v>
      </c>
      <c r="H3450" t="s">
        <v>5124</v>
      </c>
      <c r="I3450" t="s">
        <v>6558</v>
      </c>
      <c r="J3450" t="s">
        <v>7174</v>
      </c>
      <c r="K3450">
        <v>11233</v>
      </c>
      <c r="N3450" t="s">
        <v>7237</v>
      </c>
      <c r="O3450" t="s">
        <v>9418</v>
      </c>
      <c r="P3450">
        <v>2</v>
      </c>
      <c r="Q3450">
        <v>0</v>
      </c>
      <c r="R3450">
        <v>271.41</v>
      </c>
      <c r="S3450" t="s">
        <v>776</v>
      </c>
      <c r="T3450" t="s">
        <v>10276</v>
      </c>
      <c r="U3450">
        <v>45895</v>
      </c>
      <c r="V3450" t="s">
        <v>10578</v>
      </c>
      <c r="W3450">
        <v>0</v>
      </c>
      <c r="Y3450" t="s">
        <v>225</v>
      </c>
      <c r="AA3450" t="s">
        <v>10974</v>
      </c>
      <c r="AB3450" t="s">
        <v>874</v>
      </c>
      <c r="AD3450" t="s">
        <v>11098</v>
      </c>
      <c r="AF3450" t="s">
        <v>11122</v>
      </c>
      <c r="AH3450" t="s">
        <v>10974</v>
      </c>
      <c r="AI3450" t="s">
        <v>11126</v>
      </c>
      <c r="AK3450" t="s">
        <v>7225</v>
      </c>
      <c r="AM3450">
        <v>811.37</v>
      </c>
      <c r="AO3450">
        <v>359</v>
      </c>
      <c r="AQ3450" t="s">
        <v>11157</v>
      </c>
      <c r="AR3450" t="s">
        <v>11172</v>
      </c>
      <c r="AU3450">
        <v>20</v>
      </c>
      <c r="AW3450" t="s">
        <v>11187</v>
      </c>
      <c r="AY3450" t="s">
        <v>11213</v>
      </c>
      <c r="AZ3450" t="s">
        <v>11221</v>
      </c>
      <c r="BD3450" t="s">
        <v>11667</v>
      </c>
      <c r="BF3450" t="s">
        <v>14364</v>
      </c>
      <c r="BG3450" t="s">
        <v>15229</v>
      </c>
      <c r="BM3450" t="s">
        <v>15650</v>
      </c>
    </row>
    <row r="3451" spans="1:65">
      <c r="A3451" s="1">
        <f>HYPERLINK("https://lsnyc.legalserver.org/matter/dynamic-profile/view/1886113","18-1886113")</f>
        <v>0</v>
      </c>
      <c r="B3451" t="s">
        <v>197</v>
      </c>
      <c r="C3451" t="s">
        <v>248</v>
      </c>
      <c r="D3451" t="s">
        <v>405</v>
      </c>
      <c r="F3451" t="s">
        <v>2461</v>
      </c>
      <c r="G3451" t="s">
        <v>3661</v>
      </c>
      <c r="H3451" t="s">
        <v>5124</v>
      </c>
      <c r="I3451" t="s">
        <v>6989</v>
      </c>
      <c r="J3451" t="s">
        <v>7174</v>
      </c>
      <c r="K3451">
        <v>11233</v>
      </c>
      <c r="N3451" t="s">
        <v>7237</v>
      </c>
      <c r="O3451" t="s">
        <v>9448</v>
      </c>
      <c r="P3451">
        <v>1</v>
      </c>
      <c r="Q3451">
        <v>0</v>
      </c>
      <c r="R3451">
        <v>230.64</v>
      </c>
      <c r="S3451" t="s">
        <v>776</v>
      </c>
      <c r="T3451" t="s">
        <v>10276</v>
      </c>
      <c r="U3451">
        <v>28000</v>
      </c>
      <c r="W3451">
        <v>0</v>
      </c>
      <c r="Y3451" t="s">
        <v>225</v>
      </c>
      <c r="AA3451" t="s">
        <v>10974</v>
      </c>
      <c r="AB3451" t="s">
        <v>631</v>
      </c>
      <c r="AD3451" t="s">
        <v>11098</v>
      </c>
      <c r="AF3451" t="s">
        <v>11122</v>
      </c>
      <c r="AH3451" t="s">
        <v>10974</v>
      </c>
      <c r="AJ3451" t="s">
        <v>11134</v>
      </c>
      <c r="AK3451" t="s">
        <v>7225</v>
      </c>
      <c r="AM3451">
        <v>1094</v>
      </c>
      <c r="AO3451">
        <v>764</v>
      </c>
      <c r="AQ3451" t="s">
        <v>11157</v>
      </c>
      <c r="AS3451" t="s">
        <v>11173</v>
      </c>
      <c r="AU3451">
        <v>40</v>
      </c>
      <c r="AW3451" t="s">
        <v>11187</v>
      </c>
      <c r="AY3451" t="s">
        <v>11213</v>
      </c>
      <c r="AZ3451" t="s">
        <v>11221</v>
      </c>
      <c r="BC3451" t="s">
        <v>11173</v>
      </c>
      <c r="BD3451" t="s">
        <v>11667</v>
      </c>
      <c r="BF3451" t="s">
        <v>14364</v>
      </c>
      <c r="BG3451" t="s">
        <v>15229</v>
      </c>
      <c r="BM3451" t="s">
        <v>15650</v>
      </c>
    </row>
    <row r="3452" spans="1:65">
      <c r="A3452" s="1">
        <f>HYPERLINK("https://lsnyc.legalserver.org/matter/dynamic-profile/view/1898838","19-1898838")</f>
        <v>0</v>
      </c>
      <c r="B3452" t="s">
        <v>197</v>
      </c>
      <c r="C3452" t="s">
        <v>248</v>
      </c>
      <c r="D3452" t="s">
        <v>347</v>
      </c>
      <c r="F3452" t="s">
        <v>2456</v>
      </c>
      <c r="G3452" t="s">
        <v>3333</v>
      </c>
      <c r="H3452" t="s">
        <v>5943</v>
      </c>
      <c r="I3452" t="s">
        <v>6930</v>
      </c>
      <c r="J3452" t="s">
        <v>7174</v>
      </c>
      <c r="K3452">
        <v>11233</v>
      </c>
      <c r="N3452" t="s">
        <v>7237</v>
      </c>
      <c r="O3452" t="s">
        <v>9459</v>
      </c>
      <c r="P3452">
        <v>1</v>
      </c>
      <c r="Q3452">
        <v>0</v>
      </c>
      <c r="R3452">
        <v>283.43</v>
      </c>
      <c r="U3452">
        <v>35400</v>
      </c>
      <c r="V3452" t="s">
        <v>10593</v>
      </c>
      <c r="W3452">
        <v>0</v>
      </c>
      <c r="Y3452" t="s">
        <v>101</v>
      </c>
      <c r="AA3452" t="s">
        <v>10974</v>
      </c>
      <c r="AB3452" t="s">
        <v>874</v>
      </c>
      <c r="AD3452" t="s">
        <v>11098</v>
      </c>
      <c r="AF3452" t="s">
        <v>11122</v>
      </c>
      <c r="AH3452" t="s">
        <v>10974</v>
      </c>
      <c r="AJ3452" t="s">
        <v>11104</v>
      </c>
      <c r="AK3452" t="s">
        <v>7225</v>
      </c>
      <c r="AL3452" t="s">
        <v>11150</v>
      </c>
      <c r="AM3452">
        <v>0</v>
      </c>
      <c r="AO3452">
        <v>359</v>
      </c>
      <c r="AQ3452" t="s">
        <v>11157</v>
      </c>
      <c r="AR3452" t="s">
        <v>11172</v>
      </c>
      <c r="AU3452">
        <v>21</v>
      </c>
      <c r="AW3452" t="s">
        <v>11187</v>
      </c>
      <c r="AY3452" t="s">
        <v>11213</v>
      </c>
      <c r="AZ3452" t="s">
        <v>11221</v>
      </c>
      <c r="BA3452" t="s">
        <v>11173</v>
      </c>
      <c r="BD3452" t="s">
        <v>11667</v>
      </c>
      <c r="BF3452" t="s">
        <v>14364</v>
      </c>
      <c r="BG3452" t="s">
        <v>15229</v>
      </c>
      <c r="BM3452" t="s">
        <v>15650</v>
      </c>
    </row>
    <row r="3453" spans="1:65">
      <c r="A3453" s="1">
        <f>HYPERLINK("https://lsnyc.legalserver.org/matter/dynamic-profile/view/1897195","19-1897195")</f>
        <v>0</v>
      </c>
      <c r="B3453" t="s">
        <v>197</v>
      </c>
      <c r="C3453" t="s">
        <v>248</v>
      </c>
      <c r="D3453" t="s">
        <v>444</v>
      </c>
      <c r="F3453" t="s">
        <v>2467</v>
      </c>
      <c r="G3453" t="s">
        <v>4286</v>
      </c>
      <c r="H3453" t="s">
        <v>5941</v>
      </c>
      <c r="I3453" t="s">
        <v>6574</v>
      </c>
      <c r="J3453" t="s">
        <v>7174</v>
      </c>
      <c r="K3453">
        <v>11233</v>
      </c>
      <c r="N3453" t="s">
        <v>7237</v>
      </c>
      <c r="O3453" t="s">
        <v>9460</v>
      </c>
      <c r="P3453">
        <v>1</v>
      </c>
      <c r="Q3453">
        <v>0</v>
      </c>
      <c r="R3453">
        <v>0</v>
      </c>
      <c r="U3453">
        <v>0</v>
      </c>
      <c r="V3453" t="s">
        <v>10570</v>
      </c>
      <c r="W3453">
        <v>0</v>
      </c>
      <c r="Y3453" t="s">
        <v>101</v>
      </c>
      <c r="AA3453" t="s">
        <v>10974</v>
      </c>
      <c r="AB3453" t="s">
        <v>874</v>
      </c>
      <c r="AD3453" t="s">
        <v>11098</v>
      </c>
      <c r="AF3453" t="s">
        <v>11122</v>
      </c>
      <c r="AH3453" t="s">
        <v>10974</v>
      </c>
      <c r="AJ3453" t="s">
        <v>11104</v>
      </c>
      <c r="AK3453" t="s">
        <v>7225</v>
      </c>
      <c r="AL3453" t="s">
        <v>11150</v>
      </c>
      <c r="AM3453">
        <v>0</v>
      </c>
      <c r="AO3453">
        <v>359</v>
      </c>
      <c r="AQ3453" t="s">
        <v>11157</v>
      </c>
      <c r="AR3453" t="s">
        <v>11172</v>
      </c>
      <c r="AU3453">
        <v>20</v>
      </c>
      <c r="AW3453" t="s">
        <v>11187</v>
      </c>
      <c r="AY3453" t="s">
        <v>11213</v>
      </c>
      <c r="AZ3453" t="s">
        <v>11221</v>
      </c>
      <c r="BD3453" t="s">
        <v>11667</v>
      </c>
      <c r="BF3453" t="s">
        <v>14364</v>
      </c>
      <c r="BG3453" t="s">
        <v>15228</v>
      </c>
      <c r="BM3453" t="s">
        <v>15650</v>
      </c>
    </row>
    <row r="3454" spans="1:65">
      <c r="A3454" s="1">
        <f>HYPERLINK("https://lsnyc.legalserver.org/matter/dynamic-profile/view/1897530","19-1897530")</f>
        <v>0</v>
      </c>
      <c r="B3454" t="s">
        <v>197</v>
      </c>
      <c r="C3454" t="s">
        <v>248</v>
      </c>
      <c r="D3454" t="s">
        <v>664</v>
      </c>
      <c r="F3454" t="s">
        <v>1108</v>
      </c>
      <c r="G3454" t="s">
        <v>3265</v>
      </c>
      <c r="H3454" t="s">
        <v>5124</v>
      </c>
      <c r="I3454" t="s">
        <v>6669</v>
      </c>
      <c r="J3454" t="s">
        <v>7174</v>
      </c>
      <c r="K3454">
        <v>11233</v>
      </c>
      <c r="N3454" t="s">
        <v>7237</v>
      </c>
      <c r="O3454" t="s">
        <v>9461</v>
      </c>
      <c r="P3454">
        <v>1</v>
      </c>
      <c r="Q3454">
        <v>0</v>
      </c>
      <c r="R3454">
        <v>0</v>
      </c>
      <c r="U3454">
        <v>0</v>
      </c>
      <c r="V3454" t="s">
        <v>10594</v>
      </c>
      <c r="W3454">
        <v>0</v>
      </c>
      <c r="Y3454" t="s">
        <v>225</v>
      </c>
      <c r="AA3454" t="s">
        <v>10974</v>
      </c>
      <c r="AB3454" t="s">
        <v>395</v>
      </c>
      <c r="AD3454" t="s">
        <v>11100</v>
      </c>
      <c r="AF3454" t="s">
        <v>10384</v>
      </c>
      <c r="AH3454" t="s">
        <v>10974</v>
      </c>
      <c r="AJ3454" t="s">
        <v>11140</v>
      </c>
      <c r="AK3454" t="s">
        <v>7225</v>
      </c>
      <c r="AM3454">
        <v>976.08</v>
      </c>
      <c r="AO3454">
        <v>359</v>
      </c>
      <c r="AQ3454" t="s">
        <v>11157</v>
      </c>
      <c r="AR3454" t="s">
        <v>11172</v>
      </c>
      <c r="AT3454" t="s">
        <v>11184</v>
      </c>
      <c r="AU3454">
        <v>0</v>
      </c>
      <c r="AW3454" t="s">
        <v>11187</v>
      </c>
      <c r="AY3454" t="s">
        <v>11213</v>
      </c>
      <c r="AZ3454" t="s">
        <v>11221</v>
      </c>
      <c r="BD3454" t="s">
        <v>11667</v>
      </c>
      <c r="BF3454" t="s">
        <v>14364</v>
      </c>
      <c r="BM3454" t="s">
        <v>15650</v>
      </c>
    </row>
    <row r="3455" spans="1:65">
      <c r="A3455" s="1">
        <f>HYPERLINK("https://lsnyc.legalserver.org/matter/dynamic-profile/view/1897528","19-1897528")</f>
        <v>0</v>
      </c>
      <c r="B3455" t="s">
        <v>197</v>
      </c>
      <c r="C3455" t="s">
        <v>248</v>
      </c>
      <c r="D3455" t="s">
        <v>664</v>
      </c>
      <c r="F3455" t="s">
        <v>1108</v>
      </c>
      <c r="G3455" t="s">
        <v>3265</v>
      </c>
      <c r="H3455" t="s">
        <v>5124</v>
      </c>
      <c r="I3455" t="s">
        <v>6669</v>
      </c>
      <c r="J3455" t="s">
        <v>7174</v>
      </c>
      <c r="K3455">
        <v>11233</v>
      </c>
      <c r="N3455" t="s">
        <v>7237</v>
      </c>
      <c r="O3455" t="s">
        <v>9461</v>
      </c>
      <c r="P3455">
        <v>1</v>
      </c>
      <c r="Q3455">
        <v>0</v>
      </c>
      <c r="R3455">
        <v>0</v>
      </c>
      <c r="U3455">
        <v>0</v>
      </c>
      <c r="V3455" t="s">
        <v>10569</v>
      </c>
      <c r="W3455">
        <v>0</v>
      </c>
      <c r="Y3455" t="s">
        <v>225</v>
      </c>
      <c r="AA3455" t="s">
        <v>10974</v>
      </c>
      <c r="AB3455" t="s">
        <v>874</v>
      </c>
      <c r="AD3455" t="s">
        <v>11098</v>
      </c>
      <c r="AF3455" t="s">
        <v>11122</v>
      </c>
      <c r="AH3455" t="s">
        <v>10974</v>
      </c>
      <c r="AJ3455" t="s">
        <v>11140</v>
      </c>
      <c r="AK3455" t="s">
        <v>7225</v>
      </c>
      <c r="AM3455">
        <v>976.08</v>
      </c>
      <c r="AO3455">
        <v>359</v>
      </c>
      <c r="AQ3455" t="s">
        <v>11157</v>
      </c>
      <c r="AR3455" t="s">
        <v>11172</v>
      </c>
      <c r="AT3455" t="s">
        <v>11184</v>
      </c>
      <c r="AU3455">
        <v>0</v>
      </c>
      <c r="AW3455" t="s">
        <v>11187</v>
      </c>
      <c r="AY3455" t="s">
        <v>11213</v>
      </c>
      <c r="AZ3455" t="s">
        <v>11221</v>
      </c>
      <c r="BD3455" t="s">
        <v>11667</v>
      </c>
      <c r="BF3455" t="s">
        <v>14364</v>
      </c>
      <c r="BG3455" t="s">
        <v>15229</v>
      </c>
      <c r="BM3455" t="s">
        <v>15650</v>
      </c>
    </row>
    <row r="3456" spans="1:65">
      <c r="A3456" s="1">
        <f>HYPERLINK("https://lsnyc.legalserver.org/matter/dynamic-profile/view/1901993","19-1901993")</f>
        <v>0</v>
      </c>
      <c r="B3456" t="s">
        <v>197</v>
      </c>
      <c r="C3456" t="s">
        <v>248</v>
      </c>
      <c r="D3456" t="s">
        <v>590</v>
      </c>
      <c r="F3456" t="s">
        <v>1295</v>
      </c>
      <c r="G3456" t="s">
        <v>4284</v>
      </c>
      <c r="H3456" t="s">
        <v>4798</v>
      </c>
      <c r="I3456" t="s">
        <v>6552</v>
      </c>
      <c r="J3456" t="s">
        <v>7174</v>
      </c>
      <c r="K3456">
        <v>11233</v>
      </c>
      <c r="N3456" t="s">
        <v>7237</v>
      </c>
      <c r="O3456" t="s">
        <v>9458</v>
      </c>
      <c r="P3456">
        <v>1</v>
      </c>
      <c r="Q3456">
        <v>0</v>
      </c>
      <c r="R3456">
        <v>0</v>
      </c>
      <c r="U3456">
        <v>0</v>
      </c>
      <c r="V3456" t="s">
        <v>10570</v>
      </c>
      <c r="W3456">
        <v>0</v>
      </c>
      <c r="Y3456" t="s">
        <v>101</v>
      </c>
      <c r="AA3456" t="s">
        <v>10974</v>
      </c>
      <c r="AB3456" t="s">
        <v>874</v>
      </c>
      <c r="AD3456" t="s">
        <v>11098</v>
      </c>
      <c r="AF3456" t="s">
        <v>11122</v>
      </c>
      <c r="AH3456" t="s">
        <v>10974</v>
      </c>
      <c r="AJ3456" t="s">
        <v>11104</v>
      </c>
      <c r="AK3456" t="s">
        <v>7225</v>
      </c>
      <c r="AM3456">
        <v>840</v>
      </c>
      <c r="AO3456">
        <v>359</v>
      </c>
      <c r="AQ3456" t="s">
        <v>11157</v>
      </c>
      <c r="AR3456" t="s">
        <v>11172</v>
      </c>
      <c r="AU3456">
        <v>9</v>
      </c>
      <c r="AW3456" t="s">
        <v>11187</v>
      </c>
      <c r="AY3456" t="s">
        <v>11213</v>
      </c>
      <c r="AZ3456" t="s">
        <v>11221</v>
      </c>
      <c r="BA3456" t="s">
        <v>11173</v>
      </c>
      <c r="BD3456" t="s">
        <v>11667</v>
      </c>
      <c r="BF3456" t="s">
        <v>14364</v>
      </c>
      <c r="BG3456" t="s">
        <v>15228</v>
      </c>
      <c r="BM3456" t="s">
        <v>15650</v>
      </c>
    </row>
    <row r="3457" spans="1:65">
      <c r="A3457" s="1">
        <f>HYPERLINK("https://lsnyc.legalserver.org/matter/dynamic-profile/view/1902020","19-1902020")</f>
        <v>0</v>
      </c>
      <c r="B3457" t="s">
        <v>197</v>
      </c>
      <c r="C3457" t="s">
        <v>248</v>
      </c>
      <c r="D3457" t="s">
        <v>590</v>
      </c>
      <c r="F3457" t="s">
        <v>1629</v>
      </c>
      <c r="G3457" t="s">
        <v>2254</v>
      </c>
      <c r="H3457" t="s">
        <v>4798</v>
      </c>
      <c r="I3457" t="s">
        <v>6993</v>
      </c>
      <c r="J3457" t="s">
        <v>7174</v>
      </c>
      <c r="K3457">
        <v>11233</v>
      </c>
      <c r="N3457" t="s">
        <v>7237</v>
      </c>
      <c r="O3457" t="s">
        <v>9457</v>
      </c>
      <c r="P3457">
        <v>1</v>
      </c>
      <c r="Q3457">
        <v>0</v>
      </c>
      <c r="R3457">
        <v>0</v>
      </c>
      <c r="U3457">
        <v>0</v>
      </c>
      <c r="V3457" t="s">
        <v>10570</v>
      </c>
      <c r="W3457">
        <v>0</v>
      </c>
      <c r="Y3457" t="s">
        <v>101</v>
      </c>
      <c r="AA3457" t="s">
        <v>10974</v>
      </c>
      <c r="AB3457" t="s">
        <v>874</v>
      </c>
      <c r="AD3457" t="s">
        <v>11098</v>
      </c>
      <c r="AF3457" t="s">
        <v>11122</v>
      </c>
      <c r="AH3457" t="s">
        <v>10974</v>
      </c>
      <c r="AJ3457" t="s">
        <v>11104</v>
      </c>
      <c r="AK3457" t="s">
        <v>7225</v>
      </c>
      <c r="AM3457">
        <v>1126</v>
      </c>
      <c r="AO3457">
        <v>359</v>
      </c>
      <c r="AQ3457" t="s">
        <v>11157</v>
      </c>
      <c r="AR3457" t="s">
        <v>11172</v>
      </c>
      <c r="AU3457">
        <v>45</v>
      </c>
      <c r="AW3457" t="s">
        <v>11187</v>
      </c>
      <c r="AY3457" t="s">
        <v>11213</v>
      </c>
      <c r="AZ3457" t="s">
        <v>11221</v>
      </c>
      <c r="BA3457" t="s">
        <v>11173</v>
      </c>
      <c r="BD3457" t="s">
        <v>11667</v>
      </c>
      <c r="BF3457" t="s">
        <v>14364</v>
      </c>
      <c r="BG3457" t="s">
        <v>15228</v>
      </c>
      <c r="BM3457" t="s">
        <v>15650</v>
      </c>
    </row>
    <row r="3458" spans="1:65">
      <c r="A3458" s="1">
        <f>HYPERLINK("https://lsnyc.legalserver.org/matter/dynamic-profile/view/1910536","19-1910536")</f>
        <v>0</v>
      </c>
      <c r="B3458" t="s">
        <v>197</v>
      </c>
      <c r="C3458" t="s">
        <v>248</v>
      </c>
      <c r="D3458" t="s">
        <v>561</v>
      </c>
      <c r="F3458" t="s">
        <v>2468</v>
      </c>
      <c r="G3458" t="s">
        <v>4287</v>
      </c>
      <c r="H3458" t="s">
        <v>5124</v>
      </c>
      <c r="J3458" t="s">
        <v>7174</v>
      </c>
      <c r="K3458">
        <v>11233</v>
      </c>
      <c r="N3458" t="s">
        <v>7237</v>
      </c>
      <c r="O3458" t="s">
        <v>9462</v>
      </c>
      <c r="P3458">
        <v>4</v>
      </c>
      <c r="Q3458">
        <v>0</v>
      </c>
      <c r="R3458">
        <v>0</v>
      </c>
      <c r="U3458">
        <v>0</v>
      </c>
      <c r="V3458" t="s">
        <v>10595</v>
      </c>
      <c r="W3458">
        <v>0</v>
      </c>
      <c r="Y3458" t="s">
        <v>225</v>
      </c>
      <c r="AA3458" t="s">
        <v>10974</v>
      </c>
      <c r="AB3458" t="s">
        <v>10988</v>
      </c>
      <c r="AD3458" t="s">
        <v>11098</v>
      </c>
      <c r="AF3458" t="s">
        <v>11122</v>
      </c>
      <c r="AH3458" t="s">
        <v>10974</v>
      </c>
      <c r="AJ3458" t="s">
        <v>11134</v>
      </c>
      <c r="AK3458" t="s">
        <v>7225</v>
      </c>
      <c r="AL3458" t="s">
        <v>11150</v>
      </c>
      <c r="AM3458">
        <v>0</v>
      </c>
      <c r="AO3458">
        <v>1107</v>
      </c>
      <c r="AQ3458" t="s">
        <v>11157</v>
      </c>
      <c r="AS3458" t="s">
        <v>11104</v>
      </c>
      <c r="AT3458" t="s">
        <v>11184</v>
      </c>
      <c r="AU3458">
        <v>0</v>
      </c>
      <c r="AW3458" t="s">
        <v>11187</v>
      </c>
      <c r="AY3458" t="s">
        <v>11213</v>
      </c>
      <c r="AZ3458" t="s">
        <v>11221</v>
      </c>
      <c r="BA3458" t="s">
        <v>11173</v>
      </c>
      <c r="BC3458" t="s">
        <v>11228</v>
      </c>
      <c r="BD3458" t="s">
        <v>11667</v>
      </c>
      <c r="BG3458" t="s">
        <v>15230</v>
      </c>
      <c r="BM3458" t="s">
        <v>15650</v>
      </c>
    </row>
    <row r="3459" spans="1:65">
      <c r="A3459" s="1">
        <f>HYPERLINK("https://lsnyc.legalserver.org/matter/dynamic-profile/view/1898842","19-1898842")</f>
        <v>0</v>
      </c>
      <c r="B3459" t="s">
        <v>197</v>
      </c>
      <c r="C3459" t="s">
        <v>248</v>
      </c>
      <c r="D3459" t="s">
        <v>347</v>
      </c>
      <c r="F3459" t="s">
        <v>2456</v>
      </c>
      <c r="G3459" t="s">
        <v>3333</v>
      </c>
      <c r="H3459" t="s">
        <v>5943</v>
      </c>
      <c r="I3459" t="s">
        <v>6930</v>
      </c>
      <c r="J3459" t="s">
        <v>7174</v>
      </c>
      <c r="K3459">
        <v>11233</v>
      </c>
      <c r="N3459" t="s">
        <v>7237</v>
      </c>
      <c r="O3459" t="s">
        <v>9459</v>
      </c>
      <c r="P3459">
        <v>1</v>
      </c>
      <c r="Q3459">
        <v>0</v>
      </c>
      <c r="R3459">
        <v>283.43</v>
      </c>
      <c r="U3459">
        <v>35400</v>
      </c>
      <c r="V3459" t="s">
        <v>10596</v>
      </c>
      <c r="W3459">
        <v>0</v>
      </c>
      <c r="Y3459" t="s">
        <v>101</v>
      </c>
      <c r="AA3459" t="s">
        <v>10974</v>
      </c>
      <c r="AB3459" t="s">
        <v>395</v>
      </c>
      <c r="AD3459" t="s">
        <v>11100</v>
      </c>
      <c r="AF3459" t="s">
        <v>10384</v>
      </c>
      <c r="AH3459" t="s">
        <v>10974</v>
      </c>
      <c r="AJ3459" t="s">
        <v>11104</v>
      </c>
      <c r="AK3459" t="s">
        <v>7225</v>
      </c>
      <c r="AL3459" t="s">
        <v>11150</v>
      </c>
      <c r="AM3459">
        <v>0</v>
      </c>
      <c r="AO3459">
        <v>359</v>
      </c>
      <c r="AQ3459" t="s">
        <v>11157</v>
      </c>
      <c r="AS3459" t="s">
        <v>11173</v>
      </c>
      <c r="AU3459">
        <v>21</v>
      </c>
      <c r="AW3459" t="s">
        <v>11187</v>
      </c>
      <c r="AY3459" t="s">
        <v>11213</v>
      </c>
      <c r="AZ3459" t="s">
        <v>11221</v>
      </c>
      <c r="BA3459" t="s">
        <v>11173</v>
      </c>
      <c r="BC3459" t="s">
        <v>11173</v>
      </c>
      <c r="BD3459" t="s">
        <v>11667</v>
      </c>
      <c r="BF3459" t="s">
        <v>14364</v>
      </c>
      <c r="BG3459" t="s">
        <v>11173</v>
      </c>
      <c r="BM3459" t="s">
        <v>15650</v>
      </c>
    </row>
    <row r="3460" spans="1:65">
      <c r="A3460" s="1">
        <f>HYPERLINK("https://lsnyc.legalserver.org/matter/dynamic-profile/view/1886734","18-1886734")</f>
        <v>0</v>
      </c>
      <c r="B3460" t="s">
        <v>197</v>
      </c>
      <c r="C3460" t="s">
        <v>248</v>
      </c>
      <c r="D3460" t="s">
        <v>597</v>
      </c>
      <c r="F3460" t="s">
        <v>1128</v>
      </c>
      <c r="G3460" t="s">
        <v>4288</v>
      </c>
      <c r="H3460" t="s">
        <v>4798</v>
      </c>
      <c r="I3460" t="s">
        <v>6832</v>
      </c>
      <c r="J3460" t="s">
        <v>7174</v>
      </c>
      <c r="K3460">
        <v>11233</v>
      </c>
      <c r="N3460" t="s">
        <v>7237</v>
      </c>
      <c r="O3460" t="s">
        <v>9463</v>
      </c>
      <c r="P3460">
        <v>1</v>
      </c>
      <c r="Q3460">
        <v>0</v>
      </c>
      <c r="R3460">
        <v>190.71</v>
      </c>
      <c r="U3460">
        <v>23152.8</v>
      </c>
      <c r="W3460">
        <v>0</v>
      </c>
      <c r="Y3460" t="s">
        <v>101</v>
      </c>
      <c r="AA3460" t="s">
        <v>10974</v>
      </c>
      <c r="AB3460" t="s">
        <v>551</v>
      </c>
      <c r="AD3460" t="s">
        <v>11098</v>
      </c>
      <c r="AF3460" t="s">
        <v>11122</v>
      </c>
      <c r="AH3460" t="s">
        <v>10974</v>
      </c>
      <c r="AJ3460" t="s">
        <v>11132</v>
      </c>
      <c r="AK3460" t="s">
        <v>7225</v>
      </c>
      <c r="AM3460">
        <v>1076.55</v>
      </c>
      <c r="AO3460">
        <v>764</v>
      </c>
      <c r="AQ3460" t="s">
        <v>11157</v>
      </c>
      <c r="AS3460" t="s">
        <v>11175</v>
      </c>
      <c r="AU3460">
        <v>21</v>
      </c>
      <c r="AW3460" t="s">
        <v>11187</v>
      </c>
      <c r="AY3460" t="s">
        <v>11213</v>
      </c>
      <c r="AZ3460" t="s">
        <v>11221</v>
      </c>
      <c r="BE3460" t="s">
        <v>13659</v>
      </c>
      <c r="BF3460" t="s">
        <v>14364</v>
      </c>
      <c r="BG3460" t="s">
        <v>15228</v>
      </c>
      <c r="BM3460" t="s">
        <v>15650</v>
      </c>
    </row>
    <row r="3461" spans="1:65">
      <c r="A3461" s="1">
        <f>HYPERLINK("https://lsnyc.legalserver.org/matter/dynamic-profile/view/1891500","19-1891500")</f>
        <v>0</v>
      </c>
      <c r="B3461" t="s">
        <v>197</v>
      </c>
      <c r="C3461" t="s">
        <v>248</v>
      </c>
      <c r="D3461" t="s">
        <v>636</v>
      </c>
      <c r="F3461" t="s">
        <v>2469</v>
      </c>
      <c r="G3461" t="s">
        <v>3281</v>
      </c>
      <c r="H3461" t="s">
        <v>5124</v>
      </c>
      <c r="I3461" t="s">
        <v>6926</v>
      </c>
      <c r="J3461" t="s">
        <v>7174</v>
      </c>
      <c r="K3461">
        <v>11233</v>
      </c>
      <c r="N3461" t="s">
        <v>7237</v>
      </c>
      <c r="O3461" t="s">
        <v>9464</v>
      </c>
      <c r="P3461">
        <v>2</v>
      </c>
      <c r="Q3461">
        <v>1</v>
      </c>
      <c r="R3461">
        <v>215.66</v>
      </c>
      <c r="S3461" t="s">
        <v>776</v>
      </c>
      <c r="T3461" t="s">
        <v>10276</v>
      </c>
      <c r="U3461">
        <v>46000</v>
      </c>
      <c r="V3461" t="s">
        <v>10578</v>
      </c>
      <c r="W3461">
        <v>0</v>
      </c>
      <c r="Y3461" t="s">
        <v>225</v>
      </c>
      <c r="AA3461" t="s">
        <v>10974</v>
      </c>
      <c r="AB3461" t="s">
        <v>874</v>
      </c>
      <c r="AD3461" t="s">
        <v>11098</v>
      </c>
      <c r="AF3461" t="s">
        <v>11122</v>
      </c>
      <c r="AH3461" t="s">
        <v>10974</v>
      </c>
      <c r="AI3461" t="s">
        <v>11126</v>
      </c>
      <c r="AK3461" t="s">
        <v>7225</v>
      </c>
      <c r="AM3461">
        <v>997</v>
      </c>
      <c r="AO3461">
        <v>359</v>
      </c>
      <c r="AQ3461" t="s">
        <v>11157</v>
      </c>
      <c r="AR3461" t="s">
        <v>11172</v>
      </c>
      <c r="AU3461">
        <v>40</v>
      </c>
      <c r="AW3461" t="s">
        <v>11187</v>
      </c>
      <c r="AY3461" t="s">
        <v>11213</v>
      </c>
      <c r="AZ3461" t="s">
        <v>11221</v>
      </c>
      <c r="BD3461" t="s">
        <v>11667</v>
      </c>
      <c r="BF3461" t="s">
        <v>14364</v>
      </c>
      <c r="BG3461" t="s">
        <v>15229</v>
      </c>
      <c r="BM3461" t="s">
        <v>15650</v>
      </c>
    </row>
    <row r="3462" spans="1:65">
      <c r="A3462" s="1">
        <f>HYPERLINK("https://lsnyc.legalserver.org/matter/dynamic-profile/view/1897201","19-1897201")</f>
        <v>0</v>
      </c>
      <c r="B3462" t="s">
        <v>197</v>
      </c>
      <c r="C3462" t="s">
        <v>248</v>
      </c>
      <c r="D3462" t="s">
        <v>444</v>
      </c>
      <c r="F3462" t="s">
        <v>2467</v>
      </c>
      <c r="G3462" t="s">
        <v>4286</v>
      </c>
      <c r="H3462" t="s">
        <v>5941</v>
      </c>
      <c r="I3462" t="s">
        <v>6574</v>
      </c>
      <c r="J3462" t="s">
        <v>7174</v>
      </c>
      <c r="K3462">
        <v>11233</v>
      </c>
      <c r="N3462" t="s">
        <v>7237</v>
      </c>
      <c r="O3462" t="s">
        <v>9460</v>
      </c>
      <c r="P3462">
        <v>1</v>
      </c>
      <c r="Q3462">
        <v>0</v>
      </c>
      <c r="R3462">
        <v>0</v>
      </c>
      <c r="U3462">
        <v>0</v>
      </c>
      <c r="W3462">
        <v>0</v>
      </c>
      <c r="Y3462" t="s">
        <v>101</v>
      </c>
      <c r="AA3462" t="s">
        <v>10974</v>
      </c>
      <c r="AB3462" t="s">
        <v>395</v>
      </c>
      <c r="AD3462" t="s">
        <v>11100</v>
      </c>
      <c r="AF3462" t="s">
        <v>10384</v>
      </c>
      <c r="AH3462" t="s">
        <v>10974</v>
      </c>
      <c r="AJ3462" t="s">
        <v>11104</v>
      </c>
      <c r="AK3462" t="s">
        <v>7225</v>
      </c>
      <c r="AL3462" t="s">
        <v>11150</v>
      </c>
      <c r="AM3462">
        <v>0</v>
      </c>
      <c r="AO3462">
        <v>359</v>
      </c>
      <c r="AQ3462" t="s">
        <v>11157</v>
      </c>
      <c r="AR3462" t="s">
        <v>11172</v>
      </c>
      <c r="AU3462">
        <v>20</v>
      </c>
      <c r="AW3462" t="s">
        <v>11187</v>
      </c>
      <c r="AY3462" t="s">
        <v>11213</v>
      </c>
      <c r="AZ3462" t="s">
        <v>11221</v>
      </c>
      <c r="BD3462" t="s">
        <v>11667</v>
      </c>
      <c r="BF3462" t="s">
        <v>14364</v>
      </c>
      <c r="BM3462" t="s">
        <v>15650</v>
      </c>
    </row>
    <row r="3463" spans="1:65">
      <c r="A3463" s="1">
        <f>HYPERLINK("https://lsnyc.legalserver.org/matter/dynamic-profile/view/1891502","19-1891502")</f>
        <v>0</v>
      </c>
      <c r="B3463" t="s">
        <v>197</v>
      </c>
      <c r="C3463" t="s">
        <v>248</v>
      </c>
      <c r="D3463" t="s">
        <v>636</v>
      </c>
      <c r="F3463" t="s">
        <v>2469</v>
      </c>
      <c r="G3463" t="s">
        <v>3281</v>
      </c>
      <c r="H3463" t="s">
        <v>5124</v>
      </c>
      <c r="I3463" t="s">
        <v>6926</v>
      </c>
      <c r="J3463" t="s">
        <v>7174</v>
      </c>
      <c r="K3463">
        <v>11233</v>
      </c>
      <c r="N3463" t="s">
        <v>7237</v>
      </c>
      <c r="O3463" t="s">
        <v>9464</v>
      </c>
      <c r="P3463">
        <v>2</v>
      </c>
      <c r="Q3463">
        <v>1</v>
      </c>
      <c r="R3463">
        <v>215.66</v>
      </c>
      <c r="S3463" t="s">
        <v>776</v>
      </c>
      <c r="T3463" t="s">
        <v>10276</v>
      </c>
      <c r="U3463">
        <v>46000</v>
      </c>
      <c r="V3463" t="s">
        <v>10597</v>
      </c>
      <c r="W3463">
        <v>0</v>
      </c>
      <c r="Y3463" t="s">
        <v>225</v>
      </c>
      <c r="AA3463" t="s">
        <v>10974</v>
      </c>
      <c r="AB3463" t="s">
        <v>395</v>
      </c>
      <c r="AD3463" t="s">
        <v>11100</v>
      </c>
      <c r="AF3463" t="s">
        <v>10384</v>
      </c>
      <c r="AH3463" t="s">
        <v>10974</v>
      </c>
      <c r="AI3463" t="s">
        <v>11126</v>
      </c>
      <c r="AK3463" t="s">
        <v>7225</v>
      </c>
      <c r="AM3463">
        <v>997</v>
      </c>
      <c r="AO3463">
        <v>359</v>
      </c>
      <c r="AQ3463" t="s">
        <v>11157</v>
      </c>
      <c r="AR3463" t="s">
        <v>11172</v>
      </c>
      <c r="AU3463">
        <v>40</v>
      </c>
      <c r="AW3463" t="s">
        <v>11187</v>
      </c>
      <c r="AY3463" t="s">
        <v>11213</v>
      </c>
      <c r="AZ3463" t="s">
        <v>11221</v>
      </c>
      <c r="BD3463" t="s">
        <v>11667</v>
      </c>
      <c r="BF3463" t="s">
        <v>14364</v>
      </c>
      <c r="BG3463" t="s">
        <v>11173</v>
      </c>
      <c r="BM3463" t="s">
        <v>15650</v>
      </c>
    </row>
    <row r="3464" spans="1:65">
      <c r="A3464" s="1">
        <f>HYPERLINK("https://lsnyc.legalserver.org/matter/dynamic-profile/view/1898027","19-1898027")</f>
        <v>0</v>
      </c>
      <c r="B3464" t="s">
        <v>197</v>
      </c>
      <c r="C3464" t="s">
        <v>248</v>
      </c>
      <c r="D3464" t="s">
        <v>594</v>
      </c>
      <c r="F3464" t="s">
        <v>2290</v>
      </c>
      <c r="G3464" t="s">
        <v>4289</v>
      </c>
      <c r="H3464" t="s">
        <v>5940</v>
      </c>
      <c r="I3464" t="s">
        <v>6503</v>
      </c>
      <c r="J3464" t="s">
        <v>7174</v>
      </c>
      <c r="K3464">
        <v>11233</v>
      </c>
      <c r="N3464" t="s">
        <v>7237</v>
      </c>
      <c r="O3464" t="s">
        <v>9465</v>
      </c>
      <c r="P3464">
        <v>1</v>
      </c>
      <c r="Q3464">
        <v>0</v>
      </c>
      <c r="R3464">
        <v>216.17</v>
      </c>
      <c r="U3464">
        <v>27000</v>
      </c>
      <c r="V3464" t="s">
        <v>10598</v>
      </c>
      <c r="W3464">
        <v>0</v>
      </c>
      <c r="Y3464" t="s">
        <v>101</v>
      </c>
      <c r="AA3464" t="s">
        <v>10974</v>
      </c>
      <c r="AB3464" t="s">
        <v>395</v>
      </c>
      <c r="AD3464" t="s">
        <v>11100</v>
      </c>
      <c r="AF3464" t="s">
        <v>10384</v>
      </c>
      <c r="AH3464" t="s">
        <v>10974</v>
      </c>
      <c r="AJ3464" t="s">
        <v>11104</v>
      </c>
      <c r="AK3464" t="s">
        <v>7225</v>
      </c>
      <c r="AM3464">
        <v>836.36</v>
      </c>
      <c r="AO3464">
        <v>359</v>
      </c>
      <c r="AQ3464" t="s">
        <v>11157</v>
      </c>
      <c r="AR3464" t="s">
        <v>11172</v>
      </c>
      <c r="AU3464">
        <v>16</v>
      </c>
      <c r="AW3464" t="s">
        <v>11187</v>
      </c>
      <c r="AY3464" t="s">
        <v>11213</v>
      </c>
      <c r="AZ3464" t="s">
        <v>11221</v>
      </c>
      <c r="BE3464" t="s">
        <v>13660</v>
      </c>
      <c r="BF3464" t="s">
        <v>14364</v>
      </c>
      <c r="BM3464" t="s">
        <v>15650</v>
      </c>
    </row>
    <row r="3465" spans="1:65">
      <c r="A3465" s="1">
        <f>HYPERLINK("https://lsnyc.legalserver.org/matter/dynamic-profile/view/1898022","19-1898022")</f>
        <v>0</v>
      </c>
      <c r="B3465" t="s">
        <v>197</v>
      </c>
      <c r="C3465" t="s">
        <v>248</v>
      </c>
      <c r="D3465" t="s">
        <v>594</v>
      </c>
      <c r="F3465" t="s">
        <v>2290</v>
      </c>
      <c r="G3465" t="s">
        <v>4289</v>
      </c>
      <c r="H3465" t="s">
        <v>5940</v>
      </c>
      <c r="I3465" t="s">
        <v>6503</v>
      </c>
      <c r="J3465" t="s">
        <v>7174</v>
      </c>
      <c r="K3465">
        <v>11233</v>
      </c>
      <c r="N3465" t="s">
        <v>7237</v>
      </c>
      <c r="O3465" t="s">
        <v>9465</v>
      </c>
      <c r="P3465">
        <v>1</v>
      </c>
      <c r="Q3465">
        <v>0</v>
      </c>
      <c r="R3465">
        <v>216.17</v>
      </c>
      <c r="U3465">
        <v>27000</v>
      </c>
      <c r="V3465" t="s">
        <v>10599</v>
      </c>
      <c r="W3465">
        <v>0</v>
      </c>
      <c r="Y3465" t="s">
        <v>101</v>
      </c>
      <c r="AA3465" t="s">
        <v>10974</v>
      </c>
      <c r="AB3465" t="s">
        <v>874</v>
      </c>
      <c r="AD3465" t="s">
        <v>11098</v>
      </c>
      <c r="AF3465" t="s">
        <v>11122</v>
      </c>
      <c r="AH3465" t="s">
        <v>10974</v>
      </c>
      <c r="AJ3465" t="s">
        <v>11104</v>
      </c>
      <c r="AK3465" t="s">
        <v>7225</v>
      </c>
      <c r="AM3465">
        <v>836.36</v>
      </c>
      <c r="AO3465">
        <v>359</v>
      </c>
      <c r="AQ3465" t="s">
        <v>11157</v>
      </c>
      <c r="AR3465" t="s">
        <v>11172</v>
      </c>
      <c r="AU3465">
        <v>16</v>
      </c>
      <c r="AW3465" t="s">
        <v>11187</v>
      </c>
      <c r="AY3465" t="s">
        <v>11213</v>
      </c>
      <c r="AZ3465" t="s">
        <v>11221</v>
      </c>
      <c r="BE3465" t="s">
        <v>13660</v>
      </c>
      <c r="BF3465" t="s">
        <v>14364</v>
      </c>
      <c r="BG3465" t="s">
        <v>15229</v>
      </c>
      <c r="BM3465" t="s">
        <v>15650</v>
      </c>
    </row>
    <row r="3466" spans="1:65">
      <c r="A3466" s="1">
        <f>HYPERLINK("https://lsnyc.legalserver.org/matter/dynamic-profile/view/1891583","19-1891583")</f>
        <v>0</v>
      </c>
      <c r="B3466" t="s">
        <v>197</v>
      </c>
      <c r="C3466" t="s">
        <v>248</v>
      </c>
      <c r="D3466" t="s">
        <v>515</v>
      </c>
      <c r="F3466" t="s">
        <v>1294</v>
      </c>
      <c r="G3466" t="s">
        <v>4285</v>
      </c>
      <c r="H3466" t="s">
        <v>5124</v>
      </c>
      <c r="I3466" t="s">
        <v>6558</v>
      </c>
      <c r="J3466" t="s">
        <v>7174</v>
      </c>
      <c r="K3466">
        <v>11233</v>
      </c>
      <c r="N3466" t="s">
        <v>7237</v>
      </c>
      <c r="O3466" t="s">
        <v>9418</v>
      </c>
      <c r="P3466">
        <v>2</v>
      </c>
      <c r="Q3466">
        <v>0</v>
      </c>
      <c r="R3466">
        <v>271.41</v>
      </c>
      <c r="S3466" t="s">
        <v>776</v>
      </c>
      <c r="T3466" t="s">
        <v>10276</v>
      </c>
      <c r="U3466">
        <v>45895</v>
      </c>
      <c r="V3466" t="s">
        <v>10600</v>
      </c>
      <c r="W3466">
        <v>0</v>
      </c>
      <c r="Y3466" t="s">
        <v>225</v>
      </c>
      <c r="AA3466" t="s">
        <v>10974</v>
      </c>
      <c r="AB3466" t="s">
        <v>395</v>
      </c>
      <c r="AD3466" t="s">
        <v>11100</v>
      </c>
      <c r="AF3466" t="s">
        <v>10384</v>
      </c>
      <c r="AH3466" t="s">
        <v>10974</v>
      </c>
      <c r="AI3466" t="s">
        <v>11126</v>
      </c>
      <c r="AK3466" t="s">
        <v>7225</v>
      </c>
      <c r="AM3466">
        <v>811.37</v>
      </c>
      <c r="AO3466">
        <v>359</v>
      </c>
      <c r="AQ3466" t="s">
        <v>11157</v>
      </c>
      <c r="AR3466" t="s">
        <v>11172</v>
      </c>
      <c r="AU3466">
        <v>20</v>
      </c>
      <c r="AW3466" t="s">
        <v>11187</v>
      </c>
      <c r="AY3466" t="s">
        <v>11213</v>
      </c>
      <c r="AZ3466" t="s">
        <v>11221</v>
      </c>
      <c r="BD3466" t="s">
        <v>11667</v>
      </c>
      <c r="BF3466" t="s">
        <v>14364</v>
      </c>
      <c r="BG3466" t="s">
        <v>11173</v>
      </c>
      <c r="BM3466" t="s">
        <v>15650</v>
      </c>
    </row>
    <row r="3467" spans="1:65">
      <c r="A3467" s="1">
        <f>HYPERLINK("https://lsnyc.legalserver.org/matter/dynamic-profile/view/1890579","19-1890579")</f>
        <v>0</v>
      </c>
      <c r="B3467" t="s">
        <v>197</v>
      </c>
      <c r="C3467" t="s">
        <v>248</v>
      </c>
      <c r="D3467" t="s">
        <v>442</v>
      </c>
      <c r="F3467" t="s">
        <v>1251</v>
      </c>
      <c r="G3467" t="s">
        <v>4290</v>
      </c>
      <c r="H3467" t="s">
        <v>4798</v>
      </c>
      <c r="I3467" t="s">
        <v>6926</v>
      </c>
      <c r="J3467" t="s">
        <v>7174</v>
      </c>
      <c r="K3467">
        <v>11233</v>
      </c>
      <c r="N3467" t="s">
        <v>7237</v>
      </c>
      <c r="O3467" t="s">
        <v>9466</v>
      </c>
      <c r="P3467">
        <v>1</v>
      </c>
      <c r="Q3467">
        <v>0</v>
      </c>
      <c r="R3467">
        <v>192.53</v>
      </c>
      <c r="U3467">
        <v>24046.8</v>
      </c>
      <c r="V3467" t="s">
        <v>10601</v>
      </c>
      <c r="W3467">
        <v>0</v>
      </c>
      <c r="Y3467" t="s">
        <v>225</v>
      </c>
      <c r="AA3467" t="s">
        <v>10974</v>
      </c>
      <c r="AB3467" t="s">
        <v>874</v>
      </c>
      <c r="AD3467" t="s">
        <v>11098</v>
      </c>
      <c r="AF3467" t="s">
        <v>11122</v>
      </c>
      <c r="AH3467" t="s">
        <v>10974</v>
      </c>
      <c r="AJ3467" t="s">
        <v>11140</v>
      </c>
      <c r="AK3467" t="s">
        <v>7225</v>
      </c>
      <c r="AM3467">
        <v>965.96</v>
      </c>
      <c r="AO3467">
        <v>359</v>
      </c>
      <c r="AQ3467" t="s">
        <v>11157</v>
      </c>
      <c r="AR3467" t="s">
        <v>11172</v>
      </c>
      <c r="AU3467">
        <v>42</v>
      </c>
      <c r="AW3467" t="s">
        <v>11187</v>
      </c>
      <c r="AY3467" t="s">
        <v>11213</v>
      </c>
      <c r="AZ3467" t="s">
        <v>11221</v>
      </c>
      <c r="BD3467" t="s">
        <v>11667</v>
      </c>
      <c r="BF3467" t="s">
        <v>14364</v>
      </c>
      <c r="BG3467" t="s">
        <v>11173</v>
      </c>
      <c r="BM3467" t="s">
        <v>15650</v>
      </c>
    </row>
    <row r="3468" spans="1:65">
      <c r="A3468" s="1">
        <f>HYPERLINK("https://lsnyc.legalserver.org/matter/dynamic-profile/view/1891494","19-1891494")</f>
        <v>0</v>
      </c>
      <c r="B3468" t="s">
        <v>197</v>
      </c>
      <c r="C3468" t="s">
        <v>248</v>
      </c>
      <c r="D3468" t="s">
        <v>636</v>
      </c>
      <c r="F3468" t="s">
        <v>2470</v>
      </c>
      <c r="G3468" t="s">
        <v>4291</v>
      </c>
      <c r="H3468" t="s">
        <v>4798</v>
      </c>
      <c r="I3468" t="s">
        <v>6994</v>
      </c>
      <c r="J3468" t="s">
        <v>7174</v>
      </c>
      <c r="K3468">
        <v>11233</v>
      </c>
      <c r="N3468" t="s">
        <v>7237</v>
      </c>
      <c r="O3468" t="s">
        <v>9467</v>
      </c>
      <c r="P3468">
        <v>1</v>
      </c>
      <c r="Q3468">
        <v>0</v>
      </c>
      <c r="R3468">
        <v>0</v>
      </c>
      <c r="U3468">
        <v>0</v>
      </c>
      <c r="V3468" t="s">
        <v>10602</v>
      </c>
      <c r="W3468">
        <v>0</v>
      </c>
      <c r="Y3468" t="s">
        <v>225</v>
      </c>
      <c r="AA3468" t="s">
        <v>10974</v>
      </c>
      <c r="AB3468" t="s">
        <v>395</v>
      </c>
      <c r="AD3468" t="s">
        <v>11100</v>
      </c>
      <c r="AF3468" t="s">
        <v>10384</v>
      </c>
      <c r="AH3468" t="s">
        <v>10974</v>
      </c>
      <c r="AI3468" t="s">
        <v>11126</v>
      </c>
      <c r="AK3468" t="s">
        <v>7225</v>
      </c>
      <c r="AM3468">
        <v>505</v>
      </c>
      <c r="AO3468">
        <v>359</v>
      </c>
      <c r="AQ3468" t="s">
        <v>11157</v>
      </c>
      <c r="AR3468" t="s">
        <v>11172</v>
      </c>
      <c r="AU3468">
        <v>40</v>
      </c>
      <c r="AW3468" t="s">
        <v>11187</v>
      </c>
      <c r="AY3468" t="s">
        <v>11213</v>
      </c>
      <c r="AZ3468" t="s">
        <v>11221</v>
      </c>
      <c r="BD3468" t="s">
        <v>11667</v>
      </c>
      <c r="BF3468" t="s">
        <v>14364</v>
      </c>
      <c r="BG3468" t="s">
        <v>11173</v>
      </c>
      <c r="BM3468" t="s">
        <v>15650</v>
      </c>
    </row>
    <row r="3469" spans="1:65">
      <c r="A3469" s="1">
        <f>HYPERLINK("https://lsnyc.legalserver.org/matter/dynamic-profile/view/1897190","19-1897190")</f>
        <v>0</v>
      </c>
      <c r="B3469" t="s">
        <v>197</v>
      </c>
      <c r="C3469" t="s">
        <v>248</v>
      </c>
      <c r="D3469" t="s">
        <v>444</v>
      </c>
      <c r="F3469" t="s">
        <v>1545</v>
      </c>
      <c r="G3469" t="s">
        <v>1187</v>
      </c>
      <c r="H3469" t="s">
        <v>5124</v>
      </c>
      <c r="I3469" t="s">
        <v>6415</v>
      </c>
      <c r="J3469" t="s">
        <v>7174</v>
      </c>
      <c r="K3469">
        <v>11233</v>
      </c>
      <c r="N3469" t="s">
        <v>7237</v>
      </c>
      <c r="O3469" t="s">
        <v>9468</v>
      </c>
      <c r="P3469">
        <v>1</v>
      </c>
      <c r="Q3469">
        <v>0</v>
      </c>
      <c r="R3469">
        <v>0</v>
      </c>
      <c r="U3469">
        <v>0</v>
      </c>
      <c r="W3469">
        <v>0</v>
      </c>
      <c r="Y3469" t="s">
        <v>101</v>
      </c>
      <c r="AA3469" t="s">
        <v>10974</v>
      </c>
      <c r="AB3469" t="s">
        <v>395</v>
      </c>
      <c r="AD3469" t="s">
        <v>11100</v>
      </c>
      <c r="AF3469" t="s">
        <v>10384</v>
      </c>
      <c r="AH3469" t="s">
        <v>10974</v>
      </c>
      <c r="AJ3469" t="s">
        <v>11104</v>
      </c>
      <c r="AK3469" t="s">
        <v>7225</v>
      </c>
      <c r="AM3469">
        <v>1014</v>
      </c>
      <c r="AO3469">
        <v>359</v>
      </c>
      <c r="AQ3469" t="s">
        <v>11157</v>
      </c>
      <c r="AR3469" t="s">
        <v>11172</v>
      </c>
      <c r="AU3469">
        <v>30</v>
      </c>
      <c r="AW3469" t="s">
        <v>11187</v>
      </c>
      <c r="AY3469" t="s">
        <v>11213</v>
      </c>
      <c r="AZ3469" t="s">
        <v>11221</v>
      </c>
      <c r="BD3469" t="s">
        <v>11667</v>
      </c>
      <c r="BF3469" t="s">
        <v>14364</v>
      </c>
      <c r="BM3469" t="s">
        <v>15650</v>
      </c>
    </row>
    <row r="3470" spans="1:65">
      <c r="A3470" s="1">
        <f>HYPERLINK("https://lsnyc.legalserver.org/matter/dynamic-profile/view/1891511","19-1891511")</f>
        <v>0</v>
      </c>
      <c r="B3470" t="s">
        <v>197</v>
      </c>
      <c r="C3470" t="s">
        <v>248</v>
      </c>
      <c r="D3470" t="s">
        <v>636</v>
      </c>
      <c r="F3470" t="s">
        <v>2471</v>
      </c>
      <c r="G3470" t="s">
        <v>1856</v>
      </c>
      <c r="H3470" t="s">
        <v>4798</v>
      </c>
      <c r="I3470" t="s">
        <v>6667</v>
      </c>
      <c r="J3470" t="s">
        <v>7174</v>
      </c>
      <c r="K3470">
        <v>11233</v>
      </c>
      <c r="N3470" t="s">
        <v>7237</v>
      </c>
      <c r="O3470" t="s">
        <v>8400</v>
      </c>
      <c r="P3470">
        <v>1</v>
      </c>
      <c r="Q3470">
        <v>0</v>
      </c>
      <c r="R3470">
        <v>0</v>
      </c>
      <c r="U3470">
        <v>0</v>
      </c>
      <c r="V3470" t="s">
        <v>10603</v>
      </c>
      <c r="W3470">
        <v>0</v>
      </c>
      <c r="Y3470" t="s">
        <v>225</v>
      </c>
      <c r="AA3470" t="s">
        <v>10974</v>
      </c>
      <c r="AB3470" t="s">
        <v>395</v>
      </c>
      <c r="AD3470" t="s">
        <v>11100</v>
      </c>
      <c r="AF3470" t="s">
        <v>10384</v>
      </c>
      <c r="AH3470" t="s">
        <v>10974</v>
      </c>
      <c r="AI3470" t="s">
        <v>11126</v>
      </c>
      <c r="AK3470" t="s">
        <v>7225</v>
      </c>
      <c r="AL3470" t="s">
        <v>11150</v>
      </c>
      <c r="AM3470">
        <v>0</v>
      </c>
      <c r="AO3470">
        <v>359</v>
      </c>
      <c r="AQ3470" t="s">
        <v>11157</v>
      </c>
      <c r="AR3470" t="s">
        <v>11172</v>
      </c>
      <c r="AU3470">
        <v>14</v>
      </c>
      <c r="AW3470" t="s">
        <v>11187</v>
      </c>
      <c r="AY3470" t="s">
        <v>11213</v>
      </c>
      <c r="AZ3470" t="s">
        <v>11221</v>
      </c>
      <c r="BD3470" t="s">
        <v>11667</v>
      </c>
      <c r="BF3470" t="s">
        <v>14364</v>
      </c>
      <c r="BG3470" t="s">
        <v>11173</v>
      </c>
      <c r="BM3470" t="s">
        <v>15650</v>
      </c>
    </row>
    <row r="3471" spans="1:65">
      <c r="A3471" s="1">
        <f>HYPERLINK("https://lsnyc.legalserver.org/matter/dynamic-profile/view/1891534","19-1891534")</f>
        <v>0</v>
      </c>
      <c r="B3471" t="s">
        <v>197</v>
      </c>
      <c r="C3471" t="s">
        <v>248</v>
      </c>
      <c r="D3471" t="s">
        <v>636</v>
      </c>
      <c r="F3471" t="s">
        <v>2464</v>
      </c>
      <c r="G3471" t="s">
        <v>4281</v>
      </c>
      <c r="H3471" t="s">
        <v>4798</v>
      </c>
      <c r="I3471" t="s">
        <v>6564</v>
      </c>
      <c r="J3471" t="s">
        <v>7174</v>
      </c>
      <c r="K3471">
        <v>11233</v>
      </c>
      <c r="N3471" t="s">
        <v>7237</v>
      </c>
      <c r="O3471" t="s">
        <v>7772</v>
      </c>
      <c r="P3471">
        <v>2</v>
      </c>
      <c r="Q3471">
        <v>0</v>
      </c>
      <c r="R3471">
        <v>0</v>
      </c>
      <c r="U3471">
        <v>0</v>
      </c>
      <c r="V3471" t="s">
        <v>10604</v>
      </c>
      <c r="W3471">
        <v>0</v>
      </c>
      <c r="Y3471" t="s">
        <v>225</v>
      </c>
      <c r="AA3471" t="s">
        <v>10974</v>
      </c>
      <c r="AB3471" t="s">
        <v>395</v>
      </c>
      <c r="AD3471" t="s">
        <v>11100</v>
      </c>
      <c r="AF3471" t="s">
        <v>10384</v>
      </c>
      <c r="AH3471" t="s">
        <v>10974</v>
      </c>
      <c r="AI3471" t="s">
        <v>11126</v>
      </c>
      <c r="AK3471" t="s">
        <v>7225</v>
      </c>
      <c r="AM3471">
        <v>1195</v>
      </c>
      <c r="AO3471">
        <v>359</v>
      </c>
      <c r="AQ3471" t="s">
        <v>11157</v>
      </c>
      <c r="AS3471" t="s">
        <v>11173</v>
      </c>
      <c r="AU3471">
        <v>30</v>
      </c>
      <c r="AW3471" t="s">
        <v>11187</v>
      </c>
      <c r="AY3471" t="s">
        <v>11213</v>
      </c>
      <c r="AZ3471" t="s">
        <v>11221</v>
      </c>
      <c r="BA3471" t="s">
        <v>11173</v>
      </c>
      <c r="BC3471" t="s">
        <v>11173</v>
      </c>
      <c r="BD3471" t="s">
        <v>11667</v>
      </c>
      <c r="BF3471" t="s">
        <v>14364</v>
      </c>
      <c r="BG3471" t="s">
        <v>11173</v>
      </c>
      <c r="BM3471" t="s">
        <v>15650</v>
      </c>
    </row>
    <row r="3472" spans="1:65">
      <c r="A3472" s="1">
        <f>HYPERLINK("https://lsnyc.legalserver.org/matter/dynamic-profile/view/1915251","19-1915251")</f>
        <v>0</v>
      </c>
      <c r="B3472" t="s">
        <v>197</v>
      </c>
      <c r="C3472" t="s">
        <v>248</v>
      </c>
      <c r="D3472" t="s">
        <v>426</v>
      </c>
      <c r="F3472" t="s">
        <v>1514</v>
      </c>
      <c r="G3472" t="s">
        <v>4292</v>
      </c>
      <c r="H3472" t="s">
        <v>5124</v>
      </c>
      <c r="I3472" t="s">
        <v>6448</v>
      </c>
      <c r="J3472" t="s">
        <v>7174</v>
      </c>
      <c r="K3472">
        <v>11233</v>
      </c>
      <c r="N3472" t="s">
        <v>7237</v>
      </c>
      <c r="O3472" t="s">
        <v>9469</v>
      </c>
      <c r="P3472">
        <v>1</v>
      </c>
      <c r="Q3472">
        <v>0</v>
      </c>
      <c r="R3472">
        <v>0</v>
      </c>
      <c r="U3472">
        <v>0</v>
      </c>
      <c r="V3472" t="s">
        <v>10605</v>
      </c>
      <c r="W3472">
        <v>0</v>
      </c>
      <c r="Y3472" t="s">
        <v>225</v>
      </c>
      <c r="AA3472" t="s">
        <v>10974</v>
      </c>
      <c r="AB3472" t="s">
        <v>426</v>
      </c>
      <c r="AD3472" t="s">
        <v>11098</v>
      </c>
      <c r="AF3472" t="s">
        <v>11122</v>
      </c>
      <c r="AH3472" t="s">
        <v>10974</v>
      </c>
      <c r="AI3472" t="s">
        <v>11126</v>
      </c>
      <c r="AK3472" t="s">
        <v>7225</v>
      </c>
      <c r="AM3472">
        <v>1066.79</v>
      </c>
      <c r="AO3472">
        <v>715</v>
      </c>
      <c r="AQ3472" t="s">
        <v>11157</v>
      </c>
      <c r="AS3472" t="s">
        <v>11173</v>
      </c>
      <c r="AU3472">
        <v>33</v>
      </c>
      <c r="AW3472" t="s">
        <v>11187</v>
      </c>
      <c r="AY3472" t="s">
        <v>11213</v>
      </c>
      <c r="AZ3472" t="s">
        <v>11221</v>
      </c>
      <c r="BA3472" t="s">
        <v>11173</v>
      </c>
      <c r="BC3472" t="s">
        <v>11276</v>
      </c>
      <c r="BD3472" t="s">
        <v>11667</v>
      </c>
      <c r="BF3472" t="s">
        <v>14364</v>
      </c>
      <c r="BG3472" t="s">
        <v>15229</v>
      </c>
      <c r="BM3472" t="s">
        <v>15650</v>
      </c>
    </row>
    <row r="3473" spans="1:65">
      <c r="A3473" s="1">
        <f>HYPERLINK("https://lsnyc.legalserver.org/matter/dynamic-profile/view/1891872","19-1891872")</f>
        <v>0</v>
      </c>
      <c r="B3473" t="s">
        <v>197</v>
      </c>
      <c r="C3473" t="s">
        <v>248</v>
      </c>
      <c r="D3473" t="s">
        <v>545</v>
      </c>
      <c r="F3473" t="s">
        <v>1251</v>
      </c>
      <c r="G3473" t="s">
        <v>4290</v>
      </c>
      <c r="H3473" t="s">
        <v>4798</v>
      </c>
      <c r="I3473" t="s">
        <v>6926</v>
      </c>
      <c r="J3473" t="s">
        <v>7174</v>
      </c>
      <c r="K3473">
        <v>11233</v>
      </c>
      <c r="N3473" t="s">
        <v>7237</v>
      </c>
      <c r="O3473" t="s">
        <v>9466</v>
      </c>
      <c r="P3473">
        <v>1</v>
      </c>
      <c r="Q3473">
        <v>0</v>
      </c>
      <c r="R3473">
        <v>192.53</v>
      </c>
      <c r="U3473">
        <v>24046.8</v>
      </c>
      <c r="V3473" t="s">
        <v>10606</v>
      </c>
      <c r="W3473">
        <v>0</v>
      </c>
      <c r="Y3473" t="s">
        <v>225</v>
      </c>
      <c r="AA3473" t="s">
        <v>10974</v>
      </c>
      <c r="AB3473" t="s">
        <v>395</v>
      </c>
      <c r="AD3473" t="s">
        <v>11100</v>
      </c>
      <c r="AF3473" t="s">
        <v>10384</v>
      </c>
      <c r="AH3473" t="s">
        <v>10974</v>
      </c>
      <c r="AI3473" t="s">
        <v>11126</v>
      </c>
      <c r="AK3473" t="s">
        <v>7225</v>
      </c>
      <c r="AM3473">
        <v>965.96</v>
      </c>
      <c r="AO3473">
        <v>359</v>
      </c>
      <c r="AQ3473" t="s">
        <v>11157</v>
      </c>
      <c r="AR3473" t="s">
        <v>11172</v>
      </c>
      <c r="AU3473">
        <v>42</v>
      </c>
      <c r="AW3473" t="s">
        <v>11187</v>
      </c>
      <c r="AY3473" t="s">
        <v>11213</v>
      </c>
      <c r="AZ3473" t="s">
        <v>11221</v>
      </c>
      <c r="BD3473" t="s">
        <v>11667</v>
      </c>
      <c r="BF3473" t="s">
        <v>14364</v>
      </c>
      <c r="BG3473" t="s">
        <v>11173</v>
      </c>
      <c r="BM3473" t="s">
        <v>15650</v>
      </c>
    </row>
    <row r="3474" spans="1:65">
      <c r="A3474" s="1">
        <f>HYPERLINK("https://lsnyc.legalserver.org/matter/dynamic-profile/view/1897185","19-1897185")</f>
        <v>0</v>
      </c>
      <c r="B3474" t="s">
        <v>197</v>
      </c>
      <c r="C3474" t="s">
        <v>248</v>
      </c>
      <c r="D3474" t="s">
        <v>444</v>
      </c>
      <c r="F3474" t="s">
        <v>1545</v>
      </c>
      <c r="G3474" t="s">
        <v>1187</v>
      </c>
      <c r="H3474" t="s">
        <v>5124</v>
      </c>
      <c r="I3474" t="s">
        <v>6415</v>
      </c>
      <c r="J3474" t="s">
        <v>7174</v>
      </c>
      <c r="K3474">
        <v>11233</v>
      </c>
      <c r="N3474" t="s">
        <v>7237</v>
      </c>
      <c r="O3474" t="s">
        <v>9468</v>
      </c>
      <c r="P3474">
        <v>1</v>
      </c>
      <c r="Q3474">
        <v>0</v>
      </c>
      <c r="R3474">
        <v>0</v>
      </c>
      <c r="U3474">
        <v>0</v>
      </c>
      <c r="V3474" t="s">
        <v>10607</v>
      </c>
      <c r="W3474">
        <v>0</v>
      </c>
      <c r="Y3474" t="s">
        <v>101</v>
      </c>
      <c r="AA3474" t="s">
        <v>10974</v>
      </c>
      <c r="AB3474" t="s">
        <v>874</v>
      </c>
      <c r="AD3474" t="s">
        <v>11098</v>
      </c>
      <c r="AF3474" t="s">
        <v>11122</v>
      </c>
      <c r="AH3474" t="s">
        <v>10974</v>
      </c>
      <c r="AJ3474" t="s">
        <v>11104</v>
      </c>
      <c r="AK3474" t="s">
        <v>7225</v>
      </c>
      <c r="AM3474">
        <v>1014</v>
      </c>
      <c r="AO3474">
        <v>359</v>
      </c>
      <c r="AQ3474" t="s">
        <v>11157</v>
      </c>
      <c r="AR3474" t="s">
        <v>11172</v>
      </c>
      <c r="AU3474">
        <v>30</v>
      </c>
      <c r="AW3474" t="s">
        <v>11187</v>
      </c>
      <c r="AY3474" t="s">
        <v>11213</v>
      </c>
      <c r="AZ3474" t="s">
        <v>11221</v>
      </c>
      <c r="BD3474" t="s">
        <v>11667</v>
      </c>
      <c r="BF3474" t="s">
        <v>14364</v>
      </c>
      <c r="BG3474" t="s">
        <v>15229</v>
      </c>
      <c r="BM3474" t="s">
        <v>15650</v>
      </c>
    </row>
    <row r="3475" spans="1:65">
      <c r="A3475" s="1">
        <f>HYPERLINK("https://lsnyc.legalserver.org/matter/dynamic-profile/view/1897167","19-1897167")</f>
        <v>0</v>
      </c>
      <c r="B3475" t="s">
        <v>197</v>
      </c>
      <c r="C3475" t="s">
        <v>248</v>
      </c>
      <c r="D3475" t="s">
        <v>444</v>
      </c>
      <c r="F3475" t="s">
        <v>2466</v>
      </c>
      <c r="G3475" t="s">
        <v>4283</v>
      </c>
      <c r="H3475" t="s">
        <v>5124</v>
      </c>
      <c r="I3475" t="s">
        <v>6991</v>
      </c>
      <c r="J3475" t="s">
        <v>7174</v>
      </c>
      <c r="K3475">
        <v>11233</v>
      </c>
      <c r="N3475" t="s">
        <v>7237</v>
      </c>
      <c r="O3475" t="s">
        <v>7772</v>
      </c>
      <c r="P3475">
        <v>1</v>
      </c>
      <c r="Q3475">
        <v>0</v>
      </c>
      <c r="R3475">
        <v>0</v>
      </c>
      <c r="U3475">
        <v>0</v>
      </c>
      <c r="V3475" t="s">
        <v>10570</v>
      </c>
      <c r="W3475">
        <v>0</v>
      </c>
      <c r="Y3475" t="s">
        <v>101</v>
      </c>
      <c r="AA3475" t="s">
        <v>10974</v>
      </c>
      <c r="AB3475" t="s">
        <v>874</v>
      </c>
      <c r="AD3475" t="s">
        <v>11098</v>
      </c>
      <c r="AF3475" t="s">
        <v>11122</v>
      </c>
      <c r="AH3475" t="s">
        <v>10974</v>
      </c>
      <c r="AJ3475" t="s">
        <v>11104</v>
      </c>
      <c r="AK3475" t="s">
        <v>7225</v>
      </c>
      <c r="AM3475">
        <v>1294.06</v>
      </c>
      <c r="AO3475">
        <v>359</v>
      </c>
      <c r="AQ3475" t="s">
        <v>11157</v>
      </c>
      <c r="AS3475" t="s">
        <v>11173</v>
      </c>
      <c r="AU3475">
        <v>27</v>
      </c>
      <c r="AW3475" t="s">
        <v>11187</v>
      </c>
      <c r="AY3475" t="s">
        <v>11213</v>
      </c>
      <c r="AZ3475" t="s">
        <v>11221</v>
      </c>
      <c r="BD3475" t="s">
        <v>11667</v>
      </c>
      <c r="BF3475" t="s">
        <v>14364</v>
      </c>
      <c r="BG3475" t="s">
        <v>15229</v>
      </c>
      <c r="BM3475" t="s">
        <v>15650</v>
      </c>
    </row>
    <row r="3476" spans="1:65">
      <c r="A3476" s="1">
        <f>HYPERLINK("https://lsnyc.legalserver.org/matter/dynamic-profile/view/1898244","19-1898244")</f>
        <v>0</v>
      </c>
      <c r="B3476" t="s">
        <v>197</v>
      </c>
      <c r="C3476" t="s">
        <v>248</v>
      </c>
      <c r="D3476" t="s">
        <v>591</v>
      </c>
      <c r="F3476" t="s">
        <v>2472</v>
      </c>
      <c r="G3476" t="s">
        <v>4293</v>
      </c>
      <c r="H3476" t="s">
        <v>4798</v>
      </c>
      <c r="I3476" t="s">
        <v>6428</v>
      </c>
      <c r="J3476" t="s">
        <v>7174</v>
      </c>
      <c r="K3476">
        <v>11233</v>
      </c>
      <c r="N3476" t="s">
        <v>7237</v>
      </c>
      <c r="O3476" t="s">
        <v>9470</v>
      </c>
      <c r="P3476">
        <v>3</v>
      </c>
      <c r="Q3476">
        <v>1</v>
      </c>
      <c r="R3476">
        <v>271.84</v>
      </c>
      <c r="U3476">
        <v>70000</v>
      </c>
      <c r="V3476" t="s">
        <v>10608</v>
      </c>
      <c r="W3476">
        <v>0</v>
      </c>
      <c r="Y3476" t="s">
        <v>101</v>
      </c>
      <c r="AA3476" t="s">
        <v>10974</v>
      </c>
      <c r="AB3476" t="s">
        <v>395</v>
      </c>
      <c r="AD3476" t="s">
        <v>11100</v>
      </c>
      <c r="AF3476" t="s">
        <v>10384</v>
      </c>
      <c r="AH3476" t="s">
        <v>10974</v>
      </c>
      <c r="AJ3476" t="s">
        <v>11104</v>
      </c>
      <c r="AK3476" t="s">
        <v>7225</v>
      </c>
      <c r="AM3476">
        <v>1024</v>
      </c>
      <c r="AO3476">
        <v>359</v>
      </c>
      <c r="AQ3476" t="s">
        <v>11157</v>
      </c>
      <c r="AR3476" t="s">
        <v>11172</v>
      </c>
      <c r="AU3476">
        <v>24</v>
      </c>
      <c r="AW3476" t="s">
        <v>11187</v>
      </c>
      <c r="AY3476" t="s">
        <v>11213</v>
      </c>
      <c r="AZ3476" t="s">
        <v>11221</v>
      </c>
      <c r="BD3476" t="s">
        <v>11667</v>
      </c>
      <c r="BF3476" t="s">
        <v>14364</v>
      </c>
      <c r="BM3476" t="s">
        <v>15650</v>
      </c>
    </row>
    <row r="3477" spans="1:65">
      <c r="A3477" s="1">
        <f>HYPERLINK("https://lsnyc.legalserver.org/matter/dynamic-profile/view/1892098","19-1892098")</f>
        <v>0</v>
      </c>
      <c r="B3477" t="s">
        <v>197</v>
      </c>
      <c r="C3477" t="s">
        <v>248</v>
      </c>
      <c r="D3477" t="s">
        <v>342</v>
      </c>
      <c r="F3477" t="s">
        <v>1718</v>
      </c>
      <c r="G3477" t="s">
        <v>2921</v>
      </c>
      <c r="H3477" t="s">
        <v>4798</v>
      </c>
      <c r="I3477" t="s">
        <v>6995</v>
      </c>
      <c r="J3477" t="s">
        <v>7174</v>
      </c>
      <c r="K3477">
        <v>11233</v>
      </c>
      <c r="N3477" t="s">
        <v>7237</v>
      </c>
      <c r="O3477" t="s">
        <v>9471</v>
      </c>
      <c r="P3477">
        <v>3</v>
      </c>
      <c r="Q3477">
        <v>0</v>
      </c>
      <c r="R3477">
        <v>4388.19</v>
      </c>
      <c r="U3477">
        <v>936000</v>
      </c>
      <c r="V3477" t="s">
        <v>10609</v>
      </c>
      <c r="W3477">
        <v>0</v>
      </c>
      <c r="Y3477" t="s">
        <v>101</v>
      </c>
      <c r="AA3477" t="s">
        <v>10974</v>
      </c>
      <c r="AB3477" t="s">
        <v>395</v>
      </c>
      <c r="AD3477" t="s">
        <v>11100</v>
      </c>
      <c r="AF3477" t="s">
        <v>10384</v>
      </c>
      <c r="AH3477" t="s">
        <v>10974</v>
      </c>
      <c r="AJ3477" t="s">
        <v>11104</v>
      </c>
      <c r="AK3477" t="s">
        <v>7225</v>
      </c>
      <c r="AM3477">
        <v>1037</v>
      </c>
      <c r="AO3477">
        <v>359</v>
      </c>
      <c r="AQ3477" t="s">
        <v>11157</v>
      </c>
      <c r="AR3477" t="s">
        <v>11172</v>
      </c>
      <c r="AU3477">
        <v>49</v>
      </c>
      <c r="AW3477" t="s">
        <v>11187</v>
      </c>
      <c r="AY3477" t="s">
        <v>11213</v>
      </c>
      <c r="AZ3477" t="s">
        <v>11221</v>
      </c>
      <c r="BD3477" t="s">
        <v>11667</v>
      </c>
      <c r="BF3477" t="s">
        <v>14364</v>
      </c>
      <c r="BM3477" t="s">
        <v>15650</v>
      </c>
    </row>
    <row r="3478" spans="1:65">
      <c r="A3478" s="1">
        <f>HYPERLINK("https://lsnyc.legalserver.org/matter/dynamic-profile/view/1891867","19-1891867")</f>
        <v>0</v>
      </c>
      <c r="B3478" t="s">
        <v>197</v>
      </c>
      <c r="C3478" t="s">
        <v>248</v>
      </c>
      <c r="D3478" t="s">
        <v>545</v>
      </c>
      <c r="F3478" t="s">
        <v>2473</v>
      </c>
      <c r="G3478" t="s">
        <v>3160</v>
      </c>
      <c r="H3478" t="s">
        <v>4798</v>
      </c>
      <c r="I3478" t="s">
        <v>6996</v>
      </c>
      <c r="J3478" t="s">
        <v>7174</v>
      </c>
      <c r="K3478">
        <v>11233</v>
      </c>
      <c r="N3478" t="s">
        <v>7237</v>
      </c>
      <c r="O3478" t="s">
        <v>9472</v>
      </c>
      <c r="P3478">
        <v>2</v>
      </c>
      <c r="Q3478">
        <v>3</v>
      </c>
      <c r="R3478">
        <v>222.07</v>
      </c>
      <c r="U3478">
        <v>67000</v>
      </c>
      <c r="V3478" t="s">
        <v>10610</v>
      </c>
      <c r="W3478">
        <v>0</v>
      </c>
      <c r="Y3478" t="s">
        <v>225</v>
      </c>
      <c r="AA3478" t="s">
        <v>10974</v>
      </c>
      <c r="AB3478" t="s">
        <v>395</v>
      </c>
      <c r="AD3478" t="s">
        <v>11100</v>
      </c>
      <c r="AF3478" t="s">
        <v>10384</v>
      </c>
      <c r="AH3478" t="s">
        <v>10974</v>
      </c>
      <c r="AI3478" t="s">
        <v>11126</v>
      </c>
      <c r="AK3478" t="s">
        <v>7225</v>
      </c>
      <c r="AM3478">
        <v>1031.53</v>
      </c>
      <c r="AO3478">
        <v>359</v>
      </c>
      <c r="AQ3478" t="s">
        <v>11157</v>
      </c>
      <c r="AS3478" t="s">
        <v>11173</v>
      </c>
      <c r="AU3478">
        <v>21</v>
      </c>
      <c r="AW3478" t="s">
        <v>11187</v>
      </c>
      <c r="AY3478" t="s">
        <v>11213</v>
      </c>
      <c r="AZ3478" t="s">
        <v>11221</v>
      </c>
      <c r="BD3478" t="s">
        <v>11667</v>
      </c>
      <c r="BF3478" t="s">
        <v>14364</v>
      </c>
      <c r="BM3478" t="s">
        <v>15650</v>
      </c>
    </row>
    <row r="3479" spans="1:65">
      <c r="A3479" s="1">
        <f>HYPERLINK("https://lsnyc.legalserver.org/matter/dynamic-profile/view/1890561","19-1890561")</f>
        <v>0</v>
      </c>
      <c r="B3479" t="s">
        <v>197</v>
      </c>
      <c r="C3479" t="s">
        <v>248</v>
      </c>
      <c r="D3479" t="s">
        <v>442</v>
      </c>
      <c r="F3479" t="s">
        <v>2473</v>
      </c>
      <c r="G3479" t="s">
        <v>3160</v>
      </c>
      <c r="H3479" t="s">
        <v>4798</v>
      </c>
      <c r="I3479" t="s">
        <v>6996</v>
      </c>
      <c r="J3479" t="s">
        <v>7174</v>
      </c>
      <c r="K3479">
        <v>11233</v>
      </c>
      <c r="N3479" t="s">
        <v>7237</v>
      </c>
      <c r="O3479" t="s">
        <v>9472</v>
      </c>
      <c r="P3479">
        <v>2</v>
      </c>
      <c r="Q3479">
        <v>3</v>
      </c>
      <c r="R3479">
        <v>222.07</v>
      </c>
      <c r="U3479">
        <v>67000</v>
      </c>
      <c r="V3479" t="s">
        <v>10570</v>
      </c>
      <c r="W3479">
        <v>0</v>
      </c>
      <c r="Y3479" t="s">
        <v>101</v>
      </c>
      <c r="AA3479" t="s">
        <v>10974</v>
      </c>
      <c r="AB3479" t="s">
        <v>874</v>
      </c>
      <c r="AD3479" t="s">
        <v>11098</v>
      </c>
      <c r="AF3479" t="s">
        <v>11122</v>
      </c>
      <c r="AH3479" t="s">
        <v>10974</v>
      </c>
      <c r="AJ3479" t="s">
        <v>11104</v>
      </c>
      <c r="AK3479" t="s">
        <v>7225</v>
      </c>
      <c r="AM3479">
        <v>1031.53</v>
      </c>
      <c r="AO3479">
        <v>359</v>
      </c>
      <c r="AQ3479" t="s">
        <v>11157</v>
      </c>
      <c r="AS3479" t="s">
        <v>11173</v>
      </c>
      <c r="AU3479">
        <v>21</v>
      </c>
      <c r="AW3479" t="s">
        <v>11187</v>
      </c>
      <c r="AY3479" t="s">
        <v>11213</v>
      </c>
      <c r="AZ3479" t="s">
        <v>11221</v>
      </c>
      <c r="BD3479" t="s">
        <v>11667</v>
      </c>
      <c r="BF3479" t="s">
        <v>14364</v>
      </c>
      <c r="BG3479" t="s">
        <v>15228</v>
      </c>
      <c r="BM3479" t="s">
        <v>15650</v>
      </c>
    </row>
    <row r="3480" spans="1:65">
      <c r="A3480" s="1">
        <f>HYPERLINK("https://lsnyc.legalserver.org/matter/dynamic-profile/view/1897345","19-1897345")</f>
        <v>0</v>
      </c>
      <c r="B3480" t="s">
        <v>197</v>
      </c>
      <c r="C3480" t="s">
        <v>248</v>
      </c>
      <c r="D3480" t="s">
        <v>583</v>
      </c>
      <c r="F3480" t="s">
        <v>1406</v>
      </c>
      <c r="G3480" t="s">
        <v>4274</v>
      </c>
      <c r="H3480" t="s">
        <v>5124</v>
      </c>
      <c r="I3480" t="s">
        <v>6720</v>
      </c>
      <c r="J3480" t="s">
        <v>7174</v>
      </c>
      <c r="K3480">
        <v>11233</v>
      </c>
      <c r="N3480" t="s">
        <v>7237</v>
      </c>
      <c r="O3480" t="s">
        <v>9445</v>
      </c>
      <c r="P3480">
        <v>2</v>
      </c>
      <c r="Q3480">
        <v>0</v>
      </c>
      <c r="R3480">
        <v>266.11</v>
      </c>
      <c r="U3480">
        <v>45000</v>
      </c>
      <c r="V3480" t="s">
        <v>10611</v>
      </c>
      <c r="W3480">
        <v>0</v>
      </c>
      <c r="Y3480" t="s">
        <v>225</v>
      </c>
      <c r="AA3480" t="s">
        <v>10974</v>
      </c>
      <c r="AB3480" t="s">
        <v>874</v>
      </c>
      <c r="AD3480" t="s">
        <v>11098</v>
      </c>
      <c r="AF3480" t="s">
        <v>11122</v>
      </c>
      <c r="AH3480" t="s">
        <v>10974</v>
      </c>
      <c r="AJ3480" t="s">
        <v>11140</v>
      </c>
      <c r="AK3480" t="s">
        <v>7225</v>
      </c>
      <c r="AM3480">
        <v>780</v>
      </c>
      <c r="AO3480">
        <v>359</v>
      </c>
      <c r="AQ3480" t="s">
        <v>11157</v>
      </c>
      <c r="AR3480" t="s">
        <v>11172</v>
      </c>
      <c r="AU3480">
        <v>21</v>
      </c>
      <c r="AW3480" t="s">
        <v>11187</v>
      </c>
      <c r="AY3480" t="s">
        <v>11213</v>
      </c>
      <c r="AZ3480" t="s">
        <v>11221</v>
      </c>
      <c r="BD3480" t="s">
        <v>11667</v>
      </c>
      <c r="BF3480" t="s">
        <v>14364</v>
      </c>
      <c r="BG3480" t="s">
        <v>15229</v>
      </c>
      <c r="BM3480" t="s">
        <v>15650</v>
      </c>
    </row>
    <row r="3481" spans="1:65">
      <c r="A3481" s="1">
        <f>HYPERLINK("https://lsnyc.legalserver.org/matter/dynamic-profile/view/1891899","19-1891899")</f>
        <v>0</v>
      </c>
      <c r="B3481" t="s">
        <v>197</v>
      </c>
      <c r="C3481" t="s">
        <v>248</v>
      </c>
      <c r="D3481" t="s">
        <v>425</v>
      </c>
      <c r="F3481" t="s">
        <v>1464</v>
      </c>
      <c r="G3481" t="s">
        <v>4294</v>
      </c>
      <c r="H3481" t="s">
        <v>5124</v>
      </c>
      <c r="I3481" t="s">
        <v>6624</v>
      </c>
      <c r="J3481" t="s">
        <v>7174</v>
      </c>
      <c r="K3481">
        <v>11233</v>
      </c>
      <c r="N3481" t="s">
        <v>7237</v>
      </c>
      <c r="O3481" t="s">
        <v>7700</v>
      </c>
      <c r="P3481">
        <v>2</v>
      </c>
      <c r="Q3481">
        <v>0</v>
      </c>
      <c r="R3481">
        <v>254.29</v>
      </c>
      <c r="U3481">
        <v>43000</v>
      </c>
      <c r="V3481" t="s">
        <v>10612</v>
      </c>
      <c r="W3481">
        <v>0</v>
      </c>
      <c r="Y3481" t="s">
        <v>101</v>
      </c>
      <c r="AA3481" t="s">
        <v>10974</v>
      </c>
      <c r="AB3481" t="s">
        <v>395</v>
      </c>
      <c r="AD3481" t="s">
        <v>11100</v>
      </c>
      <c r="AF3481" t="s">
        <v>10384</v>
      </c>
      <c r="AH3481" t="s">
        <v>10974</v>
      </c>
      <c r="AJ3481" t="s">
        <v>11104</v>
      </c>
      <c r="AK3481" t="s">
        <v>7225</v>
      </c>
      <c r="AM3481">
        <v>775</v>
      </c>
      <c r="AO3481">
        <v>359</v>
      </c>
      <c r="AQ3481" t="s">
        <v>11157</v>
      </c>
      <c r="AS3481" t="s">
        <v>11173</v>
      </c>
      <c r="AU3481">
        <v>10</v>
      </c>
      <c r="AW3481" t="s">
        <v>11187</v>
      </c>
      <c r="AY3481" t="s">
        <v>11213</v>
      </c>
      <c r="AZ3481" t="s">
        <v>11221</v>
      </c>
      <c r="BD3481" t="s">
        <v>11667</v>
      </c>
      <c r="BF3481" t="s">
        <v>14364</v>
      </c>
      <c r="BM3481" t="s">
        <v>15650</v>
      </c>
    </row>
    <row r="3482" spans="1:65">
      <c r="A3482" s="1">
        <f>HYPERLINK("https://lsnyc.legalserver.org/matter/dynamic-profile/view/1891930","19-1891930")</f>
        <v>0</v>
      </c>
      <c r="B3482" t="s">
        <v>197</v>
      </c>
      <c r="C3482" t="s">
        <v>248</v>
      </c>
      <c r="D3482" t="s">
        <v>425</v>
      </c>
      <c r="F3482" t="s">
        <v>2474</v>
      </c>
      <c r="G3482" t="s">
        <v>4295</v>
      </c>
      <c r="H3482" t="s">
        <v>4798</v>
      </c>
      <c r="I3482" t="s">
        <v>6852</v>
      </c>
      <c r="J3482" t="s">
        <v>7174</v>
      </c>
      <c r="K3482">
        <v>11233</v>
      </c>
      <c r="N3482" t="s">
        <v>7237</v>
      </c>
      <c r="O3482" t="s">
        <v>9473</v>
      </c>
      <c r="P3482">
        <v>3</v>
      </c>
      <c r="Q3482">
        <v>3</v>
      </c>
      <c r="R3482">
        <v>211.54</v>
      </c>
      <c r="U3482">
        <v>73170</v>
      </c>
      <c r="V3482" t="s">
        <v>10613</v>
      </c>
      <c r="W3482">
        <v>0</v>
      </c>
      <c r="Y3482" t="s">
        <v>101</v>
      </c>
      <c r="AA3482" t="s">
        <v>10974</v>
      </c>
      <c r="AB3482" t="s">
        <v>395</v>
      </c>
      <c r="AD3482" t="s">
        <v>11100</v>
      </c>
      <c r="AF3482" t="s">
        <v>10384</v>
      </c>
      <c r="AH3482" t="s">
        <v>10974</v>
      </c>
      <c r="AJ3482" t="s">
        <v>11104</v>
      </c>
      <c r="AK3482" t="s">
        <v>7225</v>
      </c>
      <c r="AM3482">
        <v>1047</v>
      </c>
      <c r="AO3482">
        <v>359</v>
      </c>
      <c r="AQ3482" t="s">
        <v>11157</v>
      </c>
      <c r="AS3482" t="s">
        <v>11173</v>
      </c>
      <c r="AU3482">
        <v>8</v>
      </c>
      <c r="AW3482" t="s">
        <v>11187</v>
      </c>
      <c r="AY3482" t="s">
        <v>11213</v>
      </c>
      <c r="AZ3482" t="s">
        <v>11221</v>
      </c>
      <c r="BD3482" t="s">
        <v>11667</v>
      </c>
      <c r="BF3482" t="s">
        <v>14364</v>
      </c>
      <c r="BM3482" t="s">
        <v>15650</v>
      </c>
    </row>
    <row r="3483" spans="1:65">
      <c r="A3483" s="1">
        <f>HYPERLINK("https://lsnyc.legalserver.org/matter/dynamic-profile/view/1897522","19-1897522")</f>
        <v>0</v>
      </c>
      <c r="B3483" t="s">
        <v>197</v>
      </c>
      <c r="C3483" t="s">
        <v>248</v>
      </c>
      <c r="D3483" t="s">
        <v>664</v>
      </c>
      <c r="F3483" t="s">
        <v>1860</v>
      </c>
      <c r="G3483" t="s">
        <v>1222</v>
      </c>
      <c r="H3483" t="s">
        <v>5124</v>
      </c>
      <c r="I3483" t="s">
        <v>6817</v>
      </c>
      <c r="J3483" t="s">
        <v>7174</v>
      </c>
      <c r="K3483">
        <v>11233</v>
      </c>
      <c r="N3483" t="s">
        <v>7237</v>
      </c>
      <c r="O3483" t="s">
        <v>9474</v>
      </c>
      <c r="P3483">
        <v>1</v>
      </c>
      <c r="Q3483">
        <v>0</v>
      </c>
      <c r="R3483">
        <v>236.19</v>
      </c>
      <c r="U3483">
        <v>29500</v>
      </c>
      <c r="V3483" t="s">
        <v>10569</v>
      </c>
      <c r="W3483">
        <v>0</v>
      </c>
      <c r="Y3483" t="s">
        <v>225</v>
      </c>
      <c r="AA3483" t="s">
        <v>10974</v>
      </c>
      <c r="AB3483" t="s">
        <v>874</v>
      </c>
      <c r="AD3483" t="s">
        <v>11098</v>
      </c>
      <c r="AF3483" t="s">
        <v>11122</v>
      </c>
      <c r="AH3483" t="s">
        <v>10974</v>
      </c>
      <c r="AJ3483" t="s">
        <v>11140</v>
      </c>
      <c r="AK3483" t="s">
        <v>7225</v>
      </c>
      <c r="AM3483">
        <v>1225.26</v>
      </c>
      <c r="AO3483">
        <v>359</v>
      </c>
      <c r="AQ3483" t="s">
        <v>11157</v>
      </c>
      <c r="AS3483" t="s">
        <v>11173</v>
      </c>
      <c r="AT3483" t="s">
        <v>11184</v>
      </c>
      <c r="AU3483">
        <v>0</v>
      </c>
      <c r="AW3483" t="s">
        <v>11187</v>
      </c>
      <c r="AY3483" t="s">
        <v>11213</v>
      </c>
      <c r="AZ3483" t="s">
        <v>11221</v>
      </c>
      <c r="BC3483" t="s">
        <v>11173</v>
      </c>
      <c r="BD3483" t="s">
        <v>11667</v>
      </c>
      <c r="BF3483" t="s">
        <v>14364</v>
      </c>
      <c r="BG3483" t="s">
        <v>15229</v>
      </c>
      <c r="BM3483" t="s">
        <v>15650</v>
      </c>
    </row>
    <row r="3484" spans="1:65">
      <c r="A3484" s="1">
        <f>HYPERLINK("https://lsnyc.legalserver.org/matter/dynamic-profile/view/1891891","19-1891891")</f>
        <v>0</v>
      </c>
      <c r="B3484" t="s">
        <v>197</v>
      </c>
      <c r="C3484" t="s">
        <v>248</v>
      </c>
      <c r="D3484" t="s">
        <v>425</v>
      </c>
      <c r="F3484" t="s">
        <v>1464</v>
      </c>
      <c r="G3484" t="s">
        <v>4294</v>
      </c>
      <c r="H3484" t="s">
        <v>5124</v>
      </c>
      <c r="I3484" t="s">
        <v>6624</v>
      </c>
      <c r="J3484" t="s">
        <v>7174</v>
      </c>
      <c r="K3484">
        <v>11233</v>
      </c>
      <c r="N3484" t="s">
        <v>7237</v>
      </c>
      <c r="O3484" t="s">
        <v>7700</v>
      </c>
      <c r="P3484">
        <v>2</v>
      </c>
      <c r="Q3484">
        <v>0</v>
      </c>
      <c r="R3484">
        <v>254.29</v>
      </c>
      <c r="U3484">
        <v>43000</v>
      </c>
      <c r="V3484" t="s">
        <v>10581</v>
      </c>
      <c r="W3484">
        <v>0</v>
      </c>
      <c r="Y3484" t="s">
        <v>101</v>
      </c>
      <c r="AA3484" t="s">
        <v>10974</v>
      </c>
      <c r="AB3484" t="s">
        <v>874</v>
      </c>
      <c r="AD3484" t="s">
        <v>11098</v>
      </c>
      <c r="AF3484" t="s">
        <v>11122</v>
      </c>
      <c r="AH3484" t="s">
        <v>10974</v>
      </c>
      <c r="AJ3484" t="s">
        <v>11104</v>
      </c>
      <c r="AK3484" t="s">
        <v>7225</v>
      </c>
      <c r="AM3484">
        <v>775</v>
      </c>
      <c r="AO3484">
        <v>359</v>
      </c>
      <c r="AQ3484" t="s">
        <v>11157</v>
      </c>
      <c r="AS3484" t="s">
        <v>11173</v>
      </c>
      <c r="AU3484">
        <v>10</v>
      </c>
      <c r="AW3484" t="s">
        <v>11187</v>
      </c>
      <c r="AY3484" t="s">
        <v>11213</v>
      </c>
      <c r="AZ3484" t="s">
        <v>11221</v>
      </c>
      <c r="BD3484" t="s">
        <v>11667</v>
      </c>
      <c r="BF3484" t="s">
        <v>14364</v>
      </c>
      <c r="BG3484" t="s">
        <v>15229</v>
      </c>
      <c r="BM3484" t="s">
        <v>15650</v>
      </c>
    </row>
    <row r="3485" spans="1:65">
      <c r="A3485" s="1">
        <f>HYPERLINK("https://lsnyc.legalserver.org/matter/dynamic-profile/view/1897526","19-1897526")</f>
        <v>0</v>
      </c>
      <c r="B3485" t="s">
        <v>197</v>
      </c>
      <c r="C3485" t="s">
        <v>248</v>
      </c>
      <c r="D3485" t="s">
        <v>664</v>
      </c>
      <c r="F3485" t="s">
        <v>1860</v>
      </c>
      <c r="G3485" t="s">
        <v>1222</v>
      </c>
      <c r="H3485" t="s">
        <v>5124</v>
      </c>
      <c r="I3485" t="s">
        <v>6817</v>
      </c>
      <c r="J3485" t="s">
        <v>7174</v>
      </c>
      <c r="K3485">
        <v>11233</v>
      </c>
      <c r="N3485" t="s">
        <v>7237</v>
      </c>
      <c r="O3485" t="s">
        <v>9474</v>
      </c>
      <c r="P3485">
        <v>1</v>
      </c>
      <c r="Q3485">
        <v>0</v>
      </c>
      <c r="R3485">
        <v>236.19</v>
      </c>
      <c r="U3485">
        <v>29500</v>
      </c>
      <c r="V3485" t="s">
        <v>10614</v>
      </c>
      <c r="W3485">
        <v>0</v>
      </c>
      <c r="Y3485" t="s">
        <v>225</v>
      </c>
      <c r="AA3485" t="s">
        <v>10974</v>
      </c>
      <c r="AB3485" t="s">
        <v>395</v>
      </c>
      <c r="AD3485" t="s">
        <v>11100</v>
      </c>
      <c r="AF3485" t="s">
        <v>10384</v>
      </c>
      <c r="AH3485" t="s">
        <v>10974</v>
      </c>
      <c r="AJ3485" t="s">
        <v>11140</v>
      </c>
      <c r="AK3485" t="s">
        <v>7225</v>
      </c>
      <c r="AM3485">
        <v>1225.26</v>
      </c>
      <c r="AO3485">
        <v>359</v>
      </c>
      <c r="AQ3485" t="s">
        <v>11157</v>
      </c>
      <c r="AS3485" t="s">
        <v>11173</v>
      </c>
      <c r="AT3485" t="s">
        <v>11184</v>
      </c>
      <c r="AU3485">
        <v>0</v>
      </c>
      <c r="AW3485" t="s">
        <v>11187</v>
      </c>
      <c r="AY3485" t="s">
        <v>11213</v>
      </c>
      <c r="AZ3485" t="s">
        <v>11221</v>
      </c>
      <c r="BC3485" t="s">
        <v>11173</v>
      </c>
      <c r="BD3485" t="s">
        <v>11667</v>
      </c>
      <c r="BF3485" t="s">
        <v>14364</v>
      </c>
      <c r="BG3485" t="s">
        <v>11173</v>
      </c>
      <c r="BM3485" t="s">
        <v>15650</v>
      </c>
    </row>
    <row r="3486" spans="1:65">
      <c r="A3486" s="1">
        <f>HYPERLINK("https://lsnyc.legalserver.org/matter/dynamic-profile/view/1897399","19-1897399")</f>
        <v>0</v>
      </c>
      <c r="B3486" t="s">
        <v>197</v>
      </c>
      <c r="C3486" t="s">
        <v>248</v>
      </c>
      <c r="D3486" t="s">
        <v>583</v>
      </c>
      <c r="F3486" t="s">
        <v>2475</v>
      </c>
      <c r="G3486" t="s">
        <v>4296</v>
      </c>
      <c r="H3486" t="s">
        <v>4798</v>
      </c>
      <c r="I3486" t="s">
        <v>6997</v>
      </c>
      <c r="J3486" t="s">
        <v>7174</v>
      </c>
      <c r="K3486">
        <v>11233</v>
      </c>
      <c r="N3486" t="s">
        <v>7237</v>
      </c>
      <c r="O3486" t="s">
        <v>9475</v>
      </c>
      <c r="P3486">
        <v>2</v>
      </c>
      <c r="Q3486">
        <v>0</v>
      </c>
      <c r="R3486">
        <v>236.55</v>
      </c>
      <c r="U3486">
        <v>40000</v>
      </c>
      <c r="V3486" t="s">
        <v>10615</v>
      </c>
      <c r="W3486">
        <v>0</v>
      </c>
      <c r="Y3486" t="s">
        <v>225</v>
      </c>
      <c r="AA3486" t="s">
        <v>10974</v>
      </c>
      <c r="AB3486" t="s">
        <v>874</v>
      </c>
      <c r="AD3486" t="s">
        <v>11098</v>
      </c>
      <c r="AF3486" t="s">
        <v>11122</v>
      </c>
      <c r="AH3486" t="s">
        <v>10974</v>
      </c>
      <c r="AJ3486" t="s">
        <v>11140</v>
      </c>
      <c r="AK3486" t="s">
        <v>7225</v>
      </c>
      <c r="AM3486">
        <v>924.1799999999999</v>
      </c>
      <c r="AO3486">
        <v>359</v>
      </c>
      <c r="AQ3486" t="s">
        <v>11157</v>
      </c>
      <c r="AR3486" t="s">
        <v>11172</v>
      </c>
      <c r="AU3486">
        <v>3</v>
      </c>
      <c r="AW3486" t="s">
        <v>11187</v>
      </c>
      <c r="AY3486" t="s">
        <v>11213</v>
      </c>
      <c r="AZ3486" t="s">
        <v>11221</v>
      </c>
      <c r="BD3486" t="s">
        <v>11667</v>
      </c>
      <c r="BF3486" t="s">
        <v>14364</v>
      </c>
      <c r="BG3486" t="s">
        <v>15228</v>
      </c>
      <c r="BM3486" t="s">
        <v>15650</v>
      </c>
    </row>
    <row r="3487" spans="1:65">
      <c r="A3487" s="1">
        <f>HYPERLINK("https://lsnyc.legalserver.org/matter/dynamic-profile/view/1898263","19-1898263")</f>
        <v>0</v>
      </c>
      <c r="B3487" t="s">
        <v>197</v>
      </c>
      <c r="C3487" t="s">
        <v>248</v>
      </c>
      <c r="D3487" t="s">
        <v>591</v>
      </c>
      <c r="F3487" t="s">
        <v>2476</v>
      </c>
      <c r="G3487" t="s">
        <v>4297</v>
      </c>
      <c r="H3487" t="s">
        <v>4798</v>
      </c>
      <c r="I3487" t="s">
        <v>6485</v>
      </c>
      <c r="J3487" t="s">
        <v>7174</v>
      </c>
      <c r="K3487">
        <v>11233</v>
      </c>
      <c r="N3487" t="s">
        <v>7237</v>
      </c>
      <c r="O3487" t="s">
        <v>7772</v>
      </c>
      <c r="P3487">
        <v>1</v>
      </c>
      <c r="Q3487">
        <v>0</v>
      </c>
      <c r="R3487">
        <v>3747</v>
      </c>
      <c r="U3487">
        <v>468000</v>
      </c>
      <c r="V3487" t="s">
        <v>10616</v>
      </c>
      <c r="W3487">
        <v>0</v>
      </c>
      <c r="Y3487" t="s">
        <v>101</v>
      </c>
      <c r="AA3487" t="s">
        <v>10974</v>
      </c>
      <c r="AB3487" t="s">
        <v>395</v>
      </c>
      <c r="AD3487" t="s">
        <v>11100</v>
      </c>
      <c r="AF3487" t="s">
        <v>10384</v>
      </c>
      <c r="AH3487" t="s">
        <v>10974</v>
      </c>
      <c r="AI3487" t="s">
        <v>11126</v>
      </c>
      <c r="AK3487" t="s">
        <v>7225</v>
      </c>
      <c r="AM3487">
        <v>1872.98</v>
      </c>
      <c r="AO3487">
        <v>359</v>
      </c>
      <c r="AQ3487" t="s">
        <v>11157</v>
      </c>
      <c r="AR3487" t="s">
        <v>11172</v>
      </c>
      <c r="AU3487">
        <v>2</v>
      </c>
      <c r="AW3487" t="s">
        <v>11187</v>
      </c>
      <c r="AY3487" t="s">
        <v>11213</v>
      </c>
      <c r="AZ3487" t="s">
        <v>11221</v>
      </c>
      <c r="BD3487" t="s">
        <v>11667</v>
      </c>
      <c r="BF3487" t="s">
        <v>14364</v>
      </c>
      <c r="BM3487" t="s">
        <v>15650</v>
      </c>
    </row>
    <row r="3488" spans="1:65">
      <c r="A3488" s="1">
        <f>HYPERLINK("https://lsnyc.legalserver.org/matter/dynamic-profile/view/1898976","19-1898976")</f>
        <v>0</v>
      </c>
      <c r="B3488" t="s">
        <v>197</v>
      </c>
      <c r="C3488" t="s">
        <v>248</v>
      </c>
      <c r="D3488" t="s">
        <v>608</v>
      </c>
      <c r="F3488" t="s">
        <v>1234</v>
      </c>
      <c r="G3488" t="s">
        <v>4298</v>
      </c>
      <c r="H3488" t="s">
        <v>5941</v>
      </c>
      <c r="I3488" t="s">
        <v>6998</v>
      </c>
      <c r="J3488" t="s">
        <v>7174</v>
      </c>
      <c r="K3488">
        <v>11233</v>
      </c>
      <c r="N3488" t="s">
        <v>7237</v>
      </c>
      <c r="O3488" t="s">
        <v>9476</v>
      </c>
      <c r="P3488">
        <v>2</v>
      </c>
      <c r="Q3488">
        <v>0</v>
      </c>
      <c r="R3488">
        <v>236.55</v>
      </c>
      <c r="U3488">
        <v>40000</v>
      </c>
      <c r="V3488" t="s">
        <v>10617</v>
      </c>
      <c r="W3488">
        <v>0</v>
      </c>
      <c r="Y3488" t="s">
        <v>101</v>
      </c>
      <c r="AA3488" t="s">
        <v>10974</v>
      </c>
      <c r="AB3488" t="s">
        <v>874</v>
      </c>
      <c r="AD3488" t="s">
        <v>11098</v>
      </c>
      <c r="AF3488" t="s">
        <v>11122</v>
      </c>
      <c r="AH3488" t="s">
        <v>10974</v>
      </c>
      <c r="AJ3488" t="s">
        <v>11104</v>
      </c>
      <c r="AK3488" t="s">
        <v>7225</v>
      </c>
      <c r="AM3488">
        <v>1400</v>
      </c>
      <c r="AO3488">
        <v>359</v>
      </c>
      <c r="AQ3488" t="s">
        <v>11157</v>
      </c>
      <c r="AR3488" t="s">
        <v>11172</v>
      </c>
      <c r="AT3488" t="s">
        <v>11184</v>
      </c>
      <c r="AU3488">
        <v>0</v>
      </c>
      <c r="AW3488" t="s">
        <v>11187</v>
      </c>
      <c r="AY3488" t="s">
        <v>11213</v>
      </c>
      <c r="AZ3488" t="s">
        <v>11221</v>
      </c>
      <c r="BA3488" t="s">
        <v>11173</v>
      </c>
      <c r="BD3488" t="s">
        <v>11667</v>
      </c>
      <c r="BF3488" t="s">
        <v>14364</v>
      </c>
      <c r="BG3488" t="s">
        <v>15228</v>
      </c>
      <c r="BM3488" t="s">
        <v>15650</v>
      </c>
    </row>
    <row r="3489" spans="1:65">
      <c r="A3489" s="1">
        <f>HYPERLINK("https://lsnyc.legalserver.org/matter/dynamic-profile/view/1898243","19-1898243")</f>
        <v>0</v>
      </c>
      <c r="B3489" t="s">
        <v>197</v>
      </c>
      <c r="C3489" t="s">
        <v>248</v>
      </c>
      <c r="D3489" t="s">
        <v>591</v>
      </c>
      <c r="F3489" t="s">
        <v>2472</v>
      </c>
      <c r="G3489" t="s">
        <v>4293</v>
      </c>
      <c r="H3489" t="s">
        <v>4798</v>
      </c>
      <c r="I3489" t="s">
        <v>6428</v>
      </c>
      <c r="J3489" t="s">
        <v>7174</v>
      </c>
      <c r="K3489">
        <v>11233</v>
      </c>
      <c r="N3489" t="s">
        <v>7237</v>
      </c>
      <c r="O3489" t="s">
        <v>9470</v>
      </c>
      <c r="P3489">
        <v>3</v>
      </c>
      <c r="Q3489">
        <v>1</v>
      </c>
      <c r="R3489">
        <v>271.84</v>
      </c>
      <c r="U3489">
        <v>70000</v>
      </c>
      <c r="V3489" t="s">
        <v>10570</v>
      </c>
      <c r="W3489">
        <v>0</v>
      </c>
      <c r="Y3489" t="s">
        <v>101</v>
      </c>
      <c r="AA3489" t="s">
        <v>10974</v>
      </c>
      <c r="AB3489" t="s">
        <v>874</v>
      </c>
      <c r="AD3489" t="s">
        <v>11098</v>
      </c>
      <c r="AF3489" t="s">
        <v>11122</v>
      </c>
      <c r="AH3489" t="s">
        <v>10974</v>
      </c>
      <c r="AJ3489" t="s">
        <v>11104</v>
      </c>
      <c r="AK3489" t="s">
        <v>7225</v>
      </c>
      <c r="AM3489">
        <v>1024</v>
      </c>
      <c r="AO3489">
        <v>359</v>
      </c>
      <c r="AQ3489" t="s">
        <v>11157</v>
      </c>
      <c r="AR3489" t="s">
        <v>11172</v>
      </c>
      <c r="AU3489">
        <v>24</v>
      </c>
      <c r="AW3489" t="s">
        <v>11187</v>
      </c>
      <c r="AY3489" t="s">
        <v>11213</v>
      </c>
      <c r="AZ3489" t="s">
        <v>11221</v>
      </c>
      <c r="BD3489" t="s">
        <v>11667</v>
      </c>
      <c r="BF3489" t="s">
        <v>14364</v>
      </c>
      <c r="BG3489" t="s">
        <v>15228</v>
      </c>
      <c r="BM3489" t="s">
        <v>15650</v>
      </c>
    </row>
    <row r="3490" spans="1:65">
      <c r="A3490" s="1">
        <f>HYPERLINK("https://lsnyc.legalserver.org/matter/dynamic-profile/view/1898268","19-1898268")</f>
        <v>0</v>
      </c>
      <c r="B3490" t="s">
        <v>197</v>
      </c>
      <c r="C3490" t="s">
        <v>248</v>
      </c>
      <c r="D3490" t="s">
        <v>591</v>
      </c>
      <c r="F3490" t="s">
        <v>2477</v>
      </c>
      <c r="G3490" t="s">
        <v>3951</v>
      </c>
      <c r="H3490" t="s">
        <v>4798</v>
      </c>
      <c r="I3490" t="s">
        <v>6590</v>
      </c>
      <c r="J3490" t="s">
        <v>7174</v>
      </c>
      <c r="K3490">
        <v>11233</v>
      </c>
      <c r="N3490" t="s">
        <v>7237</v>
      </c>
      <c r="O3490" t="s">
        <v>8005</v>
      </c>
      <c r="P3490">
        <v>1</v>
      </c>
      <c r="Q3490">
        <v>0</v>
      </c>
      <c r="R3490">
        <v>720.58</v>
      </c>
      <c r="U3490">
        <v>90000</v>
      </c>
      <c r="V3490" t="s">
        <v>10570</v>
      </c>
      <c r="W3490">
        <v>0</v>
      </c>
      <c r="Y3490" t="s">
        <v>101</v>
      </c>
      <c r="AA3490" t="s">
        <v>10974</v>
      </c>
      <c r="AB3490" t="s">
        <v>874</v>
      </c>
      <c r="AD3490" t="s">
        <v>11098</v>
      </c>
      <c r="AF3490" t="s">
        <v>11122</v>
      </c>
      <c r="AH3490" t="s">
        <v>10974</v>
      </c>
      <c r="AI3490" t="s">
        <v>11126</v>
      </c>
      <c r="AK3490" t="s">
        <v>7225</v>
      </c>
      <c r="AL3490" t="s">
        <v>11150</v>
      </c>
      <c r="AM3490">
        <v>0</v>
      </c>
      <c r="AO3490">
        <v>359</v>
      </c>
      <c r="AQ3490" t="s">
        <v>11157</v>
      </c>
      <c r="AR3490" t="s">
        <v>11172</v>
      </c>
      <c r="AU3490">
        <v>14</v>
      </c>
      <c r="AW3490" t="s">
        <v>11187</v>
      </c>
      <c r="AY3490" t="s">
        <v>11213</v>
      </c>
      <c r="AZ3490" t="s">
        <v>11221</v>
      </c>
      <c r="BD3490" t="s">
        <v>11667</v>
      </c>
      <c r="BF3490" t="s">
        <v>14364</v>
      </c>
      <c r="BG3490" t="s">
        <v>15228</v>
      </c>
      <c r="BM3490" t="s">
        <v>15650</v>
      </c>
    </row>
    <row r="3491" spans="1:65">
      <c r="A3491" s="1">
        <f>HYPERLINK("https://lsnyc.legalserver.org/matter/dynamic-profile/view/1897400","19-1897400")</f>
        <v>0</v>
      </c>
      <c r="B3491" t="s">
        <v>197</v>
      </c>
      <c r="C3491" t="s">
        <v>248</v>
      </c>
      <c r="D3491" t="s">
        <v>583</v>
      </c>
      <c r="F3491" t="s">
        <v>2475</v>
      </c>
      <c r="G3491" t="s">
        <v>4296</v>
      </c>
      <c r="H3491" t="s">
        <v>4798</v>
      </c>
      <c r="I3491" t="s">
        <v>6997</v>
      </c>
      <c r="J3491" t="s">
        <v>7174</v>
      </c>
      <c r="K3491">
        <v>11233</v>
      </c>
      <c r="N3491" t="s">
        <v>7237</v>
      </c>
      <c r="O3491" t="s">
        <v>9475</v>
      </c>
      <c r="P3491">
        <v>2</v>
      </c>
      <c r="Q3491">
        <v>0</v>
      </c>
      <c r="R3491">
        <v>236.55</v>
      </c>
      <c r="U3491">
        <v>40000</v>
      </c>
      <c r="V3491" t="s">
        <v>10569</v>
      </c>
      <c r="W3491">
        <v>0</v>
      </c>
      <c r="Y3491" t="s">
        <v>225</v>
      </c>
      <c r="AA3491" t="s">
        <v>10974</v>
      </c>
      <c r="AB3491" t="s">
        <v>395</v>
      </c>
      <c r="AD3491" t="s">
        <v>11100</v>
      </c>
      <c r="AF3491" t="s">
        <v>10384</v>
      </c>
      <c r="AH3491" t="s">
        <v>10974</v>
      </c>
      <c r="AJ3491" t="s">
        <v>11140</v>
      </c>
      <c r="AK3491" t="s">
        <v>7225</v>
      </c>
      <c r="AM3491">
        <v>924.1799999999999</v>
      </c>
      <c r="AO3491">
        <v>359</v>
      </c>
      <c r="AQ3491" t="s">
        <v>11157</v>
      </c>
      <c r="AR3491" t="s">
        <v>11172</v>
      </c>
      <c r="AU3491">
        <v>3</v>
      </c>
      <c r="AW3491" t="s">
        <v>11187</v>
      </c>
      <c r="AY3491" t="s">
        <v>11213</v>
      </c>
      <c r="AZ3491" t="s">
        <v>11221</v>
      </c>
      <c r="BD3491" t="s">
        <v>11667</v>
      </c>
      <c r="BF3491" t="s">
        <v>14364</v>
      </c>
      <c r="BM3491" t="s">
        <v>15650</v>
      </c>
    </row>
    <row r="3492" spans="1:65">
      <c r="A3492" s="1">
        <f>HYPERLINK("https://lsnyc.legalserver.org/matter/dynamic-profile/view/1898979","19-1898979")</f>
        <v>0</v>
      </c>
      <c r="B3492" t="s">
        <v>197</v>
      </c>
      <c r="C3492" t="s">
        <v>248</v>
      </c>
      <c r="D3492" t="s">
        <v>608</v>
      </c>
      <c r="F3492" t="s">
        <v>1234</v>
      </c>
      <c r="G3492" t="s">
        <v>4298</v>
      </c>
      <c r="H3492" t="s">
        <v>5941</v>
      </c>
      <c r="I3492" t="s">
        <v>6998</v>
      </c>
      <c r="J3492" t="s">
        <v>7174</v>
      </c>
      <c r="K3492">
        <v>11233</v>
      </c>
      <c r="N3492" t="s">
        <v>7237</v>
      </c>
      <c r="O3492" t="s">
        <v>9476</v>
      </c>
      <c r="P3492">
        <v>2</v>
      </c>
      <c r="Q3492">
        <v>0</v>
      </c>
      <c r="R3492">
        <v>236.55</v>
      </c>
      <c r="U3492">
        <v>40000</v>
      </c>
      <c r="V3492" t="s">
        <v>10618</v>
      </c>
      <c r="W3492">
        <v>0</v>
      </c>
      <c r="Y3492" t="s">
        <v>101</v>
      </c>
      <c r="AA3492" t="s">
        <v>10974</v>
      </c>
      <c r="AB3492" t="s">
        <v>395</v>
      </c>
      <c r="AD3492" t="s">
        <v>11100</v>
      </c>
      <c r="AF3492" t="s">
        <v>10384</v>
      </c>
      <c r="AH3492" t="s">
        <v>10974</v>
      </c>
      <c r="AJ3492" t="s">
        <v>11104</v>
      </c>
      <c r="AK3492" t="s">
        <v>7225</v>
      </c>
      <c r="AM3492">
        <v>1400</v>
      </c>
      <c r="AO3492">
        <v>359</v>
      </c>
      <c r="AQ3492" t="s">
        <v>11157</v>
      </c>
      <c r="AR3492" t="s">
        <v>11172</v>
      </c>
      <c r="AT3492" t="s">
        <v>11184</v>
      </c>
      <c r="AU3492">
        <v>0</v>
      </c>
      <c r="AW3492" t="s">
        <v>11187</v>
      </c>
      <c r="AY3492" t="s">
        <v>11213</v>
      </c>
      <c r="AZ3492" t="s">
        <v>11221</v>
      </c>
      <c r="BA3492" t="s">
        <v>11173</v>
      </c>
      <c r="BD3492" t="s">
        <v>11667</v>
      </c>
      <c r="BF3492" t="s">
        <v>14364</v>
      </c>
      <c r="BM3492" t="s">
        <v>15650</v>
      </c>
    </row>
    <row r="3493" spans="1:65">
      <c r="A3493" s="1">
        <f>HYPERLINK("https://lsnyc.legalserver.org/matter/dynamic-profile/view/1891491","19-1891491")</f>
        <v>0</v>
      </c>
      <c r="B3493" t="s">
        <v>197</v>
      </c>
      <c r="C3493" t="s">
        <v>248</v>
      </c>
      <c r="D3493" t="s">
        <v>636</v>
      </c>
      <c r="F3493" t="s">
        <v>2470</v>
      </c>
      <c r="G3493" t="s">
        <v>4291</v>
      </c>
      <c r="H3493" t="s">
        <v>4798</v>
      </c>
      <c r="I3493" t="s">
        <v>6994</v>
      </c>
      <c r="J3493" t="s">
        <v>7174</v>
      </c>
      <c r="K3493">
        <v>11233</v>
      </c>
      <c r="N3493" t="s">
        <v>7237</v>
      </c>
      <c r="O3493" t="s">
        <v>9467</v>
      </c>
      <c r="P3493">
        <v>1</v>
      </c>
      <c r="Q3493">
        <v>0</v>
      </c>
      <c r="R3493">
        <v>0</v>
      </c>
      <c r="U3493">
        <v>0</v>
      </c>
      <c r="V3493" t="s">
        <v>10578</v>
      </c>
      <c r="W3493">
        <v>0</v>
      </c>
      <c r="Y3493" t="s">
        <v>225</v>
      </c>
      <c r="AA3493" t="s">
        <v>10974</v>
      </c>
      <c r="AB3493" t="s">
        <v>874</v>
      </c>
      <c r="AD3493" t="s">
        <v>11098</v>
      </c>
      <c r="AF3493" t="s">
        <v>11122</v>
      </c>
      <c r="AH3493" t="s">
        <v>10974</v>
      </c>
      <c r="AI3493" t="s">
        <v>11126</v>
      </c>
      <c r="AK3493" t="s">
        <v>7225</v>
      </c>
      <c r="AM3493">
        <v>505</v>
      </c>
      <c r="AO3493">
        <v>359</v>
      </c>
      <c r="AQ3493" t="s">
        <v>11157</v>
      </c>
      <c r="AR3493" t="s">
        <v>11172</v>
      </c>
      <c r="AU3493">
        <v>40</v>
      </c>
      <c r="AW3493" t="s">
        <v>11187</v>
      </c>
      <c r="AY3493" t="s">
        <v>11213</v>
      </c>
      <c r="AZ3493" t="s">
        <v>11221</v>
      </c>
      <c r="BD3493" t="s">
        <v>11667</v>
      </c>
      <c r="BF3493" t="s">
        <v>14364</v>
      </c>
      <c r="BG3493" t="s">
        <v>15228</v>
      </c>
      <c r="BM3493" t="s">
        <v>15650</v>
      </c>
    </row>
    <row r="3494" spans="1:65">
      <c r="A3494" s="1">
        <f>HYPERLINK("https://lsnyc.legalserver.org/matter/dynamic-profile/view/1898269","19-1898269")</f>
        <v>0</v>
      </c>
      <c r="B3494" t="s">
        <v>197</v>
      </c>
      <c r="C3494" t="s">
        <v>248</v>
      </c>
      <c r="D3494" t="s">
        <v>591</v>
      </c>
      <c r="F3494" t="s">
        <v>2477</v>
      </c>
      <c r="G3494" t="s">
        <v>3951</v>
      </c>
      <c r="H3494" t="s">
        <v>4798</v>
      </c>
      <c r="I3494" t="s">
        <v>6590</v>
      </c>
      <c r="J3494" t="s">
        <v>7174</v>
      </c>
      <c r="K3494">
        <v>11233</v>
      </c>
      <c r="N3494" t="s">
        <v>7237</v>
      </c>
      <c r="O3494" t="s">
        <v>8005</v>
      </c>
      <c r="P3494">
        <v>1</v>
      </c>
      <c r="Q3494">
        <v>0</v>
      </c>
      <c r="R3494">
        <v>720.58</v>
      </c>
      <c r="U3494">
        <v>90000</v>
      </c>
      <c r="V3494" t="s">
        <v>10619</v>
      </c>
      <c r="W3494">
        <v>0</v>
      </c>
      <c r="Y3494" t="s">
        <v>101</v>
      </c>
      <c r="AA3494" t="s">
        <v>10974</v>
      </c>
      <c r="AB3494" t="s">
        <v>395</v>
      </c>
      <c r="AD3494" t="s">
        <v>11100</v>
      </c>
      <c r="AF3494" t="s">
        <v>10384</v>
      </c>
      <c r="AH3494" t="s">
        <v>10974</v>
      </c>
      <c r="AJ3494" t="s">
        <v>11104</v>
      </c>
      <c r="AK3494" t="s">
        <v>7225</v>
      </c>
      <c r="AL3494" t="s">
        <v>11150</v>
      </c>
      <c r="AM3494">
        <v>0</v>
      </c>
      <c r="AO3494">
        <v>359</v>
      </c>
      <c r="AQ3494" t="s">
        <v>11157</v>
      </c>
      <c r="AR3494" t="s">
        <v>11172</v>
      </c>
      <c r="AU3494">
        <v>14</v>
      </c>
      <c r="AW3494" t="s">
        <v>11187</v>
      </c>
      <c r="AY3494" t="s">
        <v>11213</v>
      </c>
      <c r="AZ3494" t="s">
        <v>11221</v>
      </c>
      <c r="BD3494" t="s">
        <v>11667</v>
      </c>
      <c r="BF3494" t="s">
        <v>14364</v>
      </c>
      <c r="BM3494" t="s">
        <v>15650</v>
      </c>
    </row>
    <row r="3495" spans="1:65">
      <c r="A3495" s="1">
        <f>HYPERLINK("https://lsnyc.legalserver.org/matter/dynamic-profile/view/1891507","19-1891507")</f>
        <v>0</v>
      </c>
      <c r="B3495" t="s">
        <v>197</v>
      </c>
      <c r="C3495" t="s">
        <v>248</v>
      </c>
      <c r="D3495" t="s">
        <v>636</v>
      </c>
      <c r="F3495" t="s">
        <v>2471</v>
      </c>
      <c r="G3495" t="s">
        <v>1856</v>
      </c>
      <c r="H3495" t="s">
        <v>4798</v>
      </c>
      <c r="I3495" t="s">
        <v>6667</v>
      </c>
      <c r="J3495" t="s">
        <v>7174</v>
      </c>
      <c r="K3495">
        <v>11233</v>
      </c>
      <c r="N3495" t="s">
        <v>7237</v>
      </c>
      <c r="O3495" t="s">
        <v>8400</v>
      </c>
      <c r="P3495">
        <v>1</v>
      </c>
      <c r="Q3495">
        <v>0</v>
      </c>
      <c r="R3495">
        <v>0</v>
      </c>
      <c r="U3495">
        <v>0</v>
      </c>
      <c r="V3495" t="s">
        <v>10578</v>
      </c>
      <c r="W3495">
        <v>0</v>
      </c>
      <c r="Y3495" t="s">
        <v>225</v>
      </c>
      <c r="AA3495" t="s">
        <v>10974</v>
      </c>
      <c r="AB3495" t="s">
        <v>874</v>
      </c>
      <c r="AD3495" t="s">
        <v>11098</v>
      </c>
      <c r="AF3495" t="s">
        <v>11122</v>
      </c>
      <c r="AH3495" t="s">
        <v>10974</v>
      </c>
      <c r="AI3495" t="s">
        <v>11126</v>
      </c>
      <c r="AK3495" t="s">
        <v>7225</v>
      </c>
      <c r="AL3495" t="s">
        <v>11150</v>
      </c>
      <c r="AM3495">
        <v>0</v>
      </c>
      <c r="AO3495">
        <v>359</v>
      </c>
      <c r="AQ3495" t="s">
        <v>11157</v>
      </c>
      <c r="AR3495" t="s">
        <v>11172</v>
      </c>
      <c r="AU3495">
        <v>14</v>
      </c>
      <c r="AW3495" t="s">
        <v>11187</v>
      </c>
      <c r="AY3495" t="s">
        <v>11213</v>
      </c>
      <c r="AZ3495" t="s">
        <v>11221</v>
      </c>
      <c r="BD3495" t="s">
        <v>11667</v>
      </c>
      <c r="BF3495" t="s">
        <v>14364</v>
      </c>
      <c r="BG3495" t="s">
        <v>15228</v>
      </c>
      <c r="BM3495" t="s">
        <v>15650</v>
      </c>
    </row>
    <row r="3496" spans="1:65">
      <c r="A3496" s="1">
        <f>HYPERLINK("https://lsnyc.legalserver.org/matter/dynamic-profile/view/1895618","19-1895618")</f>
        <v>0</v>
      </c>
      <c r="B3496" t="s">
        <v>197</v>
      </c>
      <c r="C3496" t="s">
        <v>248</v>
      </c>
      <c r="D3496" t="s">
        <v>602</v>
      </c>
      <c r="F3496" t="s">
        <v>1725</v>
      </c>
      <c r="G3496" t="s">
        <v>4299</v>
      </c>
      <c r="H3496" t="s">
        <v>5010</v>
      </c>
      <c r="I3496">
        <v>23</v>
      </c>
      <c r="J3496" t="s">
        <v>7174</v>
      </c>
      <c r="K3496">
        <v>11213</v>
      </c>
      <c r="N3496" t="s">
        <v>7237</v>
      </c>
      <c r="O3496" t="s">
        <v>9477</v>
      </c>
      <c r="P3496">
        <v>2</v>
      </c>
      <c r="Q3496">
        <v>0</v>
      </c>
      <c r="R3496">
        <v>238.79</v>
      </c>
      <c r="S3496" t="s">
        <v>666</v>
      </c>
      <c r="T3496" t="s">
        <v>10276</v>
      </c>
      <c r="U3496">
        <v>40380</v>
      </c>
      <c r="W3496">
        <v>55</v>
      </c>
      <c r="X3496" t="s">
        <v>614</v>
      </c>
      <c r="Y3496" t="s">
        <v>101</v>
      </c>
      <c r="AA3496" t="s">
        <v>10974</v>
      </c>
      <c r="AB3496" t="s">
        <v>428</v>
      </c>
      <c r="AD3496" t="s">
        <v>11082</v>
      </c>
      <c r="AF3496" t="s">
        <v>11118</v>
      </c>
      <c r="AH3496" t="s">
        <v>10975</v>
      </c>
      <c r="AJ3496" t="s">
        <v>11134</v>
      </c>
      <c r="AK3496" t="s">
        <v>7225</v>
      </c>
      <c r="AM3496">
        <v>1513.39</v>
      </c>
      <c r="AO3496">
        <v>31</v>
      </c>
      <c r="AQ3496" t="s">
        <v>11157</v>
      </c>
      <c r="AS3496" t="s">
        <v>11173</v>
      </c>
      <c r="AU3496">
        <v>9</v>
      </c>
      <c r="AW3496" t="s">
        <v>11187</v>
      </c>
      <c r="AZ3496" t="s">
        <v>11221</v>
      </c>
      <c r="BD3496" t="s">
        <v>11667</v>
      </c>
      <c r="BG3496" t="s">
        <v>15232</v>
      </c>
      <c r="BM3496" t="s">
        <v>15650</v>
      </c>
    </row>
    <row r="3497" spans="1:65">
      <c r="A3497" s="1">
        <f>HYPERLINK("https://lsnyc.legalserver.org/matter/dynamic-profile/view/1898376","19-1898376")</f>
        <v>0</v>
      </c>
      <c r="B3497" t="s">
        <v>197</v>
      </c>
      <c r="C3497" t="s">
        <v>248</v>
      </c>
      <c r="D3497" t="s">
        <v>519</v>
      </c>
      <c r="F3497" t="s">
        <v>1213</v>
      </c>
      <c r="G3497" t="s">
        <v>4300</v>
      </c>
      <c r="H3497" t="s">
        <v>4798</v>
      </c>
      <c r="I3497" t="s">
        <v>6999</v>
      </c>
      <c r="J3497" t="s">
        <v>7174</v>
      </c>
      <c r="K3497">
        <v>11233</v>
      </c>
      <c r="N3497" t="s">
        <v>7237</v>
      </c>
      <c r="O3497" t="s">
        <v>9478</v>
      </c>
      <c r="P3497">
        <v>2</v>
      </c>
      <c r="Q3497">
        <v>0</v>
      </c>
      <c r="R3497">
        <v>212.89</v>
      </c>
      <c r="U3497">
        <v>36000</v>
      </c>
      <c r="V3497" t="s">
        <v>10570</v>
      </c>
      <c r="W3497">
        <v>0</v>
      </c>
      <c r="Y3497" t="s">
        <v>101</v>
      </c>
      <c r="AA3497" t="s">
        <v>10974</v>
      </c>
      <c r="AB3497" t="s">
        <v>874</v>
      </c>
      <c r="AD3497" t="s">
        <v>11098</v>
      </c>
      <c r="AF3497" t="s">
        <v>11122</v>
      </c>
      <c r="AH3497" t="s">
        <v>10974</v>
      </c>
      <c r="AJ3497" t="s">
        <v>11104</v>
      </c>
      <c r="AK3497" t="s">
        <v>7225</v>
      </c>
      <c r="AM3497">
        <v>1082.69</v>
      </c>
      <c r="AO3497">
        <v>359</v>
      </c>
      <c r="AQ3497" t="s">
        <v>11157</v>
      </c>
      <c r="AR3497" t="s">
        <v>11172</v>
      </c>
      <c r="AU3497">
        <v>39</v>
      </c>
      <c r="AW3497" t="s">
        <v>11187</v>
      </c>
      <c r="AY3497" t="s">
        <v>11213</v>
      </c>
      <c r="AZ3497" t="s">
        <v>11221</v>
      </c>
      <c r="BD3497" t="s">
        <v>11667</v>
      </c>
      <c r="BF3497" t="s">
        <v>14364</v>
      </c>
      <c r="BG3497" t="s">
        <v>15228</v>
      </c>
      <c r="BM3497" t="s">
        <v>15650</v>
      </c>
    </row>
    <row r="3498" spans="1:65">
      <c r="A3498" s="1">
        <f>HYPERLINK("https://lsnyc.legalserver.org/matter/dynamic-profile/view/1891859","19-1891859")</f>
        <v>0</v>
      </c>
      <c r="B3498" t="s">
        <v>197</v>
      </c>
      <c r="C3498" t="s">
        <v>248</v>
      </c>
      <c r="D3498" t="s">
        <v>545</v>
      </c>
      <c r="F3498" t="s">
        <v>2261</v>
      </c>
      <c r="G3498" t="s">
        <v>4301</v>
      </c>
      <c r="H3498" t="s">
        <v>4798</v>
      </c>
      <c r="I3498" t="s">
        <v>6750</v>
      </c>
      <c r="J3498" t="s">
        <v>7174</v>
      </c>
      <c r="K3498">
        <v>11233</v>
      </c>
      <c r="N3498" t="s">
        <v>7237</v>
      </c>
      <c r="O3498" t="s">
        <v>9479</v>
      </c>
      <c r="P3498">
        <v>4</v>
      </c>
      <c r="Q3498">
        <v>0</v>
      </c>
      <c r="R3498">
        <v>193.03</v>
      </c>
      <c r="U3498">
        <v>49705</v>
      </c>
      <c r="V3498" t="s">
        <v>10620</v>
      </c>
      <c r="W3498">
        <v>0</v>
      </c>
      <c r="Y3498" t="s">
        <v>225</v>
      </c>
      <c r="AA3498" t="s">
        <v>10974</v>
      </c>
      <c r="AB3498" t="s">
        <v>395</v>
      </c>
      <c r="AD3498" t="s">
        <v>11100</v>
      </c>
      <c r="AF3498" t="s">
        <v>10384</v>
      </c>
      <c r="AH3498" t="s">
        <v>10974</v>
      </c>
      <c r="AI3498" t="s">
        <v>11126</v>
      </c>
      <c r="AK3498" t="s">
        <v>7225</v>
      </c>
      <c r="AM3498">
        <v>950</v>
      </c>
      <c r="AO3498">
        <v>359</v>
      </c>
      <c r="AQ3498" t="s">
        <v>11157</v>
      </c>
      <c r="AS3498" t="s">
        <v>11173</v>
      </c>
      <c r="AU3498">
        <v>15</v>
      </c>
      <c r="AW3498" t="s">
        <v>11187</v>
      </c>
      <c r="AY3498" t="s">
        <v>11213</v>
      </c>
      <c r="AZ3498" t="s">
        <v>11221</v>
      </c>
      <c r="BD3498" t="s">
        <v>11667</v>
      </c>
      <c r="BF3498" t="s">
        <v>14364</v>
      </c>
      <c r="BG3498" t="s">
        <v>11173</v>
      </c>
      <c r="BM3498" t="s">
        <v>15650</v>
      </c>
    </row>
    <row r="3499" spans="1:65">
      <c r="A3499" s="1">
        <f>HYPERLINK("https://lsnyc.legalserver.org/matter/dynamic-profile/view/1898379","19-1898379")</f>
        <v>0</v>
      </c>
      <c r="B3499" t="s">
        <v>197</v>
      </c>
      <c r="C3499" t="s">
        <v>248</v>
      </c>
      <c r="D3499" t="s">
        <v>519</v>
      </c>
      <c r="F3499" t="s">
        <v>1213</v>
      </c>
      <c r="G3499" t="s">
        <v>4300</v>
      </c>
      <c r="H3499" t="s">
        <v>4798</v>
      </c>
      <c r="I3499" t="s">
        <v>6999</v>
      </c>
      <c r="J3499" t="s">
        <v>7174</v>
      </c>
      <c r="K3499">
        <v>11233</v>
      </c>
      <c r="N3499" t="s">
        <v>7237</v>
      </c>
      <c r="O3499" t="s">
        <v>9478</v>
      </c>
      <c r="P3499">
        <v>2</v>
      </c>
      <c r="Q3499">
        <v>0</v>
      </c>
      <c r="R3499">
        <v>212.89</v>
      </c>
      <c r="U3499">
        <v>36000</v>
      </c>
      <c r="V3499" t="s">
        <v>10621</v>
      </c>
      <c r="W3499">
        <v>0</v>
      </c>
      <c r="Y3499" t="s">
        <v>101</v>
      </c>
      <c r="AA3499" t="s">
        <v>10974</v>
      </c>
      <c r="AB3499" t="s">
        <v>395</v>
      </c>
      <c r="AD3499" t="s">
        <v>11100</v>
      </c>
      <c r="AF3499" t="s">
        <v>10384</v>
      </c>
      <c r="AH3499" t="s">
        <v>10974</v>
      </c>
      <c r="AJ3499" t="s">
        <v>11104</v>
      </c>
      <c r="AK3499" t="s">
        <v>7225</v>
      </c>
      <c r="AM3499">
        <v>1082.69</v>
      </c>
      <c r="AO3499">
        <v>359</v>
      </c>
      <c r="AQ3499" t="s">
        <v>11157</v>
      </c>
      <c r="AR3499" t="s">
        <v>11172</v>
      </c>
      <c r="AU3499">
        <v>39</v>
      </c>
      <c r="AW3499" t="s">
        <v>11187</v>
      </c>
      <c r="AY3499" t="s">
        <v>11213</v>
      </c>
      <c r="AZ3499" t="s">
        <v>11221</v>
      </c>
      <c r="BD3499" t="s">
        <v>11667</v>
      </c>
      <c r="BF3499" t="s">
        <v>14364</v>
      </c>
      <c r="BM3499" t="s">
        <v>15650</v>
      </c>
    </row>
    <row r="3500" spans="1:65">
      <c r="A3500" s="1">
        <f>HYPERLINK("https://lsnyc.legalserver.org/matter/dynamic-profile/view/1890540","19-1890540")</f>
        <v>0</v>
      </c>
      <c r="B3500" t="s">
        <v>197</v>
      </c>
      <c r="C3500" t="s">
        <v>248</v>
      </c>
      <c r="D3500" t="s">
        <v>442</v>
      </c>
      <c r="F3500" t="s">
        <v>2261</v>
      </c>
      <c r="G3500" t="s">
        <v>4301</v>
      </c>
      <c r="H3500" t="s">
        <v>4798</v>
      </c>
      <c r="I3500" t="s">
        <v>6750</v>
      </c>
      <c r="J3500" t="s">
        <v>7174</v>
      </c>
      <c r="K3500">
        <v>11233</v>
      </c>
      <c r="N3500" t="s">
        <v>7237</v>
      </c>
      <c r="O3500" t="s">
        <v>9479</v>
      </c>
      <c r="P3500">
        <v>4</v>
      </c>
      <c r="Q3500">
        <v>0</v>
      </c>
      <c r="R3500">
        <v>193.03</v>
      </c>
      <c r="U3500">
        <v>49705</v>
      </c>
      <c r="V3500" t="s">
        <v>10622</v>
      </c>
      <c r="W3500">
        <v>0</v>
      </c>
      <c r="Y3500" t="s">
        <v>225</v>
      </c>
      <c r="AA3500" t="s">
        <v>10974</v>
      </c>
      <c r="AB3500" t="s">
        <v>874</v>
      </c>
      <c r="AD3500" t="s">
        <v>11098</v>
      </c>
      <c r="AF3500" t="s">
        <v>11122</v>
      </c>
      <c r="AH3500" t="s">
        <v>10974</v>
      </c>
      <c r="AJ3500" t="s">
        <v>11140</v>
      </c>
      <c r="AK3500" t="s">
        <v>7225</v>
      </c>
      <c r="AM3500">
        <v>950</v>
      </c>
      <c r="AO3500">
        <v>359</v>
      </c>
      <c r="AQ3500" t="s">
        <v>11157</v>
      </c>
      <c r="AS3500" t="s">
        <v>11173</v>
      </c>
      <c r="AU3500">
        <v>15</v>
      </c>
      <c r="AW3500" t="s">
        <v>11187</v>
      </c>
      <c r="AY3500" t="s">
        <v>11213</v>
      </c>
      <c r="AZ3500" t="s">
        <v>11221</v>
      </c>
      <c r="BD3500" t="s">
        <v>11667</v>
      </c>
      <c r="BF3500" t="s">
        <v>14364</v>
      </c>
      <c r="BG3500" t="s">
        <v>15228</v>
      </c>
      <c r="BM3500" t="s">
        <v>15650</v>
      </c>
    </row>
    <row r="3501" spans="1:65">
      <c r="A3501" s="1">
        <f>HYPERLINK("https://lsnyc.legalserver.org/matter/dynamic-profile/view/1897518","19-1897518")</f>
        <v>0</v>
      </c>
      <c r="B3501" t="s">
        <v>197</v>
      </c>
      <c r="C3501" t="s">
        <v>248</v>
      </c>
      <c r="D3501" t="s">
        <v>664</v>
      </c>
      <c r="F3501" t="s">
        <v>1183</v>
      </c>
      <c r="G3501" t="s">
        <v>3079</v>
      </c>
      <c r="H3501" t="s">
        <v>4798</v>
      </c>
      <c r="I3501" t="s">
        <v>6992</v>
      </c>
      <c r="J3501" t="s">
        <v>7174</v>
      </c>
      <c r="K3501">
        <v>11233</v>
      </c>
      <c r="N3501" t="s">
        <v>7237</v>
      </c>
      <c r="O3501" t="s">
        <v>9456</v>
      </c>
      <c r="P3501">
        <v>1</v>
      </c>
      <c r="Q3501">
        <v>1</v>
      </c>
      <c r="R3501">
        <v>189.24</v>
      </c>
      <c r="U3501">
        <v>32000</v>
      </c>
      <c r="V3501" t="s">
        <v>10569</v>
      </c>
      <c r="W3501">
        <v>0</v>
      </c>
      <c r="Y3501" t="s">
        <v>225</v>
      </c>
      <c r="AA3501" t="s">
        <v>10974</v>
      </c>
      <c r="AB3501" t="s">
        <v>874</v>
      </c>
      <c r="AD3501" t="s">
        <v>11098</v>
      </c>
      <c r="AF3501" t="s">
        <v>11122</v>
      </c>
      <c r="AH3501" t="s">
        <v>10974</v>
      </c>
      <c r="AJ3501" t="s">
        <v>11140</v>
      </c>
      <c r="AK3501" t="s">
        <v>7225</v>
      </c>
      <c r="AM3501">
        <v>981</v>
      </c>
      <c r="AO3501">
        <v>359</v>
      </c>
      <c r="AQ3501" t="s">
        <v>11157</v>
      </c>
      <c r="AR3501" t="s">
        <v>11172</v>
      </c>
      <c r="AU3501">
        <v>20</v>
      </c>
      <c r="AW3501" t="s">
        <v>11187</v>
      </c>
      <c r="AY3501" t="s">
        <v>11213</v>
      </c>
      <c r="AZ3501" t="s">
        <v>11221</v>
      </c>
      <c r="BD3501" t="s">
        <v>11667</v>
      </c>
      <c r="BF3501" t="s">
        <v>14364</v>
      </c>
      <c r="BG3501" t="s">
        <v>15228</v>
      </c>
      <c r="BM3501" t="s">
        <v>15650</v>
      </c>
    </row>
    <row r="3502" spans="1:65">
      <c r="A3502" s="1">
        <f>HYPERLINK("https://lsnyc.legalserver.org/matter/dynamic-profile/view/1891925","19-1891925")</f>
        <v>0</v>
      </c>
      <c r="B3502" t="s">
        <v>197</v>
      </c>
      <c r="C3502" t="s">
        <v>248</v>
      </c>
      <c r="D3502" t="s">
        <v>425</v>
      </c>
      <c r="F3502" t="s">
        <v>2474</v>
      </c>
      <c r="G3502" t="s">
        <v>4295</v>
      </c>
      <c r="H3502" t="s">
        <v>4798</v>
      </c>
      <c r="I3502" t="s">
        <v>6852</v>
      </c>
      <c r="J3502" t="s">
        <v>7174</v>
      </c>
      <c r="K3502">
        <v>11233</v>
      </c>
      <c r="N3502" t="s">
        <v>7237</v>
      </c>
      <c r="O3502" t="s">
        <v>9473</v>
      </c>
      <c r="P3502">
        <v>3</v>
      </c>
      <c r="Q3502">
        <v>3</v>
      </c>
      <c r="R3502">
        <v>211.54</v>
      </c>
      <c r="U3502">
        <v>73170</v>
      </c>
      <c r="V3502" t="s">
        <v>10581</v>
      </c>
      <c r="W3502">
        <v>0</v>
      </c>
      <c r="Y3502" t="s">
        <v>101</v>
      </c>
      <c r="AA3502" t="s">
        <v>10974</v>
      </c>
      <c r="AB3502" t="s">
        <v>874</v>
      </c>
      <c r="AD3502" t="s">
        <v>11098</v>
      </c>
      <c r="AF3502" t="s">
        <v>11122</v>
      </c>
      <c r="AH3502" t="s">
        <v>10974</v>
      </c>
      <c r="AJ3502" t="s">
        <v>11104</v>
      </c>
      <c r="AK3502" t="s">
        <v>7225</v>
      </c>
      <c r="AM3502">
        <v>1047</v>
      </c>
      <c r="AO3502">
        <v>359</v>
      </c>
      <c r="AQ3502" t="s">
        <v>11157</v>
      </c>
      <c r="AS3502" t="s">
        <v>11173</v>
      </c>
      <c r="AU3502">
        <v>8</v>
      </c>
      <c r="AW3502" t="s">
        <v>11187</v>
      </c>
      <c r="AY3502" t="s">
        <v>11213</v>
      </c>
      <c r="AZ3502" t="s">
        <v>11221</v>
      </c>
      <c r="BD3502" t="s">
        <v>11667</v>
      </c>
      <c r="BF3502" t="s">
        <v>14364</v>
      </c>
      <c r="BG3502" t="s">
        <v>15228</v>
      </c>
      <c r="BM3502" t="s">
        <v>15650</v>
      </c>
    </row>
    <row r="3503" spans="1:65">
      <c r="A3503" s="1">
        <f>HYPERLINK("https://lsnyc.legalserver.org/matter/dynamic-profile/view/1898972","19-1898972")</f>
        <v>0</v>
      </c>
      <c r="B3503" t="s">
        <v>197</v>
      </c>
      <c r="C3503" t="s">
        <v>248</v>
      </c>
      <c r="D3503" t="s">
        <v>608</v>
      </c>
      <c r="F3503" t="s">
        <v>1137</v>
      </c>
      <c r="G3503" t="s">
        <v>2905</v>
      </c>
      <c r="H3503" t="s">
        <v>5940</v>
      </c>
      <c r="I3503" t="s">
        <v>6571</v>
      </c>
      <c r="J3503" t="s">
        <v>7174</v>
      </c>
      <c r="K3503">
        <v>11233</v>
      </c>
      <c r="N3503" t="s">
        <v>7237</v>
      </c>
      <c r="O3503" t="s">
        <v>9442</v>
      </c>
      <c r="P3503">
        <v>1</v>
      </c>
      <c r="Q3503">
        <v>0</v>
      </c>
      <c r="R3503">
        <v>264.21</v>
      </c>
      <c r="U3503">
        <v>33000</v>
      </c>
      <c r="V3503" t="s">
        <v>10623</v>
      </c>
      <c r="W3503">
        <v>0</v>
      </c>
      <c r="Y3503" t="s">
        <v>101</v>
      </c>
      <c r="AA3503" t="s">
        <v>10974</v>
      </c>
      <c r="AB3503" t="s">
        <v>395</v>
      </c>
      <c r="AD3503" t="s">
        <v>11100</v>
      </c>
      <c r="AF3503" t="s">
        <v>10384</v>
      </c>
      <c r="AH3503" t="s">
        <v>10974</v>
      </c>
      <c r="AJ3503" t="s">
        <v>11104</v>
      </c>
      <c r="AK3503" t="s">
        <v>7225</v>
      </c>
      <c r="AM3503">
        <v>913</v>
      </c>
      <c r="AO3503">
        <v>359</v>
      </c>
      <c r="AQ3503" t="s">
        <v>11157</v>
      </c>
      <c r="AR3503" t="s">
        <v>11172</v>
      </c>
      <c r="AU3503">
        <v>20</v>
      </c>
      <c r="AW3503" t="s">
        <v>11187</v>
      </c>
      <c r="AY3503" t="s">
        <v>11213</v>
      </c>
      <c r="AZ3503" t="s">
        <v>11221</v>
      </c>
      <c r="BA3503" t="s">
        <v>11173</v>
      </c>
      <c r="BD3503" t="s">
        <v>11667</v>
      </c>
      <c r="BF3503" t="s">
        <v>14364</v>
      </c>
      <c r="BM3503" t="s">
        <v>15650</v>
      </c>
    </row>
    <row r="3504" spans="1:65">
      <c r="A3504" s="1">
        <f>HYPERLINK("https://lsnyc.legalserver.org/matter/dynamic-profile/view/1891610","19-1891610")</f>
        <v>0</v>
      </c>
      <c r="B3504" t="s">
        <v>197</v>
      </c>
      <c r="C3504" t="s">
        <v>248</v>
      </c>
      <c r="D3504" t="s">
        <v>515</v>
      </c>
      <c r="F3504" t="s">
        <v>2478</v>
      </c>
      <c r="G3504" t="s">
        <v>3422</v>
      </c>
      <c r="H3504" t="s">
        <v>5124</v>
      </c>
      <c r="I3504" t="s">
        <v>7000</v>
      </c>
      <c r="J3504" t="s">
        <v>7174</v>
      </c>
      <c r="K3504">
        <v>11233</v>
      </c>
      <c r="N3504" t="s">
        <v>7237</v>
      </c>
      <c r="O3504" t="s">
        <v>7632</v>
      </c>
      <c r="P3504">
        <v>2</v>
      </c>
      <c r="Q3504">
        <v>2</v>
      </c>
      <c r="R3504">
        <v>446.6</v>
      </c>
      <c r="U3504">
        <v>115000</v>
      </c>
      <c r="V3504" t="s">
        <v>10624</v>
      </c>
      <c r="W3504">
        <v>0</v>
      </c>
      <c r="Y3504" t="s">
        <v>101</v>
      </c>
      <c r="AA3504" t="s">
        <v>10974</v>
      </c>
      <c r="AB3504" t="s">
        <v>395</v>
      </c>
      <c r="AD3504" t="s">
        <v>11100</v>
      </c>
      <c r="AF3504" t="s">
        <v>10384</v>
      </c>
      <c r="AH3504" t="s">
        <v>10974</v>
      </c>
      <c r="AJ3504" t="s">
        <v>11140</v>
      </c>
      <c r="AK3504" t="s">
        <v>7225</v>
      </c>
      <c r="AM3504">
        <v>1077</v>
      </c>
      <c r="AO3504">
        <v>359</v>
      </c>
      <c r="AQ3504" t="s">
        <v>11157</v>
      </c>
      <c r="AS3504" t="s">
        <v>11173</v>
      </c>
      <c r="AU3504">
        <v>12</v>
      </c>
      <c r="AW3504" t="s">
        <v>11187</v>
      </c>
      <c r="AY3504" t="s">
        <v>11213</v>
      </c>
      <c r="AZ3504" t="s">
        <v>11221</v>
      </c>
      <c r="BD3504" t="s">
        <v>11667</v>
      </c>
      <c r="BF3504" t="s">
        <v>14364</v>
      </c>
      <c r="BM3504" t="s">
        <v>15650</v>
      </c>
    </row>
    <row r="3505" spans="1:65">
      <c r="A3505" s="1">
        <f>HYPERLINK("https://lsnyc.legalserver.org/matter/dynamic-profile/view/1898951","19-1898951")</f>
        <v>0</v>
      </c>
      <c r="B3505" t="s">
        <v>197</v>
      </c>
      <c r="C3505" t="s">
        <v>248</v>
      </c>
      <c r="D3505" t="s">
        <v>608</v>
      </c>
      <c r="F3505" t="s">
        <v>2479</v>
      </c>
      <c r="G3505" t="s">
        <v>4302</v>
      </c>
      <c r="H3505" t="s">
        <v>5940</v>
      </c>
      <c r="I3505" t="s">
        <v>6599</v>
      </c>
      <c r="J3505" t="s">
        <v>7174</v>
      </c>
      <c r="K3505">
        <v>11233</v>
      </c>
      <c r="N3505" t="s">
        <v>7237</v>
      </c>
      <c r="O3505" t="s">
        <v>9480</v>
      </c>
      <c r="P3505">
        <v>1</v>
      </c>
      <c r="Q3505">
        <v>1</v>
      </c>
      <c r="R3505">
        <v>354.82</v>
      </c>
      <c r="U3505">
        <v>60000</v>
      </c>
      <c r="V3505" t="s">
        <v>10570</v>
      </c>
      <c r="W3505">
        <v>0</v>
      </c>
      <c r="Y3505" t="s">
        <v>101</v>
      </c>
      <c r="AA3505" t="s">
        <v>10974</v>
      </c>
      <c r="AB3505" t="s">
        <v>874</v>
      </c>
      <c r="AD3505" t="s">
        <v>11098</v>
      </c>
      <c r="AF3505" t="s">
        <v>11122</v>
      </c>
      <c r="AH3505" t="s">
        <v>10974</v>
      </c>
      <c r="AJ3505" t="s">
        <v>11104</v>
      </c>
      <c r="AK3505" t="s">
        <v>7225</v>
      </c>
      <c r="AM3505">
        <v>888.58</v>
      </c>
      <c r="AO3505">
        <v>359</v>
      </c>
      <c r="AQ3505" t="s">
        <v>11157</v>
      </c>
      <c r="AR3505" t="s">
        <v>11172</v>
      </c>
      <c r="AU3505">
        <v>11</v>
      </c>
      <c r="AW3505" t="s">
        <v>11187</v>
      </c>
      <c r="AY3505" t="s">
        <v>11213</v>
      </c>
      <c r="AZ3505" t="s">
        <v>11221</v>
      </c>
      <c r="BA3505" t="s">
        <v>11173</v>
      </c>
      <c r="BD3505" t="s">
        <v>11667</v>
      </c>
      <c r="BF3505" t="s">
        <v>14364</v>
      </c>
      <c r="BG3505" t="s">
        <v>15229</v>
      </c>
      <c r="BM3505" t="s">
        <v>15650</v>
      </c>
    </row>
    <row r="3506" spans="1:65">
      <c r="A3506" s="1">
        <f>HYPERLINK("https://lsnyc.legalserver.org/matter/dynamic-profile/view/1897175","19-1897175")</f>
        <v>0</v>
      </c>
      <c r="B3506" t="s">
        <v>197</v>
      </c>
      <c r="C3506" t="s">
        <v>248</v>
      </c>
      <c r="D3506" t="s">
        <v>444</v>
      </c>
      <c r="F3506" t="s">
        <v>1459</v>
      </c>
      <c r="G3506" t="s">
        <v>3047</v>
      </c>
      <c r="H3506" t="s">
        <v>5124</v>
      </c>
      <c r="I3506" t="s">
        <v>7001</v>
      </c>
      <c r="J3506" t="s">
        <v>7174</v>
      </c>
      <c r="K3506">
        <v>11233</v>
      </c>
      <c r="N3506" t="s">
        <v>7237</v>
      </c>
      <c r="O3506" t="s">
        <v>9481</v>
      </c>
      <c r="P3506">
        <v>1</v>
      </c>
      <c r="Q3506">
        <v>0</v>
      </c>
      <c r="R3506">
        <v>87.33</v>
      </c>
      <c r="U3506">
        <v>10908</v>
      </c>
      <c r="V3506" t="s">
        <v>10625</v>
      </c>
      <c r="W3506">
        <v>0</v>
      </c>
      <c r="Y3506" t="s">
        <v>101</v>
      </c>
      <c r="AA3506" t="s">
        <v>10974</v>
      </c>
      <c r="AB3506" t="s">
        <v>874</v>
      </c>
      <c r="AD3506" t="s">
        <v>11098</v>
      </c>
      <c r="AF3506" t="s">
        <v>11122</v>
      </c>
      <c r="AH3506" t="s">
        <v>10974</v>
      </c>
      <c r="AJ3506" t="s">
        <v>11104</v>
      </c>
      <c r="AK3506" t="s">
        <v>7225</v>
      </c>
      <c r="AM3506">
        <v>603.74</v>
      </c>
      <c r="AO3506">
        <v>359</v>
      </c>
      <c r="AQ3506" t="s">
        <v>11157</v>
      </c>
      <c r="AS3506" t="s">
        <v>11173</v>
      </c>
      <c r="AU3506">
        <v>50</v>
      </c>
      <c r="AW3506" t="s">
        <v>11187</v>
      </c>
      <c r="AY3506" t="s">
        <v>11213</v>
      </c>
      <c r="AZ3506" t="s">
        <v>11221</v>
      </c>
      <c r="BD3506" t="s">
        <v>11667</v>
      </c>
      <c r="BF3506" t="s">
        <v>14364</v>
      </c>
      <c r="BG3506" t="s">
        <v>15229</v>
      </c>
      <c r="BM3506" t="s">
        <v>15650</v>
      </c>
    </row>
    <row r="3507" spans="1:65">
      <c r="A3507" s="1">
        <f>HYPERLINK("https://lsnyc.legalserver.org/matter/dynamic-profile/view/1898845","19-1898845")</f>
        <v>0</v>
      </c>
      <c r="B3507" t="s">
        <v>197</v>
      </c>
      <c r="C3507" t="s">
        <v>248</v>
      </c>
      <c r="D3507" t="s">
        <v>347</v>
      </c>
      <c r="F3507" t="s">
        <v>1713</v>
      </c>
      <c r="G3507" t="s">
        <v>4303</v>
      </c>
      <c r="H3507" t="s">
        <v>4798</v>
      </c>
      <c r="I3507" t="s">
        <v>7002</v>
      </c>
      <c r="J3507" t="s">
        <v>7174</v>
      </c>
      <c r="K3507">
        <v>11233</v>
      </c>
      <c r="N3507" t="s">
        <v>7237</v>
      </c>
      <c r="O3507" t="s">
        <v>9482</v>
      </c>
      <c r="P3507">
        <v>1</v>
      </c>
      <c r="Q3507">
        <v>1</v>
      </c>
      <c r="R3507">
        <v>354.82</v>
      </c>
      <c r="U3507">
        <v>60000</v>
      </c>
      <c r="V3507" t="s">
        <v>10570</v>
      </c>
      <c r="W3507">
        <v>0</v>
      </c>
      <c r="Y3507" t="s">
        <v>101</v>
      </c>
      <c r="AA3507" t="s">
        <v>10974</v>
      </c>
      <c r="AB3507" t="s">
        <v>874</v>
      </c>
      <c r="AD3507" t="s">
        <v>11098</v>
      </c>
      <c r="AF3507" t="s">
        <v>11122</v>
      </c>
      <c r="AH3507" t="s">
        <v>10974</v>
      </c>
      <c r="AJ3507" t="s">
        <v>11104</v>
      </c>
      <c r="AK3507" t="s">
        <v>7225</v>
      </c>
      <c r="AL3507" t="s">
        <v>11150</v>
      </c>
      <c r="AM3507">
        <v>0</v>
      </c>
      <c r="AO3507">
        <v>359</v>
      </c>
      <c r="AQ3507" t="s">
        <v>11157</v>
      </c>
      <c r="AR3507" t="s">
        <v>11172</v>
      </c>
      <c r="AU3507">
        <v>6</v>
      </c>
      <c r="AW3507" t="s">
        <v>11187</v>
      </c>
      <c r="AY3507" t="s">
        <v>11213</v>
      </c>
      <c r="AZ3507" t="s">
        <v>11221</v>
      </c>
      <c r="BD3507" t="s">
        <v>11667</v>
      </c>
      <c r="BF3507" t="s">
        <v>14364</v>
      </c>
      <c r="BG3507" t="s">
        <v>15228</v>
      </c>
      <c r="BM3507" t="s">
        <v>15650</v>
      </c>
    </row>
    <row r="3508" spans="1:65">
      <c r="A3508" s="1">
        <f>HYPERLINK("https://lsnyc.legalserver.org/matter/dynamic-profile/view/1892080","19-1892080")</f>
        <v>0</v>
      </c>
      <c r="B3508" t="s">
        <v>197</v>
      </c>
      <c r="C3508" t="s">
        <v>248</v>
      </c>
      <c r="D3508" t="s">
        <v>342</v>
      </c>
      <c r="F3508" t="s">
        <v>1877</v>
      </c>
      <c r="G3508" t="s">
        <v>4304</v>
      </c>
      <c r="H3508" t="s">
        <v>5941</v>
      </c>
      <c r="I3508" t="s">
        <v>7003</v>
      </c>
      <c r="J3508" t="s">
        <v>7174</v>
      </c>
      <c r="K3508">
        <v>11233</v>
      </c>
      <c r="N3508" t="s">
        <v>7237</v>
      </c>
      <c r="O3508" t="s">
        <v>9483</v>
      </c>
      <c r="P3508">
        <v>1</v>
      </c>
      <c r="Q3508">
        <v>0</v>
      </c>
      <c r="R3508">
        <v>113.66</v>
      </c>
      <c r="U3508">
        <v>14196</v>
      </c>
      <c r="V3508" t="s">
        <v>10581</v>
      </c>
      <c r="W3508">
        <v>0</v>
      </c>
      <c r="Y3508" t="s">
        <v>101</v>
      </c>
      <c r="AA3508" t="s">
        <v>10974</v>
      </c>
      <c r="AB3508" t="s">
        <v>874</v>
      </c>
      <c r="AD3508" t="s">
        <v>11098</v>
      </c>
      <c r="AF3508" t="s">
        <v>11122</v>
      </c>
      <c r="AH3508" t="s">
        <v>10974</v>
      </c>
      <c r="AJ3508" t="s">
        <v>11104</v>
      </c>
      <c r="AK3508" t="s">
        <v>7225</v>
      </c>
      <c r="AM3508">
        <v>1150</v>
      </c>
      <c r="AO3508">
        <v>359</v>
      </c>
      <c r="AQ3508" t="s">
        <v>11157</v>
      </c>
      <c r="AR3508" t="s">
        <v>11172</v>
      </c>
      <c r="AU3508">
        <v>45</v>
      </c>
      <c r="AW3508" t="s">
        <v>11187</v>
      </c>
      <c r="AY3508" t="s">
        <v>11213</v>
      </c>
      <c r="AZ3508" t="s">
        <v>11221</v>
      </c>
      <c r="BD3508" t="s">
        <v>11667</v>
      </c>
      <c r="BF3508" t="s">
        <v>14364</v>
      </c>
      <c r="BG3508" t="s">
        <v>15228</v>
      </c>
      <c r="BM3508" t="s">
        <v>15650</v>
      </c>
    </row>
    <row r="3509" spans="1:65">
      <c r="A3509" s="1">
        <f>HYPERLINK("https://lsnyc.legalserver.org/matter/dynamic-profile/view/1892085","19-1892085")</f>
        <v>0</v>
      </c>
      <c r="B3509" t="s">
        <v>197</v>
      </c>
      <c r="C3509" t="s">
        <v>248</v>
      </c>
      <c r="D3509" t="s">
        <v>342</v>
      </c>
      <c r="F3509" t="s">
        <v>1877</v>
      </c>
      <c r="G3509" t="s">
        <v>4304</v>
      </c>
      <c r="H3509" t="s">
        <v>5941</v>
      </c>
      <c r="I3509" t="s">
        <v>7003</v>
      </c>
      <c r="J3509" t="s">
        <v>7174</v>
      </c>
      <c r="K3509">
        <v>11233</v>
      </c>
      <c r="N3509" t="s">
        <v>7237</v>
      </c>
      <c r="O3509" t="s">
        <v>9483</v>
      </c>
      <c r="P3509">
        <v>1</v>
      </c>
      <c r="Q3509">
        <v>0</v>
      </c>
      <c r="R3509">
        <v>113.66</v>
      </c>
      <c r="U3509">
        <v>14196</v>
      </c>
      <c r="V3509" t="s">
        <v>10626</v>
      </c>
      <c r="W3509">
        <v>0</v>
      </c>
      <c r="Y3509" t="s">
        <v>101</v>
      </c>
      <c r="AA3509" t="s">
        <v>10974</v>
      </c>
      <c r="AB3509" t="s">
        <v>395</v>
      </c>
      <c r="AD3509" t="s">
        <v>11100</v>
      </c>
      <c r="AF3509" t="s">
        <v>10384</v>
      </c>
      <c r="AH3509" t="s">
        <v>10974</v>
      </c>
      <c r="AJ3509" t="s">
        <v>11104</v>
      </c>
      <c r="AK3509" t="s">
        <v>7225</v>
      </c>
      <c r="AM3509">
        <v>1150</v>
      </c>
      <c r="AO3509">
        <v>359</v>
      </c>
      <c r="AQ3509" t="s">
        <v>11157</v>
      </c>
      <c r="AR3509" t="s">
        <v>11172</v>
      </c>
      <c r="AU3509">
        <v>45</v>
      </c>
      <c r="AW3509" t="s">
        <v>11187</v>
      </c>
      <c r="AY3509" t="s">
        <v>11213</v>
      </c>
      <c r="AZ3509" t="s">
        <v>11221</v>
      </c>
      <c r="BD3509" t="s">
        <v>11667</v>
      </c>
      <c r="BF3509" t="s">
        <v>14364</v>
      </c>
      <c r="BM3509" t="s">
        <v>15650</v>
      </c>
    </row>
    <row r="3510" spans="1:65">
      <c r="A3510" s="1">
        <f>HYPERLINK("https://lsnyc.legalserver.org/matter/dynamic-profile/view/1890575","19-1890575")</f>
        <v>0</v>
      </c>
      <c r="B3510" t="s">
        <v>197</v>
      </c>
      <c r="C3510" t="s">
        <v>248</v>
      </c>
      <c r="D3510" t="s">
        <v>442</v>
      </c>
      <c r="F3510" t="s">
        <v>2350</v>
      </c>
      <c r="G3510" t="s">
        <v>3066</v>
      </c>
      <c r="H3510" t="s">
        <v>5124</v>
      </c>
      <c r="I3510" t="s">
        <v>7004</v>
      </c>
      <c r="J3510" t="s">
        <v>7174</v>
      </c>
      <c r="K3510">
        <v>11233</v>
      </c>
      <c r="N3510" t="s">
        <v>7237</v>
      </c>
      <c r="O3510" t="s">
        <v>9484</v>
      </c>
      <c r="P3510">
        <v>1</v>
      </c>
      <c r="Q3510">
        <v>0</v>
      </c>
      <c r="R3510">
        <v>440.35</v>
      </c>
      <c r="U3510">
        <v>55000</v>
      </c>
      <c r="V3510" t="s">
        <v>10570</v>
      </c>
      <c r="W3510">
        <v>0</v>
      </c>
      <c r="Y3510" t="s">
        <v>101</v>
      </c>
      <c r="AA3510" t="s">
        <v>10974</v>
      </c>
      <c r="AB3510" t="s">
        <v>874</v>
      </c>
      <c r="AD3510" t="s">
        <v>11098</v>
      </c>
      <c r="AF3510" t="s">
        <v>11122</v>
      </c>
      <c r="AH3510" t="s">
        <v>10974</v>
      </c>
      <c r="AJ3510" t="s">
        <v>11104</v>
      </c>
      <c r="AK3510" t="s">
        <v>7225</v>
      </c>
      <c r="AM3510">
        <v>1094.88</v>
      </c>
      <c r="AO3510">
        <v>359</v>
      </c>
      <c r="AQ3510" t="s">
        <v>11157</v>
      </c>
      <c r="AS3510" t="s">
        <v>11173</v>
      </c>
      <c r="AU3510">
        <v>40</v>
      </c>
      <c r="AW3510" t="s">
        <v>11187</v>
      </c>
      <c r="AY3510" t="s">
        <v>11213</v>
      </c>
      <c r="AZ3510" t="s">
        <v>11221</v>
      </c>
      <c r="BD3510" t="s">
        <v>11667</v>
      </c>
      <c r="BF3510" t="s">
        <v>14364</v>
      </c>
      <c r="BG3510" t="s">
        <v>15229</v>
      </c>
      <c r="BM3510" t="s">
        <v>15650</v>
      </c>
    </row>
    <row r="3511" spans="1:65">
      <c r="A3511" s="1">
        <f>HYPERLINK("https://lsnyc.legalserver.org/matter/dynamic-profile/view/1891597","19-1891597")</f>
        <v>0</v>
      </c>
      <c r="B3511" t="s">
        <v>197</v>
      </c>
      <c r="C3511" t="s">
        <v>248</v>
      </c>
      <c r="D3511" t="s">
        <v>515</v>
      </c>
      <c r="F3511" t="s">
        <v>1647</v>
      </c>
      <c r="G3511" t="s">
        <v>4305</v>
      </c>
      <c r="H3511" t="s">
        <v>5124</v>
      </c>
      <c r="I3511" t="s">
        <v>6667</v>
      </c>
      <c r="J3511" t="s">
        <v>7174</v>
      </c>
      <c r="K3511">
        <v>11233</v>
      </c>
      <c r="N3511" t="s">
        <v>7237</v>
      </c>
      <c r="O3511" t="s">
        <v>9485</v>
      </c>
      <c r="P3511">
        <v>2</v>
      </c>
      <c r="Q3511">
        <v>0</v>
      </c>
      <c r="R3511">
        <v>437.61</v>
      </c>
      <c r="U3511">
        <v>74000</v>
      </c>
      <c r="V3511" t="s">
        <v>10627</v>
      </c>
      <c r="W3511">
        <v>0</v>
      </c>
      <c r="Y3511" t="s">
        <v>101</v>
      </c>
      <c r="AA3511" t="s">
        <v>10974</v>
      </c>
      <c r="AB3511" t="s">
        <v>395</v>
      </c>
      <c r="AD3511" t="s">
        <v>11100</v>
      </c>
      <c r="AF3511" t="s">
        <v>10384</v>
      </c>
      <c r="AH3511" t="s">
        <v>10974</v>
      </c>
      <c r="AJ3511" t="s">
        <v>11140</v>
      </c>
      <c r="AK3511" t="s">
        <v>7225</v>
      </c>
      <c r="AM3511">
        <v>1520</v>
      </c>
      <c r="AO3511">
        <v>359</v>
      </c>
      <c r="AQ3511" t="s">
        <v>11157</v>
      </c>
      <c r="AS3511" t="s">
        <v>11173</v>
      </c>
      <c r="AU3511">
        <v>2</v>
      </c>
      <c r="AW3511" t="s">
        <v>11187</v>
      </c>
      <c r="AY3511" t="s">
        <v>11213</v>
      </c>
      <c r="AZ3511" t="s">
        <v>11221</v>
      </c>
      <c r="BD3511" t="s">
        <v>11667</v>
      </c>
      <c r="BF3511" t="s">
        <v>14364</v>
      </c>
      <c r="BM3511" t="s">
        <v>15650</v>
      </c>
    </row>
    <row r="3512" spans="1:65">
      <c r="A3512" s="1">
        <f>HYPERLINK("https://lsnyc.legalserver.org/matter/dynamic-profile/view/1897341","19-1897341")</f>
        <v>0</v>
      </c>
      <c r="B3512" t="s">
        <v>197</v>
      </c>
      <c r="C3512" t="s">
        <v>248</v>
      </c>
      <c r="D3512" t="s">
        <v>583</v>
      </c>
      <c r="F3512" t="s">
        <v>1303</v>
      </c>
      <c r="G3512" t="s">
        <v>4306</v>
      </c>
      <c r="H3512" t="s">
        <v>5124</v>
      </c>
      <c r="I3512" t="s">
        <v>7005</v>
      </c>
      <c r="J3512" t="s">
        <v>7174</v>
      </c>
      <c r="K3512">
        <v>11233</v>
      </c>
      <c r="N3512" t="s">
        <v>7237</v>
      </c>
      <c r="O3512" t="s">
        <v>9486</v>
      </c>
      <c r="P3512">
        <v>2</v>
      </c>
      <c r="Q3512">
        <v>0</v>
      </c>
      <c r="R3512">
        <v>384.39</v>
      </c>
      <c r="U3512">
        <v>65000</v>
      </c>
      <c r="V3512" t="s">
        <v>10628</v>
      </c>
      <c r="W3512">
        <v>0</v>
      </c>
      <c r="Y3512" t="s">
        <v>225</v>
      </c>
      <c r="AA3512" t="s">
        <v>10974</v>
      </c>
      <c r="AB3512" t="s">
        <v>395</v>
      </c>
      <c r="AD3512" t="s">
        <v>11100</v>
      </c>
      <c r="AF3512" t="s">
        <v>10384</v>
      </c>
      <c r="AH3512" t="s">
        <v>10974</v>
      </c>
      <c r="AJ3512" t="s">
        <v>11140</v>
      </c>
      <c r="AK3512" t="s">
        <v>7225</v>
      </c>
      <c r="AM3512">
        <v>1000</v>
      </c>
      <c r="AO3512">
        <v>359</v>
      </c>
      <c r="AQ3512" t="s">
        <v>11157</v>
      </c>
      <c r="AR3512" t="s">
        <v>11172</v>
      </c>
      <c r="AU3512">
        <v>50</v>
      </c>
      <c r="AW3512" t="s">
        <v>11187</v>
      </c>
      <c r="AY3512" t="s">
        <v>11213</v>
      </c>
      <c r="AZ3512" t="s">
        <v>11221</v>
      </c>
      <c r="BD3512" t="s">
        <v>11667</v>
      </c>
      <c r="BF3512" t="s">
        <v>14364</v>
      </c>
      <c r="BM3512" t="s">
        <v>15650</v>
      </c>
    </row>
    <row r="3513" spans="1:65">
      <c r="A3513" s="1">
        <f>HYPERLINK("https://lsnyc.legalserver.org/matter/dynamic-profile/view/1909731","19-1909731")</f>
        <v>0</v>
      </c>
      <c r="B3513" t="s">
        <v>197</v>
      </c>
      <c r="C3513" t="s">
        <v>248</v>
      </c>
      <c r="D3513" t="s">
        <v>434</v>
      </c>
      <c r="F3513" t="s">
        <v>2190</v>
      </c>
      <c r="G3513" t="s">
        <v>4112</v>
      </c>
      <c r="H3513" t="s">
        <v>5010</v>
      </c>
      <c r="I3513">
        <v>37</v>
      </c>
      <c r="J3513" t="s">
        <v>7174</v>
      </c>
      <c r="K3513">
        <v>11213</v>
      </c>
      <c r="N3513" t="s">
        <v>7237</v>
      </c>
      <c r="O3513" t="s">
        <v>9142</v>
      </c>
      <c r="P3513">
        <v>2</v>
      </c>
      <c r="Q3513">
        <v>0</v>
      </c>
      <c r="R3513">
        <v>146.08</v>
      </c>
      <c r="U3513">
        <v>24702</v>
      </c>
      <c r="W3513">
        <v>18.9</v>
      </c>
      <c r="X3513" t="s">
        <v>669</v>
      </c>
      <c r="Y3513" t="s">
        <v>101</v>
      </c>
      <c r="AA3513" t="s">
        <v>10974</v>
      </c>
      <c r="AB3513" t="s">
        <v>1010</v>
      </c>
      <c r="AD3513" t="s">
        <v>11106</v>
      </c>
      <c r="AF3513" t="s">
        <v>10384</v>
      </c>
      <c r="AH3513" t="s">
        <v>10975</v>
      </c>
      <c r="AJ3513" t="s">
        <v>11104</v>
      </c>
      <c r="AK3513" t="s">
        <v>7225</v>
      </c>
      <c r="AM3513">
        <v>798.41</v>
      </c>
      <c r="AO3513">
        <v>31</v>
      </c>
      <c r="AQ3513" t="s">
        <v>11157</v>
      </c>
      <c r="AS3513" t="s">
        <v>11175</v>
      </c>
      <c r="AU3513">
        <v>41</v>
      </c>
      <c r="AW3513" t="s">
        <v>11187</v>
      </c>
      <c r="AY3513" t="s">
        <v>11213</v>
      </c>
      <c r="BA3513" t="s">
        <v>11222</v>
      </c>
      <c r="BC3513" t="s">
        <v>11173</v>
      </c>
      <c r="BE3513" t="s">
        <v>13370</v>
      </c>
      <c r="BF3513" t="s">
        <v>14364</v>
      </c>
      <c r="BG3513" t="s">
        <v>11086</v>
      </c>
      <c r="BM3513" t="s">
        <v>15650</v>
      </c>
    </row>
    <row r="3514" spans="1:65">
      <c r="A3514" s="1">
        <f>HYPERLINK("https://lsnyc.legalserver.org/matter/dynamic-profile/view/1897985","19-1897985")</f>
        <v>0</v>
      </c>
      <c r="B3514" t="s">
        <v>197</v>
      </c>
      <c r="C3514" t="s">
        <v>248</v>
      </c>
      <c r="D3514" t="s">
        <v>594</v>
      </c>
      <c r="F3514" t="s">
        <v>1770</v>
      </c>
      <c r="G3514" t="s">
        <v>3338</v>
      </c>
      <c r="H3514" t="s">
        <v>4798</v>
      </c>
      <c r="I3514" t="s">
        <v>6970</v>
      </c>
      <c r="J3514" t="s">
        <v>7174</v>
      </c>
      <c r="K3514">
        <v>11233</v>
      </c>
      <c r="N3514" t="s">
        <v>7237</v>
      </c>
      <c r="O3514" t="s">
        <v>9487</v>
      </c>
      <c r="P3514">
        <v>2</v>
      </c>
      <c r="Q3514">
        <v>1</v>
      </c>
      <c r="R3514">
        <v>93.76000000000001</v>
      </c>
      <c r="U3514">
        <v>20000</v>
      </c>
      <c r="V3514" t="s">
        <v>10629</v>
      </c>
      <c r="W3514">
        <v>0</v>
      </c>
      <c r="Y3514" t="s">
        <v>101</v>
      </c>
      <c r="AA3514" t="s">
        <v>10974</v>
      </c>
      <c r="AB3514" t="s">
        <v>395</v>
      </c>
      <c r="AD3514" t="s">
        <v>11100</v>
      </c>
      <c r="AF3514" t="s">
        <v>10384</v>
      </c>
      <c r="AH3514" t="s">
        <v>10974</v>
      </c>
      <c r="AJ3514" t="s">
        <v>11104</v>
      </c>
      <c r="AK3514" t="s">
        <v>7225</v>
      </c>
      <c r="AM3514">
        <v>1300</v>
      </c>
      <c r="AO3514">
        <v>359</v>
      </c>
      <c r="AQ3514" t="s">
        <v>11157</v>
      </c>
      <c r="AR3514" t="s">
        <v>11172</v>
      </c>
      <c r="AU3514">
        <v>3</v>
      </c>
      <c r="AW3514" t="s">
        <v>11187</v>
      </c>
      <c r="AY3514" t="s">
        <v>11213</v>
      </c>
      <c r="AZ3514" t="s">
        <v>11221</v>
      </c>
      <c r="BD3514" t="s">
        <v>11667</v>
      </c>
      <c r="BF3514" t="s">
        <v>14364</v>
      </c>
      <c r="BM3514" t="s">
        <v>15650</v>
      </c>
    </row>
    <row r="3515" spans="1:65">
      <c r="A3515" s="1">
        <f>HYPERLINK("https://lsnyc.legalserver.org/matter/dynamic-profile/view/1897179","19-1897179")</f>
        <v>0</v>
      </c>
      <c r="B3515" t="s">
        <v>197</v>
      </c>
      <c r="C3515" t="s">
        <v>248</v>
      </c>
      <c r="D3515" t="s">
        <v>444</v>
      </c>
      <c r="F3515" t="s">
        <v>1459</v>
      </c>
      <c r="G3515" t="s">
        <v>3047</v>
      </c>
      <c r="H3515" t="s">
        <v>5124</v>
      </c>
      <c r="I3515" t="s">
        <v>7001</v>
      </c>
      <c r="J3515" t="s">
        <v>7174</v>
      </c>
      <c r="K3515">
        <v>11233</v>
      </c>
      <c r="N3515" t="s">
        <v>7237</v>
      </c>
      <c r="O3515" t="s">
        <v>9481</v>
      </c>
      <c r="P3515">
        <v>1</v>
      </c>
      <c r="Q3515">
        <v>0</v>
      </c>
      <c r="R3515">
        <v>87.33</v>
      </c>
      <c r="U3515">
        <v>10908</v>
      </c>
      <c r="V3515" t="s">
        <v>10630</v>
      </c>
      <c r="W3515">
        <v>0</v>
      </c>
      <c r="Y3515" t="s">
        <v>101</v>
      </c>
      <c r="AA3515" t="s">
        <v>10974</v>
      </c>
      <c r="AB3515" t="s">
        <v>395</v>
      </c>
      <c r="AD3515" t="s">
        <v>11100</v>
      </c>
      <c r="AF3515" t="s">
        <v>10384</v>
      </c>
      <c r="AH3515" t="s">
        <v>10974</v>
      </c>
      <c r="AJ3515" t="s">
        <v>11104</v>
      </c>
      <c r="AK3515" t="s">
        <v>7225</v>
      </c>
      <c r="AM3515">
        <v>603.74</v>
      </c>
      <c r="AO3515">
        <v>359</v>
      </c>
      <c r="AQ3515" t="s">
        <v>11157</v>
      </c>
      <c r="AR3515" t="s">
        <v>11172</v>
      </c>
      <c r="AU3515">
        <v>50</v>
      </c>
      <c r="AW3515" t="s">
        <v>11187</v>
      </c>
      <c r="AY3515" t="s">
        <v>11213</v>
      </c>
      <c r="AZ3515" t="s">
        <v>11221</v>
      </c>
      <c r="BD3515" t="s">
        <v>11667</v>
      </c>
      <c r="BF3515" t="s">
        <v>14364</v>
      </c>
      <c r="BM3515" t="s">
        <v>15650</v>
      </c>
    </row>
    <row r="3516" spans="1:65">
      <c r="A3516" s="1">
        <f>HYPERLINK("https://lsnyc.legalserver.org/matter/dynamic-profile/view/1902026","19-1902026")</f>
        <v>0</v>
      </c>
      <c r="B3516" t="s">
        <v>197</v>
      </c>
      <c r="C3516" t="s">
        <v>248</v>
      </c>
      <c r="D3516" t="s">
        <v>590</v>
      </c>
      <c r="F3516" t="s">
        <v>1144</v>
      </c>
      <c r="G3516" t="s">
        <v>4307</v>
      </c>
      <c r="H3516" t="s">
        <v>4798</v>
      </c>
      <c r="I3516" t="s">
        <v>7006</v>
      </c>
      <c r="J3516" t="s">
        <v>7174</v>
      </c>
      <c r="K3516">
        <v>11233</v>
      </c>
      <c r="N3516" t="s">
        <v>7237</v>
      </c>
      <c r="O3516" t="s">
        <v>9488</v>
      </c>
      <c r="P3516">
        <v>1</v>
      </c>
      <c r="Q3516">
        <v>0</v>
      </c>
      <c r="R3516">
        <v>114.62</v>
      </c>
      <c r="U3516">
        <v>14316</v>
      </c>
      <c r="V3516" t="s">
        <v>10570</v>
      </c>
      <c r="W3516">
        <v>0</v>
      </c>
      <c r="Y3516" t="s">
        <v>101</v>
      </c>
      <c r="AA3516" t="s">
        <v>10974</v>
      </c>
      <c r="AB3516" t="s">
        <v>874</v>
      </c>
      <c r="AD3516" t="s">
        <v>11098</v>
      </c>
      <c r="AF3516" t="s">
        <v>11122</v>
      </c>
      <c r="AH3516" t="s">
        <v>10974</v>
      </c>
      <c r="AJ3516" t="s">
        <v>11104</v>
      </c>
      <c r="AK3516" t="s">
        <v>7225</v>
      </c>
      <c r="AM3516">
        <v>656.89</v>
      </c>
      <c r="AO3516">
        <v>359</v>
      </c>
      <c r="AQ3516" t="s">
        <v>11157</v>
      </c>
      <c r="AR3516" t="s">
        <v>11172</v>
      </c>
      <c r="AT3516" t="s">
        <v>11184</v>
      </c>
      <c r="AU3516">
        <v>0</v>
      </c>
      <c r="AW3516" t="s">
        <v>11187</v>
      </c>
      <c r="AZ3516" t="s">
        <v>11221</v>
      </c>
      <c r="BA3516" t="s">
        <v>11173</v>
      </c>
      <c r="BD3516" t="s">
        <v>11667</v>
      </c>
      <c r="BF3516" t="s">
        <v>14364</v>
      </c>
      <c r="BG3516" t="s">
        <v>15228</v>
      </c>
      <c r="BM3516" t="s">
        <v>15650</v>
      </c>
    </row>
    <row r="3517" spans="1:65">
      <c r="A3517" s="1">
        <f>HYPERLINK("https://lsnyc.legalserver.org/matter/dynamic-profile/view/1902028","19-1902028")</f>
        <v>0</v>
      </c>
      <c r="B3517" t="s">
        <v>197</v>
      </c>
      <c r="C3517" t="s">
        <v>248</v>
      </c>
      <c r="D3517" t="s">
        <v>590</v>
      </c>
      <c r="F3517" t="s">
        <v>1144</v>
      </c>
      <c r="G3517" t="s">
        <v>4307</v>
      </c>
      <c r="H3517" t="s">
        <v>4798</v>
      </c>
      <c r="I3517" t="s">
        <v>7006</v>
      </c>
      <c r="J3517" t="s">
        <v>7174</v>
      </c>
      <c r="K3517">
        <v>11233</v>
      </c>
      <c r="N3517" t="s">
        <v>7237</v>
      </c>
      <c r="O3517" t="s">
        <v>9488</v>
      </c>
      <c r="P3517">
        <v>1</v>
      </c>
      <c r="Q3517">
        <v>0</v>
      </c>
      <c r="R3517">
        <v>114.62</v>
      </c>
      <c r="U3517">
        <v>14316</v>
      </c>
      <c r="V3517" t="s">
        <v>10631</v>
      </c>
      <c r="W3517">
        <v>0</v>
      </c>
      <c r="Y3517" t="s">
        <v>101</v>
      </c>
      <c r="AA3517" t="s">
        <v>10974</v>
      </c>
      <c r="AB3517" t="s">
        <v>395</v>
      </c>
      <c r="AD3517" t="s">
        <v>11100</v>
      </c>
      <c r="AF3517" t="s">
        <v>10384</v>
      </c>
      <c r="AH3517" t="s">
        <v>10974</v>
      </c>
      <c r="AJ3517" t="s">
        <v>11104</v>
      </c>
      <c r="AK3517" t="s">
        <v>7225</v>
      </c>
      <c r="AM3517">
        <v>626.89</v>
      </c>
      <c r="AO3517">
        <v>359</v>
      </c>
      <c r="AQ3517" t="s">
        <v>11157</v>
      </c>
      <c r="AR3517" t="s">
        <v>11172</v>
      </c>
      <c r="AT3517" t="s">
        <v>11184</v>
      </c>
      <c r="AU3517">
        <v>0</v>
      </c>
      <c r="AW3517" t="s">
        <v>11187</v>
      </c>
      <c r="AY3517" t="s">
        <v>11213</v>
      </c>
      <c r="AZ3517" t="s">
        <v>11221</v>
      </c>
      <c r="BA3517" t="s">
        <v>11173</v>
      </c>
      <c r="BD3517" t="s">
        <v>11667</v>
      </c>
      <c r="BF3517" t="s">
        <v>14364</v>
      </c>
      <c r="BG3517" t="s">
        <v>11086</v>
      </c>
      <c r="BM3517" t="s">
        <v>15650</v>
      </c>
    </row>
    <row r="3518" spans="1:65">
      <c r="A3518" s="1">
        <f>HYPERLINK("https://lsnyc.legalserver.org/matter/dynamic-profile/view/1897606","19-1897606")</f>
        <v>0</v>
      </c>
      <c r="B3518" t="s">
        <v>197</v>
      </c>
      <c r="C3518" t="s">
        <v>248</v>
      </c>
      <c r="D3518" t="s">
        <v>389</v>
      </c>
      <c r="F3518" t="s">
        <v>2007</v>
      </c>
      <c r="G3518" t="s">
        <v>4308</v>
      </c>
      <c r="H3518" t="s">
        <v>4798</v>
      </c>
      <c r="I3518" t="s">
        <v>6514</v>
      </c>
      <c r="J3518" t="s">
        <v>7174</v>
      </c>
      <c r="K3518">
        <v>11233</v>
      </c>
      <c r="N3518" t="s">
        <v>7237</v>
      </c>
      <c r="O3518" t="s">
        <v>9489</v>
      </c>
      <c r="P3518">
        <v>1</v>
      </c>
      <c r="Q3518">
        <v>0</v>
      </c>
      <c r="R3518">
        <v>398.72</v>
      </c>
      <c r="U3518">
        <v>49800</v>
      </c>
      <c r="V3518" t="s">
        <v>10632</v>
      </c>
      <c r="W3518">
        <v>0</v>
      </c>
      <c r="Y3518" t="s">
        <v>225</v>
      </c>
      <c r="AA3518" t="s">
        <v>10974</v>
      </c>
      <c r="AB3518" t="s">
        <v>395</v>
      </c>
      <c r="AD3518" t="s">
        <v>11100</v>
      </c>
      <c r="AF3518" t="s">
        <v>10384</v>
      </c>
      <c r="AH3518" t="s">
        <v>10974</v>
      </c>
      <c r="AJ3518" t="s">
        <v>11140</v>
      </c>
      <c r="AK3518" t="s">
        <v>7225</v>
      </c>
      <c r="AM3518">
        <v>829.45</v>
      </c>
      <c r="AO3518">
        <v>359</v>
      </c>
      <c r="AQ3518" t="s">
        <v>11157</v>
      </c>
      <c r="AR3518" t="s">
        <v>11172</v>
      </c>
      <c r="AU3518">
        <v>8</v>
      </c>
      <c r="AW3518" t="s">
        <v>11187</v>
      </c>
      <c r="AY3518" t="s">
        <v>11213</v>
      </c>
      <c r="AZ3518" t="s">
        <v>11221</v>
      </c>
      <c r="BD3518" t="s">
        <v>11667</v>
      </c>
      <c r="BF3518" t="s">
        <v>14364</v>
      </c>
      <c r="BM3518" t="s">
        <v>15650</v>
      </c>
    </row>
    <row r="3519" spans="1:65">
      <c r="A3519" s="1">
        <f>HYPERLINK("https://lsnyc.legalserver.org/matter/dynamic-profile/view/1897605","19-1897605")</f>
        <v>0</v>
      </c>
      <c r="B3519" t="s">
        <v>197</v>
      </c>
      <c r="C3519" t="s">
        <v>248</v>
      </c>
      <c r="D3519" t="s">
        <v>389</v>
      </c>
      <c r="F3519" t="s">
        <v>2007</v>
      </c>
      <c r="G3519" t="s">
        <v>4308</v>
      </c>
      <c r="H3519" t="s">
        <v>4798</v>
      </c>
      <c r="I3519" t="s">
        <v>6514</v>
      </c>
      <c r="J3519" t="s">
        <v>7174</v>
      </c>
      <c r="K3519">
        <v>11233</v>
      </c>
      <c r="N3519" t="s">
        <v>7237</v>
      </c>
      <c r="O3519" t="s">
        <v>9489</v>
      </c>
      <c r="P3519">
        <v>1</v>
      </c>
      <c r="Q3519">
        <v>0</v>
      </c>
      <c r="R3519">
        <v>398.72</v>
      </c>
      <c r="U3519">
        <v>49800</v>
      </c>
      <c r="V3519" t="s">
        <v>10569</v>
      </c>
      <c r="W3519">
        <v>0</v>
      </c>
      <c r="Y3519" t="s">
        <v>225</v>
      </c>
      <c r="AA3519" t="s">
        <v>10974</v>
      </c>
      <c r="AB3519" t="s">
        <v>874</v>
      </c>
      <c r="AD3519" t="s">
        <v>11098</v>
      </c>
      <c r="AF3519" t="s">
        <v>11122</v>
      </c>
      <c r="AH3519" t="s">
        <v>10974</v>
      </c>
      <c r="AJ3519" t="s">
        <v>11140</v>
      </c>
      <c r="AK3519" t="s">
        <v>7225</v>
      </c>
      <c r="AM3519">
        <v>824.45</v>
      </c>
      <c r="AO3519">
        <v>359</v>
      </c>
      <c r="AQ3519" t="s">
        <v>11157</v>
      </c>
      <c r="AR3519" t="s">
        <v>11172</v>
      </c>
      <c r="AU3519">
        <v>8</v>
      </c>
      <c r="AW3519" t="s">
        <v>11187</v>
      </c>
      <c r="AY3519" t="s">
        <v>11213</v>
      </c>
      <c r="AZ3519" t="s">
        <v>11221</v>
      </c>
      <c r="BD3519" t="s">
        <v>11667</v>
      </c>
      <c r="BF3519" t="s">
        <v>14364</v>
      </c>
      <c r="BG3519" t="s">
        <v>15228</v>
      </c>
      <c r="BM3519" t="s">
        <v>15650</v>
      </c>
    </row>
    <row r="3520" spans="1:65">
      <c r="A3520" s="1">
        <f>HYPERLINK("https://lsnyc.legalserver.org/matter/dynamic-profile/view/1898987","19-1898987")</f>
        <v>0</v>
      </c>
      <c r="B3520" t="s">
        <v>197</v>
      </c>
      <c r="C3520" t="s">
        <v>248</v>
      </c>
      <c r="D3520" t="s">
        <v>608</v>
      </c>
      <c r="F3520" t="s">
        <v>1496</v>
      </c>
      <c r="G3520" t="s">
        <v>4309</v>
      </c>
      <c r="H3520" t="s">
        <v>5940</v>
      </c>
      <c r="I3520" t="s">
        <v>7007</v>
      </c>
      <c r="J3520" t="s">
        <v>7174</v>
      </c>
      <c r="K3520">
        <v>11233</v>
      </c>
      <c r="N3520" t="s">
        <v>7237</v>
      </c>
      <c r="O3520" t="s">
        <v>9490</v>
      </c>
      <c r="P3520">
        <v>2</v>
      </c>
      <c r="Q3520">
        <v>2</v>
      </c>
      <c r="R3520">
        <v>116.5</v>
      </c>
      <c r="U3520">
        <v>30000</v>
      </c>
      <c r="V3520" t="s">
        <v>10617</v>
      </c>
      <c r="W3520">
        <v>0</v>
      </c>
      <c r="Y3520" t="s">
        <v>101</v>
      </c>
      <c r="AA3520" t="s">
        <v>10974</v>
      </c>
      <c r="AB3520" t="s">
        <v>874</v>
      </c>
      <c r="AD3520" t="s">
        <v>11098</v>
      </c>
      <c r="AF3520" t="s">
        <v>11122</v>
      </c>
      <c r="AH3520" t="s">
        <v>10974</v>
      </c>
      <c r="AJ3520" t="s">
        <v>11104</v>
      </c>
      <c r="AK3520" t="s">
        <v>7225</v>
      </c>
      <c r="AM3520">
        <v>1343.02</v>
      </c>
      <c r="AO3520">
        <v>359</v>
      </c>
      <c r="AQ3520" t="s">
        <v>11157</v>
      </c>
      <c r="AR3520" t="s">
        <v>11172</v>
      </c>
      <c r="AU3520">
        <v>25</v>
      </c>
      <c r="AV3520" t="s">
        <v>11186</v>
      </c>
      <c r="AY3520" t="s">
        <v>11213</v>
      </c>
      <c r="AZ3520" t="s">
        <v>11221</v>
      </c>
      <c r="BA3520" t="s">
        <v>11173</v>
      </c>
      <c r="BD3520" t="s">
        <v>11667</v>
      </c>
      <c r="BF3520" t="s">
        <v>14364</v>
      </c>
      <c r="BG3520" t="s">
        <v>15229</v>
      </c>
      <c r="BM3520" t="s">
        <v>15650</v>
      </c>
    </row>
    <row r="3521" spans="1:65">
      <c r="A3521" s="1">
        <f>HYPERLINK("https://lsnyc.legalserver.org/matter/dynamic-profile/view/1853915","17-1853915")</f>
        <v>0</v>
      </c>
      <c r="B3521" t="s">
        <v>197</v>
      </c>
      <c r="C3521" t="s">
        <v>248</v>
      </c>
      <c r="D3521" t="s">
        <v>788</v>
      </c>
      <c r="F3521" t="s">
        <v>2480</v>
      </c>
      <c r="G3521" t="s">
        <v>2954</v>
      </c>
      <c r="H3521" t="s">
        <v>5944</v>
      </c>
      <c r="I3521" t="s">
        <v>6438</v>
      </c>
      <c r="J3521" t="s">
        <v>7174</v>
      </c>
      <c r="K3521">
        <v>11207</v>
      </c>
      <c r="N3521" t="s">
        <v>7237</v>
      </c>
      <c r="O3521" t="s">
        <v>9491</v>
      </c>
      <c r="P3521">
        <v>1</v>
      </c>
      <c r="Q3521">
        <v>1</v>
      </c>
      <c r="R3521">
        <v>46.13</v>
      </c>
      <c r="T3521" t="s">
        <v>10277</v>
      </c>
      <c r="U3521">
        <v>7492</v>
      </c>
      <c r="V3521" t="s">
        <v>10330</v>
      </c>
      <c r="W3521">
        <v>3.85</v>
      </c>
      <c r="X3521" t="s">
        <v>384</v>
      </c>
      <c r="Y3521" t="s">
        <v>10910</v>
      </c>
      <c r="AA3521" t="s">
        <v>10974</v>
      </c>
      <c r="AB3521" t="s">
        <v>734</v>
      </c>
      <c r="AD3521" t="s">
        <v>11101</v>
      </c>
      <c r="AF3521" t="s">
        <v>11118</v>
      </c>
      <c r="AH3521" t="s">
        <v>10974</v>
      </c>
      <c r="AJ3521" t="s">
        <v>11134</v>
      </c>
      <c r="AK3521" t="s">
        <v>7225</v>
      </c>
      <c r="AM3521">
        <v>1250</v>
      </c>
      <c r="AO3521">
        <v>6</v>
      </c>
      <c r="AQ3521" t="s">
        <v>11157</v>
      </c>
      <c r="AS3521" t="s">
        <v>11177</v>
      </c>
      <c r="AU3521">
        <v>7</v>
      </c>
      <c r="AW3521" t="s">
        <v>11187</v>
      </c>
      <c r="AZ3521" t="s">
        <v>11221</v>
      </c>
      <c r="BE3521" t="s">
        <v>13661</v>
      </c>
      <c r="BF3521" t="s">
        <v>14364</v>
      </c>
      <c r="BG3521" t="s">
        <v>15233</v>
      </c>
      <c r="BM3521" t="s">
        <v>15650</v>
      </c>
    </row>
    <row r="3522" spans="1:65">
      <c r="A3522" s="1">
        <f>HYPERLINK("https://lsnyc.legalserver.org/matter/dynamic-profile/view/1898989","19-1898989")</f>
        <v>0</v>
      </c>
      <c r="B3522" t="s">
        <v>197</v>
      </c>
      <c r="C3522" t="s">
        <v>248</v>
      </c>
      <c r="D3522" t="s">
        <v>608</v>
      </c>
      <c r="F3522" t="s">
        <v>1496</v>
      </c>
      <c r="G3522" t="s">
        <v>4309</v>
      </c>
      <c r="H3522" t="s">
        <v>5940</v>
      </c>
      <c r="I3522" t="s">
        <v>7007</v>
      </c>
      <c r="J3522" t="s">
        <v>7174</v>
      </c>
      <c r="K3522">
        <v>11233</v>
      </c>
      <c r="N3522" t="s">
        <v>7237</v>
      </c>
      <c r="O3522" t="s">
        <v>9490</v>
      </c>
      <c r="P3522">
        <v>2</v>
      </c>
      <c r="Q3522">
        <v>2</v>
      </c>
      <c r="R3522">
        <v>116.5</v>
      </c>
      <c r="U3522">
        <v>30000</v>
      </c>
      <c r="V3522" t="s">
        <v>10633</v>
      </c>
      <c r="W3522">
        <v>0</v>
      </c>
      <c r="Y3522" t="s">
        <v>101</v>
      </c>
      <c r="AA3522" t="s">
        <v>10974</v>
      </c>
      <c r="AB3522" t="s">
        <v>395</v>
      </c>
      <c r="AD3522" t="s">
        <v>11100</v>
      </c>
      <c r="AF3522" t="s">
        <v>10384</v>
      </c>
      <c r="AH3522" t="s">
        <v>10974</v>
      </c>
      <c r="AJ3522" t="s">
        <v>11104</v>
      </c>
      <c r="AK3522" t="s">
        <v>7225</v>
      </c>
      <c r="AM3522">
        <v>1343.02</v>
      </c>
      <c r="AO3522">
        <v>359</v>
      </c>
      <c r="AQ3522" t="s">
        <v>11157</v>
      </c>
      <c r="AR3522" t="s">
        <v>11172</v>
      </c>
      <c r="AU3522">
        <v>25</v>
      </c>
      <c r="AV3522" t="s">
        <v>11186</v>
      </c>
      <c r="AY3522" t="s">
        <v>11213</v>
      </c>
      <c r="AZ3522" t="s">
        <v>11221</v>
      </c>
      <c r="BA3522" t="s">
        <v>11173</v>
      </c>
      <c r="BD3522" t="s">
        <v>11667</v>
      </c>
      <c r="BF3522" t="s">
        <v>14364</v>
      </c>
      <c r="BM3522" t="s">
        <v>15650</v>
      </c>
    </row>
    <row r="3523" spans="1:65">
      <c r="A3523" s="1">
        <f>HYPERLINK("https://lsnyc.legalserver.org/matter/dynamic-profile/view/1886163","18-1886163")</f>
        <v>0</v>
      </c>
      <c r="B3523" t="s">
        <v>197</v>
      </c>
      <c r="C3523" t="s">
        <v>248</v>
      </c>
      <c r="D3523" t="s">
        <v>405</v>
      </c>
      <c r="F3523" t="s">
        <v>2481</v>
      </c>
      <c r="G3523" t="s">
        <v>4310</v>
      </c>
      <c r="H3523" t="s">
        <v>4798</v>
      </c>
      <c r="I3523" t="s">
        <v>6520</v>
      </c>
      <c r="J3523" t="s">
        <v>7174</v>
      </c>
      <c r="K3523">
        <v>11233</v>
      </c>
      <c r="N3523" t="s">
        <v>7237</v>
      </c>
      <c r="O3523" t="s">
        <v>9492</v>
      </c>
      <c r="P3523">
        <v>1</v>
      </c>
      <c r="Q3523">
        <v>0</v>
      </c>
      <c r="R3523">
        <v>345.96</v>
      </c>
      <c r="U3523">
        <v>42000</v>
      </c>
      <c r="W3523">
        <v>0</v>
      </c>
      <c r="Y3523" t="s">
        <v>225</v>
      </c>
      <c r="AA3523" t="s">
        <v>10974</v>
      </c>
      <c r="AB3523" t="s">
        <v>631</v>
      </c>
      <c r="AD3523" t="s">
        <v>11098</v>
      </c>
      <c r="AF3523" t="s">
        <v>11122</v>
      </c>
      <c r="AH3523" t="s">
        <v>10974</v>
      </c>
      <c r="AI3523" t="s">
        <v>11126</v>
      </c>
      <c r="AK3523" t="s">
        <v>7225</v>
      </c>
      <c r="AM3523">
        <v>583.25</v>
      </c>
      <c r="AO3523">
        <v>764</v>
      </c>
      <c r="AQ3523" t="s">
        <v>11157</v>
      </c>
      <c r="AS3523" t="s">
        <v>11173</v>
      </c>
      <c r="AT3523" t="s">
        <v>11184</v>
      </c>
      <c r="AU3523">
        <v>0</v>
      </c>
      <c r="AW3523" t="s">
        <v>11187</v>
      </c>
      <c r="AY3523" t="s">
        <v>11213</v>
      </c>
      <c r="AZ3523" t="s">
        <v>11221</v>
      </c>
      <c r="BC3523" t="s">
        <v>11173</v>
      </c>
      <c r="BE3523" t="s">
        <v>13662</v>
      </c>
      <c r="BF3523" t="s">
        <v>14364</v>
      </c>
      <c r="BG3523" t="s">
        <v>15228</v>
      </c>
      <c r="BM3523" t="s">
        <v>15650</v>
      </c>
    </row>
    <row r="3524" spans="1:65">
      <c r="A3524" s="1">
        <f>HYPERLINK("https://lsnyc.legalserver.org/matter/dynamic-profile/view/1892641","19-1892641")</f>
        <v>0</v>
      </c>
      <c r="B3524" t="s">
        <v>197</v>
      </c>
      <c r="C3524" t="s">
        <v>248</v>
      </c>
      <c r="D3524" t="s">
        <v>729</v>
      </c>
      <c r="F3524" t="s">
        <v>1881</v>
      </c>
      <c r="G3524" t="s">
        <v>3125</v>
      </c>
      <c r="H3524" t="s">
        <v>5941</v>
      </c>
      <c r="I3524" t="s">
        <v>7008</v>
      </c>
      <c r="J3524" t="s">
        <v>7174</v>
      </c>
      <c r="K3524">
        <v>11233</v>
      </c>
      <c r="N3524" t="s">
        <v>7237</v>
      </c>
      <c r="O3524" t="s">
        <v>9493</v>
      </c>
      <c r="P3524">
        <v>1</v>
      </c>
      <c r="Q3524">
        <v>0</v>
      </c>
      <c r="R3524">
        <v>320.26</v>
      </c>
      <c r="U3524">
        <v>40000</v>
      </c>
      <c r="V3524" t="s">
        <v>10581</v>
      </c>
      <c r="W3524">
        <v>0</v>
      </c>
      <c r="Y3524" t="s">
        <v>101</v>
      </c>
      <c r="AA3524" t="s">
        <v>10974</v>
      </c>
      <c r="AB3524" t="s">
        <v>874</v>
      </c>
      <c r="AD3524" t="s">
        <v>11098</v>
      </c>
      <c r="AF3524" t="s">
        <v>11122</v>
      </c>
      <c r="AH3524" t="s">
        <v>10974</v>
      </c>
      <c r="AJ3524" t="s">
        <v>11104</v>
      </c>
      <c r="AK3524" t="s">
        <v>7225</v>
      </c>
      <c r="AM3524">
        <v>812</v>
      </c>
      <c r="AO3524">
        <v>359</v>
      </c>
      <c r="AQ3524" t="s">
        <v>11157</v>
      </c>
      <c r="AR3524" t="s">
        <v>11172</v>
      </c>
      <c r="AU3524">
        <v>18</v>
      </c>
      <c r="AW3524" t="s">
        <v>11187</v>
      </c>
      <c r="AY3524" t="s">
        <v>11213</v>
      </c>
      <c r="AZ3524" t="s">
        <v>11221</v>
      </c>
      <c r="BD3524" t="s">
        <v>11667</v>
      </c>
      <c r="BF3524" t="s">
        <v>14364</v>
      </c>
      <c r="BG3524" t="s">
        <v>15228</v>
      </c>
      <c r="BM3524" t="s">
        <v>15650</v>
      </c>
    </row>
    <row r="3525" spans="1:65">
      <c r="A3525" s="1">
        <f>HYPERLINK("https://lsnyc.legalserver.org/matter/dynamic-profile/view/1897392","19-1897392")</f>
        <v>0</v>
      </c>
      <c r="B3525" t="s">
        <v>197</v>
      </c>
      <c r="C3525" t="s">
        <v>248</v>
      </c>
      <c r="D3525" t="s">
        <v>583</v>
      </c>
      <c r="F3525" t="s">
        <v>1697</v>
      </c>
      <c r="G3525" t="s">
        <v>4311</v>
      </c>
      <c r="H3525" t="s">
        <v>5124</v>
      </c>
      <c r="I3525" t="s">
        <v>6841</v>
      </c>
      <c r="J3525" t="s">
        <v>7174</v>
      </c>
      <c r="K3525">
        <v>11233</v>
      </c>
      <c r="N3525" t="s">
        <v>7237</v>
      </c>
      <c r="O3525" t="s">
        <v>9494</v>
      </c>
      <c r="P3525">
        <v>1</v>
      </c>
      <c r="Q3525">
        <v>0</v>
      </c>
      <c r="R3525">
        <v>320.26</v>
      </c>
      <c r="U3525">
        <v>40000</v>
      </c>
      <c r="V3525" t="s">
        <v>10634</v>
      </c>
      <c r="W3525">
        <v>0</v>
      </c>
      <c r="Y3525" t="s">
        <v>225</v>
      </c>
      <c r="AA3525" t="s">
        <v>10974</v>
      </c>
      <c r="AB3525" t="s">
        <v>874</v>
      </c>
      <c r="AD3525" t="s">
        <v>11098</v>
      </c>
      <c r="AF3525" t="s">
        <v>11122</v>
      </c>
      <c r="AH3525" t="s">
        <v>10974</v>
      </c>
      <c r="AJ3525" t="s">
        <v>11140</v>
      </c>
      <c r="AK3525" t="s">
        <v>7225</v>
      </c>
      <c r="AM3525">
        <v>1162</v>
      </c>
      <c r="AO3525">
        <v>359</v>
      </c>
      <c r="AQ3525" t="s">
        <v>11157</v>
      </c>
      <c r="AR3525" t="s">
        <v>11172</v>
      </c>
      <c r="AU3525">
        <v>30</v>
      </c>
      <c r="AW3525" t="s">
        <v>11187</v>
      </c>
      <c r="AY3525" t="s">
        <v>11213</v>
      </c>
      <c r="AZ3525" t="s">
        <v>11221</v>
      </c>
      <c r="BD3525" t="s">
        <v>11667</v>
      </c>
      <c r="BF3525" t="s">
        <v>14364</v>
      </c>
      <c r="BG3525" t="s">
        <v>15229</v>
      </c>
      <c r="BM3525" t="s">
        <v>15650</v>
      </c>
    </row>
    <row r="3526" spans="1:65">
      <c r="A3526" s="1">
        <f>HYPERLINK("https://lsnyc.legalserver.org/matter/dynamic-profile/view/1891920","19-1891920")</f>
        <v>0</v>
      </c>
      <c r="B3526" t="s">
        <v>197</v>
      </c>
      <c r="C3526" t="s">
        <v>248</v>
      </c>
      <c r="D3526" t="s">
        <v>425</v>
      </c>
      <c r="F3526" t="s">
        <v>2482</v>
      </c>
      <c r="G3526" t="s">
        <v>3014</v>
      </c>
      <c r="H3526" t="s">
        <v>4798</v>
      </c>
      <c r="I3526" t="s">
        <v>7009</v>
      </c>
      <c r="J3526" t="s">
        <v>7174</v>
      </c>
      <c r="K3526">
        <v>11233</v>
      </c>
      <c r="N3526" t="s">
        <v>7237</v>
      </c>
      <c r="O3526" t="s">
        <v>9495</v>
      </c>
      <c r="P3526">
        <v>2</v>
      </c>
      <c r="Q3526">
        <v>0</v>
      </c>
      <c r="R3526">
        <v>473.09</v>
      </c>
      <c r="U3526">
        <v>80000</v>
      </c>
      <c r="V3526" t="s">
        <v>10635</v>
      </c>
      <c r="W3526">
        <v>0</v>
      </c>
      <c r="Y3526" t="s">
        <v>101</v>
      </c>
      <c r="AA3526" t="s">
        <v>10974</v>
      </c>
      <c r="AB3526" t="s">
        <v>395</v>
      </c>
      <c r="AD3526" t="s">
        <v>11100</v>
      </c>
      <c r="AF3526" t="s">
        <v>10384</v>
      </c>
      <c r="AH3526" t="s">
        <v>10974</v>
      </c>
      <c r="AJ3526" t="s">
        <v>11104</v>
      </c>
      <c r="AK3526" t="s">
        <v>7225</v>
      </c>
      <c r="AM3526">
        <v>1292.74</v>
      </c>
      <c r="AO3526">
        <v>359</v>
      </c>
      <c r="AQ3526" t="s">
        <v>11157</v>
      </c>
      <c r="AS3526" t="s">
        <v>11173</v>
      </c>
      <c r="AU3526">
        <v>27</v>
      </c>
      <c r="AW3526" t="s">
        <v>11187</v>
      </c>
      <c r="AY3526" t="s">
        <v>11213</v>
      </c>
      <c r="AZ3526" t="s">
        <v>11221</v>
      </c>
      <c r="BD3526" t="s">
        <v>11667</v>
      </c>
      <c r="BF3526" t="s">
        <v>14364</v>
      </c>
      <c r="BM3526" t="s">
        <v>15650</v>
      </c>
    </row>
    <row r="3527" spans="1:65">
      <c r="A3527" s="1">
        <f>HYPERLINK("https://lsnyc.legalserver.org/matter/dynamic-profile/view/0822900","16-0822900")</f>
        <v>0</v>
      </c>
      <c r="B3527" t="s">
        <v>197</v>
      </c>
      <c r="C3527" t="s">
        <v>248</v>
      </c>
      <c r="D3527" t="s">
        <v>1005</v>
      </c>
      <c r="F3527" t="s">
        <v>2483</v>
      </c>
      <c r="G3527" t="s">
        <v>3062</v>
      </c>
      <c r="H3527" t="s">
        <v>5944</v>
      </c>
      <c r="I3527" t="s">
        <v>6426</v>
      </c>
      <c r="J3527" t="s">
        <v>7174</v>
      </c>
      <c r="K3527">
        <v>11207</v>
      </c>
      <c r="N3527" t="s">
        <v>7237</v>
      </c>
      <c r="O3527" t="s">
        <v>8132</v>
      </c>
      <c r="P3527">
        <v>1</v>
      </c>
      <c r="Q3527">
        <v>2</v>
      </c>
      <c r="R3527">
        <v>43.63</v>
      </c>
      <c r="U3527">
        <v>8796</v>
      </c>
      <c r="W3527">
        <v>385.82</v>
      </c>
      <c r="X3527" t="s">
        <v>341</v>
      </c>
      <c r="Y3527" t="s">
        <v>76</v>
      </c>
      <c r="AA3527" t="s">
        <v>10974</v>
      </c>
      <c r="AB3527" t="s">
        <v>504</v>
      </c>
      <c r="AD3527" t="s">
        <v>11101</v>
      </c>
      <c r="AF3527" t="s">
        <v>11118</v>
      </c>
      <c r="AH3527" t="s">
        <v>10974</v>
      </c>
      <c r="AJ3527" t="s">
        <v>11129</v>
      </c>
      <c r="AK3527" t="s">
        <v>7225</v>
      </c>
      <c r="AM3527">
        <v>1450</v>
      </c>
      <c r="AO3527">
        <v>6</v>
      </c>
      <c r="AQ3527" t="s">
        <v>11157</v>
      </c>
      <c r="AS3527" t="s">
        <v>11104</v>
      </c>
      <c r="AU3527">
        <v>5</v>
      </c>
      <c r="AW3527" t="s">
        <v>11187</v>
      </c>
      <c r="AZ3527" t="s">
        <v>11221</v>
      </c>
      <c r="BC3527" t="s">
        <v>11541</v>
      </c>
      <c r="BE3527" t="s">
        <v>13663</v>
      </c>
      <c r="BF3527" t="s">
        <v>14364</v>
      </c>
      <c r="BG3527" t="s">
        <v>15234</v>
      </c>
      <c r="BM3527" t="s">
        <v>15650</v>
      </c>
    </row>
    <row r="3528" spans="1:65">
      <c r="A3528" s="1">
        <f>HYPERLINK("https://lsnyc.legalserver.org/matter/dynamic-profile/view/1891914","19-1891914")</f>
        <v>0</v>
      </c>
      <c r="B3528" t="s">
        <v>197</v>
      </c>
      <c r="C3528" t="s">
        <v>248</v>
      </c>
      <c r="D3528" t="s">
        <v>425</v>
      </c>
      <c r="F3528" t="s">
        <v>2482</v>
      </c>
      <c r="G3528" t="s">
        <v>3014</v>
      </c>
      <c r="H3528" t="s">
        <v>4798</v>
      </c>
      <c r="I3528" t="s">
        <v>7009</v>
      </c>
      <c r="J3528" t="s">
        <v>7174</v>
      </c>
      <c r="K3528">
        <v>11233</v>
      </c>
      <c r="N3528" t="s">
        <v>7237</v>
      </c>
      <c r="O3528" t="s">
        <v>9495</v>
      </c>
      <c r="P3528">
        <v>2</v>
      </c>
      <c r="Q3528">
        <v>0</v>
      </c>
      <c r="R3528">
        <v>473.09</v>
      </c>
      <c r="U3528">
        <v>80000</v>
      </c>
      <c r="V3528" t="s">
        <v>10581</v>
      </c>
      <c r="W3528">
        <v>0</v>
      </c>
      <c r="Y3528" t="s">
        <v>101</v>
      </c>
      <c r="AA3528" t="s">
        <v>10974</v>
      </c>
      <c r="AB3528" t="s">
        <v>395</v>
      </c>
      <c r="AD3528" t="s">
        <v>11098</v>
      </c>
      <c r="AF3528" t="s">
        <v>11122</v>
      </c>
      <c r="AH3528" t="s">
        <v>10974</v>
      </c>
      <c r="AJ3528" t="s">
        <v>11104</v>
      </c>
      <c r="AK3528" t="s">
        <v>7225</v>
      </c>
      <c r="AM3528">
        <v>1292.74</v>
      </c>
      <c r="AO3528">
        <v>359</v>
      </c>
      <c r="AQ3528" t="s">
        <v>11157</v>
      </c>
      <c r="AS3528" t="s">
        <v>11173</v>
      </c>
      <c r="AU3528">
        <v>27</v>
      </c>
      <c r="AW3528" t="s">
        <v>11187</v>
      </c>
      <c r="AY3528" t="s">
        <v>11213</v>
      </c>
      <c r="AZ3528" t="s">
        <v>11221</v>
      </c>
      <c r="BD3528" t="s">
        <v>11667</v>
      </c>
      <c r="BF3528" t="s">
        <v>14364</v>
      </c>
      <c r="BG3528" t="s">
        <v>15228</v>
      </c>
      <c r="BM3528" t="s">
        <v>15650</v>
      </c>
    </row>
    <row r="3529" spans="1:65">
      <c r="A3529" s="1">
        <f>HYPERLINK("https://lsnyc.legalserver.org/matter/dynamic-profile/view/1898847","19-1898847")</f>
        <v>0</v>
      </c>
      <c r="B3529" t="s">
        <v>197</v>
      </c>
      <c r="C3529" t="s">
        <v>248</v>
      </c>
      <c r="D3529" t="s">
        <v>347</v>
      </c>
      <c r="F3529" t="s">
        <v>1713</v>
      </c>
      <c r="G3529" t="s">
        <v>4303</v>
      </c>
      <c r="H3529" t="s">
        <v>4798</v>
      </c>
      <c r="I3529" t="s">
        <v>7002</v>
      </c>
      <c r="J3529" t="s">
        <v>7174</v>
      </c>
      <c r="K3529">
        <v>11233</v>
      </c>
      <c r="N3529" t="s">
        <v>7237</v>
      </c>
      <c r="O3529" t="s">
        <v>9482</v>
      </c>
      <c r="P3529">
        <v>1</v>
      </c>
      <c r="Q3529">
        <v>1</v>
      </c>
      <c r="R3529">
        <v>354.82</v>
      </c>
      <c r="U3529">
        <v>60000</v>
      </c>
      <c r="V3529" t="s">
        <v>10636</v>
      </c>
      <c r="W3529">
        <v>0</v>
      </c>
      <c r="Y3529" t="s">
        <v>101</v>
      </c>
      <c r="AA3529" t="s">
        <v>10974</v>
      </c>
      <c r="AB3529" t="s">
        <v>395</v>
      </c>
      <c r="AD3529" t="s">
        <v>11100</v>
      </c>
      <c r="AF3529" t="s">
        <v>10384</v>
      </c>
      <c r="AH3529" t="s">
        <v>10974</v>
      </c>
      <c r="AJ3529" t="s">
        <v>11104</v>
      </c>
      <c r="AK3529" t="s">
        <v>7225</v>
      </c>
      <c r="AL3529" t="s">
        <v>11150</v>
      </c>
      <c r="AM3529">
        <v>0</v>
      </c>
      <c r="AO3529">
        <v>359</v>
      </c>
      <c r="AQ3529" t="s">
        <v>11157</v>
      </c>
      <c r="AR3529" t="s">
        <v>11172</v>
      </c>
      <c r="AU3529">
        <v>6</v>
      </c>
      <c r="AW3529" t="s">
        <v>11187</v>
      </c>
      <c r="AY3529" t="s">
        <v>11213</v>
      </c>
      <c r="AZ3529" t="s">
        <v>11221</v>
      </c>
      <c r="BD3529" t="s">
        <v>11667</v>
      </c>
      <c r="BF3529" t="s">
        <v>14364</v>
      </c>
      <c r="BM3529" t="s">
        <v>15650</v>
      </c>
    </row>
    <row r="3530" spans="1:65">
      <c r="A3530" s="1">
        <f>HYPERLINK("https://lsnyc.legalserver.org/matter/dynamic-profile/view/1890543","19-1890543")</f>
        <v>0</v>
      </c>
      <c r="B3530" t="s">
        <v>197</v>
      </c>
      <c r="C3530" t="s">
        <v>248</v>
      </c>
      <c r="D3530" t="s">
        <v>442</v>
      </c>
      <c r="F3530" t="s">
        <v>2484</v>
      </c>
      <c r="G3530" t="s">
        <v>3079</v>
      </c>
      <c r="H3530" t="s">
        <v>5124</v>
      </c>
      <c r="I3530" t="s">
        <v>6466</v>
      </c>
      <c r="J3530" t="s">
        <v>7174</v>
      </c>
      <c r="K3530">
        <v>11233</v>
      </c>
      <c r="N3530" t="s">
        <v>7237</v>
      </c>
      <c r="O3530" t="s">
        <v>9496</v>
      </c>
      <c r="P3530">
        <v>2</v>
      </c>
      <c r="Q3530">
        <v>0</v>
      </c>
      <c r="R3530">
        <v>40.21</v>
      </c>
      <c r="U3530">
        <v>6800</v>
      </c>
      <c r="V3530" t="s">
        <v>10622</v>
      </c>
      <c r="W3530">
        <v>0</v>
      </c>
      <c r="Y3530" t="s">
        <v>225</v>
      </c>
      <c r="AA3530" t="s">
        <v>10974</v>
      </c>
      <c r="AB3530" t="s">
        <v>874</v>
      </c>
      <c r="AD3530" t="s">
        <v>11098</v>
      </c>
      <c r="AF3530" t="s">
        <v>11122</v>
      </c>
      <c r="AH3530" t="s">
        <v>10974</v>
      </c>
      <c r="AJ3530" t="s">
        <v>11140</v>
      </c>
      <c r="AK3530" t="s">
        <v>7225</v>
      </c>
      <c r="AM3530">
        <v>300</v>
      </c>
      <c r="AO3530">
        <v>359</v>
      </c>
      <c r="AQ3530" t="s">
        <v>11157</v>
      </c>
      <c r="AS3530" t="s">
        <v>11174</v>
      </c>
      <c r="AU3530">
        <v>50</v>
      </c>
      <c r="AW3530" t="s">
        <v>11187</v>
      </c>
      <c r="AY3530" t="s">
        <v>11213</v>
      </c>
      <c r="AZ3530" t="s">
        <v>11221</v>
      </c>
      <c r="BD3530" t="s">
        <v>11667</v>
      </c>
      <c r="BF3530" t="s">
        <v>14364</v>
      </c>
      <c r="BG3530" t="s">
        <v>15229</v>
      </c>
      <c r="BM3530" t="s">
        <v>15650</v>
      </c>
    </row>
    <row r="3531" spans="1:65">
      <c r="A3531" s="1">
        <f>HYPERLINK("https://lsnyc.legalserver.org/matter/dynamic-profile/view/1891478","19-1891478")</f>
        <v>0</v>
      </c>
      <c r="B3531" t="s">
        <v>197</v>
      </c>
      <c r="C3531" t="s">
        <v>248</v>
      </c>
      <c r="D3531" t="s">
        <v>636</v>
      </c>
      <c r="F3531" t="s">
        <v>2484</v>
      </c>
      <c r="G3531" t="s">
        <v>3079</v>
      </c>
      <c r="H3531" t="s">
        <v>5124</v>
      </c>
      <c r="I3531" t="s">
        <v>6466</v>
      </c>
      <c r="J3531" t="s">
        <v>7174</v>
      </c>
      <c r="K3531">
        <v>11233</v>
      </c>
      <c r="N3531" t="s">
        <v>7237</v>
      </c>
      <c r="O3531" t="s">
        <v>9496</v>
      </c>
      <c r="P3531">
        <v>2</v>
      </c>
      <c r="Q3531">
        <v>0</v>
      </c>
      <c r="R3531">
        <v>40.21</v>
      </c>
      <c r="U3531">
        <v>6800</v>
      </c>
      <c r="V3531" t="s">
        <v>10637</v>
      </c>
      <c r="W3531">
        <v>0</v>
      </c>
      <c r="Y3531" t="s">
        <v>101</v>
      </c>
      <c r="AA3531" t="s">
        <v>10974</v>
      </c>
      <c r="AB3531" t="s">
        <v>395</v>
      </c>
      <c r="AD3531" t="s">
        <v>11100</v>
      </c>
      <c r="AF3531" t="s">
        <v>10384</v>
      </c>
      <c r="AH3531" t="s">
        <v>10974</v>
      </c>
      <c r="AJ3531" t="s">
        <v>11140</v>
      </c>
      <c r="AK3531" t="s">
        <v>7225</v>
      </c>
      <c r="AM3531">
        <v>300</v>
      </c>
      <c r="AO3531">
        <v>359</v>
      </c>
      <c r="AQ3531" t="s">
        <v>11157</v>
      </c>
      <c r="AS3531" t="s">
        <v>11174</v>
      </c>
      <c r="AU3531">
        <v>50</v>
      </c>
      <c r="AW3531" t="s">
        <v>11187</v>
      </c>
      <c r="AY3531" t="s">
        <v>11213</v>
      </c>
      <c r="AZ3531" t="s">
        <v>11221</v>
      </c>
      <c r="BD3531" t="s">
        <v>11667</v>
      </c>
      <c r="BF3531" t="s">
        <v>14364</v>
      </c>
      <c r="BM3531" t="s">
        <v>15650</v>
      </c>
    </row>
    <row r="3532" spans="1:65">
      <c r="A3532" s="1">
        <f>HYPERLINK("https://lsnyc.legalserver.org/matter/dynamic-profile/view/1891590","19-1891590")</f>
        <v>0</v>
      </c>
      <c r="B3532" t="s">
        <v>197</v>
      </c>
      <c r="C3532" t="s">
        <v>248</v>
      </c>
      <c r="D3532" t="s">
        <v>515</v>
      </c>
      <c r="F3532" t="s">
        <v>2350</v>
      </c>
      <c r="G3532" t="s">
        <v>3066</v>
      </c>
      <c r="H3532" t="s">
        <v>5124</v>
      </c>
      <c r="I3532" t="s">
        <v>7004</v>
      </c>
      <c r="J3532" t="s">
        <v>7174</v>
      </c>
      <c r="K3532">
        <v>11233</v>
      </c>
      <c r="N3532" t="s">
        <v>7237</v>
      </c>
      <c r="O3532" t="s">
        <v>9484</v>
      </c>
      <c r="P3532">
        <v>1</v>
      </c>
      <c r="Q3532">
        <v>0</v>
      </c>
      <c r="R3532">
        <v>440.35</v>
      </c>
      <c r="U3532">
        <v>55000</v>
      </c>
      <c r="V3532" t="s">
        <v>10638</v>
      </c>
      <c r="W3532">
        <v>0</v>
      </c>
      <c r="Y3532" t="s">
        <v>101</v>
      </c>
      <c r="AA3532" t="s">
        <v>10974</v>
      </c>
      <c r="AB3532" t="s">
        <v>395</v>
      </c>
      <c r="AD3532" t="s">
        <v>11100</v>
      </c>
      <c r="AF3532" t="s">
        <v>10384</v>
      </c>
      <c r="AH3532" t="s">
        <v>10974</v>
      </c>
      <c r="AJ3532" t="s">
        <v>11104</v>
      </c>
      <c r="AK3532" t="s">
        <v>7225</v>
      </c>
      <c r="AM3532">
        <v>1094.88</v>
      </c>
      <c r="AO3532">
        <v>359</v>
      </c>
      <c r="AQ3532" t="s">
        <v>11157</v>
      </c>
      <c r="AS3532" t="s">
        <v>11173</v>
      </c>
      <c r="AU3532">
        <v>40</v>
      </c>
      <c r="AW3532" t="s">
        <v>11187</v>
      </c>
      <c r="AY3532" t="s">
        <v>11213</v>
      </c>
      <c r="AZ3532" t="s">
        <v>11221</v>
      </c>
      <c r="BD3532" t="s">
        <v>11667</v>
      </c>
      <c r="BF3532" t="s">
        <v>14364</v>
      </c>
      <c r="BM3532" t="s">
        <v>15650</v>
      </c>
    </row>
    <row r="3533" spans="1:65">
      <c r="A3533" s="1">
        <f>HYPERLINK("https://lsnyc.legalserver.org/matter/dynamic-profile/view/1898848","19-1898848")</f>
        <v>0</v>
      </c>
      <c r="B3533" t="s">
        <v>197</v>
      </c>
      <c r="C3533" t="s">
        <v>248</v>
      </c>
      <c r="D3533" t="s">
        <v>347</v>
      </c>
      <c r="F3533" t="s">
        <v>1280</v>
      </c>
      <c r="G3533" t="s">
        <v>4312</v>
      </c>
      <c r="H3533" t="s">
        <v>4798</v>
      </c>
      <c r="I3533" t="s">
        <v>7010</v>
      </c>
      <c r="J3533" t="s">
        <v>7174</v>
      </c>
      <c r="K3533">
        <v>11233</v>
      </c>
      <c r="N3533" t="s">
        <v>7237</v>
      </c>
      <c r="O3533" t="s">
        <v>8069</v>
      </c>
      <c r="P3533">
        <v>1</v>
      </c>
      <c r="Q3533">
        <v>0</v>
      </c>
      <c r="R3533">
        <v>312.25</v>
      </c>
      <c r="U3533">
        <v>39000</v>
      </c>
      <c r="V3533" t="s">
        <v>10570</v>
      </c>
      <c r="W3533">
        <v>0</v>
      </c>
      <c r="Y3533" t="s">
        <v>101</v>
      </c>
      <c r="AA3533" t="s">
        <v>10974</v>
      </c>
      <c r="AB3533" t="s">
        <v>874</v>
      </c>
      <c r="AD3533" t="s">
        <v>11098</v>
      </c>
      <c r="AF3533" t="s">
        <v>11122</v>
      </c>
      <c r="AH3533" t="s">
        <v>10974</v>
      </c>
      <c r="AJ3533" t="s">
        <v>11104</v>
      </c>
      <c r="AK3533" t="s">
        <v>7225</v>
      </c>
      <c r="AM3533">
        <v>628.51</v>
      </c>
      <c r="AO3533">
        <v>359</v>
      </c>
      <c r="AQ3533" t="s">
        <v>11157</v>
      </c>
      <c r="AR3533" t="s">
        <v>11172</v>
      </c>
      <c r="AU3533">
        <v>3</v>
      </c>
      <c r="AW3533" t="s">
        <v>11187</v>
      </c>
      <c r="AY3533" t="s">
        <v>11213</v>
      </c>
      <c r="AZ3533" t="s">
        <v>11221</v>
      </c>
      <c r="BD3533" t="s">
        <v>11667</v>
      </c>
      <c r="BF3533" t="s">
        <v>14364</v>
      </c>
      <c r="BG3533" t="s">
        <v>15228</v>
      </c>
      <c r="BM3533" t="s">
        <v>15650</v>
      </c>
    </row>
    <row r="3534" spans="1:65">
      <c r="A3534" s="1">
        <f>HYPERLINK("https://lsnyc.legalserver.org/matter/dynamic-profile/view/1897535","19-1897535")</f>
        <v>0</v>
      </c>
      <c r="B3534" t="s">
        <v>197</v>
      </c>
      <c r="C3534" t="s">
        <v>248</v>
      </c>
      <c r="D3534" t="s">
        <v>664</v>
      </c>
      <c r="F3534" t="s">
        <v>2462</v>
      </c>
      <c r="G3534" t="s">
        <v>4279</v>
      </c>
      <c r="H3534" t="s">
        <v>5124</v>
      </c>
      <c r="I3534" t="s">
        <v>6990</v>
      </c>
      <c r="J3534" t="s">
        <v>7174</v>
      </c>
      <c r="K3534">
        <v>11233</v>
      </c>
      <c r="N3534" t="s">
        <v>7237</v>
      </c>
      <c r="O3534" t="s">
        <v>9450</v>
      </c>
      <c r="P3534">
        <v>1</v>
      </c>
      <c r="Q3534">
        <v>0</v>
      </c>
      <c r="R3534">
        <v>264.21</v>
      </c>
      <c r="U3534">
        <v>33000</v>
      </c>
      <c r="V3534" t="s">
        <v>10639</v>
      </c>
      <c r="W3534">
        <v>0</v>
      </c>
      <c r="Y3534" t="s">
        <v>225</v>
      </c>
      <c r="AA3534" t="s">
        <v>10974</v>
      </c>
      <c r="AB3534" t="s">
        <v>395</v>
      </c>
      <c r="AD3534" t="s">
        <v>11100</v>
      </c>
      <c r="AF3534" t="s">
        <v>10384</v>
      </c>
      <c r="AH3534" t="s">
        <v>10974</v>
      </c>
      <c r="AJ3534" t="s">
        <v>11140</v>
      </c>
      <c r="AK3534" t="s">
        <v>7225</v>
      </c>
      <c r="AL3534" t="s">
        <v>11150</v>
      </c>
      <c r="AM3534">
        <v>0</v>
      </c>
      <c r="AO3534">
        <v>359</v>
      </c>
      <c r="AQ3534" t="s">
        <v>11157</v>
      </c>
      <c r="AR3534" t="s">
        <v>11172</v>
      </c>
      <c r="AU3534">
        <v>40</v>
      </c>
      <c r="AW3534" t="s">
        <v>11187</v>
      </c>
      <c r="AY3534" t="s">
        <v>11213</v>
      </c>
      <c r="AZ3534" t="s">
        <v>11221</v>
      </c>
      <c r="BD3534" t="s">
        <v>11667</v>
      </c>
      <c r="BF3534" t="s">
        <v>14364</v>
      </c>
      <c r="BM3534" t="s">
        <v>15650</v>
      </c>
    </row>
    <row r="3535" spans="1:65">
      <c r="A3535" s="1">
        <f>HYPERLINK("https://lsnyc.legalserver.org/matter/dynamic-profile/view/1897337","19-1897337")</f>
        <v>0</v>
      </c>
      <c r="B3535" t="s">
        <v>197</v>
      </c>
      <c r="C3535" t="s">
        <v>248</v>
      </c>
      <c r="D3535" t="s">
        <v>583</v>
      </c>
      <c r="F3535" t="s">
        <v>1303</v>
      </c>
      <c r="G3535" t="s">
        <v>4306</v>
      </c>
      <c r="H3535" t="s">
        <v>5124</v>
      </c>
      <c r="I3535" t="s">
        <v>7005</v>
      </c>
      <c r="J3535" t="s">
        <v>7174</v>
      </c>
      <c r="K3535">
        <v>11233</v>
      </c>
      <c r="N3535" t="s">
        <v>7237</v>
      </c>
      <c r="O3535" t="s">
        <v>9486</v>
      </c>
      <c r="P3535">
        <v>2</v>
      </c>
      <c r="Q3535">
        <v>0</v>
      </c>
      <c r="R3535">
        <v>384.39</v>
      </c>
      <c r="U3535">
        <v>65000</v>
      </c>
      <c r="V3535" t="s">
        <v>10569</v>
      </c>
      <c r="W3535">
        <v>0</v>
      </c>
      <c r="Y3535" t="s">
        <v>225</v>
      </c>
      <c r="AA3535" t="s">
        <v>10974</v>
      </c>
      <c r="AB3535" t="s">
        <v>874</v>
      </c>
      <c r="AD3535" t="s">
        <v>11098</v>
      </c>
      <c r="AF3535" t="s">
        <v>11122</v>
      </c>
      <c r="AH3535" t="s">
        <v>10974</v>
      </c>
      <c r="AJ3535" t="s">
        <v>11140</v>
      </c>
      <c r="AK3535" t="s">
        <v>7225</v>
      </c>
      <c r="AM3535">
        <v>100</v>
      </c>
      <c r="AO3535">
        <v>359</v>
      </c>
      <c r="AQ3535" t="s">
        <v>11157</v>
      </c>
      <c r="AR3535" t="s">
        <v>11172</v>
      </c>
      <c r="AU3535">
        <v>50</v>
      </c>
      <c r="AW3535" t="s">
        <v>11187</v>
      </c>
      <c r="AY3535" t="s">
        <v>11213</v>
      </c>
      <c r="AZ3535" t="s">
        <v>11221</v>
      </c>
      <c r="BD3535" t="s">
        <v>11667</v>
      </c>
      <c r="BF3535" t="s">
        <v>14364</v>
      </c>
      <c r="BG3535" t="s">
        <v>15229</v>
      </c>
      <c r="BM3535" t="s">
        <v>15650</v>
      </c>
    </row>
    <row r="3536" spans="1:65">
      <c r="A3536" s="1">
        <f>HYPERLINK("https://lsnyc.legalserver.org/matter/dynamic-profile/view/1892008","19-1892008")</f>
        <v>0</v>
      </c>
      <c r="B3536" t="s">
        <v>197</v>
      </c>
      <c r="C3536" t="s">
        <v>248</v>
      </c>
      <c r="D3536" t="s">
        <v>425</v>
      </c>
      <c r="F3536" t="s">
        <v>2485</v>
      </c>
      <c r="G3536" t="s">
        <v>4313</v>
      </c>
      <c r="H3536" t="s">
        <v>4798</v>
      </c>
      <c r="I3536" t="s">
        <v>6628</v>
      </c>
      <c r="J3536" t="s">
        <v>7174</v>
      </c>
      <c r="K3536">
        <v>11233</v>
      </c>
      <c r="N3536" t="s">
        <v>7237</v>
      </c>
      <c r="O3536" t="s">
        <v>9497</v>
      </c>
      <c r="P3536">
        <v>1</v>
      </c>
      <c r="Q3536">
        <v>1</v>
      </c>
      <c r="R3536">
        <v>76.88</v>
      </c>
      <c r="U3536">
        <v>13000</v>
      </c>
      <c r="V3536" t="s">
        <v>10640</v>
      </c>
      <c r="W3536">
        <v>0</v>
      </c>
      <c r="Y3536" t="s">
        <v>101</v>
      </c>
      <c r="AA3536" t="s">
        <v>10974</v>
      </c>
      <c r="AB3536" t="s">
        <v>395</v>
      </c>
      <c r="AD3536" t="s">
        <v>11100</v>
      </c>
      <c r="AF3536" t="s">
        <v>10384</v>
      </c>
      <c r="AH3536" t="s">
        <v>10974</v>
      </c>
      <c r="AJ3536" t="s">
        <v>11104</v>
      </c>
      <c r="AK3536" t="s">
        <v>7225</v>
      </c>
      <c r="AM3536">
        <v>654.65</v>
      </c>
      <c r="AO3536">
        <v>359</v>
      </c>
      <c r="AQ3536" t="s">
        <v>11157</v>
      </c>
      <c r="AS3536" t="s">
        <v>11173</v>
      </c>
      <c r="AU3536">
        <v>17</v>
      </c>
      <c r="AW3536" t="s">
        <v>11187</v>
      </c>
      <c r="AY3536" t="s">
        <v>11213</v>
      </c>
      <c r="AZ3536" t="s">
        <v>11221</v>
      </c>
      <c r="BD3536" t="s">
        <v>11667</v>
      </c>
      <c r="BF3536" t="s">
        <v>14364</v>
      </c>
      <c r="BM3536" t="s">
        <v>15650</v>
      </c>
    </row>
    <row r="3537" spans="1:65">
      <c r="A3537" s="1">
        <f>HYPERLINK("https://lsnyc.legalserver.org/matter/dynamic-profile/view/1892004","19-1892004")</f>
        <v>0</v>
      </c>
      <c r="B3537" t="s">
        <v>197</v>
      </c>
      <c r="C3537" t="s">
        <v>248</v>
      </c>
      <c r="D3537" t="s">
        <v>425</v>
      </c>
      <c r="F3537" t="s">
        <v>2485</v>
      </c>
      <c r="G3537" t="s">
        <v>4313</v>
      </c>
      <c r="H3537" t="s">
        <v>4798</v>
      </c>
      <c r="I3537" t="s">
        <v>6628</v>
      </c>
      <c r="J3537" t="s">
        <v>7174</v>
      </c>
      <c r="K3537">
        <v>11233</v>
      </c>
      <c r="N3537" t="s">
        <v>7237</v>
      </c>
      <c r="O3537" t="s">
        <v>9497</v>
      </c>
      <c r="P3537">
        <v>1</v>
      </c>
      <c r="Q3537">
        <v>1</v>
      </c>
      <c r="R3537">
        <v>76.88</v>
      </c>
      <c r="U3537">
        <v>13000</v>
      </c>
      <c r="V3537" t="s">
        <v>10581</v>
      </c>
      <c r="W3537">
        <v>0</v>
      </c>
      <c r="Y3537" t="s">
        <v>101</v>
      </c>
      <c r="AA3537" t="s">
        <v>10974</v>
      </c>
      <c r="AB3537" t="s">
        <v>874</v>
      </c>
      <c r="AD3537" t="s">
        <v>11098</v>
      </c>
      <c r="AF3537" t="s">
        <v>11122</v>
      </c>
      <c r="AH3537" t="s">
        <v>10974</v>
      </c>
      <c r="AJ3537" t="s">
        <v>11104</v>
      </c>
      <c r="AK3537" t="s">
        <v>7225</v>
      </c>
      <c r="AM3537">
        <v>654.65</v>
      </c>
      <c r="AO3537">
        <v>359</v>
      </c>
      <c r="AQ3537" t="s">
        <v>11157</v>
      </c>
      <c r="AS3537" t="s">
        <v>11173</v>
      </c>
      <c r="AU3537">
        <v>17</v>
      </c>
      <c r="AW3537" t="s">
        <v>11187</v>
      </c>
      <c r="AY3537" t="s">
        <v>11213</v>
      </c>
      <c r="AZ3537" t="s">
        <v>11221</v>
      </c>
      <c r="BD3537" t="s">
        <v>11667</v>
      </c>
      <c r="BF3537" t="s">
        <v>14364</v>
      </c>
      <c r="BG3537" t="s">
        <v>15228</v>
      </c>
      <c r="BM3537" t="s">
        <v>15650</v>
      </c>
    </row>
    <row r="3538" spans="1:65">
      <c r="A3538" s="1">
        <f>HYPERLINK("https://lsnyc.legalserver.org/matter/dynamic-profile/view/0822902","16-0822902")</f>
        <v>0</v>
      </c>
      <c r="B3538" t="s">
        <v>197</v>
      </c>
      <c r="C3538" t="s">
        <v>248</v>
      </c>
      <c r="D3538" t="s">
        <v>1005</v>
      </c>
      <c r="F3538" t="s">
        <v>1643</v>
      </c>
      <c r="G3538" t="s">
        <v>3594</v>
      </c>
      <c r="H3538" t="s">
        <v>5944</v>
      </c>
      <c r="I3538" t="s">
        <v>6637</v>
      </c>
      <c r="J3538" t="s">
        <v>7174</v>
      </c>
      <c r="K3538">
        <v>11207</v>
      </c>
      <c r="N3538" t="s">
        <v>7237</v>
      </c>
      <c r="O3538" t="s">
        <v>9498</v>
      </c>
      <c r="P3538">
        <v>1</v>
      </c>
      <c r="Q3538">
        <v>3</v>
      </c>
      <c r="R3538">
        <v>85.59999999999999</v>
      </c>
      <c r="U3538">
        <v>20800</v>
      </c>
      <c r="V3538" t="s">
        <v>10641</v>
      </c>
      <c r="W3538">
        <v>3.45</v>
      </c>
      <c r="X3538" t="s">
        <v>546</v>
      </c>
      <c r="Y3538" t="s">
        <v>76</v>
      </c>
      <c r="AA3538" t="s">
        <v>10974</v>
      </c>
      <c r="AB3538" t="s">
        <v>10256</v>
      </c>
      <c r="AD3538" t="s">
        <v>11101</v>
      </c>
      <c r="AF3538" t="s">
        <v>11118</v>
      </c>
      <c r="AH3538" t="s">
        <v>10974</v>
      </c>
      <c r="AJ3538" t="s">
        <v>11129</v>
      </c>
      <c r="AK3538" t="s">
        <v>7225</v>
      </c>
      <c r="AM3538">
        <v>1000</v>
      </c>
      <c r="AO3538">
        <v>6</v>
      </c>
      <c r="AQ3538" t="s">
        <v>11157</v>
      </c>
      <c r="AR3538" t="s">
        <v>11172</v>
      </c>
      <c r="AU3538">
        <v>3</v>
      </c>
      <c r="AW3538" t="s">
        <v>11187</v>
      </c>
      <c r="BA3538" t="s">
        <v>11222</v>
      </c>
      <c r="BE3538" t="s">
        <v>13664</v>
      </c>
      <c r="BF3538" t="s">
        <v>14364</v>
      </c>
      <c r="BG3538" t="s">
        <v>15233</v>
      </c>
      <c r="BM3538" t="s">
        <v>15650</v>
      </c>
    </row>
    <row r="3539" spans="1:65">
      <c r="A3539" s="1">
        <f>HYPERLINK("https://lsnyc.legalserver.org/matter/dynamic-profile/view/1898851","19-1898851")</f>
        <v>0</v>
      </c>
      <c r="B3539" t="s">
        <v>197</v>
      </c>
      <c r="C3539" t="s">
        <v>248</v>
      </c>
      <c r="D3539" t="s">
        <v>347</v>
      </c>
      <c r="F3539" t="s">
        <v>1280</v>
      </c>
      <c r="G3539" t="s">
        <v>4312</v>
      </c>
      <c r="H3539" t="s">
        <v>4798</v>
      </c>
      <c r="I3539" t="s">
        <v>7010</v>
      </c>
      <c r="J3539" t="s">
        <v>7174</v>
      </c>
      <c r="K3539">
        <v>11233</v>
      </c>
      <c r="N3539" t="s">
        <v>7237</v>
      </c>
      <c r="O3539" t="s">
        <v>8069</v>
      </c>
      <c r="P3539">
        <v>1</v>
      </c>
      <c r="Q3539">
        <v>0</v>
      </c>
      <c r="R3539">
        <v>312.25</v>
      </c>
      <c r="U3539">
        <v>39000</v>
      </c>
      <c r="V3539" t="s">
        <v>10642</v>
      </c>
      <c r="W3539">
        <v>0</v>
      </c>
      <c r="Y3539" t="s">
        <v>101</v>
      </c>
      <c r="AA3539" t="s">
        <v>10974</v>
      </c>
      <c r="AB3539" t="s">
        <v>395</v>
      </c>
      <c r="AD3539" t="s">
        <v>11100</v>
      </c>
      <c r="AF3539" t="s">
        <v>10384</v>
      </c>
      <c r="AH3539" t="s">
        <v>10974</v>
      </c>
      <c r="AJ3539" t="s">
        <v>11104</v>
      </c>
      <c r="AK3539" t="s">
        <v>7225</v>
      </c>
      <c r="AM3539">
        <v>628.51</v>
      </c>
      <c r="AO3539">
        <v>359</v>
      </c>
      <c r="AQ3539" t="s">
        <v>11157</v>
      </c>
      <c r="AR3539" t="s">
        <v>11172</v>
      </c>
      <c r="AU3539">
        <v>3</v>
      </c>
      <c r="AW3539" t="s">
        <v>11187</v>
      </c>
      <c r="AY3539" t="s">
        <v>11213</v>
      </c>
      <c r="AZ3539" t="s">
        <v>11221</v>
      </c>
      <c r="BD3539" t="s">
        <v>11667</v>
      </c>
      <c r="BF3539" t="s">
        <v>14364</v>
      </c>
      <c r="BM3539" t="s">
        <v>15650</v>
      </c>
    </row>
    <row r="3540" spans="1:65">
      <c r="A3540" s="1">
        <f>HYPERLINK("https://lsnyc.legalserver.org/matter/dynamic-profile/view/1897843","19-1897843")</f>
        <v>0</v>
      </c>
      <c r="B3540" t="s">
        <v>197</v>
      </c>
      <c r="C3540" t="s">
        <v>248</v>
      </c>
      <c r="D3540" t="s">
        <v>822</v>
      </c>
      <c r="F3540" t="s">
        <v>1770</v>
      </c>
      <c r="G3540" t="s">
        <v>3338</v>
      </c>
      <c r="H3540" t="s">
        <v>4798</v>
      </c>
      <c r="I3540" t="s">
        <v>6970</v>
      </c>
      <c r="J3540" t="s">
        <v>7174</v>
      </c>
      <c r="K3540">
        <v>11233</v>
      </c>
      <c r="N3540" t="s">
        <v>7237</v>
      </c>
      <c r="O3540" t="s">
        <v>9487</v>
      </c>
      <c r="P3540">
        <v>2</v>
      </c>
      <c r="Q3540">
        <v>1</v>
      </c>
      <c r="R3540">
        <v>93.76000000000001</v>
      </c>
      <c r="U3540">
        <v>20000</v>
      </c>
      <c r="V3540" t="s">
        <v>10570</v>
      </c>
      <c r="W3540">
        <v>0</v>
      </c>
      <c r="Y3540" t="s">
        <v>101</v>
      </c>
      <c r="AA3540" t="s">
        <v>10974</v>
      </c>
      <c r="AB3540" t="s">
        <v>874</v>
      </c>
      <c r="AD3540" t="s">
        <v>11098</v>
      </c>
      <c r="AF3540" t="s">
        <v>11122</v>
      </c>
      <c r="AH3540" t="s">
        <v>10974</v>
      </c>
      <c r="AJ3540" t="s">
        <v>11104</v>
      </c>
      <c r="AK3540" t="s">
        <v>7225</v>
      </c>
      <c r="AM3540">
        <v>1300</v>
      </c>
      <c r="AO3540">
        <v>359</v>
      </c>
      <c r="AQ3540" t="s">
        <v>11157</v>
      </c>
      <c r="AR3540" t="s">
        <v>11172</v>
      </c>
      <c r="AU3540">
        <v>3</v>
      </c>
      <c r="AW3540" t="s">
        <v>11187</v>
      </c>
      <c r="AY3540" t="s">
        <v>11213</v>
      </c>
      <c r="AZ3540" t="s">
        <v>11221</v>
      </c>
      <c r="BD3540" t="s">
        <v>11667</v>
      </c>
      <c r="BF3540" t="s">
        <v>14364</v>
      </c>
      <c r="BG3540" t="s">
        <v>15228</v>
      </c>
      <c r="BM3540" t="s">
        <v>15650</v>
      </c>
    </row>
    <row r="3541" spans="1:65">
      <c r="A3541" s="1">
        <f>HYPERLINK("https://lsnyc.legalserver.org/matter/dynamic-profile/view/1891464","19-1891464")</f>
        <v>0</v>
      </c>
      <c r="B3541" t="s">
        <v>197</v>
      </c>
      <c r="C3541" t="s">
        <v>248</v>
      </c>
      <c r="D3541" t="s">
        <v>636</v>
      </c>
      <c r="F3541" t="s">
        <v>1575</v>
      </c>
      <c r="G3541" t="s">
        <v>2201</v>
      </c>
      <c r="H3541" t="s">
        <v>5124</v>
      </c>
      <c r="I3541" t="s">
        <v>7011</v>
      </c>
      <c r="J3541" t="s">
        <v>7174</v>
      </c>
      <c r="K3541">
        <v>11233</v>
      </c>
      <c r="N3541" t="s">
        <v>7237</v>
      </c>
      <c r="O3541" t="s">
        <v>9499</v>
      </c>
      <c r="P3541">
        <v>2</v>
      </c>
      <c r="Q3541">
        <v>0</v>
      </c>
      <c r="R3541">
        <v>420.19</v>
      </c>
      <c r="U3541">
        <v>71054</v>
      </c>
      <c r="V3541" t="s">
        <v>10643</v>
      </c>
      <c r="W3541">
        <v>0</v>
      </c>
      <c r="Y3541" t="s">
        <v>101</v>
      </c>
      <c r="AA3541" t="s">
        <v>10974</v>
      </c>
      <c r="AB3541" t="s">
        <v>874</v>
      </c>
      <c r="AD3541" t="s">
        <v>11100</v>
      </c>
      <c r="AF3541" t="s">
        <v>10384</v>
      </c>
      <c r="AH3541" t="s">
        <v>10974</v>
      </c>
      <c r="AJ3541" t="s">
        <v>11140</v>
      </c>
      <c r="AK3541" t="s">
        <v>7225</v>
      </c>
      <c r="AM3541">
        <v>1027</v>
      </c>
      <c r="AO3541">
        <v>359</v>
      </c>
      <c r="AQ3541" t="s">
        <v>11157</v>
      </c>
      <c r="AS3541" t="s">
        <v>11173</v>
      </c>
      <c r="AU3541">
        <v>7</v>
      </c>
      <c r="AW3541" t="s">
        <v>11187</v>
      </c>
      <c r="AY3541" t="s">
        <v>11213</v>
      </c>
      <c r="AZ3541" t="s">
        <v>11221</v>
      </c>
      <c r="BA3541" t="s">
        <v>11173</v>
      </c>
      <c r="BC3541" t="s">
        <v>11173</v>
      </c>
      <c r="BD3541" t="s">
        <v>11667</v>
      </c>
      <c r="BF3541" t="s">
        <v>14364</v>
      </c>
      <c r="BM3541" t="s">
        <v>15650</v>
      </c>
    </row>
    <row r="3542" spans="1:65">
      <c r="A3542" s="1">
        <f>HYPERLINK("https://lsnyc.legalserver.org/matter/dynamic-profile/view/1898251","19-1898251")</f>
        <v>0</v>
      </c>
      <c r="B3542" t="s">
        <v>197</v>
      </c>
      <c r="C3542" t="s">
        <v>248</v>
      </c>
      <c r="D3542" t="s">
        <v>591</v>
      </c>
      <c r="F3542" t="s">
        <v>1489</v>
      </c>
      <c r="G3542" t="s">
        <v>3333</v>
      </c>
      <c r="H3542" t="s">
        <v>5941</v>
      </c>
      <c r="I3542" t="s">
        <v>6677</v>
      </c>
      <c r="J3542" t="s">
        <v>7174</v>
      </c>
      <c r="K3542">
        <v>11233</v>
      </c>
      <c r="N3542" t="s">
        <v>7237</v>
      </c>
      <c r="O3542" t="s">
        <v>9500</v>
      </c>
      <c r="P3542">
        <v>2</v>
      </c>
      <c r="Q3542">
        <v>0</v>
      </c>
      <c r="R3542">
        <v>42.58</v>
      </c>
      <c r="U3542">
        <v>7200</v>
      </c>
      <c r="V3542" t="s">
        <v>10570</v>
      </c>
      <c r="W3542">
        <v>0</v>
      </c>
      <c r="Y3542" t="s">
        <v>101</v>
      </c>
      <c r="AA3542" t="s">
        <v>10974</v>
      </c>
      <c r="AB3542" t="s">
        <v>874</v>
      </c>
      <c r="AD3542" t="s">
        <v>11098</v>
      </c>
      <c r="AF3542" t="s">
        <v>11122</v>
      </c>
      <c r="AH3542" t="s">
        <v>10974</v>
      </c>
      <c r="AJ3542" t="s">
        <v>11104</v>
      </c>
      <c r="AK3542" t="s">
        <v>7225</v>
      </c>
      <c r="AM3542">
        <v>1000</v>
      </c>
      <c r="AO3542">
        <v>359</v>
      </c>
      <c r="AQ3542" t="s">
        <v>11157</v>
      </c>
      <c r="AR3542" t="s">
        <v>11172</v>
      </c>
      <c r="AU3542">
        <v>25</v>
      </c>
      <c r="AW3542" t="s">
        <v>11187</v>
      </c>
      <c r="AY3542" t="s">
        <v>11213</v>
      </c>
      <c r="AZ3542" t="s">
        <v>11221</v>
      </c>
      <c r="BD3542" t="s">
        <v>11667</v>
      </c>
      <c r="BF3542" t="s">
        <v>14364</v>
      </c>
      <c r="BG3542" t="s">
        <v>15228</v>
      </c>
      <c r="BM3542" t="s">
        <v>15650</v>
      </c>
    </row>
    <row r="3543" spans="1:65">
      <c r="A3543" s="1">
        <f>HYPERLINK("https://lsnyc.legalserver.org/matter/dynamic-profile/view/1898252","19-1898252")</f>
        <v>0</v>
      </c>
      <c r="B3543" t="s">
        <v>197</v>
      </c>
      <c r="C3543" t="s">
        <v>248</v>
      </c>
      <c r="D3543" t="s">
        <v>591</v>
      </c>
      <c r="F3543" t="s">
        <v>1489</v>
      </c>
      <c r="G3543" t="s">
        <v>3333</v>
      </c>
      <c r="H3543" t="s">
        <v>5941</v>
      </c>
      <c r="I3543" t="s">
        <v>6677</v>
      </c>
      <c r="J3543" t="s">
        <v>7174</v>
      </c>
      <c r="K3543">
        <v>11233</v>
      </c>
      <c r="N3543" t="s">
        <v>7237</v>
      </c>
      <c r="O3543" t="s">
        <v>9500</v>
      </c>
      <c r="P3543">
        <v>2</v>
      </c>
      <c r="Q3543">
        <v>0</v>
      </c>
      <c r="R3543">
        <v>42.58</v>
      </c>
      <c r="U3543">
        <v>7200</v>
      </c>
      <c r="V3543" t="s">
        <v>10644</v>
      </c>
      <c r="W3543">
        <v>0</v>
      </c>
      <c r="Y3543" t="s">
        <v>101</v>
      </c>
      <c r="AA3543" t="s">
        <v>10974</v>
      </c>
      <c r="AB3543" t="s">
        <v>395</v>
      </c>
      <c r="AD3543" t="s">
        <v>11100</v>
      </c>
      <c r="AF3543" t="s">
        <v>10384</v>
      </c>
      <c r="AH3543" t="s">
        <v>10974</v>
      </c>
      <c r="AJ3543" t="s">
        <v>11104</v>
      </c>
      <c r="AK3543" t="s">
        <v>7225</v>
      </c>
      <c r="AM3543">
        <v>1000</v>
      </c>
      <c r="AO3543">
        <v>359</v>
      </c>
      <c r="AQ3543" t="s">
        <v>11157</v>
      </c>
      <c r="AR3543" t="s">
        <v>11172</v>
      </c>
      <c r="AU3543">
        <v>25</v>
      </c>
      <c r="AW3543" t="s">
        <v>11187</v>
      </c>
      <c r="AY3543" t="s">
        <v>11213</v>
      </c>
      <c r="AZ3543" t="s">
        <v>11221</v>
      </c>
      <c r="BD3543" t="s">
        <v>11667</v>
      </c>
      <c r="BF3543" t="s">
        <v>14364</v>
      </c>
      <c r="BM3543" t="s">
        <v>15650</v>
      </c>
    </row>
    <row r="3544" spans="1:65">
      <c r="A3544" s="1">
        <f>HYPERLINK("https://lsnyc.legalserver.org/matter/dynamic-profile/view/0822906","16-0822906")</f>
        <v>0</v>
      </c>
      <c r="B3544" t="s">
        <v>197</v>
      </c>
      <c r="C3544" t="s">
        <v>248</v>
      </c>
      <c r="D3544" t="s">
        <v>1005</v>
      </c>
      <c r="F3544" t="s">
        <v>1525</v>
      </c>
      <c r="G3544" t="s">
        <v>4314</v>
      </c>
      <c r="H3544" t="s">
        <v>5944</v>
      </c>
      <c r="I3544" t="s">
        <v>6432</v>
      </c>
      <c r="J3544" t="s">
        <v>7174</v>
      </c>
      <c r="K3544">
        <v>11207</v>
      </c>
      <c r="N3544" t="s">
        <v>7237</v>
      </c>
      <c r="O3544" t="s">
        <v>9501</v>
      </c>
      <c r="P3544">
        <v>1</v>
      </c>
      <c r="Q3544">
        <v>3</v>
      </c>
      <c r="R3544">
        <v>42.8</v>
      </c>
      <c r="U3544">
        <v>10400</v>
      </c>
      <c r="W3544">
        <v>1.45</v>
      </c>
      <c r="X3544" t="s">
        <v>684</v>
      </c>
      <c r="Y3544" t="s">
        <v>76</v>
      </c>
      <c r="AA3544" t="s">
        <v>10974</v>
      </c>
      <c r="AB3544" t="s">
        <v>11018</v>
      </c>
      <c r="AD3544" t="s">
        <v>11101</v>
      </c>
      <c r="AF3544" t="s">
        <v>11118</v>
      </c>
      <c r="AH3544" t="s">
        <v>10974</v>
      </c>
      <c r="AJ3544" t="s">
        <v>11129</v>
      </c>
      <c r="AK3544" t="s">
        <v>7225</v>
      </c>
      <c r="AM3544">
        <v>1200</v>
      </c>
      <c r="AO3544">
        <v>6</v>
      </c>
      <c r="AQ3544" t="s">
        <v>11157</v>
      </c>
      <c r="AS3544" t="s">
        <v>11173</v>
      </c>
      <c r="AU3544">
        <v>7</v>
      </c>
      <c r="AW3544" t="s">
        <v>11187</v>
      </c>
      <c r="BA3544" t="s">
        <v>11222</v>
      </c>
      <c r="BC3544" t="s">
        <v>11230</v>
      </c>
      <c r="BD3544" t="s">
        <v>11667</v>
      </c>
      <c r="BF3544" t="s">
        <v>14364</v>
      </c>
      <c r="BG3544" t="s">
        <v>15233</v>
      </c>
      <c r="BM3544" t="s">
        <v>15650</v>
      </c>
    </row>
    <row r="3545" spans="1:65">
      <c r="A3545" s="1">
        <f>HYPERLINK("https://lsnyc.legalserver.org/matter/dynamic-profile/view/1892678","19-1892678")</f>
        <v>0</v>
      </c>
      <c r="B3545" t="s">
        <v>197</v>
      </c>
      <c r="C3545" t="s">
        <v>248</v>
      </c>
      <c r="D3545" t="s">
        <v>729</v>
      </c>
      <c r="F3545" t="s">
        <v>2035</v>
      </c>
      <c r="G3545" t="s">
        <v>4315</v>
      </c>
      <c r="H3545" t="s">
        <v>5941</v>
      </c>
      <c r="I3545" t="s">
        <v>7012</v>
      </c>
      <c r="J3545" t="s">
        <v>7174</v>
      </c>
      <c r="K3545">
        <v>11233</v>
      </c>
      <c r="N3545" t="s">
        <v>7237</v>
      </c>
      <c r="O3545" t="s">
        <v>9502</v>
      </c>
      <c r="P3545">
        <v>1</v>
      </c>
      <c r="Q3545">
        <v>1</v>
      </c>
      <c r="R3545">
        <v>86.08</v>
      </c>
      <c r="U3545">
        <v>14556</v>
      </c>
      <c r="V3545" t="s">
        <v>10625</v>
      </c>
      <c r="W3545">
        <v>0</v>
      </c>
      <c r="Y3545" t="s">
        <v>101</v>
      </c>
      <c r="AA3545" t="s">
        <v>10974</v>
      </c>
      <c r="AB3545" t="s">
        <v>874</v>
      </c>
      <c r="AD3545" t="s">
        <v>11098</v>
      </c>
      <c r="AF3545" t="s">
        <v>11122</v>
      </c>
      <c r="AH3545" t="s">
        <v>10974</v>
      </c>
      <c r="AJ3545" t="s">
        <v>11104</v>
      </c>
      <c r="AK3545" t="s">
        <v>7225</v>
      </c>
      <c r="AL3545" t="s">
        <v>11150</v>
      </c>
      <c r="AM3545">
        <v>0</v>
      </c>
      <c r="AO3545">
        <v>359</v>
      </c>
      <c r="AQ3545" t="s">
        <v>11157</v>
      </c>
      <c r="AR3545" t="s">
        <v>11172</v>
      </c>
      <c r="AU3545">
        <v>1</v>
      </c>
      <c r="AW3545" t="s">
        <v>11187</v>
      </c>
      <c r="AY3545" t="s">
        <v>11213</v>
      </c>
      <c r="AZ3545" t="s">
        <v>11221</v>
      </c>
      <c r="BA3545" t="s">
        <v>11173</v>
      </c>
      <c r="BD3545" t="s">
        <v>11667</v>
      </c>
      <c r="BF3545" t="s">
        <v>14364</v>
      </c>
      <c r="BG3545" t="s">
        <v>15228</v>
      </c>
      <c r="BM3545" t="s">
        <v>15650</v>
      </c>
    </row>
    <row r="3546" spans="1:65">
      <c r="A3546" s="1">
        <f>HYPERLINK("https://lsnyc.legalserver.org/matter/dynamic-profile/view/1890532","19-1890532")</f>
        <v>0</v>
      </c>
      <c r="B3546" t="s">
        <v>197</v>
      </c>
      <c r="C3546" t="s">
        <v>248</v>
      </c>
      <c r="D3546" t="s">
        <v>442</v>
      </c>
      <c r="F3546" t="s">
        <v>1208</v>
      </c>
      <c r="G3546" t="s">
        <v>4108</v>
      </c>
      <c r="H3546" t="s">
        <v>4798</v>
      </c>
      <c r="I3546" t="s">
        <v>6613</v>
      </c>
      <c r="J3546" t="s">
        <v>7174</v>
      </c>
      <c r="K3546">
        <v>11233</v>
      </c>
      <c r="N3546" t="s">
        <v>7237</v>
      </c>
      <c r="O3546" t="s">
        <v>9137</v>
      </c>
      <c r="P3546">
        <v>2</v>
      </c>
      <c r="Q3546">
        <v>2</v>
      </c>
      <c r="R3546">
        <v>43.01</v>
      </c>
      <c r="U3546">
        <v>11076</v>
      </c>
      <c r="V3546" t="s">
        <v>10645</v>
      </c>
      <c r="W3546">
        <v>0</v>
      </c>
      <c r="Y3546" t="s">
        <v>225</v>
      </c>
      <c r="AA3546" t="s">
        <v>10974</v>
      </c>
      <c r="AB3546" t="s">
        <v>874</v>
      </c>
      <c r="AD3546" t="s">
        <v>11098</v>
      </c>
      <c r="AF3546" t="s">
        <v>11122</v>
      </c>
      <c r="AH3546" t="s">
        <v>10974</v>
      </c>
      <c r="AI3546" t="s">
        <v>11126</v>
      </c>
      <c r="AK3546" t="s">
        <v>7225</v>
      </c>
      <c r="AM3546">
        <v>923</v>
      </c>
      <c r="AO3546">
        <v>359</v>
      </c>
      <c r="AQ3546" t="s">
        <v>11157</v>
      </c>
      <c r="AS3546" t="s">
        <v>11174</v>
      </c>
      <c r="AT3546" t="s">
        <v>11184</v>
      </c>
      <c r="AU3546">
        <v>0</v>
      </c>
      <c r="AW3546" t="s">
        <v>11187</v>
      </c>
      <c r="AY3546" t="s">
        <v>11213</v>
      </c>
      <c r="AZ3546" t="s">
        <v>11221</v>
      </c>
      <c r="BD3546" t="s">
        <v>11667</v>
      </c>
      <c r="BF3546" t="s">
        <v>14364</v>
      </c>
      <c r="BG3546" t="s">
        <v>15228</v>
      </c>
      <c r="BM3546" t="s">
        <v>15650</v>
      </c>
    </row>
    <row r="3547" spans="1:65">
      <c r="A3547" s="1">
        <f>HYPERLINK("https://lsnyc.legalserver.org/matter/dynamic-profile/view/1891944","19-1891944")</f>
        <v>0</v>
      </c>
      <c r="B3547" t="s">
        <v>197</v>
      </c>
      <c r="C3547" t="s">
        <v>248</v>
      </c>
      <c r="D3547" t="s">
        <v>425</v>
      </c>
      <c r="F3547" t="s">
        <v>2486</v>
      </c>
      <c r="G3547" t="s">
        <v>3126</v>
      </c>
      <c r="H3547" t="s">
        <v>5124</v>
      </c>
      <c r="I3547" t="s">
        <v>6420</v>
      </c>
      <c r="J3547" t="s">
        <v>7174</v>
      </c>
      <c r="K3547">
        <v>11233</v>
      </c>
      <c r="N3547" t="s">
        <v>7237</v>
      </c>
      <c r="O3547" t="s">
        <v>9503</v>
      </c>
      <c r="P3547">
        <v>2</v>
      </c>
      <c r="Q3547">
        <v>0</v>
      </c>
      <c r="R3547">
        <v>384.39</v>
      </c>
      <c r="S3547" t="s">
        <v>776</v>
      </c>
      <c r="T3547" t="s">
        <v>10276</v>
      </c>
      <c r="U3547">
        <v>65000</v>
      </c>
      <c r="V3547" t="s">
        <v>10646</v>
      </c>
      <c r="W3547">
        <v>0</v>
      </c>
      <c r="Y3547" t="s">
        <v>101</v>
      </c>
      <c r="AA3547" t="s">
        <v>10974</v>
      </c>
      <c r="AB3547" t="s">
        <v>395</v>
      </c>
      <c r="AD3547" t="s">
        <v>11100</v>
      </c>
      <c r="AF3547" t="s">
        <v>10384</v>
      </c>
      <c r="AH3547" t="s">
        <v>10974</v>
      </c>
      <c r="AJ3547" t="s">
        <v>11104</v>
      </c>
      <c r="AK3547" t="s">
        <v>7225</v>
      </c>
      <c r="AM3547">
        <v>1489</v>
      </c>
      <c r="AO3547">
        <v>359</v>
      </c>
      <c r="AQ3547" t="s">
        <v>11157</v>
      </c>
      <c r="AS3547" t="s">
        <v>11173</v>
      </c>
      <c r="AU3547">
        <v>4</v>
      </c>
      <c r="AW3547" t="s">
        <v>11187</v>
      </c>
      <c r="AY3547" t="s">
        <v>11213</v>
      </c>
      <c r="AZ3547" t="s">
        <v>11221</v>
      </c>
      <c r="BD3547" t="s">
        <v>11667</v>
      </c>
      <c r="BF3547" t="s">
        <v>14364</v>
      </c>
      <c r="BM3547" t="s">
        <v>15650</v>
      </c>
    </row>
    <row r="3548" spans="1:65">
      <c r="A3548" s="1">
        <f>HYPERLINK("https://lsnyc.legalserver.org/matter/dynamic-profile/view/1892681","19-1892681")</f>
        <v>0</v>
      </c>
      <c r="B3548" t="s">
        <v>197</v>
      </c>
      <c r="C3548" t="s">
        <v>248</v>
      </c>
      <c r="D3548" t="s">
        <v>729</v>
      </c>
      <c r="F3548" t="s">
        <v>2035</v>
      </c>
      <c r="G3548" t="s">
        <v>4315</v>
      </c>
      <c r="H3548" t="s">
        <v>5941</v>
      </c>
      <c r="I3548" t="s">
        <v>7012</v>
      </c>
      <c r="J3548" t="s">
        <v>7174</v>
      </c>
      <c r="K3548">
        <v>11233</v>
      </c>
      <c r="N3548" t="s">
        <v>7237</v>
      </c>
      <c r="O3548" t="s">
        <v>9502</v>
      </c>
      <c r="P3548">
        <v>1</v>
      </c>
      <c r="Q3548">
        <v>1</v>
      </c>
      <c r="R3548">
        <v>86.08</v>
      </c>
      <c r="U3548">
        <v>14556</v>
      </c>
      <c r="V3548" t="s">
        <v>10647</v>
      </c>
      <c r="W3548">
        <v>0</v>
      </c>
      <c r="Y3548" t="s">
        <v>101</v>
      </c>
      <c r="AA3548" t="s">
        <v>10974</v>
      </c>
      <c r="AB3548" t="s">
        <v>395</v>
      </c>
      <c r="AD3548" t="s">
        <v>11100</v>
      </c>
      <c r="AF3548" t="s">
        <v>10384</v>
      </c>
      <c r="AH3548" t="s">
        <v>10974</v>
      </c>
      <c r="AJ3548" t="s">
        <v>11104</v>
      </c>
      <c r="AK3548" t="s">
        <v>7225</v>
      </c>
      <c r="AL3548" t="s">
        <v>11150</v>
      </c>
      <c r="AM3548">
        <v>0</v>
      </c>
      <c r="AO3548">
        <v>359</v>
      </c>
      <c r="AQ3548" t="s">
        <v>11157</v>
      </c>
      <c r="AR3548" t="s">
        <v>11172</v>
      </c>
      <c r="AU3548">
        <v>1</v>
      </c>
      <c r="AW3548" t="s">
        <v>11187</v>
      </c>
      <c r="AY3548" t="s">
        <v>11213</v>
      </c>
      <c r="AZ3548" t="s">
        <v>11221</v>
      </c>
      <c r="BD3548" t="s">
        <v>11667</v>
      </c>
      <c r="BF3548" t="s">
        <v>14364</v>
      </c>
      <c r="BM3548" t="s">
        <v>15650</v>
      </c>
    </row>
    <row r="3549" spans="1:65">
      <c r="A3549" s="1">
        <f>HYPERLINK("https://lsnyc.legalserver.org/matter/dynamic-profile/view/1891856","19-1891856")</f>
        <v>0</v>
      </c>
      <c r="B3549" t="s">
        <v>197</v>
      </c>
      <c r="C3549" t="s">
        <v>248</v>
      </c>
      <c r="D3549" t="s">
        <v>545</v>
      </c>
      <c r="F3549" t="s">
        <v>1208</v>
      </c>
      <c r="G3549" t="s">
        <v>4108</v>
      </c>
      <c r="H3549" t="s">
        <v>4798</v>
      </c>
      <c r="I3549" t="s">
        <v>6613</v>
      </c>
      <c r="J3549" t="s">
        <v>7174</v>
      </c>
      <c r="K3549">
        <v>11233</v>
      </c>
      <c r="N3549" t="s">
        <v>7237</v>
      </c>
      <c r="O3549" t="s">
        <v>9137</v>
      </c>
      <c r="P3549">
        <v>2</v>
      </c>
      <c r="Q3549">
        <v>2</v>
      </c>
      <c r="R3549">
        <v>43.01</v>
      </c>
      <c r="U3549">
        <v>11076</v>
      </c>
      <c r="V3549" t="s">
        <v>10648</v>
      </c>
      <c r="W3549">
        <v>0</v>
      </c>
      <c r="Y3549" t="s">
        <v>225</v>
      </c>
      <c r="AA3549" t="s">
        <v>10974</v>
      </c>
      <c r="AB3549" t="s">
        <v>395</v>
      </c>
      <c r="AD3549" t="s">
        <v>11100</v>
      </c>
      <c r="AF3549" t="s">
        <v>10384</v>
      </c>
      <c r="AH3549" t="s">
        <v>10974</v>
      </c>
      <c r="AI3549" t="s">
        <v>11126</v>
      </c>
      <c r="AK3549" t="s">
        <v>7225</v>
      </c>
      <c r="AM3549">
        <v>923</v>
      </c>
      <c r="AO3549">
        <v>359</v>
      </c>
      <c r="AQ3549" t="s">
        <v>11157</v>
      </c>
      <c r="AS3549" t="s">
        <v>11174</v>
      </c>
      <c r="AT3549" t="s">
        <v>11184</v>
      </c>
      <c r="AU3549">
        <v>0</v>
      </c>
      <c r="AW3549" t="s">
        <v>11187</v>
      </c>
      <c r="AY3549" t="s">
        <v>11213</v>
      </c>
      <c r="AZ3549" t="s">
        <v>11221</v>
      </c>
      <c r="BD3549" t="s">
        <v>11667</v>
      </c>
      <c r="BF3549" t="s">
        <v>14364</v>
      </c>
      <c r="BG3549" t="s">
        <v>11173</v>
      </c>
      <c r="BM3549" t="s">
        <v>15650</v>
      </c>
    </row>
    <row r="3550" spans="1:65">
      <c r="A3550" s="1">
        <f>HYPERLINK("https://lsnyc.legalserver.org/matter/dynamic-profile/view/1912722","19-1912722")</f>
        <v>0</v>
      </c>
      <c r="B3550" t="s">
        <v>197</v>
      </c>
      <c r="C3550" t="s">
        <v>248</v>
      </c>
      <c r="D3550" t="s">
        <v>634</v>
      </c>
      <c r="F3550" t="s">
        <v>1643</v>
      </c>
      <c r="G3550" t="s">
        <v>3594</v>
      </c>
      <c r="H3550" t="s">
        <v>5944</v>
      </c>
      <c r="I3550" t="s">
        <v>6637</v>
      </c>
      <c r="J3550" t="s">
        <v>7174</v>
      </c>
      <c r="K3550">
        <v>11207</v>
      </c>
      <c r="N3550" t="s">
        <v>7237</v>
      </c>
      <c r="O3550" t="s">
        <v>9498</v>
      </c>
      <c r="P3550">
        <v>1</v>
      </c>
      <c r="Q3550">
        <v>0</v>
      </c>
      <c r="R3550">
        <v>43.3</v>
      </c>
      <c r="U3550">
        <v>5408</v>
      </c>
      <c r="W3550">
        <v>0.1</v>
      </c>
      <c r="X3550" t="s">
        <v>305</v>
      </c>
      <c r="Y3550" t="s">
        <v>197</v>
      </c>
      <c r="AA3550" t="s">
        <v>10974</v>
      </c>
      <c r="AB3550" t="s">
        <v>634</v>
      </c>
      <c r="AD3550" t="s">
        <v>11100</v>
      </c>
      <c r="AF3550" t="s">
        <v>10384</v>
      </c>
      <c r="AH3550" t="s">
        <v>10974</v>
      </c>
      <c r="AJ3550" t="s">
        <v>11129</v>
      </c>
      <c r="AK3550" t="s">
        <v>7225</v>
      </c>
      <c r="AM3550">
        <v>640</v>
      </c>
      <c r="AO3550">
        <v>6</v>
      </c>
      <c r="AQ3550" t="s">
        <v>11157</v>
      </c>
      <c r="AR3550" t="s">
        <v>11172</v>
      </c>
      <c r="AU3550">
        <v>5</v>
      </c>
      <c r="AW3550" t="s">
        <v>11187</v>
      </c>
      <c r="BA3550" t="s">
        <v>11222</v>
      </c>
      <c r="BE3550" t="s">
        <v>13664</v>
      </c>
      <c r="BF3550" t="s">
        <v>14364</v>
      </c>
      <c r="BM3550" t="s">
        <v>15650</v>
      </c>
    </row>
    <row r="3551" spans="1:65">
      <c r="A3551" s="1">
        <f>HYPERLINK("https://lsnyc.legalserver.org/matter/dynamic-profile/view/1898953","19-1898953")</f>
        <v>0</v>
      </c>
      <c r="B3551" t="s">
        <v>197</v>
      </c>
      <c r="C3551" t="s">
        <v>248</v>
      </c>
      <c r="D3551" t="s">
        <v>608</v>
      </c>
      <c r="F3551" t="s">
        <v>2479</v>
      </c>
      <c r="G3551" t="s">
        <v>4302</v>
      </c>
      <c r="H3551" t="s">
        <v>5940</v>
      </c>
      <c r="I3551" t="s">
        <v>6599</v>
      </c>
      <c r="J3551" t="s">
        <v>7174</v>
      </c>
      <c r="K3551">
        <v>11233</v>
      </c>
      <c r="N3551" t="s">
        <v>7237</v>
      </c>
      <c r="O3551" t="s">
        <v>9480</v>
      </c>
      <c r="P3551">
        <v>1</v>
      </c>
      <c r="Q3551">
        <v>1</v>
      </c>
      <c r="R3551">
        <v>354.82</v>
      </c>
      <c r="U3551">
        <v>60000</v>
      </c>
      <c r="V3551" t="s">
        <v>10649</v>
      </c>
      <c r="W3551">
        <v>0</v>
      </c>
      <c r="Y3551" t="s">
        <v>101</v>
      </c>
      <c r="AA3551" t="s">
        <v>10974</v>
      </c>
      <c r="AB3551" t="s">
        <v>395</v>
      </c>
      <c r="AD3551" t="s">
        <v>11100</v>
      </c>
      <c r="AF3551" t="s">
        <v>10384</v>
      </c>
      <c r="AH3551" t="s">
        <v>10974</v>
      </c>
      <c r="AJ3551" t="s">
        <v>11104</v>
      </c>
      <c r="AK3551" t="s">
        <v>7225</v>
      </c>
      <c r="AM3551">
        <v>888.58</v>
      </c>
      <c r="AO3551">
        <v>359</v>
      </c>
      <c r="AQ3551" t="s">
        <v>11157</v>
      </c>
      <c r="AR3551" t="s">
        <v>11172</v>
      </c>
      <c r="AU3551">
        <v>11</v>
      </c>
      <c r="AW3551" t="s">
        <v>11187</v>
      </c>
      <c r="AY3551" t="s">
        <v>11213</v>
      </c>
      <c r="AZ3551" t="s">
        <v>11221</v>
      </c>
      <c r="BA3551" t="s">
        <v>11173</v>
      </c>
      <c r="BD3551" t="s">
        <v>11667</v>
      </c>
      <c r="BF3551" t="s">
        <v>14364</v>
      </c>
      <c r="BM3551" t="s">
        <v>15650</v>
      </c>
    </row>
    <row r="3552" spans="1:65">
      <c r="A3552" s="1">
        <f>HYPERLINK("https://lsnyc.legalserver.org/matter/dynamic-profile/view/1891616","19-1891616")</f>
        <v>0</v>
      </c>
      <c r="B3552" t="s">
        <v>197</v>
      </c>
      <c r="C3552" t="s">
        <v>248</v>
      </c>
      <c r="D3552" t="s">
        <v>515</v>
      </c>
      <c r="F3552" t="s">
        <v>2487</v>
      </c>
      <c r="G3552" t="s">
        <v>4316</v>
      </c>
      <c r="H3552" t="s">
        <v>5124</v>
      </c>
      <c r="I3552" t="s">
        <v>7013</v>
      </c>
      <c r="J3552" t="s">
        <v>7174</v>
      </c>
      <c r="K3552">
        <v>11233</v>
      </c>
      <c r="N3552" t="s">
        <v>7237</v>
      </c>
      <c r="O3552" t="s">
        <v>9504</v>
      </c>
      <c r="P3552">
        <v>2</v>
      </c>
      <c r="Q3552">
        <v>0</v>
      </c>
      <c r="R3552">
        <v>384.39</v>
      </c>
      <c r="S3552" t="s">
        <v>776</v>
      </c>
      <c r="T3552" t="s">
        <v>10276</v>
      </c>
      <c r="U3552">
        <v>65000</v>
      </c>
      <c r="V3552" t="s">
        <v>10650</v>
      </c>
      <c r="W3552">
        <v>0</v>
      </c>
      <c r="Y3552" t="s">
        <v>101</v>
      </c>
      <c r="AA3552" t="s">
        <v>10974</v>
      </c>
      <c r="AB3552" t="s">
        <v>395</v>
      </c>
      <c r="AD3552" t="s">
        <v>11100</v>
      </c>
      <c r="AF3552" t="s">
        <v>10384</v>
      </c>
      <c r="AH3552" t="s">
        <v>10974</v>
      </c>
      <c r="AJ3552" t="s">
        <v>11104</v>
      </c>
      <c r="AK3552" t="s">
        <v>7225</v>
      </c>
      <c r="AM3552">
        <v>1534.37</v>
      </c>
      <c r="AO3552">
        <v>359</v>
      </c>
      <c r="AQ3552" t="s">
        <v>11157</v>
      </c>
      <c r="AS3552" t="s">
        <v>11173</v>
      </c>
      <c r="AU3552">
        <v>3</v>
      </c>
      <c r="AW3552" t="s">
        <v>11187</v>
      </c>
      <c r="AY3552" t="s">
        <v>11213</v>
      </c>
      <c r="AZ3552" t="s">
        <v>11221</v>
      </c>
      <c r="BD3552" t="s">
        <v>11667</v>
      </c>
      <c r="BF3552" t="s">
        <v>14364</v>
      </c>
      <c r="BM3552" t="s">
        <v>15650</v>
      </c>
    </row>
    <row r="3553" spans="1:65">
      <c r="A3553" s="1">
        <f>HYPERLINK("https://lsnyc.legalserver.org/matter/dynamic-profile/view/1891444","19-1891444")</f>
        <v>0</v>
      </c>
      <c r="B3553" t="s">
        <v>197</v>
      </c>
      <c r="C3553" t="s">
        <v>248</v>
      </c>
      <c r="D3553" t="s">
        <v>636</v>
      </c>
      <c r="F3553" t="s">
        <v>2488</v>
      </c>
      <c r="G3553" t="s">
        <v>3802</v>
      </c>
      <c r="H3553" t="s">
        <v>5124</v>
      </c>
      <c r="I3553" t="s">
        <v>6552</v>
      </c>
      <c r="J3553" t="s">
        <v>7174</v>
      </c>
      <c r="K3553">
        <v>11233</v>
      </c>
      <c r="N3553" t="s">
        <v>7237</v>
      </c>
      <c r="O3553" t="s">
        <v>7997</v>
      </c>
      <c r="P3553">
        <v>1</v>
      </c>
      <c r="Q3553">
        <v>0</v>
      </c>
      <c r="R3553">
        <v>320.26</v>
      </c>
      <c r="S3553" t="s">
        <v>776</v>
      </c>
      <c r="T3553" t="s">
        <v>10276</v>
      </c>
      <c r="U3553">
        <v>40000</v>
      </c>
      <c r="V3553" t="s">
        <v>10651</v>
      </c>
      <c r="W3553">
        <v>0</v>
      </c>
      <c r="Y3553" t="s">
        <v>101</v>
      </c>
      <c r="AA3553" t="s">
        <v>10974</v>
      </c>
      <c r="AB3553" t="s">
        <v>395</v>
      </c>
      <c r="AD3553" t="s">
        <v>11100</v>
      </c>
      <c r="AF3553" t="s">
        <v>10384</v>
      </c>
      <c r="AH3553" t="s">
        <v>10974</v>
      </c>
      <c r="AJ3553" t="s">
        <v>11134</v>
      </c>
      <c r="AK3553" t="s">
        <v>7225</v>
      </c>
      <c r="AM3553">
        <v>628</v>
      </c>
      <c r="AO3553">
        <v>764</v>
      </c>
      <c r="AQ3553" t="s">
        <v>11157</v>
      </c>
      <c r="AS3553" t="s">
        <v>11173</v>
      </c>
      <c r="AU3553">
        <v>18</v>
      </c>
      <c r="AW3553" t="s">
        <v>11187</v>
      </c>
      <c r="AY3553" t="s">
        <v>11213</v>
      </c>
      <c r="AZ3553" t="s">
        <v>11221</v>
      </c>
      <c r="BE3553" t="s">
        <v>13665</v>
      </c>
      <c r="BF3553" t="s">
        <v>14364</v>
      </c>
      <c r="BM3553" t="s">
        <v>15650</v>
      </c>
    </row>
    <row r="3554" spans="1:65">
      <c r="A3554" s="1">
        <f>HYPERLINK("https://lsnyc.legalserver.org/matter/dynamic-profile/view/1892854","19-1892854")</f>
        <v>0</v>
      </c>
      <c r="B3554" t="s">
        <v>197</v>
      </c>
      <c r="C3554" t="s">
        <v>248</v>
      </c>
      <c r="D3554" t="s">
        <v>319</v>
      </c>
      <c r="F3554" t="s">
        <v>1769</v>
      </c>
      <c r="G3554" t="s">
        <v>3333</v>
      </c>
      <c r="H3554" t="s">
        <v>5940</v>
      </c>
      <c r="I3554" t="s">
        <v>7014</v>
      </c>
      <c r="J3554" t="s">
        <v>7174</v>
      </c>
      <c r="K3554">
        <v>11233</v>
      </c>
      <c r="N3554" t="s">
        <v>7237</v>
      </c>
      <c r="O3554" t="s">
        <v>8342</v>
      </c>
      <c r="P3554">
        <v>1</v>
      </c>
      <c r="Q3554">
        <v>0</v>
      </c>
      <c r="R3554">
        <v>344.28</v>
      </c>
      <c r="S3554" t="s">
        <v>776</v>
      </c>
      <c r="T3554" t="s">
        <v>10276</v>
      </c>
      <c r="U3554">
        <v>43000</v>
      </c>
      <c r="V3554" t="s">
        <v>10652</v>
      </c>
      <c r="W3554">
        <v>0</v>
      </c>
      <c r="Y3554" t="s">
        <v>101</v>
      </c>
      <c r="AA3554" t="s">
        <v>10974</v>
      </c>
      <c r="AB3554" t="s">
        <v>395</v>
      </c>
      <c r="AD3554" t="s">
        <v>11100</v>
      </c>
      <c r="AF3554" t="s">
        <v>10384</v>
      </c>
      <c r="AH3554" t="s">
        <v>10974</v>
      </c>
      <c r="AJ3554" t="s">
        <v>11104</v>
      </c>
      <c r="AK3554" t="s">
        <v>7225</v>
      </c>
      <c r="AM3554">
        <v>833</v>
      </c>
      <c r="AN3554" t="s">
        <v>11151</v>
      </c>
      <c r="AO3554" t="s">
        <v>11153</v>
      </c>
      <c r="AQ3554" t="s">
        <v>11157</v>
      </c>
      <c r="AR3554" t="s">
        <v>11172</v>
      </c>
      <c r="AU3554">
        <v>1</v>
      </c>
      <c r="AW3554" t="s">
        <v>11187</v>
      </c>
      <c r="AY3554" t="s">
        <v>11213</v>
      </c>
      <c r="AZ3554" t="s">
        <v>11221</v>
      </c>
      <c r="BD3554" t="s">
        <v>11667</v>
      </c>
      <c r="BF3554" t="s">
        <v>14364</v>
      </c>
      <c r="BM3554" t="s">
        <v>15650</v>
      </c>
    </row>
    <row r="3555" spans="1:65">
      <c r="A3555" s="1">
        <f>HYPERLINK("https://lsnyc.legalserver.org/matter/dynamic-profile/view/1856019","18-1856019")</f>
        <v>0</v>
      </c>
      <c r="B3555" t="s">
        <v>197</v>
      </c>
      <c r="C3555" t="s">
        <v>248</v>
      </c>
      <c r="D3555" t="s">
        <v>673</v>
      </c>
      <c r="E3555" t="s">
        <v>449</v>
      </c>
      <c r="F3555" t="s">
        <v>1370</v>
      </c>
      <c r="G3555" t="s">
        <v>4317</v>
      </c>
      <c r="H3555" t="s">
        <v>5945</v>
      </c>
      <c r="I3555" t="s">
        <v>7015</v>
      </c>
      <c r="J3555" t="s">
        <v>7174</v>
      </c>
      <c r="K3555">
        <v>11239</v>
      </c>
      <c r="L3555" t="s">
        <v>7219</v>
      </c>
      <c r="N3555" t="s">
        <v>7237</v>
      </c>
      <c r="O3555" t="s">
        <v>9505</v>
      </c>
      <c r="P3555">
        <v>1</v>
      </c>
      <c r="Q3555">
        <v>0</v>
      </c>
      <c r="R3555">
        <v>118.01</v>
      </c>
      <c r="U3555">
        <v>14232</v>
      </c>
      <c r="W3555">
        <v>66.8</v>
      </c>
      <c r="X3555" t="s">
        <v>301</v>
      </c>
      <c r="Y3555" t="s">
        <v>10913</v>
      </c>
      <c r="AA3555" t="s">
        <v>10974</v>
      </c>
      <c r="AB3555" t="s">
        <v>673</v>
      </c>
      <c r="AD3555" t="s">
        <v>11083</v>
      </c>
      <c r="AF3555" t="s">
        <v>11118</v>
      </c>
      <c r="AH3555" t="s">
        <v>10975</v>
      </c>
      <c r="AJ3555" t="s">
        <v>11128</v>
      </c>
      <c r="AK3555" t="s">
        <v>7225</v>
      </c>
      <c r="AM3555">
        <v>1900</v>
      </c>
      <c r="AO3555">
        <v>152</v>
      </c>
      <c r="AQ3555" t="s">
        <v>11161</v>
      </c>
      <c r="AS3555" t="s">
        <v>11174</v>
      </c>
      <c r="AU3555">
        <v>5</v>
      </c>
      <c r="AW3555" t="s">
        <v>11187</v>
      </c>
      <c r="AZ3555" t="s">
        <v>11221</v>
      </c>
      <c r="BB3555" t="s">
        <v>11224</v>
      </c>
      <c r="BC3555" t="s">
        <v>11542</v>
      </c>
      <c r="BE3555" t="s">
        <v>13666</v>
      </c>
      <c r="BG3555" t="s">
        <v>15235</v>
      </c>
      <c r="BH3555" t="s">
        <v>15605</v>
      </c>
      <c r="BJ3555" t="s">
        <v>15615</v>
      </c>
      <c r="BL3555" t="s">
        <v>15648</v>
      </c>
      <c r="BM3555" t="s">
        <v>15651</v>
      </c>
    </row>
    <row r="3556" spans="1:65">
      <c r="A3556" s="1">
        <f>HYPERLINK("https://lsnyc.legalserver.org/matter/dynamic-profile/view/1876938","18-1876938")</f>
        <v>0</v>
      </c>
      <c r="B3556" t="s">
        <v>197</v>
      </c>
      <c r="C3556" t="s">
        <v>248</v>
      </c>
      <c r="D3556" t="s">
        <v>491</v>
      </c>
      <c r="F3556" t="s">
        <v>2308</v>
      </c>
      <c r="G3556" t="s">
        <v>4115</v>
      </c>
      <c r="H3556" t="s">
        <v>5010</v>
      </c>
      <c r="I3556">
        <v>28</v>
      </c>
      <c r="J3556" t="s">
        <v>7174</v>
      </c>
      <c r="K3556">
        <v>11213</v>
      </c>
      <c r="M3556" t="s">
        <v>7225</v>
      </c>
      <c r="N3556" t="s">
        <v>7237</v>
      </c>
      <c r="O3556" t="s">
        <v>9149</v>
      </c>
      <c r="P3556">
        <v>2</v>
      </c>
      <c r="Q3556">
        <v>0</v>
      </c>
      <c r="R3556">
        <v>395.94</v>
      </c>
      <c r="U3556">
        <v>65172</v>
      </c>
      <c r="W3556">
        <v>32</v>
      </c>
      <c r="X3556" t="s">
        <v>505</v>
      </c>
      <c r="Y3556" t="s">
        <v>243</v>
      </c>
      <c r="AA3556" t="s">
        <v>10974</v>
      </c>
      <c r="AB3556" t="s">
        <v>491</v>
      </c>
      <c r="AD3556" t="s">
        <v>11101</v>
      </c>
      <c r="AF3556" t="s">
        <v>11118</v>
      </c>
      <c r="AH3556" t="s">
        <v>10974</v>
      </c>
      <c r="AJ3556" t="s">
        <v>11141</v>
      </c>
      <c r="AK3556" t="s">
        <v>7225</v>
      </c>
      <c r="AM3556">
        <v>1326</v>
      </c>
      <c r="AO3556">
        <v>31</v>
      </c>
      <c r="AQ3556" t="s">
        <v>11157</v>
      </c>
      <c r="AS3556" t="s">
        <v>11173</v>
      </c>
      <c r="AU3556">
        <v>2</v>
      </c>
      <c r="AW3556" t="s">
        <v>11187</v>
      </c>
      <c r="BA3556" t="s">
        <v>11222</v>
      </c>
      <c r="BB3556" t="s">
        <v>11224</v>
      </c>
      <c r="BC3556" t="s">
        <v>11482</v>
      </c>
      <c r="BE3556" t="s">
        <v>13375</v>
      </c>
      <c r="BG3556" t="s">
        <v>14508</v>
      </c>
      <c r="BM3556" t="s">
        <v>15650</v>
      </c>
    </row>
    <row r="3557" spans="1:65">
      <c r="A3557" s="1">
        <f>HYPERLINK("https://lsnyc.legalserver.org/matter/dynamic-profile/view/1891485","19-1891485")</f>
        <v>0</v>
      </c>
      <c r="B3557" t="s">
        <v>197</v>
      </c>
      <c r="C3557" t="s">
        <v>248</v>
      </c>
      <c r="D3557" t="s">
        <v>636</v>
      </c>
      <c r="F3557" t="s">
        <v>2489</v>
      </c>
      <c r="G3557" t="s">
        <v>3079</v>
      </c>
      <c r="H3557" t="s">
        <v>5124</v>
      </c>
      <c r="I3557" t="s">
        <v>6440</v>
      </c>
      <c r="J3557" t="s">
        <v>7174</v>
      </c>
      <c r="K3557">
        <v>11233</v>
      </c>
      <c r="N3557" t="s">
        <v>7237</v>
      </c>
      <c r="O3557" t="s">
        <v>9506</v>
      </c>
      <c r="P3557">
        <v>2</v>
      </c>
      <c r="Q3557">
        <v>0</v>
      </c>
      <c r="R3557">
        <v>435.02</v>
      </c>
      <c r="U3557">
        <v>73562</v>
      </c>
      <c r="V3557" t="s">
        <v>10653</v>
      </c>
      <c r="W3557">
        <v>0</v>
      </c>
      <c r="Y3557" t="s">
        <v>101</v>
      </c>
      <c r="AA3557" t="s">
        <v>10974</v>
      </c>
      <c r="AB3557" t="s">
        <v>395</v>
      </c>
      <c r="AD3557" t="s">
        <v>11100</v>
      </c>
      <c r="AF3557" t="s">
        <v>10384</v>
      </c>
      <c r="AH3557" t="s">
        <v>10974</v>
      </c>
      <c r="AJ3557" t="s">
        <v>11140</v>
      </c>
      <c r="AK3557" t="s">
        <v>7225</v>
      </c>
      <c r="AM3557">
        <v>1016</v>
      </c>
      <c r="AO3557">
        <v>359</v>
      </c>
      <c r="AQ3557" t="s">
        <v>11157</v>
      </c>
      <c r="AS3557" t="s">
        <v>11173</v>
      </c>
      <c r="AU3557">
        <v>30</v>
      </c>
      <c r="AW3557" t="s">
        <v>11187</v>
      </c>
      <c r="AY3557" t="s">
        <v>11213</v>
      </c>
      <c r="AZ3557" t="s">
        <v>11221</v>
      </c>
      <c r="BD3557" t="s">
        <v>11667</v>
      </c>
      <c r="BF3557" t="s">
        <v>14364</v>
      </c>
      <c r="BM3557" t="s">
        <v>15650</v>
      </c>
    </row>
    <row r="3558" spans="1:65">
      <c r="A3558" s="1">
        <f>HYPERLINK("https://lsnyc.legalserver.org/matter/dynamic-profile/view/1902045","19-1902045")</f>
        <v>0</v>
      </c>
      <c r="B3558" t="s">
        <v>197</v>
      </c>
      <c r="C3558" t="s">
        <v>248</v>
      </c>
      <c r="D3558" t="s">
        <v>590</v>
      </c>
      <c r="F3558" t="s">
        <v>2490</v>
      </c>
      <c r="G3558" t="s">
        <v>4318</v>
      </c>
      <c r="H3558" t="s">
        <v>5940</v>
      </c>
      <c r="I3558" t="s">
        <v>7016</v>
      </c>
      <c r="J3558" t="s">
        <v>7174</v>
      </c>
      <c r="K3558">
        <v>11233</v>
      </c>
      <c r="N3558" t="s">
        <v>7237</v>
      </c>
      <c r="O3558" t="s">
        <v>9507</v>
      </c>
      <c r="P3558">
        <v>2</v>
      </c>
      <c r="Q3558">
        <v>0</v>
      </c>
      <c r="R3558">
        <v>55.28</v>
      </c>
      <c r="U3558">
        <v>9348</v>
      </c>
      <c r="V3558" t="s">
        <v>10654</v>
      </c>
      <c r="W3558">
        <v>0</v>
      </c>
      <c r="Y3558" t="s">
        <v>101</v>
      </c>
      <c r="AA3558" t="s">
        <v>10974</v>
      </c>
      <c r="AB3558" t="s">
        <v>395</v>
      </c>
      <c r="AD3558" t="s">
        <v>11100</v>
      </c>
      <c r="AF3558" t="s">
        <v>10384</v>
      </c>
      <c r="AH3558" t="s">
        <v>10974</v>
      </c>
      <c r="AJ3558" t="s">
        <v>11104</v>
      </c>
      <c r="AK3558" t="s">
        <v>7225</v>
      </c>
      <c r="AM3558">
        <v>879</v>
      </c>
      <c r="AO3558">
        <v>359</v>
      </c>
      <c r="AQ3558" t="s">
        <v>11157</v>
      </c>
      <c r="AR3558" t="s">
        <v>11172</v>
      </c>
      <c r="AU3558">
        <v>40</v>
      </c>
      <c r="AW3558" t="s">
        <v>11187</v>
      </c>
      <c r="AY3558" t="s">
        <v>11213</v>
      </c>
      <c r="AZ3558" t="s">
        <v>11221</v>
      </c>
      <c r="BA3558" t="s">
        <v>11173</v>
      </c>
      <c r="BD3558" t="s">
        <v>11667</v>
      </c>
      <c r="BF3558" t="s">
        <v>14364</v>
      </c>
      <c r="BG3558" t="s">
        <v>11086</v>
      </c>
      <c r="BM3558" t="s">
        <v>15650</v>
      </c>
    </row>
    <row r="3559" spans="1:65">
      <c r="A3559" s="1">
        <f>HYPERLINK("https://lsnyc.legalserver.org/matter/dynamic-profile/view/1902042","19-1902042")</f>
        <v>0</v>
      </c>
      <c r="B3559" t="s">
        <v>197</v>
      </c>
      <c r="C3559" t="s">
        <v>248</v>
      </c>
      <c r="D3559" t="s">
        <v>590</v>
      </c>
      <c r="F3559" t="s">
        <v>2490</v>
      </c>
      <c r="G3559" t="s">
        <v>4318</v>
      </c>
      <c r="H3559" t="s">
        <v>5940</v>
      </c>
      <c r="I3559" t="s">
        <v>7016</v>
      </c>
      <c r="J3559" t="s">
        <v>7174</v>
      </c>
      <c r="K3559">
        <v>11233</v>
      </c>
      <c r="N3559" t="s">
        <v>7237</v>
      </c>
      <c r="O3559" t="s">
        <v>9507</v>
      </c>
      <c r="P3559">
        <v>2</v>
      </c>
      <c r="Q3559">
        <v>0</v>
      </c>
      <c r="R3559">
        <v>55.28</v>
      </c>
      <c r="U3559">
        <v>9348</v>
      </c>
      <c r="V3559" t="s">
        <v>10570</v>
      </c>
      <c r="W3559">
        <v>0</v>
      </c>
      <c r="Y3559" t="s">
        <v>101</v>
      </c>
      <c r="AA3559" t="s">
        <v>10974</v>
      </c>
      <c r="AB3559" t="s">
        <v>874</v>
      </c>
      <c r="AD3559" t="s">
        <v>11098</v>
      </c>
      <c r="AF3559" t="s">
        <v>11122</v>
      </c>
      <c r="AH3559" t="s">
        <v>10974</v>
      </c>
      <c r="AJ3559" t="s">
        <v>11104</v>
      </c>
      <c r="AK3559" t="s">
        <v>7225</v>
      </c>
      <c r="AM3559">
        <v>879</v>
      </c>
      <c r="AO3559">
        <v>359</v>
      </c>
      <c r="AQ3559" t="s">
        <v>11157</v>
      </c>
      <c r="AR3559" t="s">
        <v>11172</v>
      </c>
      <c r="AU3559">
        <v>40</v>
      </c>
      <c r="AW3559" t="s">
        <v>11187</v>
      </c>
      <c r="AY3559" t="s">
        <v>11213</v>
      </c>
      <c r="AZ3559" t="s">
        <v>11221</v>
      </c>
      <c r="BA3559" t="s">
        <v>11173</v>
      </c>
      <c r="BD3559" t="s">
        <v>11667</v>
      </c>
      <c r="BF3559" t="s">
        <v>14364</v>
      </c>
      <c r="BG3559" t="s">
        <v>15229</v>
      </c>
      <c r="BM3559" t="s">
        <v>15650</v>
      </c>
    </row>
    <row r="3560" spans="1:65">
      <c r="A3560" s="1">
        <f>HYPERLINK("https://lsnyc.legalserver.org/matter/dynamic-profile/view/1897704","19-1897704")</f>
        <v>0</v>
      </c>
      <c r="B3560" t="s">
        <v>197</v>
      </c>
      <c r="C3560" t="s">
        <v>248</v>
      </c>
      <c r="D3560" t="s">
        <v>633</v>
      </c>
      <c r="F3560" t="s">
        <v>2491</v>
      </c>
      <c r="G3560" t="s">
        <v>4319</v>
      </c>
      <c r="H3560" t="s">
        <v>5940</v>
      </c>
      <c r="I3560" t="s">
        <v>7017</v>
      </c>
      <c r="J3560" t="s">
        <v>7174</v>
      </c>
      <c r="K3560">
        <v>11233</v>
      </c>
      <c r="N3560" t="s">
        <v>7237</v>
      </c>
      <c r="O3560" t="s">
        <v>9508</v>
      </c>
      <c r="P3560">
        <v>4</v>
      </c>
      <c r="Q3560">
        <v>2</v>
      </c>
      <c r="R3560">
        <v>130.1</v>
      </c>
      <c r="U3560">
        <v>45000</v>
      </c>
      <c r="V3560" t="s">
        <v>10655</v>
      </c>
      <c r="W3560">
        <v>0</v>
      </c>
      <c r="Y3560" t="s">
        <v>101</v>
      </c>
      <c r="AA3560" t="s">
        <v>10974</v>
      </c>
      <c r="AB3560" t="s">
        <v>395</v>
      </c>
      <c r="AD3560" t="s">
        <v>11100</v>
      </c>
      <c r="AF3560" t="s">
        <v>10384</v>
      </c>
      <c r="AH3560" t="s">
        <v>10974</v>
      </c>
      <c r="AJ3560" t="s">
        <v>11104</v>
      </c>
      <c r="AK3560" t="s">
        <v>7225</v>
      </c>
      <c r="AM3560">
        <v>1330</v>
      </c>
      <c r="AO3560">
        <v>359</v>
      </c>
      <c r="AQ3560" t="s">
        <v>11157</v>
      </c>
      <c r="AR3560" t="s">
        <v>11172</v>
      </c>
      <c r="AU3560">
        <v>24</v>
      </c>
      <c r="AW3560" t="s">
        <v>11104</v>
      </c>
      <c r="AY3560" t="s">
        <v>11213</v>
      </c>
      <c r="AZ3560" t="s">
        <v>11221</v>
      </c>
      <c r="BD3560" t="s">
        <v>11667</v>
      </c>
      <c r="BF3560" t="s">
        <v>14364</v>
      </c>
      <c r="BM3560" t="s">
        <v>15650</v>
      </c>
    </row>
    <row r="3561" spans="1:65">
      <c r="A3561" s="1">
        <f>HYPERLINK("https://lsnyc.legalserver.org/matter/dynamic-profile/view/1897702","19-1897702")</f>
        <v>0</v>
      </c>
      <c r="B3561" t="s">
        <v>197</v>
      </c>
      <c r="C3561" t="s">
        <v>248</v>
      </c>
      <c r="D3561" t="s">
        <v>633</v>
      </c>
      <c r="F3561" t="s">
        <v>2491</v>
      </c>
      <c r="G3561" t="s">
        <v>4319</v>
      </c>
      <c r="H3561" t="s">
        <v>5940</v>
      </c>
      <c r="I3561" t="s">
        <v>7017</v>
      </c>
      <c r="J3561" t="s">
        <v>7174</v>
      </c>
      <c r="K3561">
        <v>11233</v>
      </c>
      <c r="N3561" t="s">
        <v>7237</v>
      </c>
      <c r="O3561" t="s">
        <v>9508</v>
      </c>
      <c r="P3561">
        <v>4</v>
      </c>
      <c r="Q3561">
        <v>2</v>
      </c>
      <c r="R3561">
        <v>130.1</v>
      </c>
      <c r="U3561">
        <v>45000</v>
      </c>
      <c r="V3561" t="s">
        <v>10656</v>
      </c>
      <c r="W3561">
        <v>0</v>
      </c>
      <c r="Y3561" t="s">
        <v>101</v>
      </c>
      <c r="AA3561" t="s">
        <v>10974</v>
      </c>
      <c r="AB3561" t="s">
        <v>874</v>
      </c>
      <c r="AD3561" t="s">
        <v>11098</v>
      </c>
      <c r="AF3561" t="s">
        <v>11122</v>
      </c>
      <c r="AH3561" t="s">
        <v>10974</v>
      </c>
      <c r="AJ3561" t="s">
        <v>11104</v>
      </c>
      <c r="AK3561" t="s">
        <v>7225</v>
      </c>
      <c r="AM3561">
        <v>1330</v>
      </c>
      <c r="AO3561">
        <v>359</v>
      </c>
      <c r="AQ3561" t="s">
        <v>11157</v>
      </c>
      <c r="AR3561" t="s">
        <v>11172</v>
      </c>
      <c r="AU3561">
        <v>24</v>
      </c>
      <c r="AW3561" t="s">
        <v>11104</v>
      </c>
      <c r="AY3561" t="s">
        <v>11213</v>
      </c>
      <c r="AZ3561" t="s">
        <v>11221</v>
      </c>
      <c r="BD3561" t="s">
        <v>11667</v>
      </c>
      <c r="BF3561" t="s">
        <v>14364</v>
      </c>
      <c r="BG3561" t="s">
        <v>15229</v>
      </c>
      <c r="BM3561" t="s">
        <v>15650</v>
      </c>
    </row>
    <row r="3562" spans="1:65">
      <c r="A3562" s="1">
        <f>HYPERLINK("https://lsnyc.legalserver.org/matter/dynamic-profile/view/1898370","19-1898370")</f>
        <v>0</v>
      </c>
      <c r="B3562" t="s">
        <v>197</v>
      </c>
      <c r="C3562" t="s">
        <v>248</v>
      </c>
      <c r="D3562" t="s">
        <v>519</v>
      </c>
      <c r="F3562" t="s">
        <v>2492</v>
      </c>
      <c r="G3562" t="s">
        <v>4320</v>
      </c>
      <c r="H3562" t="s">
        <v>5940</v>
      </c>
      <c r="I3562" t="s">
        <v>7018</v>
      </c>
      <c r="J3562" t="s">
        <v>7174</v>
      </c>
      <c r="K3562">
        <v>11233</v>
      </c>
      <c r="N3562" t="s">
        <v>7237</v>
      </c>
      <c r="O3562" t="s">
        <v>9509</v>
      </c>
      <c r="P3562">
        <v>1</v>
      </c>
      <c r="Q3562">
        <v>0</v>
      </c>
      <c r="R3562">
        <v>392.31</v>
      </c>
      <c r="U3562">
        <v>49000</v>
      </c>
      <c r="V3562" t="s">
        <v>10657</v>
      </c>
      <c r="W3562">
        <v>0</v>
      </c>
      <c r="Y3562" t="s">
        <v>101</v>
      </c>
      <c r="AA3562" t="s">
        <v>10974</v>
      </c>
      <c r="AB3562" t="s">
        <v>395</v>
      </c>
      <c r="AD3562" t="s">
        <v>11100</v>
      </c>
      <c r="AF3562" t="s">
        <v>10384</v>
      </c>
      <c r="AH3562" t="s">
        <v>10974</v>
      </c>
      <c r="AJ3562" t="s">
        <v>11104</v>
      </c>
      <c r="AK3562" t="s">
        <v>7225</v>
      </c>
      <c r="AM3562">
        <v>629.15</v>
      </c>
      <c r="AO3562">
        <v>359</v>
      </c>
      <c r="AQ3562" t="s">
        <v>11157</v>
      </c>
      <c r="AR3562" t="s">
        <v>11172</v>
      </c>
      <c r="AU3562">
        <v>8</v>
      </c>
      <c r="AW3562" t="s">
        <v>11187</v>
      </c>
      <c r="AY3562" t="s">
        <v>11213</v>
      </c>
      <c r="AZ3562" t="s">
        <v>11221</v>
      </c>
      <c r="BD3562" t="s">
        <v>11667</v>
      </c>
      <c r="BF3562" t="s">
        <v>14364</v>
      </c>
      <c r="BM3562" t="s">
        <v>15650</v>
      </c>
    </row>
    <row r="3563" spans="1:65">
      <c r="A3563" s="1">
        <f>HYPERLINK("https://lsnyc.legalserver.org/matter/dynamic-profile/view/1890550","19-1890550")</f>
        <v>0</v>
      </c>
      <c r="B3563" t="s">
        <v>197</v>
      </c>
      <c r="C3563" t="s">
        <v>248</v>
      </c>
      <c r="D3563" t="s">
        <v>442</v>
      </c>
      <c r="F3563" t="s">
        <v>2489</v>
      </c>
      <c r="G3563" t="s">
        <v>3079</v>
      </c>
      <c r="H3563" t="s">
        <v>5124</v>
      </c>
      <c r="I3563" t="s">
        <v>6440</v>
      </c>
      <c r="J3563" t="s">
        <v>7174</v>
      </c>
      <c r="K3563">
        <v>11233</v>
      </c>
      <c r="N3563" t="s">
        <v>7237</v>
      </c>
      <c r="O3563" t="s">
        <v>9506</v>
      </c>
      <c r="P3563">
        <v>2</v>
      </c>
      <c r="Q3563">
        <v>0</v>
      </c>
      <c r="R3563">
        <v>435.02</v>
      </c>
      <c r="U3563">
        <v>73562</v>
      </c>
      <c r="V3563" t="s">
        <v>10658</v>
      </c>
      <c r="W3563">
        <v>0</v>
      </c>
      <c r="Y3563" t="s">
        <v>225</v>
      </c>
      <c r="AA3563" t="s">
        <v>10974</v>
      </c>
      <c r="AB3563" t="s">
        <v>874</v>
      </c>
      <c r="AD3563" t="s">
        <v>11098</v>
      </c>
      <c r="AF3563" t="s">
        <v>11122</v>
      </c>
      <c r="AH3563" t="s">
        <v>10974</v>
      </c>
      <c r="AJ3563" t="s">
        <v>11140</v>
      </c>
      <c r="AK3563" t="s">
        <v>7225</v>
      </c>
      <c r="AM3563">
        <v>1016</v>
      </c>
      <c r="AO3563">
        <v>359</v>
      </c>
      <c r="AQ3563" t="s">
        <v>11157</v>
      </c>
      <c r="AS3563" t="s">
        <v>11173</v>
      </c>
      <c r="AU3563">
        <v>30</v>
      </c>
      <c r="AW3563" t="s">
        <v>11187</v>
      </c>
      <c r="AY3563" t="s">
        <v>11213</v>
      </c>
      <c r="AZ3563" t="s">
        <v>11221</v>
      </c>
      <c r="BD3563" t="s">
        <v>11667</v>
      </c>
      <c r="BF3563" t="s">
        <v>14364</v>
      </c>
      <c r="BG3563" t="s">
        <v>15229</v>
      </c>
      <c r="BM3563" t="s">
        <v>15650</v>
      </c>
    </row>
    <row r="3564" spans="1:65">
      <c r="A3564" s="1">
        <f>HYPERLINK("https://lsnyc.legalserver.org/matter/dynamic-profile/view/1902056","19-1902056")</f>
        <v>0</v>
      </c>
      <c r="B3564" t="s">
        <v>197</v>
      </c>
      <c r="C3564" t="s">
        <v>248</v>
      </c>
      <c r="D3564" t="s">
        <v>629</v>
      </c>
      <c r="F3564" t="s">
        <v>2356</v>
      </c>
      <c r="G3564" t="s">
        <v>4321</v>
      </c>
      <c r="H3564" t="s">
        <v>4798</v>
      </c>
      <c r="I3564" t="s">
        <v>6406</v>
      </c>
      <c r="J3564" t="s">
        <v>7174</v>
      </c>
      <c r="K3564">
        <v>11233</v>
      </c>
      <c r="N3564" t="s">
        <v>7237</v>
      </c>
      <c r="O3564" t="s">
        <v>9510</v>
      </c>
      <c r="P3564">
        <v>3</v>
      </c>
      <c r="Q3564">
        <v>0</v>
      </c>
      <c r="R3564">
        <v>328.18</v>
      </c>
      <c r="U3564">
        <v>70000</v>
      </c>
      <c r="V3564" t="s">
        <v>10625</v>
      </c>
      <c r="W3564">
        <v>0</v>
      </c>
      <c r="Y3564" t="s">
        <v>101</v>
      </c>
      <c r="AA3564" t="s">
        <v>10974</v>
      </c>
      <c r="AB3564" t="s">
        <v>874</v>
      </c>
      <c r="AD3564" t="s">
        <v>11098</v>
      </c>
      <c r="AF3564" t="s">
        <v>11122</v>
      </c>
      <c r="AH3564" t="s">
        <v>10974</v>
      </c>
      <c r="AJ3564" t="s">
        <v>11104</v>
      </c>
      <c r="AK3564" t="s">
        <v>7225</v>
      </c>
      <c r="AM3564">
        <v>1200</v>
      </c>
      <c r="AO3564">
        <v>359</v>
      </c>
      <c r="AQ3564" t="s">
        <v>11157</v>
      </c>
      <c r="AR3564" t="s">
        <v>11172</v>
      </c>
      <c r="AU3564">
        <v>20</v>
      </c>
      <c r="AW3564" t="s">
        <v>11187</v>
      </c>
      <c r="AY3564" t="s">
        <v>11213</v>
      </c>
      <c r="AZ3564" t="s">
        <v>11221</v>
      </c>
      <c r="BA3564" t="s">
        <v>11173</v>
      </c>
      <c r="BD3564" t="s">
        <v>11667</v>
      </c>
      <c r="BF3564" t="s">
        <v>14364</v>
      </c>
      <c r="BG3564" t="s">
        <v>15228</v>
      </c>
      <c r="BM3564" t="s">
        <v>15650</v>
      </c>
    </row>
    <row r="3565" spans="1:65">
      <c r="A3565" s="1">
        <f>HYPERLINK("https://lsnyc.legalserver.org/matter/dynamic-profile/view/1891865","19-1891865")</f>
        <v>0</v>
      </c>
      <c r="B3565" t="s">
        <v>197</v>
      </c>
      <c r="C3565" t="s">
        <v>248</v>
      </c>
      <c r="D3565" t="s">
        <v>545</v>
      </c>
      <c r="F3565" t="s">
        <v>2493</v>
      </c>
      <c r="G3565" t="s">
        <v>4322</v>
      </c>
      <c r="H3565" t="s">
        <v>4798</v>
      </c>
      <c r="I3565" t="s">
        <v>7019</v>
      </c>
      <c r="J3565" t="s">
        <v>7174</v>
      </c>
      <c r="K3565">
        <v>11233</v>
      </c>
      <c r="N3565" t="s">
        <v>7237</v>
      </c>
      <c r="O3565" t="s">
        <v>8939</v>
      </c>
      <c r="P3565">
        <v>2</v>
      </c>
      <c r="Q3565">
        <v>2</v>
      </c>
      <c r="R3565">
        <v>129.51</v>
      </c>
      <c r="U3565">
        <v>33348</v>
      </c>
      <c r="V3565" t="s">
        <v>10574</v>
      </c>
      <c r="W3565">
        <v>0</v>
      </c>
      <c r="Y3565" t="s">
        <v>225</v>
      </c>
      <c r="AA3565" t="s">
        <v>10974</v>
      </c>
      <c r="AB3565" t="s">
        <v>395</v>
      </c>
      <c r="AD3565" t="s">
        <v>11100</v>
      </c>
      <c r="AF3565" t="s">
        <v>10384</v>
      </c>
      <c r="AH3565" t="s">
        <v>10974</v>
      </c>
      <c r="AI3565" t="s">
        <v>11126</v>
      </c>
      <c r="AK3565" t="s">
        <v>7225</v>
      </c>
      <c r="AM3565">
        <v>915</v>
      </c>
      <c r="AO3565">
        <v>359</v>
      </c>
      <c r="AQ3565" t="s">
        <v>11157</v>
      </c>
      <c r="AS3565" t="s">
        <v>11173</v>
      </c>
      <c r="AU3565">
        <v>6</v>
      </c>
      <c r="AW3565" t="s">
        <v>11187</v>
      </c>
      <c r="AY3565" t="s">
        <v>11213</v>
      </c>
      <c r="AZ3565" t="s">
        <v>11221</v>
      </c>
      <c r="BD3565" t="s">
        <v>11667</v>
      </c>
      <c r="BF3565" t="s">
        <v>14364</v>
      </c>
      <c r="BG3565" t="s">
        <v>11173</v>
      </c>
      <c r="BM3565" t="s">
        <v>15650</v>
      </c>
    </row>
    <row r="3566" spans="1:65">
      <c r="A3566" s="1">
        <f>HYPERLINK("https://lsnyc.legalserver.org/matter/dynamic-profile/view/1891861","19-1891861")</f>
        <v>0</v>
      </c>
      <c r="B3566" t="s">
        <v>197</v>
      </c>
      <c r="C3566" t="s">
        <v>248</v>
      </c>
      <c r="D3566" t="s">
        <v>545</v>
      </c>
      <c r="F3566" t="s">
        <v>1491</v>
      </c>
      <c r="G3566" t="s">
        <v>4323</v>
      </c>
      <c r="H3566" t="s">
        <v>4798</v>
      </c>
      <c r="I3566" t="s">
        <v>7020</v>
      </c>
      <c r="J3566" t="s">
        <v>7174</v>
      </c>
      <c r="K3566">
        <v>11233</v>
      </c>
      <c r="N3566" t="s">
        <v>7237</v>
      </c>
      <c r="O3566" t="s">
        <v>9511</v>
      </c>
      <c r="P3566">
        <v>1</v>
      </c>
      <c r="Q3566">
        <v>0</v>
      </c>
      <c r="R3566">
        <v>504.4</v>
      </c>
      <c r="U3566">
        <v>63000</v>
      </c>
      <c r="V3566" t="s">
        <v>10659</v>
      </c>
      <c r="W3566">
        <v>0</v>
      </c>
      <c r="Y3566" t="s">
        <v>225</v>
      </c>
      <c r="AA3566" t="s">
        <v>10974</v>
      </c>
      <c r="AB3566" t="s">
        <v>395</v>
      </c>
      <c r="AD3566" t="s">
        <v>11100</v>
      </c>
      <c r="AF3566" t="s">
        <v>10384</v>
      </c>
      <c r="AH3566" t="s">
        <v>10974</v>
      </c>
      <c r="AI3566" t="s">
        <v>11126</v>
      </c>
      <c r="AK3566" t="s">
        <v>7225</v>
      </c>
      <c r="AM3566">
        <v>680</v>
      </c>
      <c r="AO3566">
        <v>359</v>
      </c>
      <c r="AQ3566" t="s">
        <v>11157</v>
      </c>
      <c r="AS3566" t="s">
        <v>11173</v>
      </c>
      <c r="AU3566">
        <v>3</v>
      </c>
      <c r="AW3566" t="s">
        <v>11187</v>
      </c>
      <c r="AY3566" t="s">
        <v>11213</v>
      </c>
      <c r="AZ3566" t="s">
        <v>11221</v>
      </c>
      <c r="BD3566" t="s">
        <v>11667</v>
      </c>
      <c r="BF3566" t="s">
        <v>14364</v>
      </c>
      <c r="BG3566" t="s">
        <v>11173</v>
      </c>
      <c r="BM3566" t="s">
        <v>15650</v>
      </c>
    </row>
    <row r="3567" spans="1:65">
      <c r="A3567" s="1">
        <f>HYPERLINK("https://lsnyc.legalserver.org/matter/dynamic-profile/view/1890552","19-1890552")</f>
        <v>0</v>
      </c>
      <c r="B3567" t="s">
        <v>197</v>
      </c>
      <c r="C3567" t="s">
        <v>248</v>
      </c>
      <c r="D3567" t="s">
        <v>442</v>
      </c>
      <c r="F3567" t="s">
        <v>1491</v>
      </c>
      <c r="G3567" t="s">
        <v>4323</v>
      </c>
      <c r="H3567" t="s">
        <v>4798</v>
      </c>
      <c r="I3567" t="s">
        <v>7020</v>
      </c>
      <c r="J3567" t="s">
        <v>7174</v>
      </c>
      <c r="K3567">
        <v>11233</v>
      </c>
      <c r="N3567" t="s">
        <v>7237</v>
      </c>
      <c r="O3567" t="s">
        <v>9511</v>
      </c>
      <c r="P3567">
        <v>1</v>
      </c>
      <c r="Q3567">
        <v>0</v>
      </c>
      <c r="R3567">
        <v>504.4</v>
      </c>
      <c r="U3567">
        <v>63000</v>
      </c>
      <c r="V3567" t="s">
        <v>10660</v>
      </c>
      <c r="W3567">
        <v>0</v>
      </c>
      <c r="Y3567" t="s">
        <v>101</v>
      </c>
      <c r="AA3567" t="s">
        <v>10974</v>
      </c>
      <c r="AB3567" t="s">
        <v>874</v>
      </c>
      <c r="AD3567" t="s">
        <v>11098</v>
      </c>
      <c r="AF3567" t="s">
        <v>11122</v>
      </c>
      <c r="AH3567" t="s">
        <v>10974</v>
      </c>
      <c r="AJ3567" t="s">
        <v>11104</v>
      </c>
      <c r="AK3567" t="s">
        <v>7225</v>
      </c>
      <c r="AM3567">
        <v>680</v>
      </c>
      <c r="AO3567">
        <v>359</v>
      </c>
      <c r="AQ3567" t="s">
        <v>11157</v>
      </c>
      <c r="AS3567" t="s">
        <v>11173</v>
      </c>
      <c r="AU3567">
        <v>3</v>
      </c>
      <c r="AW3567" t="s">
        <v>11187</v>
      </c>
      <c r="AY3567" t="s">
        <v>11213</v>
      </c>
      <c r="AZ3567" t="s">
        <v>11221</v>
      </c>
      <c r="BD3567" t="s">
        <v>11667</v>
      </c>
      <c r="BF3567" t="s">
        <v>14364</v>
      </c>
      <c r="BG3567" t="s">
        <v>15228</v>
      </c>
      <c r="BM3567" t="s">
        <v>15650</v>
      </c>
    </row>
    <row r="3568" spans="1:65">
      <c r="A3568" s="1">
        <f>HYPERLINK("https://lsnyc.legalserver.org/matter/dynamic-profile/view/1902152","19-1902152")</f>
        <v>0</v>
      </c>
      <c r="B3568" t="s">
        <v>197</v>
      </c>
      <c r="C3568" t="s">
        <v>248</v>
      </c>
      <c r="D3568" t="s">
        <v>629</v>
      </c>
      <c r="F3568" t="s">
        <v>2356</v>
      </c>
      <c r="G3568" t="s">
        <v>4321</v>
      </c>
      <c r="H3568" t="s">
        <v>4798</v>
      </c>
      <c r="I3568" t="s">
        <v>6406</v>
      </c>
      <c r="J3568" t="s">
        <v>7174</v>
      </c>
      <c r="K3568">
        <v>11233</v>
      </c>
      <c r="N3568" t="s">
        <v>7237</v>
      </c>
      <c r="O3568" t="s">
        <v>9510</v>
      </c>
      <c r="P3568">
        <v>3</v>
      </c>
      <c r="Q3568">
        <v>0</v>
      </c>
      <c r="R3568">
        <v>328.18</v>
      </c>
      <c r="U3568">
        <v>70000</v>
      </c>
      <c r="V3568" t="s">
        <v>10661</v>
      </c>
      <c r="W3568">
        <v>0</v>
      </c>
      <c r="Y3568" t="s">
        <v>101</v>
      </c>
      <c r="AA3568" t="s">
        <v>10974</v>
      </c>
      <c r="AB3568" t="s">
        <v>395</v>
      </c>
      <c r="AD3568" t="s">
        <v>11100</v>
      </c>
      <c r="AF3568" t="s">
        <v>10384</v>
      </c>
      <c r="AH3568" t="s">
        <v>10974</v>
      </c>
      <c r="AJ3568" t="s">
        <v>11104</v>
      </c>
      <c r="AK3568" t="s">
        <v>7225</v>
      </c>
      <c r="AM3568">
        <v>1200</v>
      </c>
      <c r="AO3568">
        <v>359</v>
      </c>
      <c r="AQ3568" t="s">
        <v>11157</v>
      </c>
      <c r="AR3568" t="s">
        <v>11172</v>
      </c>
      <c r="AU3568">
        <v>20</v>
      </c>
      <c r="AW3568" t="s">
        <v>11187</v>
      </c>
      <c r="AY3568" t="s">
        <v>11213</v>
      </c>
      <c r="AZ3568" t="s">
        <v>11221</v>
      </c>
      <c r="BA3568" t="s">
        <v>11173</v>
      </c>
      <c r="BD3568" t="s">
        <v>11667</v>
      </c>
      <c r="BF3568" t="s">
        <v>14364</v>
      </c>
      <c r="BG3568" t="s">
        <v>11086</v>
      </c>
      <c r="BM3568" t="s">
        <v>15650</v>
      </c>
    </row>
    <row r="3569" spans="1:65">
      <c r="A3569" s="1">
        <f>HYPERLINK("https://lsnyc.legalserver.org/matter/dynamic-profile/view/1898399","19-1898399")</f>
        <v>0</v>
      </c>
      <c r="B3569" t="s">
        <v>197</v>
      </c>
      <c r="C3569" t="s">
        <v>248</v>
      </c>
      <c r="D3569" t="s">
        <v>519</v>
      </c>
      <c r="F3569" t="s">
        <v>2494</v>
      </c>
      <c r="G3569" t="s">
        <v>4324</v>
      </c>
      <c r="H3569" t="s">
        <v>4798</v>
      </c>
      <c r="I3569" t="s">
        <v>7021</v>
      </c>
      <c r="J3569" t="s">
        <v>7174</v>
      </c>
      <c r="K3569">
        <v>11233</v>
      </c>
      <c r="N3569" t="s">
        <v>7237</v>
      </c>
      <c r="O3569" t="s">
        <v>9512</v>
      </c>
      <c r="P3569">
        <v>2</v>
      </c>
      <c r="Q3569">
        <v>0</v>
      </c>
      <c r="R3569">
        <v>502.66</v>
      </c>
      <c r="U3569">
        <v>85000</v>
      </c>
      <c r="V3569" t="s">
        <v>10662</v>
      </c>
      <c r="W3569">
        <v>0</v>
      </c>
      <c r="Y3569" t="s">
        <v>101</v>
      </c>
      <c r="AA3569" t="s">
        <v>10974</v>
      </c>
      <c r="AB3569" t="s">
        <v>395</v>
      </c>
      <c r="AD3569" t="s">
        <v>11100</v>
      </c>
      <c r="AF3569" t="s">
        <v>10384</v>
      </c>
      <c r="AH3569" t="s">
        <v>10974</v>
      </c>
      <c r="AJ3569" t="s">
        <v>11104</v>
      </c>
      <c r="AK3569" t="s">
        <v>7225</v>
      </c>
      <c r="AM3569">
        <v>1170.14</v>
      </c>
      <c r="AO3569">
        <v>359</v>
      </c>
      <c r="AQ3569" t="s">
        <v>11157</v>
      </c>
      <c r="AR3569" t="s">
        <v>11172</v>
      </c>
      <c r="AU3569">
        <v>19</v>
      </c>
      <c r="AW3569" t="s">
        <v>11187</v>
      </c>
      <c r="AY3569" t="s">
        <v>11213</v>
      </c>
      <c r="AZ3569" t="s">
        <v>11221</v>
      </c>
      <c r="BD3569" t="s">
        <v>11667</v>
      </c>
      <c r="BF3569" t="s">
        <v>14364</v>
      </c>
      <c r="BM3569" t="s">
        <v>15650</v>
      </c>
    </row>
    <row r="3570" spans="1:65">
      <c r="A3570" s="1">
        <f>HYPERLINK("https://lsnyc.legalserver.org/matter/dynamic-profile/view/1900691","19-1900691")</f>
        <v>0</v>
      </c>
      <c r="B3570" t="s">
        <v>197</v>
      </c>
      <c r="C3570" t="s">
        <v>248</v>
      </c>
      <c r="D3570" t="s">
        <v>582</v>
      </c>
      <c r="F3570" t="s">
        <v>1508</v>
      </c>
      <c r="G3570" t="s">
        <v>4109</v>
      </c>
      <c r="H3570" t="s">
        <v>5010</v>
      </c>
      <c r="I3570">
        <v>34</v>
      </c>
      <c r="J3570" t="s">
        <v>7174</v>
      </c>
      <c r="K3570">
        <v>11213</v>
      </c>
      <c r="N3570" t="s">
        <v>7237</v>
      </c>
      <c r="O3570" t="s">
        <v>9138</v>
      </c>
      <c r="P3570">
        <v>2</v>
      </c>
      <c r="Q3570">
        <v>2</v>
      </c>
      <c r="R3570">
        <v>124.75</v>
      </c>
      <c r="U3570">
        <v>32124</v>
      </c>
      <c r="W3570">
        <v>1.6</v>
      </c>
      <c r="X3570" t="s">
        <v>536</v>
      </c>
      <c r="Y3570" t="s">
        <v>225</v>
      </c>
      <c r="AA3570" t="s">
        <v>10974</v>
      </c>
      <c r="AB3570" t="s">
        <v>633</v>
      </c>
      <c r="AD3570" t="s">
        <v>11086</v>
      </c>
      <c r="AF3570" t="s">
        <v>10384</v>
      </c>
      <c r="AH3570" t="s">
        <v>10974</v>
      </c>
      <c r="AJ3570" t="s">
        <v>11141</v>
      </c>
      <c r="AK3570" t="s">
        <v>7225</v>
      </c>
      <c r="AM3570">
        <v>881.67</v>
      </c>
      <c r="AO3570">
        <v>31</v>
      </c>
      <c r="AQ3570" t="s">
        <v>11157</v>
      </c>
      <c r="AS3570" t="s">
        <v>11173</v>
      </c>
      <c r="AU3570">
        <v>17</v>
      </c>
      <c r="AW3570" t="s">
        <v>11187</v>
      </c>
      <c r="AY3570" t="s">
        <v>11213</v>
      </c>
      <c r="BA3570" t="s">
        <v>11222</v>
      </c>
      <c r="BC3570" t="s">
        <v>11173</v>
      </c>
      <c r="BE3570" t="s">
        <v>13367</v>
      </c>
      <c r="BF3570" t="s">
        <v>14364</v>
      </c>
      <c r="BG3570" t="s">
        <v>11173</v>
      </c>
      <c r="BM3570" t="s">
        <v>15650</v>
      </c>
    </row>
    <row r="3571" spans="1:65">
      <c r="A3571" s="1">
        <f>HYPERLINK("https://lsnyc.legalserver.org/matter/dynamic-profile/view/1913492","19-1913492")</f>
        <v>0</v>
      </c>
      <c r="B3571" t="s">
        <v>197</v>
      </c>
      <c r="C3571" t="s">
        <v>248</v>
      </c>
      <c r="D3571" t="s">
        <v>536</v>
      </c>
      <c r="F3571" t="s">
        <v>1508</v>
      </c>
      <c r="G3571" t="s">
        <v>4109</v>
      </c>
      <c r="H3571" t="s">
        <v>5010</v>
      </c>
      <c r="I3571">
        <v>34</v>
      </c>
      <c r="J3571" t="s">
        <v>7174</v>
      </c>
      <c r="K3571">
        <v>11213</v>
      </c>
      <c r="N3571" t="s">
        <v>7237</v>
      </c>
      <c r="O3571" t="s">
        <v>9138</v>
      </c>
      <c r="P3571">
        <v>2</v>
      </c>
      <c r="Q3571">
        <v>2</v>
      </c>
      <c r="R3571">
        <v>124.75</v>
      </c>
      <c r="U3571">
        <v>32124</v>
      </c>
      <c r="W3571">
        <v>0.2</v>
      </c>
      <c r="X3571" t="s">
        <v>536</v>
      </c>
      <c r="Y3571" t="s">
        <v>197</v>
      </c>
      <c r="AA3571" t="s">
        <v>10974</v>
      </c>
      <c r="AB3571" t="s">
        <v>536</v>
      </c>
      <c r="AD3571" t="s">
        <v>11086</v>
      </c>
      <c r="AF3571" t="s">
        <v>10384</v>
      </c>
      <c r="AH3571" t="s">
        <v>10975</v>
      </c>
      <c r="AJ3571" t="s">
        <v>11129</v>
      </c>
      <c r="AK3571" t="s">
        <v>7225</v>
      </c>
      <c r="AM3571">
        <v>881.67</v>
      </c>
      <c r="AO3571">
        <v>31</v>
      </c>
      <c r="AQ3571" t="s">
        <v>11157</v>
      </c>
      <c r="AS3571" t="s">
        <v>11175</v>
      </c>
      <c r="AU3571">
        <v>17</v>
      </c>
      <c r="AW3571" t="s">
        <v>11187</v>
      </c>
      <c r="AY3571" t="s">
        <v>11213</v>
      </c>
      <c r="BA3571" t="s">
        <v>11222</v>
      </c>
      <c r="BC3571" t="s">
        <v>11173</v>
      </c>
      <c r="BE3571" t="s">
        <v>13367</v>
      </c>
      <c r="BF3571" t="s">
        <v>14364</v>
      </c>
      <c r="BG3571" t="s">
        <v>15236</v>
      </c>
      <c r="BM3571" t="s">
        <v>15650</v>
      </c>
    </row>
    <row r="3572" spans="1:65">
      <c r="A3572" s="1">
        <f>HYPERLINK("https://lsnyc.legalserver.org/matter/dynamic-profile/view/1898394","19-1898394")</f>
        <v>0</v>
      </c>
      <c r="B3572" t="s">
        <v>197</v>
      </c>
      <c r="C3572" t="s">
        <v>248</v>
      </c>
      <c r="D3572" t="s">
        <v>519</v>
      </c>
      <c r="F3572" t="s">
        <v>2494</v>
      </c>
      <c r="G3572" t="s">
        <v>4324</v>
      </c>
      <c r="H3572" t="s">
        <v>4798</v>
      </c>
      <c r="I3572" t="s">
        <v>7021</v>
      </c>
      <c r="J3572" t="s">
        <v>7174</v>
      </c>
      <c r="K3572">
        <v>11233</v>
      </c>
      <c r="N3572" t="s">
        <v>7237</v>
      </c>
      <c r="O3572" t="s">
        <v>9512</v>
      </c>
      <c r="P3572">
        <v>2</v>
      </c>
      <c r="Q3572">
        <v>0</v>
      </c>
      <c r="R3572">
        <v>502.66</v>
      </c>
      <c r="U3572">
        <v>85000</v>
      </c>
      <c r="V3572" t="s">
        <v>10570</v>
      </c>
      <c r="W3572">
        <v>0</v>
      </c>
      <c r="Y3572" t="s">
        <v>101</v>
      </c>
      <c r="AA3572" t="s">
        <v>10974</v>
      </c>
      <c r="AB3572" t="s">
        <v>874</v>
      </c>
      <c r="AD3572" t="s">
        <v>11098</v>
      </c>
      <c r="AF3572" t="s">
        <v>11122</v>
      </c>
      <c r="AH3572" t="s">
        <v>10974</v>
      </c>
      <c r="AJ3572" t="s">
        <v>11104</v>
      </c>
      <c r="AK3572" t="s">
        <v>7225</v>
      </c>
      <c r="AM3572">
        <v>1170.14</v>
      </c>
      <c r="AO3572">
        <v>359</v>
      </c>
      <c r="AQ3572" t="s">
        <v>11157</v>
      </c>
      <c r="AR3572" t="s">
        <v>11172</v>
      </c>
      <c r="AU3572">
        <v>19</v>
      </c>
      <c r="AW3572" t="s">
        <v>11187</v>
      </c>
      <c r="AY3572" t="s">
        <v>11213</v>
      </c>
      <c r="AZ3572" t="s">
        <v>11221</v>
      </c>
      <c r="BD3572" t="s">
        <v>11667</v>
      </c>
      <c r="BF3572" t="s">
        <v>14364</v>
      </c>
      <c r="BG3572" t="s">
        <v>15228</v>
      </c>
      <c r="BM3572" t="s">
        <v>15650</v>
      </c>
    </row>
    <row r="3573" spans="1:65">
      <c r="A3573" s="1">
        <f>HYPERLINK("https://lsnyc.legalserver.org/matter/dynamic-profile/view/1886109","18-1886109")</f>
        <v>0</v>
      </c>
      <c r="B3573" t="s">
        <v>197</v>
      </c>
      <c r="C3573" t="s">
        <v>248</v>
      </c>
      <c r="D3573" t="s">
        <v>405</v>
      </c>
      <c r="F3573" t="s">
        <v>2488</v>
      </c>
      <c r="G3573" t="s">
        <v>3802</v>
      </c>
      <c r="H3573" t="s">
        <v>5124</v>
      </c>
      <c r="I3573" t="s">
        <v>6552</v>
      </c>
      <c r="J3573" t="s">
        <v>7174</v>
      </c>
      <c r="K3573">
        <v>11233</v>
      </c>
      <c r="N3573" t="s">
        <v>7237</v>
      </c>
      <c r="O3573" t="s">
        <v>7997</v>
      </c>
      <c r="P3573">
        <v>1</v>
      </c>
      <c r="Q3573">
        <v>0</v>
      </c>
      <c r="R3573">
        <v>329.49</v>
      </c>
      <c r="S3573" t="s">
        <v>776</v>
      </c>
      <c r="T3573" t="s">
        <v>10276</v>
      </c>
      <c r="U3573">
        <v>40000</v>
      </c>
      <c r="W3573">
        <v>0</v>
      </c>
      <c r="Y3573" t="s">
        <v>225</v>
      </c>
      <c r="AA3573" t="s">
        <v>10974</v>
      </c>
      <c r="AB3573" t="s">
        <v>631</v>
      </c>
      <c r="AD3573" t="s">
        <v>11098</v>
      </c>
      <c r="AF3573" t="s">
        <v>11122</v>
      </c>
      <c r="AH3573" t="s">
        <v>10974</v>
      </c>
      <c r="AJ3573" t="s">
        <v>11134</v>
      </c>
      <c r="AK3573" t="s">
        <v>7225</v>
      </c>
      <c r="AM3573">
        <v>628</v>
      </c>
      <c r="AO3573">
        <v>764</v>
      </c>
      <c r="AQ3573" t="s">
        <v>11157</v>
      </c>
      <c r="AS3573" t="s">
        <v>11173</v>
      </c>
      <c r="AU3573">
        <v>18</v>
      </c>
      <c r="AW3573" t="s">
        <v>11187</v>
      </c>
      <c r="AY3573" t="s">
        <v>11213</v>
      </c>
      <c r="AZ3573" t="s">
        <v>11221</v>
      </c>
      <c r="BC3573" t="s">
        <v>11173</v>
      </c>
      <c r="BE3573" t="s">
        <v>13665</v>
      </c>
      <c r="BF3573" t="s">
        <v>14364</v>
      </c>
      <c r="BG3573" t="s">
        <v>15229</v>
      </c>
      <c r="BM3573" t="s">
        <v>15650</v>
      </c>
    </row>
    <row r="3574" spans="1:65">
      <c r="A3574" s="1">
        <f>HYPERLINK("https://lsnyc.legalserver.org/matter/dynamic-profile/view/1887156","19-1887156")</f>
        <v>0</v>
      </c>
      <c r="B3574" t="s">
        <v>197</v>
      </c>
      <c r="C3574" t="s">
        <v>248</v>
      </c>
      <c r="D3574" t="s">
        <v>785</v>
      </c>
      <c r="F3574" t="s">
        <v>1459</v>
      </c>
      <c r="G3574" t="s">
        <v>4325</v>
      </c>
      <c r="H3574" t="s">
        <v>4798</v>
      </c>
      <c r="I3574" t="s">
        <v>6610</v>
      </c>
      <c r="J3574" t="s">
        <v>7174</v>
      </c>
      <c r="K3574">
        <v>11233</v>
      </c>
      <c r="N3574" t="s">
        <v>7237</v>
      </c>
      <c r="O3574" t="s">
        <v>7772</v>
      </c>
      <c r="P3574">
        <v>1</v>
      </c>
      <c r="Q3574">
        <v>0</v>
      </c>
      <c r="R3574">
        <v>329.49</v>
      </c>
      <c r="U3574">
        <v>40000</v>
      </c>
      <c r="W3574">
        <v>0</v>
      </c>
      <c r="Y3574" t="s">
        <v>225</v>
      </c>
      <c r="AA3574" t="s">
        <v>10974</v>
      </c>
      <c r="AB3574" t="s">
        <v>874</v>
      </c>
      <c r="AD3574" t="s">
        <v>11098</v>
      </c>
      <c r="AF3574" t="s">
        <v>11122</v>
      </c>
      <c r="AH3574" t="s">
        <v>10974</v>
      </c>
      <c r="AI3574" t="s">
        <v>11126</v>
      </c>
      <c r="AK3574" t="s">
        <v>7225</v>
      </c>
      <c r="AL3574" t="s">
        <v>11150</v>
      </c>
      <c r="AM3574">
        <v>0</v>
      </c>
      <c r="AN3574" t="s">
        <v>11151</v>
      </c>
      <c r="AO3574" t="s">
        <v>11153</v>
      </c>
      <c r="AQ3574" t="s">
        <v>11157</v>
      </c>
      <c r="AS3574" t="s">
        <v>11173</v>
      </c>
      <c r="AT3574" t="s">
        <v>11184</v>
      </c>
      <c r="AU3574">
        <v>0</v>
      </c>
      <c r="AW3574" t="s">
        <v>11187</v>
      </c>
      <c r="AY3574" t="s">
        <v>11213</v>
      </c>
      <c r="AZ3574" t="s">
        <v>11221</v>
      </c>
      <c r="BC3574" t="s">
        <v>11173</v>
      </c>
      <c r="BD3574" t="s">
        <v>11667</v>
      </c>
      <c r="BF3574" t="s">
        <v>14364</v>
      </c>
      <c r="BG3574" t="s">
        <v>15228</v>
      </c>
      <c r="BM3574" t="s">
        <v>15650</v>
      </c>
    </row>
    <row r="3575" spans="1:65">
      <c r="A3575" s="1">
        <f>HYPERLINK("https://lsnyc.legalserver.org/matter/dynamic-profile/view/1890567","19-1890567")</f>
        <v>0</v>
      </c>
      <c r="B3575" t="s">
        <v>197</v>
      </c>
      <c r="C3575" t="s">
        <v>248</v>
      </c>
      <c r="D3575" t="s">
        <v>442</v>
      </c>
      <c r="F3575" t="s">
        <v>1277</v>
      </c>
      <c r="G3575" t="s">
        <v>3338</v>
      </c>
      <c r="H3575" t="s">
        <v>4798</v>
      </c>
      <c r="I3575" t="s">
        <v>6989</v>
      </c>
      <c r="J3575" t="s">
        <v>7174</v>
      </c>
      <c r="K3575">
        <v>11233</v>
      </c>
      <c r="N3575" t="s">
        <v>7237</v>
      </c>
      <c r="O3575" t="s">
        <v>9513</v>
      </c>
      <c r="P3575">
        <v>2</v>
      </c>
      <c r="Q3575">
        <v>0</v>
      </c>
      <c r="R3575">
        <v>329.64</v>
      </c>
      <c r="U3575">
        <v>55742</v>
      </c>
      <c r="V3575" t="s">
        <v>10570</v>
      </c>
      <c r="W3575">
        <v>0</v>
      </c>
      <c r="Y3575" t="s">
        <v>101</v>
      </c>
      <c r="AA3575" t="s">
        <v>10974</v>
      </c>
      <c r="AB3575" t="s">
        <v>874</v>
      </c>
      <c r="AD3575" t="s">
        <v>11098</v>
      </c>
      <c r="AF3575" t="s">
        <v>11122</v>
      </c>
      <c r="AH3575" t="s">
        <v>10974</v>
      </c>
      <c r="AJ3575" t="s">
        <v>11104</v>
      </c>
      <c r="AK3575" t="s">
        <v>7225</v>
      </c>
      <c r="AM3575">
        <v>1108.41</v>
      </c>
      <c r="AO3575">
        <v>359</v>
      </c>
      <c r="AQ3575" t="s">
        <v>11157</v>
      </c>
      <c r="AS3575" t="s">
        <v>11173</v>
      </c>
      <c r="AU3575">
        <v>38</v>
      </c>
      <c r="AW3575" t="s">
        <v>11187</v>
      </c>
      <c r="AY3575" t="s">
        <v>11213</v>
      </c>
      <c r="AZ3575" t="s">
        <v>11221</v>
      </c>
      <c r="BD3575" t="s">
        <v>11667</v>
      </c>
      <c r="BF3575" t="s">
        <v>14364</v>
      </c>
      <c r="BG3575" t="s">
        <v>15228</v>
      </c>
      <c r="BM3575" t="s">
        <v>15650</v>
      </c>
    </row>
    <row r="3576" spans="1:65">
      <c r="A3576" s="1">
        <f>HYPERLINK("https://lsnyc.legalserver.org/matter/dynamic-profile/view/1898368","19-1898368")</f>
        <v>0</v>
      </c>
      <c r="B3576" t="s">
        <v>197</v>
      </c>
      <c r="C3576" t="s">
        <v>248</v>
      </c>
      <c r="D3576" t="s">
        <v>519</v>
      </c>
      <c r="F3576" t="s">
        <v>2492</v>
      </c>
      <c r="G3576" t="s">
        <v>4320</v>
      </c>
      <c r="H3576" t="s">
        <v>5940</v>
      </c>
      <c r="I3576" t="s">
        <v>7018</v>
      </c>
      <c r="J3576" t="s">
        <v>7174</v>
      </c>
      <c r="K3576">
        <v>11233</v>
      </c>
      <c r="N3576" t="s">
        <v>7237</v>
      </c>
      <c r="O3576" t="s">
        <v>9509</v>
      </c>
      <c r="P3576">
        <v>1</v>
      </c>
      <c r="Q3576">
        <v>0</v>
      </c>
      <c r="R3576">
        <v>392.31</v>
      </c>
      <c r="U3576">
        <v>49000</v>
      </c>
      <c r="V3576" t="s">
        <v>10570</v>
      </c>
      <c r="W3576">
        <v>0</v>
      </c>
      <c r="Y3576" t="s">
        <v>101</v>
      </c>
      <c r="AA3576" t="s">
        <v>10974</v>
      </c>
      <c r="AB3576" t="s">
        <v>874</v>
      </c>
      <c r="AD3576" t="s">
        <v>11098</v>
      </c>
      <c r="AF3576" t="s">
        <v>11122</v>
      </c>
      <c r="AH3576" t="s">
        <v>10974</v>
      </c>
      <c r="AJ3576" t="s">
        <v>11104</v>
      </c>
      <c r="AK3576" t="s">
        <v>7225</v>
      </c>
      <c r="AM3576">
        <v>629.15</v>
      </c>
      <c r="AO3576">
        <v>359</v>
      </c>
      <c r="AQ3576" t="s">
        <v>11157</v>
      </c>
      <c r="AR3576" t="s">
        <v>11172</v>
      </c>
      <c r="AU3576">
        <v>8</v>
      </c>
      <c r="AW3576" t="s">
        <v>11187</v>
      </c>
      <c r="AY3576" t="s">
        <v>11213</v>
      </c>
      <c r="AZ3576" t="s">
        <v>11221</v>
      </c>
      <c r="BD3576" t="s">
        <v>11667</v>
      </c>
      <c r="BF3576" t="s">
        <v>14364</v>
      </c>
      <c r="BG3576" t="s">
        <v>15229</v>
      </c>
      <c r="BM3576" t="s">
        <v>15650</v>
      </c>
    </row>
    <row r="3577" spans="1:65">
      <c r="A3577" s="1">
        <f>HYPERLINK("https://lsnyc.legalserver.org/matter/dynamic-profile/view/1891869","19-1891869")</f>
        <v>0</v>
      </c>
      <c r="B3577" t="s">
        <v>197</v>
      </c>
      <c r="C3577" t="s">
        <v>248</v>
      </c>
      <c r="D3577" t="s">
        <v>545</v>
      </c>
      <c r="F3577" t="s">
        <v>1277</v>
      </c>
      <c r="G3577" t="s">
        <v>3338</v>
      </c>
      <c r="H3577" t="s">
        <v>4798</v>
      </c>
      <c r="I3577" t="s">
        <v>6989</v>
      </c>
      <c r="J3577" t="s">
        <v>7174</v>
      </c>
      <c r="K3577">
        <v>11233</v>
      </c>
      <c r="N3577" t="s">
        <v>7237</v>
      </c>
      <c r="O3577" t="s">
        <v>9513</v>
      </c>
      <c r="P3577">
        <v>2</v>
      </c>
      <c r="Q3577">
        <v>0</v>
      </c>
      <c r="R3577">
        <v>329.64</v>
      </c>
      <c r="U3577">
        <v>55742</v>
      </c>
      <c r="V3577" t="s">
        <v>10663</v>
      </c>
      <c r="W3577">
        <v>0</v>
      </c>
      <c r="Y3577" t="s">
        <v>225</v>
      </c>
      <c r="AA3577" t="s">
        <v>10974</v>
      </c>
      <c r="AB3577" t="s">
        <v>395</v>
      </c>
      <c r="AD3577" t="s">
        <v>11100</v>
      </c>
      <c r="AF3577" t="s">
        <v>10384</v>
      </c>
      <c r="AH3577" t="s">
        <v>10974</v>
      </c>
      <c r="AI3577" t="s">
        <v>11126</v>
      </c>
      <c r="AK3577" t="s">
        <v>7225</v>
      </c>
      <c r="AM3577">
        <v>1108.41</v>
      </c>
      <c r="AO3577">
        <v>359</v>
      </c>
      <c r="AQ3577" t="s">
        <v>11157</v>
      </c>
      <c r="AS3577" t="s">
        <v>11173</v>
      </c>
      <c r="AU3577">
        <v>38</v>
      </c>
      <c r="AW3577" t="s">
        <v>11187</v>
      </c>
      <c r="AY3577" t="s">
        <v>11213</v>
      </c>
      <c r="AZ3577" t="s">
        <v>11221</v>
      </c>
      <c r="BD3577" t="s">
        <v>11667</v>
      </c>
      <c r="BF3577" t="s">
        <v>14364</v>
      </c>
      <c r="BG3577" t="s">
        <v>11173</v>
      </c>
      <c r="BM3577" t="s">
        <v>15650</v>
      </c>
    </row>
    <row r="3578" spans="1:65">
      <c r="A3578" s="1">
        <f>HYPERLINK("https://lsnyc.legalserver.org/matter/dynamic-profile/view/1913297","19-1913297")</f>
        <v>0</v>
      </c>
      <c r="B3578" t="s">
        <v>197</v>
      </c>
      <c r="C3578" t="s">
        <v>248</v>
      </c>
      <c r="D3578" t="s">
        <v>925</v>
      </c>
      <c r="F3578" t="s">
        <v>1128</v>
      </c>
      <c r="G3578" t="s">
        <v>2724</v>
      </c>
      <c r="H3578" t="s">
        <v>5010</v>
      </c>
      <c r="I3578">
        <v>44</v>
      </c>
      <c r="J3578" t="s">
        <v>7174</v>
      </c>
      <c r="K3578">
        <v>11213</v>
      </c>
      <c r="N3578" t="s">
        <v>7237</v>
      </c>
      <c r="O3578" t="s">
        <v>9148</v>
      </c>
      <c r="P3578">
        <v>1</v>
      </c>
      <c r="Q3578">
        <v>0</v>
      </c>
      <c r="R3578">
        <v>432.35</v>
      </c>
      <c r="U3578">
        <v>54000</v>
      </c>
      <c r="V3578" t="s">
        <v>10664</v>
      </c>
      <c r="W3578">
        <v>0</v>
      </c>
      <c r="Y3578" t="s">
        <v>225</v>
      </c>
      <c r="AA3578" t="s">
        <v>10974</v>
      </c>
      <c r="AB3578" t="s">
        <v>925</v>
      </c>
      <c r="AD3578" t="s">
        <v>11086</v>
      </c>
      <c r="AF3578" t="s">
        <v>10384</v>
      </c>
      <c r="AH3578" t="s">
        <v>10974</v>
      </c>
      <c r="AI3578" t="s">
        <v>11126</v>
      </c>
      <c r="AK3578" t="s">
        <v>7225</v>
      </c>
      <c r="AM3578">
        <v>996.34</v>
      </c>
      <c r="AO3578">
        <v>31</v>
      </c>
      <c r="AQ3578" t="s">
        <v>11157</v>
      </c>
      <c r="AS3578" t="s">
        <v>11173</v>
      </c>
      <c r="AU3578">
        <v>15</v>
      </c>
      <c r="AW3578" t="s">
        <v>11187</v>
      </c>
      <c r="AY3578" t="s">
        <v>11213</v>
      </c>
      <c r="BA3578" t="s">
        <v>11222</v>
      </c>
      <c r="BC3578" t="s">
        <v>11228</v>
      </c>
      <c r="BE3578" t="s">
        <v>13374</v>
      </c>
      <c r="BF3578" t="s">
        <v>14364</v>
      </c>
      <c r="BG3578" t="s">
        <v>11173</v>
      </c>
      <c r="BM3578" t="s">
        <v>15650</v>
      </c>
    </row>
    <row r="3579" spans="1:65">
      <c r="A3579" s="1">
        <f>HYPERLINK("https://lsnyc.legalserver.org/matter/dynamic-profile/view/1898259","19-1898259")</f>
        <v>0</v>
      </c>
      <c r="B3579" t="s">
        <v>197</v>
      </c>
      <c r="C3579" t="s">
        <v>248</v>
      </c>
      <c r="D3579" t="s">
        <v>591</v>
      </c>
      <c r="F3579" t="s">
        <v>2476</v>
      </c>
      <c r="G3579" t="s">
        <v>4297</v>
      </c>
      <c r="H3579" t="s">
        <v>4798</v>
      </c>
      <c r="I3579" t="s">
        <v>6485</v>
      </c>
      <c r="J3579" t="s">
        <v>7174</v>
      </c>
      <c r="K3579">
        <v>11233</v>
      </c>
      <c r="N3579" t="s">
        <v>7237</v>
      </c>
      <c r="O3579" t="s">
        <v>7772</v>
      </c>
      <c r="P3579">
        <v>1</v>
      </c>
      <c r="Q3579">
        <v>0</v>
      </c>
      <c r="R3579">
        <v>312.25</v>
      </c>
      <c r="U3579">
        <v>39000</v>
      </c>
      <c r="V3579" t="s">
        <v>10625</v>
      </c>
      <c r="W3579">
        <v>0</v>
      </c>
      <c r="Y3579" t="s">
        <v>101</v>
      </c>
      <c r="AA3579" t="s">
        <v>10974</v>
      </c>
      <c r="AB3579" t="s">
        <v>874</v>
      </c>
      <c r="AD3579" t="s">
        <v>11098</v>
      </c>
      <c r="AF3579" t="s">
        <v>11122</v>
      </c>
      <c r="AH3579" t="s">
        <v>10974</v>
      </c>
      <c r="AJ3579" t="s">
        <v>11104</v>
      </c>
      <c r="AK3579" t="s">
        <v>7225</v>
      </c>
      <c r="AM3579">
        <v>1872.98</v>
      </c>
      <c r="AO3579">
        <v>359</v>
      </c>
      <c r="AQ3579" t="s">
        <v>11157</v>
      </c>
      <c r="AR3579" t="s">
        <v>11172</v>
      </c>
      <c r="AU3579">
        <v>2</v>
      </c>
      <c r="AW3579" t="s">
        <v>11187</v>
      </c>
      <c r="AY3579" t="s">
        <v>11213</v>
      </c>
      <c r="AZ3579" t="s">
        <v>11221</v>
      </c>
      <c r="BD3579" t="s">
        <v>11667</v>
      </c>
      <c r="BF3579" t="s">
        <v>14364</v>
      </c>
      <c r="BG3579" t="s">
        <v>15228</v>
      </c>
      <c r="BM3579" t="s">
        <v>15650</v>
      </c>
    </row>
    <row r="3580" spans="1:65">
      <c r="A3580" s="1">
        <f>HYPERLINK("https://lsnyc.legalserver.org/matter/dynamic-profile/view/0822904","16-0822904")</f>
        <v>0</v>
      </c>
      <c r="B3580" t="s">
        <v>197</v>
      </c>
      <c r="C3580" t="s">
        <v>248</v>
      </c>
      <c r="D3580" t="s">
        <v>1005</v>
      </c>
      <c r="F3580" t="s">
        <v>1143</v>
      </c>
      <c r="G3580" t="s">
        <v>4326</v>
      </c>
      <c r="H3580" t="s">
        <v>5944</v>
      </c>
      <c r="I3580" t="s">
        <v>6430</v>
      </c>
      <c r="J3580" t="s">
        <v>7174</v>
      </c>
      <c r="K3580">
        <v>11207</v>
      </c>
      <c r="N3580" t="s">
        <v>7237</v>
      </c>
      <c r="O3580" t="s">
        <v>9514</v>
      </c>
      <c r="P3580">
        <v>1</v>
      </c>
      <c r="Q3580">
        <v>0</v>
      </c>
      <c r="R3580">
        <v>505.05</v>
      </c>
      <c r="U3580">
        <v>60000</v>
      </c>
      <c r="W3580">
        <v>2.5</v>
      </c>
      <c r="X3580" t="s">
        <v>684</v>
      </c>
      <c r="Y3580" t="s">
        <v>76</v>
      </c>
      <c r="AA3580" t="s">
        <v>10974</v>
      </c>
      <c r="AB3580" t="s">
        <v>11018</v>
      </c>
      <c r="AD3580" t="s">
        <v>11101</v>
      </c>
      <c r="AF3580" t="s">
        <v>11118</v>
      </c>
      <c r="AH3580" t="s">
        <v>10974</v>
      </c>
      <c r="AJ3580" t="s">
        <v>11129</v>
      </c>
      <c r="AK3580" t="s">
        <v>7225</v>
      </c>
      <c r="AM3580">
        <v>1000</v>
      </c>
      <c r="AO3580">
        <v>6</v>
      </c>
      <c r="AQ3580" t="s">
        <v>11157</v>
      </c>
      <c r="AR3580" t="s">
        <v>11172</v>
      </c>
      <c r="AU3580">
        <v>3</v>
      </c>
      <c r="AW3580" t="s">
        <v>11187</v>
      </c>
      <c r="AZ3580" t="s">
        <v>11221</v>
      </c>
      <c r="BD3580" t="s">
        <v>11667</v>
      </c>
      <c r="BF3580" t="s">
        <v>14364</v>
      </c>
      <c r="BG3580" t="s">
        <v>15234</v>
      </c>
      <c r="BM3580" t="s">
        <v>15650</v>
      </c>
    </row>
    <row r="3581" spans="1:65">
      <c r="A3581" s="1">
        <f>HYPERLINK("https://lsnyc.legalserver.org/matter/dynamic-profile/view/1891460","19-1891460")</f>
        <v>0</v>
      </c>
      <c r="B3581" t="s">
        <v>197</v>
      </c>
      <c r="C3581" t="s">
        <v>248</v>
      </c>
      <c r="D3581" t="s">
        <v>636</v>
      </c>
      <c r="F3581" t="s">
        <v>1860</v>
      </c>
      <c r="G3581" t="s">
        <v>4327</v>
      </c>
      <c r="H3581" t="s">
        <v>5124</v>
      </c>
      <c r="I3581" t="s">
        <v>7022</v>
      </c>
      <c r="J3581" t="s">
        <v>7174</v>
      </c>
      <c r="K3581">
        <v>11233</v>
      </c>
      <c r="N3581" t="s">
        <v>7237</v>
      </c>
      <c r="O3581" t="s">
        <v>9515</v>
      </c>
      <c r="P3581">
        <v>1</v>
      </c>
      <c r="Q3581">
        <v>0</v>
      </c>
      <c r="R3581">
        <v>133.64</v>
      </c>
      <c r="U3581">
        <v>16692</v>
      </c>
      <c r="V3581" t="s">
        <v>10665</v>
      </c>
      <c r="W3581">
        <v>0</v>
      </c>
      <c r="Y3581" t="s">
        <v>101</v>
      </c>
      <c r="AA3581" t="s">
        <v>10974</v>
      </c>
      <c r="AB3581" t="s">
        <v>395</v>
      </c>
      <c r="AD3581" t="s">
        <v>11100</v>
      </c>
      <c r="AF3581" t="s">
        <v>10384</v>
      </c>
      <c r="AH3581" t="s">
        <v>10974</v>
      </c>
      <c r="AJ3581" t="s">
        <v>11132</v>
      </c>
      <c r="AK3581" t="s">
        <v>7225</v>
      </c>
      <c r="AM3581">
        <v>841.4299999999999</v>
      </c>
      <c r="AO3581">
        <v>764</v>
      </c>
      <c r="AQ3581" t="s">
        <v>11157</v>
      </c>
      <c r="AS3581" t="s">
        <v>11174</v>
      </c>
      <c r="AU3581">
        <v>31</v>
      </c>
      <c r="AW3581" t="s">
        <v>11187</v>
      </c>
      <c r="AY3581" t="s">
        <v>11213</v>
      </c>
      <c r="AZ3581" t="s">
        <v>11221</v>
      </c>
      <c r="BE3581" t="s">
        <v>13667</v>
      </c>
      <c r="BF3581" t="s">
        <v>14364</v>
      </c>
      <c r="BM3581" t="s">
        <v>15650</v>
      </c>
    </row>
    <row r="3582" spans="1:65">
      <c r="A3582" s="1">
        <f>HYPERLINK("https://lsnyc.legalserver.org/matter/dynamic-profile/view/1890555","19-1890555")</f>
        <v>0</v>
      </c>
      <c r="B3582" t="s">
        <v>197</v>
      </c>
      <c r="C3582" t="s">
        <v>248</v>
      </c>
      <c r="D3582" t="s">
        <v>442</v>
      </c>
      <c r="F3582" t="s">
        <v>2493</v>
      </c>
      <c r="G3582" t="s">
        <v>4322</v>
      </c>
      <c r="H3582" t="s">
        <v>4798</v>
      </c>
      <c r="I3582" t="s">
        <v>7019</v>
      </c>
      <c r="J3582" t="s">
        <v>7174</v>
      </c>
      <c r="K3582">
        <v>11233</v>
      </c>
      <c r="N3582" t="s">
        <v>7237</v>
      </c>
      <c r="O3582" t="s">
        <v>8939</v>
      </c>
      <c r="P3582">
        <v>2</v>
      </c>
      <c r="Q3582">
        <v>2</v>
      </c>
      <c r="R3582">
        <v>46.6</v>
      </c>
      <c r="U3582">
        <v>12000</v>
      </c>
      <c r="V3582" t="s">
        <v>10666</v>
      </c>
      <c r="W3582">
        <v>0</v>
      </c>
      <c r="Y3582" t="s">
        <v>101</v>
      </c>
      <c r="AA3582" t="s">
        <v>10974</v>
      </c>
      <c r="AB3582" t="s">
        <v>874</v>
      </c>
      <c r="AD3582" t="s">
        <v>11098</v>
      </c>
      <c r="AF3582" t="s">
        <v>11122</v>
      </c>
      <c r="AH3582" t="s">
        <v>10974</v>
      </c>
      <c r="AJ3582" t="s">
        <v>11104</v>
      </c>
      <c r="AK3582" t="s">
        <v>7225</v>
      </c>
      <c r="AM3582">
        <v>915</v>
      </c>
      <c r="AO3582">
        <v>359</v>
      </c>
      <c r="AQ3582" t="s">
        <v>11157</v>
      </c>
      <c r="AS3582" t="s">
        <v>11173</v>
      </c>
      <c r="AU3582">
        <v>6</v>
      </c>
      <c r="AW3582" t="s">
        <v>11187</v>
      </c>
      <c r="AY3582" t="s">
        <v>11213</v>
      </c>
      <c r="AZ3582" t="s">
        <v>11221</v>
      </c>
      <c r="BD3582" t="s">
        <v>11667</v>
      </c>
      <c r="BF3582" t="s">
        <v>14364</v>
      </c>
      <c r="BG3582" t="s">
        <v>15228</v>
      </c>
      <c r="BM3582" t="s">
        <v>15650</v>
      </c>
    </row>
    <row r="3583" spans="1:65">
      <c r="A3583" s="1">
        <f>HYPERLINK("https://lsnyc.legalserver.org/matter/dynamic-profile/view/1892850","19-1892850")</f>
        <v>0</v>
      </c>
      <c r="B3583" t="s">
        <v>197</v>
      </c>
      <c r="C3583" t="s">
        <v>248</v>
      </c>
      <c r="D3583" t="s">
        <v>319</v>
      </c>
      <c r="F3583" t="s">
        <v>1769</v>
      </c>
      <c r="G3583" t="s">
        <v>3333</v>
      </c>
      <c r="H3583" t="s">
        <v>5940</v>
      </c>
      <c r="I3583" t="s">
        <v>7014</v>
      </c>
      <c r="J3583" t="s">
        <v>7174</v>
      </c>
      <c r="K3583">
        <v>11233</v>
      </c>
      <c r="N3583" t="s">
        <v>7237</v>
      </c>
      <c r="O3583" t="s">
        <v>8342</v>
      </c>
      <c r="P3583">
        <v>1</v>
      </c>
      <c r="Q3583">
        <v>0</v>
      </c>
      <c r="R3583">
        <v>344.28</v>
      </c>
      <c r="S3583" t="s">
        <v>776</v>
      </c>
      <c r="T3583" t="s">
        <v>10276</v>
      </c>
      <c r="U3583">
        <v>43000</v>
      </c>
      <c r="V3583" t="s">
        <v>10570</v>
      </c>
      <c r="W3583">
        <v>0</v>
      </c>
      <c r="Y3583" t="s">
        <v>101</v>
      </c>
      <c r="AA3583" t="s">
        <v>10974</v>
      </c>
      <c r="AB3583" t="s">
        <v>874</v>
      </c>
      <c r="AD3583" t="s">
        <v>11098</v>
      </c>
      <c r="AF3583" t="s">
        <v>11122</v>
      </c>
      <c r="AH3583" t="s">
        <v>10974</v>
      </c>
      <c r="AJ3583" t="s">
        <v>11104</v>
      </c>
      <c r="AK3583" t="s">
        <v>7225</v>
      </c>
      <c r="AM3583">
        <v>833</v>
      </c>
      <c r="AO3583">
        <v>359</v>
      </c>
      <c r="AQ3583" t="s">
        <v>11157</v>
      </c>
      <c r="AR3583" t="s">
        <v>11172</v>
      </c>
      <c r="AU3583">
        <v>1</v>
      </c>
      <c r="AW3583" t="s">
        <v>11187</v>
      </c>
      <c r="AY3583" t="s">
        <v>11213</v>
      </c>
      <c r="AZ3583" t="s">
        <v>11221</v>
      </c>
      <c r="BD3583" t="s">
        <v>11667</v>
      </c>
      <c r="BF3583" t="s">
        <v>14364</v>
      </c>
      <c r="BG3583" t="s">
        <v>15229</v>
      </c>
      <c r="BM3583" t="s">
        <v>15650</v>
      </c>
    </row>
    <row r="3584" spans="1:65">
      <c r="A3584" s="1">
        <f>HYPERLINK("https://lsnyc.legalserver.org/matter/dynamic-profile/view/1897517","19-1897517")</f>
        <v>0</v>
      </c>
      <c r="B3584" t="s">
        <v>197</v>
      </c>
      <c r="C3584" t="s">
        <v>248</v>
      </c>
      <c r="D3584" t="s">
        <v>664</v>
      </c>
      <c r="F3584" t="s">
        <v>2495</v>
      </c>
      <c r="G3584" t="s">
        <v>4328</v>
      </c>
      <c r="H3584" t="s">
        <v>4798</v>
      </c>
      <c r="I3584" t="s">
        <v>6883</v>
      </c>
      <c r="J3584" t="s">
        <v>7174</v>
      </c>
      <c r="K3584">
        <v>11233</v>
      </c>
      <c r="N3584" t="s">
        <v>7237</v>
      </c>
      <c r="O3584" t="s">
        <v>9516</v>
      </c>
      <c r="P3584">
        <v>2</v>
      </c>
      <c r="Q3584">
        <v>3</v>
      </c>
      <c r="R3584">
        <v>142.53</v>
      </c>
      <c r="U3584">
        <v>43000</v>
      </c>
      <c r="V3584" t="s">
        <v>10667</v>
      </c>
      <c r="W3584">
        <v>0</v>
      </c>
      <c r="Y3584" t="s">
        <v>225</v>
      </c>
      <c r="AA3584" t="s">
        <v>10974</v>
      </c>
      <c r="AB3584" t="s">
        <v>395</v>
      </c>
      <c r="AD3584" t="s">
        <v>11100</v>
      </c>
      <c r="AF3584" t="s">
        <v>10384</v>
      </c>
      <c r="AH3584" t="s">
        <v>10975</v>
      </c>
      <c r="AI3584" t="s">
        <v>11126</v>
      </c>
      <c r="AK3584" t="s">
        <v>7225</v>
      </c>
      <c r="AL3584" t="s">
        <v>11150</v>
      </c>
      <c r="AM3584">
        <v>0</v>
      </c>
      <c r="AO3584">
        <v>359</v>
      </c>
      <c r="AQ3584" t="s">
        <v>11157</v>
      </c>
      <c r="AR3584" t="s">
        <v>11172</v>
      </c>
      <c r="AT3584" t="s">
        <v>11184</v>
      </c>
      <c r="AU3584">
        <v>0</v>
      </c>
      <c r="AW3584" t="s">
        <v>11104</v>
      </c>
      <c r="AY3584" t="s">
        <v>11213</v>
      </c>
      <c r="AZ3584" t="s">
        <v>11221</v>
      </c>
      <c r="BD3584" t="s">
        <v>11667</v>
      </c>
      <c r="BF3584" t="s">
        <v>14364</v>
      </c>
      <c r="BM3584" t="s">
        <v>15650</v>
      </c>
    </row>
    <row r="3585" spans="1:65">
      <c r="A3585" s="1">
        <f>HYPERLINK("https://lsnyc.legalserver.org/matter/dynamic-profile/view/1897516","19-1897516")</f>
        <v>0</v>
      </c>
      <c r="B3585" t="s">
        <v>197</v>
      </c>
      <c r="C3585" t="s">
        <v>248</v>
      </c>
      <c r="D3585" t="s">
        <v>664</v>
      </c>
      <c r="F3585" t="s">
        <v>2495</v>
      </c>
      <c r="G3585" t="s">
        <v>4328</v>
      </c>
      <c r="H3585" t="s">
        <v>4798</v>
      </c>
      <c r="I3585" t="s">
        <v>6883</v>
      </c>
      <c r="J3585" t="s">
        <v>7174</v>
      </c>
      <c r="K3585">
        <v>11233</v>
      </c>
      <c r="N3585" t="s">
        <v>7237</v>
      </c>
      <c r="O3585" t="s">
        <v>9516</v>
      </c>
      <c r="P3585">
        <v>2</v>
      </c>
      <c r="Q3585">
        <v>3</v>
      </c>
      <c r="R3585">
        <v>142.53</v>
      </c>
      <c r="U3585">
        <v>43000</v>
      </c>
      <c r="V3585" t="s">
        <v>10569</v>
      </c>
      <c r="W3585">
        <v>0</v>
      </c>
      <c r="Y3585" t="s">
        <v>225</v>
      </c>
      <c r="AA3585" t="s">
        <v>10974</v>
      </c>
      <c r="AB3585" t="s">
        <v>874</v>
      </c>
      <c r="AD3585" t="s">
        <v>11098</v>
      </c>
      <c r="AF3585" t="s">
        <v>11122</v>
      </c>
      <c r="AH3585" t="s">
        <v>10974</v>
      </c>
      <c r="AI3585" t="s">
        <v>11126</v>
      </c>
      <c r="AK3585" t="s">
        <v>7225</v>
      </c>
      <c r="AL3585" t="s">
        <v>11150</v>
      </c>
      <c r="AM3585">
        <v>0</v>
      </c>
      <c r="AO3585">
        <v>359</v>
      </c>
      <c r="AQ3585" t="s">
        <v>11157</v>
      </c>
      <c r="AR3585" t="s">
        <v>11172</v>
      </c>
      <c r="AT3585" t="s">
        <v>11184</v>
      </c>
      <c r="AU3585">
        <v>0</v>
      </c>
      <c r="AW3585" t="s">
        <v>11104</v>
      </c>
      <c r="AY3585" t="s">
        <v>11213</v>
      </c>
      <c r="AZ3585" t="s">
        <v>11221</v>
      </c>
      <c r="BD3585" t="s">
        <v>11667</v>
      </c>
      <c r="BF3585" t="s">
        <v>14364</v>
      </c>
      <c r="BG3585" t="s">
        <v>15228</v>
      </c>
      <c r="BM3585" t="s">
        <v>15650</v>
      </c>
    </row>
    <row r="3586" spans="1:65">
      <c r="A3586" s="1">
        <f>HYPERLINK("https://lsnyc.legalserver.org/matter/dynamic-profile/view/1891556","19-1891556")</f>
        <v>0</v>
      </c>
      <c r="B3586" t="s">
        <v>197</v>
      </c>
      <c r="C3586" t="s">
        <v>248</v>
      </c>
      <c r="D3586" t="s">
        <v>636</v>
      </c>
      <c r="F3586" t="s">
        <v>1459</v>
      </c>
      <c r="G3586" t="s">
        <v>4325</v>
      </c>
      <c r="H3586" t="s">
        <v>4798</v>
      </c>
      <c r="I3586" t="s">
        <v>6610</v>
      </c>
      <c r="J3586" t="s">
        <v>7174</v>
      </c>
      <c r="K3586">
        <v>11233</v>
      </c>
      <c r="N3586" t="s">
        <v>7237</v>
      </c>
      <c r="O3586" t="s">
        <v>9517</v>
      </c>
      <c r="P3586">
        <v>1</v>
      </c>
      <c r="Q3586">
        <v>0</v>
      </c>
      <c r="R3586">
        <v>320.26</v>
      </c>
      <c r="U3586">
        <v>40000</v>
      </c>
      <c r="V3586" t="s">
        <v>10668</v>
      </c>
      <c r="W3586">
        <v>0</v>
      </c>
      <c r="Y3586" t="s">
        <v>225</v>
      </c>
      <c r="AA3586" t="s">
        <v>10974</v>
      </c>
      <c r="AB3586" t="s">
        <v>395</v>
      </c>
      <c r="AD3586" t="s">
        <v>11100</v>
      </c>
      <c r="AF3586" t="s">
        <v>10384</v>
      </c>
      <c r="AH3586" t="s">
        <v>10974</v>
      </c>
      <c r="AI3586" t="s">
        <v>11126</v>
      </c>
      <c r="AK3586" t="s">
        <v>7225</v>
      </c>
      <c r="AM3586">
        <v>1000</v>
      </c>
      <c r="AO3586">
        <v>359</v>
      </c>
      <c r="AQ3586" t="s">
        <v>11157</v>
      </c>
      <c r="AR3586" t="s">
        <v>11172</v>
      </c>
      <c r="AU3586">
        <v>50</v>
      </c>
      <c r="AW3586" t="s">
        <v>11187</v>
      </c>
      <c r="AY3586" t="s">
        <v>11213</v>
      </c>
      <c r="AZ3586" t="s">
        <v>11221</v>
      </c>
      <c r="BD3586" t="s">
        <v>11667</v>
      </c>
      <c r="BF3586" t="s">
        <v>14364</v>
      </c>
      <c r="BG3586" t="s">
        <v>11228</v>
      </c>
      <c r="BM3586" t="s">
        <v>15650</v>
      </c>
    </row>
    <row r="3587" spans="1:65">
      <c r="A3587" s="1">
        <f>HYPERLINK("https://lsnyc.legalserver.org/matter/dynamic-profile/view/1890581","19-1890581")</f>
        <v>0</v>
      </c>
      <c r="B3587" t="s">
        <v>197</v>
      </c>
      <c r="C3587" t="s">
        <v>248</v>
      </c>
      <c r="D3587" t="s">
        <v>442</v>
      </c>
      <c r="F3587" t="s">
        <v>1647</v>
      </c>
      <c r="G3587" t="s">
        <v>4305</v>
      </c>
      <c r="H3587" t="s">
        <v>5124</v>
      </c>
      <c r="I3587" t="s">
        <v>6667</v>
      </c>
      <c r="J3587" t="s">
        <v>7174</v>
      </c>
      <c r="K3587">
        <v>11233</v>
      </c>
      <c r="N3587" t="s">
        <v>7237</v>
      </c>
      <c r="O3587" t="s">
        <v>9485</v>
      </c>
      <c r="P3587">
        <v>2</v>
      </c>
      <c r="Q3587">
        <v>0</v>
      </c>
      <c r="R3587">
        <v>437.61</v>
      </c>
      <c r="U3587">
        <v>74000</v>
      </c>
      <c r="V3587" t="s">
        <v>10601</v>
      </c>
      <c r="W3587">
        <v>0</v>
      </c>
      <c r="Y3587" t="s">
        <v>225</v>
      </c>
      <c r="AA3587" t="s">
        <v>10974</v>
      </c>
      <c r="AB3587" t="s">
        <v>874</v>
      </c>
      <c r="AD3587" t="s">
        <v>11098</v>
      </c>
      <c r="AF3587" t="s">
        <v>11122</v>
      </c>
      <c r="AH3587" t="s">
        <v>10974</v>
      </c>
      <c r="AJ3587" t="s">
        <v>11140</v>
      </c>
      <c r="AK3587" t="s">
        <v>7225</v>
      </c>
      <c r="AM3587">
        <v>1520</v>
      </c>
      <c r="AO3587">
        <v>359</v>
      </c>
      <c r="AQ3587" t="s">
        <v>11157</v>
      </c>
      <c r="AS3587" t="s">
        <v>11173</v>
      </c>
      <c r="AU3587">
        <v>2</v>
      </c>
      <c r="AW3587" t="s">
        <v>11187</v>
      </c>
      <c r="AY3587" t="s">
        <v>11213</v>
      </c>
      <c r="AZ3587" t="s">
        <v>11221</v>
      </c>
      <c r="BD3587" t="s">
        <v>11667</v>
      </c>
      <c r="BF3587" t="s">
        <v>14364</v>
      </c>
      <c r="BG3587" t="s">
        <v>15229</v>
      </c>
      <c r="BM3587" t="s">
        <v>15650</v>
      </c>
    </row>
    <row r="3588" spans="1:65">
      <c r="A3588" s="1">
        <f>HYPERLINK("https://lsnyc.legalserver.org/matter/dynamic-profile/view/1901977","19-1901977")</f>
        <v>0</v>
      </c>
      <c r="B3588" t="s">
        <v>197</v>
      </c>
      <c r="C3588" t="s">
        <v>248</v>
      </c>
      <c r="D3588" t="s">
        <v>590</v>
      </c>
      <c r="F3588" t="s">
        <v>2030</v>
      </c>
      <c r="G3588" t="s">
        <v>3282</v>
      </c>
      <c r="H3588" t="s">
        <v>5124</v>
      </c>
      <c r="I3588" t="s">
        <v>7023</v>
      </c>
      <c r="J3588" t="s">
        <v>7174</v>
      </c>
      <c r="K3588">
        <v>11233</v>
      </c>
      <c r="N3588" t="s">
        <v>7237</v>
      </c>
      <c r="O3588" t="s">
        <v>9518</v>
      </c>
      <c r="P3588">
        <v>2</v>
      </c>
      <c r="Q3588">
        <v>0</v>
      </c>
      <c r="R3588">
        <v>47.31</v>
      </c>
      <c r="U3588">
        <v>8000</v>
      </c>
      <c r="V3588" t="s">
        <v>10570</v>
      </c>
      <c r="W3588">
        <v>0</v>
      </c>
      <c r="Y3588" t="s">
        <v>101</v>
      </c>
      <c r="AA3588" t="s">
        <v>10974</v>
      </c>
      <c r="AB3588" t="s">
        <v>874</v>
      </c>
      <c r="AD3588" t="s">
        <v>11098</v>
      </c>
      <c r="AF3588" t="s">
        <v>11122</v>
      </c>
      <c r="AH3588" t="s">
        <v>10974</v>
      </c>
      <c r="AJ3588" t="s">
        <v>11104</v>
      </c>
      <c r="AK3588" t="s">
        <v>7225</v>
      </c>
      <c r="AM3588">
        <v>1375</v>
      </c>
      <c r="AO3588">
        <v>359</v>
      </c>
      <c r="AQ3588" t="s">
        <v>11157</v>
      </c>
      <c r="AR3588" t="s">
        <v>11172</v>
      </c>
      <c r="AU3588">
        <v>10</v>
      </c>
      <c r="AW3588" t="s">
        <v>11187</v>
      </c>
      <c r="AY3588" t="s">
        <v>11213</v>
      </c>
      <c r="AZ3588" t="s">
        <v>11221</v>
      </c>
      <c r="BA3588" t="s">
        <v>11173</v>
      </c>
      <c r="BD3588" t="s">
        <v>11667</v>
      </c>
      <c r="BF3588" t="s">
        <v>14364</v>
      </c>
      <c r="BG3588" t="s">
        <v>15229</v>
      </c>
      <c r="BM3588" t="s">
        <v>15650</v>
      </c>
    </row>
    <row r="3589" spans="1:65">
      <c r="A3589" s="1">
        <f>HYPERLINK("https://lsnyc.legalserver.org/matter/dynamic-profile/view/1901980","19-1901980")</f>
        <v>0</v>
      </c>
      <c r="B3589" t="s">
        <v>197</v>
      </c>
      <c r="C3589" t="s">
        <v>248</v>
      </c>
      <c r="D3589" t="s">
        <v>590</v>
      </c>
      <c r="F3589" t="s">
        <v>2030</v>
      </c>
      <c r="G3589" t="s">
        <v>3282</v>
      </c>
      <c r="H3589" t="s">
        <v>5124</v>
      </c>
      <c r="I3589" t="s">
        <v>7023</v>
      </c>
      <c r="J3589" t="s">
        <v>7174</v>
      </c>
      <c r="K3589">
        <v>11233</v>
      </c>
      <c r="N3589" t="s">
        <v>7237</v>
      </c>
      <c r="O3589" t="s">
        <v>9518</v>
      </c>
      <c r="P3589">
        <v>2</v>
      </c>
      <c r="Q3589">
        <v>0</v>
      </c>
      <c r="R3589">
        <v>47.31</v>
      </c>
      <c r="U3589">
        <v>8000</v>
      </c>
      <c r="V3589" t="s">
        <v>10669</v>
      </c>
      <c r="W3589">
        <v>0</v>
      </c>
      <c r="Y3589" t="s">
        <v>101</v>
      </c>
      <c r="AA3589" t="s">
        <v>10974</v>
      </c>
      <c r="AB3589" t="s">
        <v>395</v>
      </c>
      <c r="AD3589" t="s">
        <v>11100</v>
      </c>
      <c r="AF3589" t="s">
        <v>10384</v>
      </c>
      <c r="AH3589" t="s">
        <v>10974</v>
      </c>
      <c r="AJ3589" t="s">
        <v>11104</v>
      </c>
      <c r="AK3589" t="s">
        <v>7225</v>
      </c>
      <c r="AM3589">
        <v>1375</v>
      </c>
      <c r="AO3589">
        <v>359</v>
      </c>
      <c r="AQ3589" t="s">
        <v>11157</v>
      </c>
      <c r="AR3589" t="s">
        <v>11172</v>
      </c>
      <c r="AU3589">
        <v>10</v>
      </c>
      <c r="AW3589" t="s">
        <v>11187</v>
      </c>
      <c r="AY3589" t="s">
        <v>11213</v>
      </c>
      <c r="AZ3589" t="s">
        <v>11221</v>
      </c>
      <c r="BA3589" t="s">
        <v>11173</v>
      </c>
      <c r="BD3589" t="s">
        <v>11667</v>
      </c>
      <c r="BF3589" t="s">
        <v>14364</v>
      </c>
      <c r="BG3589" t="s">
        <v>14411</v>
      </c>
      <c r="BM3589" t="s">
        <v>15650</v>
      </c>
    </row>
    <row r="3590" spans="1:65">
      <c r="A3590" s="1">
        <f>HYPERLINK("https://lsnyc.legalserver.org/matter/dynamic-profile/view/1892650","19-1892650")</f>
        <v>0</v>
      </c>
      <c r="B3590" t="s">
        <v>197</v>
      </c>
      <c r="C3590" t="s">
        <v>248</v>
      </c>
      <c r="D3590" t="s">
        <v>729</v>
      </c>
      <c r="F3590" t="s">
        <v>1208</v>
      </c>
      <c r="G3590" t="s">
        <v>4329</v>
      </c>
      <c r="H3590" t="s">
        <v>5941</v>
      </c>
      <c r="I3590" t="s">
        <v>7024</v>
      </c>
      <c r="J3590" t="s">
        <v>7174</v>
      </c>
      <c r="K3590">
        <v>11233</v>
      </c>
      <c r="N3590" t="s">
        <v>7237</v>
      </c>
      <c r="O3590" t="s">
        <v>9519</v>
      </c>
      <c r="P3590">
        <v>1</v>
      </c>
      <c r="Q3590">
        <v>3</v>
      </c>
      <c r="R3590">
        <v>89.8</v>
      </c>
      <c r="U3590">
        <v>23124</v>
      </c>
      <c r="V3590" t="s">
        <v>10625</v>
      </c>
      <c r="W3590">
        <v>0</v>
      </c>
      <c r="Y3590" t="s">
        <v>101</v>
      </c>
      <c r="AA3590" t="s">
        <v>10974</v>
      </c>
      <c r="AB3590" t="s">
        <v>874</v>
      </c>
      <c r="AD3590" t="s">
        <v>11098</v>
      </c>
      <c r="AF3590" t="s">
        <v>11122</v>
      </c>
      <c r="AH3590" t="s">
        <v>10974</v>
      </c>
      <c r="AJ3590" t="s">
        <v>11104</v>
      </c>
      <c r="AK3590" t="s">
        <v>7225</v>
      </c>
      <c r="AM3590">
        <v>1321</v>
      </c>
      <c r="AO3590">
        <v>359</v>
      </c>
      <c r="AQ3590" t="s">
        <v>11157</v>
      </c>
      <c r="AR3590" t="s">
        <v>11172</v>
      </c>
      <c r="AU3590">
        <v>34</v>
      </c>
      <c r="AW3590" t="s">
        <v>11187</v>
      </c>
      <c r="AY3590" t="s">
        <v>11213</v>
      </c>
      <c r="AZ3590" t="s">
        <v>11221</v>
      </c>
      <c r="BD3590" t="s">
        <v>11667</v>
      </c>
      <c r="BF3590" t="s">
        <v>14364</v>
      </c>
      <c r="BG3590" t="s">
        <v>15228</v>
      </c>
      <c r="BM3590" t="s">
        <v>15650</v>
      </c>
    </row>
    <row r="3591" spans="1:65">
      <c r="A3591" s="1">
        <f>HYPERLINK("https://lsnyc.legalserver.org/matter/dynamic-profile/view/1892643","19-1892643")</f>
        <v>0</v>
      </c>
      <c r="B3591" t="s">
        <v>197</v>
      </c>
      <c r="C3591" t="s">
        <v>248</v>
      </c>
      <c r="D3591" t="s">
        <v>729</v>
      </c>
      <c r="F3591" t="s">
        <v>1881</v>
      </c>
      <c r="G3591" t="s">
        <v>3125</v>
      </c>
      <c r="H3591" t="s">
        <v>5941</v>
      </c>
      <c r="I3591" t="s">
        <v>7008</v>
      </c>
      <c r="J3591" t="s">
        <v>7174</v>
      </c>
      <c r="K3591">
        <v>11233</v>
      </c>
      <c r="N3591" t="s">
        <v>7237</v>
      </c>
      <c r="O3591" t="s">
        <v>9493</v>
      </c>
      <c r="P3591">
        <v>1</v>
      </c>
      <c r="Q3591">
        <v>0</v>
      </c>
      <c r="R3591">
        <v>320.26</v>
      </c>
      <c r="U3591">
        <v>40000</v>
      </c>
      <c r="V3591" t="s">
        <v>10670</v>
      </c>
      <c r="W3591">
        <v>0</v>
      </c>
      <c r="Y3591" t="s">
        <v>101</v>
      </c>
      <c r="AA3591" t="s">
        <v>10974</v>
      </c>
      <c r="AB3591" t="s">
        <v>395</v>
      </c>
      <c r="AD3591" t="s">
        <v>11100</v>
      </c>
      <c r="AF3591" t="s">
        <v>10384</v>
      </c>
      <c r="AH3591" t="s">
        <v>10974</v>
      </c>
      <c r="AJ3591" t="s">
        <v>11104</v>
      </c>
      <c r="AK3591" t="s">
        <v>7225</v>
      </c>
      <c r="AM3591">
        <v>812</v>
      </c>
      <c r="AO3591">
        <v>359</v>
      </c>
      <c r="AQ3591" t="s">
        <v>11157</v>
      </c>
      <c r="AR3591" t="s">
        <v>11172</v>
      </c>
      <c r="AU3591">
        <v>18</v>
      </c>
      <c r="AW3591" t="s">
        <v>11187</v>
      </c>
      <c r="AY3591" t="s">
        <v>11213</v>
      </c>
      <c r="AZ3591" t="s">
        <v>11221</v>
      </c>
      <c r="BD3591" t="s">
        <v>11667</v>
      </c>
      <c r="BF3591" t="s">
        <v>14364</v>
      </c>
      <c r="BM3591" t="s">
        <v>15650</v>
      </c>
    </row>
    <row r="3592" spans="1:65">
      <c r="A3592" s="1">
        <f>HYPERLINK("https://lsnyc.legalserver.org/matter/dynamic-profile/view/1890177","19-1890177")</f>
        <v>0</v>
      </c>
      <c r="B3592" t="s">
        <v>197</v>
      </c>
      <c r="C3592" t="s">
        <v>248</v>
      </c>
      <c r="D3592" t="s">
        <v>1006</v>
      </c>
      <c r="F3592" t="s">
        <v>1860</v>
      </c>
      <c r="G3592" t="s">
        <v>4327</v>
      </c>
      <c r="H3592" t="s">
        <v>5124</v>
      </c>
      <c r="I3592" t="s">
        <v>7022</v>
      </c>
      <c r="J3592" t="s">
        <v>7174</v>
      </c>
      <c r="K3592">
        <v>11233</v>
      </c>
      <c r="N3592" t="s">
        <v>7237</v>
      </c>
      <c r="O3592" t="s">
        <v>9515</v>
      </c>
      <c r="P3592">
        <v>1</v>
      </c>
      <c r="Q3592">
        <v>0</v>
      </c>
      <c r="R3592">
        <v>133.64</v>
      </c>
      <c r="U3592">
        <v>16692</v>
      </c>
      <c r="W3592">
        <v>0</v>
      </c>
      <c r="Y3592" t="s">
        <v>225</v>
      </c>
      <c r="AA3592" t="s">
        <v>10974</v>
      </c>
      <c r="AB3592" t="s">
        <v>11021</v>
      </c>
      <c r="AD3592" t="s">
        <v>11098</v>
      </c>
      <c r="AF3592" t="s">
        <v>11122</v>
      </c>
      <c r="AH3592" t="s">
        <v>10974</v>
      </c>
      <c r="AJ3592" t="s">
        <v>11132</v>
      </c>
      <c r="AK3592" t="s">
        <v>7225</v>
      </c>
      <c r="AM3592">
        <v>841.4299999999999</v>
      </c>
      <c r="AO3592">
        <v>764</v>
      </c>
      <c r="AQ3592" t="s">
        <v>11157</v>
      </c>
      <c r="AS3592" t="s">
        <v>11174</v>
      </c>
      <c r="AU3592">
        <v>31</v>
      </c>
      <c r="AW3592" t="s">
        <v>11187</v>
      </c>
      <c r="AY3592" t="s">
        <v>11213</v>
      </c>
      <c r="AZ3592" t="s">
        <v>11221</v>
      </c>
      <c r="BC3592" t="s">
        <v>11173</v>
      </c>
      <c r="BE3592" t="s">
        <v>13667</v>
      </c>
      <c r="BF3592" t="s">
        <v>14364</v>
      </c>
      <c r="BG3592" t="s">
        <v>15229</v>
      </c>
      <c r="BM3592" t="s">
        <v>15650</v>
      </c>
    </row>
    <row r="3593" spans="1:65">
      <c r="A3593" s="1">
        <f>HYPERLINK("https://lsnyc.legalserver.org/matter/dynamic-profile/view/1897393","19-1897393")</f>
        <v>0</v>
      </c>
      <c r="B3593" t="s">
        <v>197</v>
      </c>
      <c r="C3593" t="s">
        <v>248</v>
      </c>
      <c r="D3593" t="s">
        <v>583</v>
      </c>
      <c r="F3593" t="s">
        <v>1697</v>
      </c>
      <c r="G3593" t="s">
        <v>4311</v>
      </c>
      <c r="H3593" t="s">
        <v>5124</v>
      </c>
      <c r="I3593" t="s">
        <v>6841</v>
      </c>
      <c r="J3593" t="s">
        <v>7174</v>
      </c>
      <c r="K3593">
        <v>11233</v>
      </c>
      <c r="N3593" t="s">
        <v>7237</v>
      </c>
      <c r="O3593" t="s">
        <v>9494</v>
      </c>
      <c r="P3593">
        <v>1</v>
      </c>
      <c r="Q3593">
        <v>0</v>
      </c>
      <c r="R3593">
        <v>320.26</v>
      </c>
      <c r="U3593">
        <v>40000</v>
      </c>
      <c r="V3593" t="s">
        <v>10569</v>
      </c>
      <c r="W3593">
        <v>0</v>
      </c>
      <c r="Y3593" t="s">
        <v>225</v>
      </c>
      <c r="AA3593" t="s">
        <v>10974</v>
      </c>
      <c r="AB3593" t="s">
        <v>395</v>
      </c>
      <c r="AD3593" t="s">
        <v>11100</v>
      </c>
      <c r="AF3593" t="s">
        <v>10384</v>
      </c>
      <c r="AH3593" t="s">
        <v>10974</v>
      </c>
      <c r="AJ3593" t="s">
        <v>11140</v>
      </c>
      <c r="AK3593" t="s">
        <v>7225</v>
      </c>
      <c r="AM3593">
        <v>1162</v>
      </c>
      <c r="AO3593">
        <v>359</v>
      </c>
      <c r="AQ3593" t="s">
        <v>11157</v>
      </c>
      <c r="AR3593" t="s">
        <v>11172</v>
      </c>
      <c r="AU3593">
        <v>30</v>
      </c>
      <c r="AW3593" t="s">
        <v>11187</v>
      </c>
      <c r="AY3593" t="s">
        <v>11213</v>
      </c>
      <c r="AZ3593" t="s">
        <v>11221</v>
      </c>
      <c r="BD3593" t="s">
        <v>11667</v>
      </c>
      <c r="BF3593" t="s">
        <v>14364</v>
      </c>
      <c r="BM3593" t="s">
        <v>15650</v>
      </c>
    </row>
    <row r="3594" spans="1:65">
      <c r="A3594" s="1">
        <f>HYPERLINK("https://lsnyc.legalserver.org/matter/dynamic-profile/view/1914829","19-1914829")</f>
        <v>0</v>
      </c>
      <c r="B3594" t="s">
        <v>197</v>
      </c>
      <c r="C3594" t="s">
        <v>248</v>
      </c>
      <c r="D3594" t="s">
        <v>262</v>
      </c>
      <c r="F3594" t="s">
        <v>1525</v>
      </c>
      <c r="G3594" t="s">
        <v>4314</v>
      </c>
      <c r="H3594" t="s">
        <v>5944</v>
      </c>
      <c r="I3594" t="s">
        <v>6432</v>
      </c>
      <c r="J3594" t="s">
        <v>7174</v>
      </c>
      <c r="K3594">
        <v>11207</v>
      </c>
      <c r="N3594" t="s">
        <v>7237</v>
      </c>
      <c r="O3594" t="s">
        <v>9501</v>
      </c>
      <c r="P3594">
        <v>1</v>
      </c>
      <c r="Q3594">
        <v>3</v>
      </c>
      <c r="R3594">
        <v>58.36</v>
      </c>
      <c r="U3594">
        <v>15026.96</v>
      </c>
      <c r="W3594">
        <v>0.8</v>
      </c>
      <c r="X3594" t="s">
        <v>638</v>
      </c>
      <c r="Y3594" t="s">
        <v>197</v>
      </c>
      <c r="AA3594" t="s">
        <v>10974</v>
      </c>
      <c r="AB3594" t="s">
        <v>614</v>
      </c>
      <c r="AD3594" t="s">
        <v>11086</v>
      </c>
      <c r="AF3594" t="s">
        <v>10384</v>
      </c>
      <c r="AH3594" t="s">
        <v>10975</v>
      </c>
      <c r="AJ3594" t="s">
        <v>11129</v>
      </c>
      <c r="AK3594" t="s">
        <v>7225</v>
      </c>
      <c r="AM3594">
        <v>960</v>
      </c>
      <c r="AO3594">
        <v>6</v>
      </c>
      <c r="AQ3594" t="s">
        <v>11157</v>
      </c>
      <c r="AR3594" t="s">
        <v>11172</v>
      </c>
      <c r="AU3594">
        <v>8</v>
      </c>
      <c r="AW3594" t="s">
        <v>11187</v>
      </c>
      <c r="BA3594" t="s">
        <v>11222</v>
      </c>
      <c r="BD3594" t="s">
        <v>11667</v>
      </c>
      <c r="BF3594" t="s">
        <v>14364</v>
      </c>
      <c r="BM3594" t="s">
        <v>15650</v>
      </c>
    </row>
    <row r="3595" spans="1:65">
      <c r="A3595" s="1">
        <f>HYPERLINK("https://lsnyc.legalserver.org/matter/dynamic-profile/view/1898826","19-1898826")</f>
        <v>0</v>
      </c>
      <c r="B3595" t="s">
        <v>197</v>
      </c>
      <c r="C3595" t="s">
        <v>248</v>
      </c>
      <c r="D3595" t="s">
        <v>347</v>
      </c>
      <c r="F3595" t="s">
        <v>1122</v>
      </c>
      <c r="G3595" t="s">
        <v>4330</v>
      </c>
      <c r="H3595" t="s">
        <v>5940</v>
      </c>
      <c r="I3595" t="s">
        <v>7025</v>
      </c>
      <c r="J3595" t="s">
        <v>7174</v>
      </c>
      <c r="K3595">
        <v>11233</v>
      </c>
      <c r="N3595" t="s">
        <v>7237</v>
      </c>
      <c r="O3595" t="s">
        <v>9520</v>
      </c>
      <c r="P3595">
        <v>1</v>
      </c>
      <c r="Q3595">
        <v>0</v>
      </c>
      <c r="R3595">
        <v>511.84</v>
      </c>
      <c r="U3595">
        <v>63929</v>
      </c>
      <c r="V3595" t="s">
        <v>10570</v>
      </c>
      <c r="W3595">
        <v>0</v>
      </c>
      <c r="Y3595" t="s">
        <v>101</v>
      </c>
      <c r="AA3595" t="s">
        <v>10974</v>
      </c>
      <c r="AB3595" t="s">
        <v>874</v>
      </c>
      <c r="AD3595" t="s">
        <v>11098</v>
      </c>
      <c r="AF3595" t="s">
        <v>11122</v>
      </c>
      <c r="AH3595" t="s">
        <v>10974</v>
      </c>
      <c r="AJ3595" t="s">
        <v>11104</v>
      </c>
      <c r="AK3595" t="s">
        <v>7225</v>
      </c>
      <c r="AM3595">
        <v>950</v>
      </c>
      <c r="AO3595">
        <v>359</v>
      </c>
      <c r="AQ3595" t="s">
        <v>11157</v>
      </c>
      <c r="AR3595" t="s">
        <v>11172</v>
      </c>
      <c r="AU3595">
        <v>9</v>
      </c>
      <c r="AW3595" t="s">
        <v>11187</v>
      </c>
      <c r="AY3595" t="s">
        <v>11213</v>
      </c>
      <c r="AZ3595" t="s">
        <v>11221</v>
      </c>
      <c r="BD3595" t="s">
        <v>11667</v>
      </c>
      <c r="BF3595" t="s">
        <v>14364</v>
      </c>
      <c r="BG3595" t="s">
        <v>15229</v>
      </c>
      <c r="BM3595" t="s">
        <v>15650</v>
      </c>
    </row>
    <row r="3596" spans="1:65">
      <c r="A3596" s="1">
        <f>HYPERLINK("https://lsnyc.legalserver.org/matter/dynamic-profile/view/1891713","19-1891713")</f>
        <v>0</v>
      </c>
      <c r="B3596" t="s">
        <v>197</v>
      </c>
      <c r="C3596" t="s">
        <v>248</v>
      </c>
      <c r="D3596" t="s">
        <v>515</v>
      </c>
      <c r="F3596" t="s">
        <v>1895</v>
      </c>
      <c r="G3596" t="s">
        <v>2905</v>
      </c>
      <c r="H3596" t="s">
        <v>4798</v>
      </c>
      <c r="I3596" t="s">
        <v>6616</v>
      </c>
      <c r="J3596" t="s">
        <v>7174</v>
      </c>
      <c r="K3596">
        <v>11233</v>
      </c>
      <c r="N3596" t="s">
        <v>7237</v>
      </c>
      <c r="O3596" t="s">
        <v>9441</v>
      </c>
      <c r="P3596">
        <v>2</v>
      </c>
      <c r="Q3596">
        <v>4</v>
      </c>
      <c r="R3596">
        <v>57.82</v>
      </c>
      <c r="U3596">
        <v>20000</v>
      </c>
      <c r="V3596" t="s">
        <v>10671</v>
      </c>
      <c r="W3596">
        <v>0</v>
      </c>
      <c r="Y3596" t="s">
        <v>225</v>
      </c>
      <c r="AA3596" t="s">
        <v>10974</v>
      </c>
      <c r="AB3596" t="s">
        <v>395</v>
      </c>
      <c r="AD3596" t="s">
        <v>11100</v>
      </c>
      <c r="AF3596" t="s">
        <v>10384</v>
      </c>
      <c r="AH3596" t="s">
        <v>10974</v>
      </c>
      <c r="AI3596" t="s">
        <v>11126</v>
      </c>
      <c r="AK3596" t="s">
        <v>7225</v>
      </c>
      <c r="AM3596">
        <v>1036</v>
      </c>
      <c r="AO3596">
        <v>359</v>
      </c>
      <c r="AQ3596" t="s">
        <v>11157</v>
      </c>
      <c r="AS3596" t="s">
        <v>11174</v>
      </c>
      <c r="AU3596">
        <v>13</v>
      </c>
      <c r="AW3596" t="s">
        <v>11187</v>
      </c>
      <c r="AY3596" t="s">
        <v>11213</v>
      </c>
      <c r="AZ3596" t="s">
        <v>11221</v>
      </c>
      <c r="BE3596" t="s">
        <v>13657</v>
      </c>
      <c r="BF3596" t="s">
        <v>14364</v>
      </c>
      <c r="BG3596" t="s">
        <v>11228</v>
      </c>
      <c r="BM3596" t="s">
        <v>15650</v>
      </c>
    </row>
    <row r="3597" spans="1:65">
      <c r="A3597" s="1">
        <f>HYPERLINK("https://lsnyc.legalserver.org/matter/dynamic-profile/view/1892653","19-1892653")</f>
        <v>0</v>
      </c>
      <c r="B3597" t="s">
        <v>197</v>
      </c>
      <c r="C3597" t="s">
        <v>248</v>
      </c>
      <c r="D3597" t="s">
        <v>729</v>
      </c>
      <c r="F3597" t="s">
        <v>1208</v>
      </c>
      <c r="G3597" t="s">
        <v>4329</v>
      </c>
      <c r="H3597" t="s">
        <v>5941</v>
      </c>
      <c r="I3597" t="s">
        <v>7024</v>
      </c>
      <c r="J3597" t="s">
        <v>7174</v>
      </c>
      <c r="K3597">
        <v>11233</v>
      </c>
      <c r="N3597" t="s">
        <v>7237</v>
      </c>
      <c r="O3597" t="s">
        <v>9519</v>
      </c>
      <c r="P3597">
        <v>1</v>
      </c>
      <c r="Q3597">
        <v>3</v>
      </c>
      <c r="R3597">
        <v>89.8</v>
      </c>
      <c r="U3597">
        <v>23124</v>
      </c>
      <c r="V3597" t="s">
        <v>10672</v>
      </c>
      <c r="W3597">
        <v>0</v>
      </c>
      <c r="Y3597" t="s">
        <v>101</v>
      </c>
      <c r="AA3597" t="s">
        <v>10974</v>
      </c>
      <c r="AB3597" t="s">
        <v>395</v>
      </c>
      <c r="AD3597" t="s">
        <v>11100</v>
      </c>
      <c r="AF3597" t="s">
        <v>10384</v>
      </c>
      <c r="AH3597" t="s">
        <v>10974</v>
      </c>
      <c r="AJ3597" t="s">
        <v>11104</v>
      </c>
      <c r="AK3597" t="s">
        <v>7225</v>
      </c>
      <c r="AM3597">
        <v>1321</v>
      </c>
      <c r="AO3597">
        <v>359</v>
      </c>
      <c r="AQ3597" t="s">
        <v>11157</v>
      </c>
      <c r="AR3597" t="s">
        <v>11172</v>
      </c>
      <c r="AU3597">
        <v>34</v>
      </c>
      <c r="AW3597" t="s">
        <v>11187</v>
      </c>
      <c r="AY3597" t="s">
        <v>11213</v>
      </c>
      <c r="AZ3597" t="s">
        <v>11221</v>
      </c>
      <c r="BD3597" t="s">
        <v>11667</v>
      </c>
      <c r="BF3597" t="s">
        <v>14364</v>
      </c>
      <c r="BM3597" t="s">
        <v>15650</v>
      </c>
    </row>
    <row r="3598" spans="1:65">
      <c r="A3598" s="1">
        <f>HYPERLINK("https://lsnyc.legalserver.org/matter/dynamic-profile/view/1909092","19-1909092")</f>
        <v>0</v>
      </c>
      <c r="B3598" t="s">
        <v>197</v>
      </c>
      <c r="C3598" t="s">
        <v>248</v>
      </c>
      <c r="D3598" t="s">
        <v>598</v>
      </c>
      <c r="F3598" t="s">
        <v>1773</v>
      </c>
      <c r="G3598" t="s">
        <v>4331</v>
      </c>
      <c r="H3598" t="s">
        <v>5940</v>
      </c>
      <c r="I3598" t="s">
        <v>6811</v>
      </c>
      <c r="J3598" t="s">
        <v>7174</v>
      </c>
      <c r="K3598">
        <v>11233</v>
      </c>
      <c r="N3598" t="s">
        <v>7237</v>
      </c>
      <c r="O3598" t="s">
        <v>9521</v>
      </c>
      <c r="P3598">
        <v>2</v>
      </c>
      <c r="Q3598">
        <v>2</v>
      </c>
      <c r="R3598">
        <v>120.39</v>
      </c>
      <c r="U3598">
        <v>31000</v>
      </c>
      <c r="V3598" t="s">
        <v>10673</v>
      </c>
      <c r="W3598">
        <v>0</v>
      </c>
      <c r="Y3598" t="s">
        <v>101</v>
      </c>
      <c r="AA3598" t="s">
        <v>10974</v>
      </c>
      <c r="AB3598" t="s">
        <v>10988</v>
      </c>
      <c r="AD3598" t="s">
        <v>11098</v>
      </c>
      <c r="AF3598" t="s">
        <v>11122</v>
      </c>
      <c r="AH3598" t="s">
        <v>10974</v>
      </c>
      <c r="AJ3598" t="s">
        <v>11104</v>
      </c>
      <c r="AK3598" t="s">
        <v>7225</v>
      </c>
      <c r="AM3598">
        <v>1059</v>
      </c>
      <c r="AO3598">
        <v>359</v>
      </c>
      <c r="AQ3598" t="s">
        <v>11157</v>
      </c>
      <c r="AS3598" t="s">
        <v>11173</v>
      </c>
      <c r="AU3598">
        <v>18</v>
      </c>
      <c r="AW3598" t="s">
        <v>11187</v>
      </c>
      <c r="AY3598" t="s">
        <v>11213</v>
      </c>
      <c r="AZ3598" t="s">
        <v>11221</v>
      </c>
      <c r="BA3598" t="s">
        <v>11173</v>
      </c>
      <c r="BD3598" t="s">
        <v>11667</v>
      </c>
      <c r="BG3598" t="s">
        <v>15230</v>
      </c>
      <c r="BM3598" t="s">
        <v>15650</v>
      </c>
    </row>
    <row r="3599" spans="1:65">
      <c r="A3599" s="1">
        <f>HYPERLINK("https://lsnyc.legalserver.org/matter/dynamic-profile/view/1891710","19-1891710")</f>
        <v>0</v>
      </c>
      <c r="B3599" t="s">
        <v>197</v>
      </c>
      <c r="C3599" t="s">
        <v>248</v>
      </c>
      <c r="D3599" t="s">
        <v>515</v>
      </c>
      <c r="F3599" t="s">
        <v>2481</v>
      </c>
      <c r="G3599" t="s">
        <v>4310</v>
      </c>
      <c r="H3599" t="s">
        <v>4798</v>
      </c>
      <c r="I3599" t="s">
        <v>6520</v>
      </c>
      <c r="J3599" t="s">
        <v>7174</v>
      </c>
      <c r="K3599">
        <v>11233</v>
      </c>
      <c r="N3599" t="s">
        <v>7237</v>
      </c>
      <c r="O3599" t="s">
        <v>9492</v>
      </c>
      <c r="P3599">
        <v>1</v>
      </c>
      <c r="Q3599">
        <v>0</v>
      </c>
      <c r="R3599">
        <v>336.27</v>
      </c>
      <c r="U3599">
        <v>42000</v>
      </c>
      <c r="V3599" t="s">
        <v>10674</v>
      </c>
      <c r="W3599">
        <v>0</v>
      </c>
      <c r="Y3599" t="s">
        <v>225</v>
      </c>
      <c r="AA3599" t="s">
        <v>10974</v>
      </c>
      <c r="AB3599" t="s">
        <v>395</v>
      </c>
      <c r="AD3599" t="s">
        <v>11100</v>
      </c>
      <c r="AF3599" t="s">
        <v>10384</v>
      </c>
      <c r="AH3599" t="s">
        <v>10974</v>
      </c>
      <c r="AI3599" t="s">
        <v>11126</v>
      </c>
      <c r="AK3599" t="s">
        <v>7225</v>
      </c>
      <c r="AM3599">
        <v>583.25</v>
      </c>
      <c r="AO3599">
        <v>359</v>
      </c>
      <c r="AQ3599" t="s">
        <v>11157</v>
      </c>
      <c r="AS3599" t="s">
        <v>11173</v>
      </c>
      <c r="AT3599" t="s">
        <v>11184</v>
      </c>
      <c r="AU3599">
        <v>0</v>
      </c>
      <c r="AW3599" t="s">
        <v>11187</v>
      </c>
      <c r="AY3599" t="s">
        <v>11213</v>
      </c>
      <c r="AZ3599" t="s">
        <v>11221</v>
      </c>
      <c r="BE3599" t="s">
        <v>13662</v>
      </c>
      <c r="BF3599" t="s">
        <v>14364</v>
      </c>
      <c r="BG3599" t="s">
        <v>11173</v>
      </c>
      <c r="BM3599" t="s">
        <v>15650</v>
      </c>
    </row>
    <row r="3600" spans="1:65">
      <c r="A3600" s="1">
        <f>HYPERLINK("https://lsnyc.legalserver.org/matter/dynamic-profile/view/1835050","17-1835050")</f>
        <v>0</v>
      </c>
      <c r="B3600" t="s">
        <v>197</v>
      </c>
      <c r="C3600" t="s">
        <v>248</v>
      </c>
      <c r="D3600" t="s">
        <v>860</v>
      </c>
      <c r="F3600" t="s">
        <v>1122</v>
      </c>
      <c r="G3600" t="s">
        <v>2885</v>
      </c>
      <c r="H3600" t="s">
        <v>5944</v>
      </c>
      <c r="I3600" t="s">
        <v>6482</v>
      </c>
      <c r="J3600" t="s">
        <v>7174</v>
      </c>
      <c r="K3600">
        <v>11207</v>
      </c>
      <c r="N3600" t="s">
        <v>7237</v>
      </c>
      <c r="O3600" t="s">
        <v>9522</v>
      </c>
      <c r="P3600">
        <v>2</v>
      </c>
      <c r="Q3600">
        <v>0</v>
      </c>
      <c r="R3600">
        <v>55.86</v>
      </c>
      <c r="U3600">
        <v>9072</v>
      </c>
      <c r="V3600" t="s">
        <v>10330</v>
      </c>
      <c r="W3600">
        <v>10.65</v>
      </c>
      <c r="X3600" t="s">
        <v>766</v>
      </c>
      <c r="Y3600" t="s">
        <v>10910</v>
      </c>
      <c r="AA3600" t="s">
        <v>10974</v>
      </c>
      <c r="AB3600" t="s">
        <v>860</v>
      </c>
      <c r="AD3600" t="s">
        <v>11101</v>
      </c>
      <c r="AF3600" t="s">
        <v>11118</v>
      </c>
      <c r="AH3600" t="s">
        <v>10974</v>
      </c>
      <c r="AJ3600" t="s">
        <v>11134</v>
      </c>
      <c r="AK3600" t="s">
        <v>7225</v>
      </c>
      <c r="AM3600">
        <v>1365</v>
      </c>
      <c r="AO3600">
        <v>6</v>
      </c>
      <c r="AQ3600" t="s">
        <v>11157</v>
      </c>
      <c r="AS3600" t="s">
        <v>11177</v>
      </c>
      <c r="AU3600">
        <v>7</v>
      </c>
      <c r="AW3600" t="s">
        <v>11187</v>
      </c>
      <c r="AZ3600" t="s">
        <v>11221</v>
      </c>
      <c r="BB3600" t="s">
        <v>11224</v>
      </c>
      <c r="BC3600" t="s">
        <v>11543</v>
      </c>
      <c r="BE3600" t="s">
        <v>13668</v>
      </c>
      <c r="BF3600" t="s">
        <v>14364</v>
      </c>
      <c r="BG3600" t="s">
        <v>15233</v>
      </c>
      <c r="BM3600" t="s">
        <v>15650</v>
      </c>
    </row>
    <row r="3601" spans="1:65">
      <c r="A3601" s="1">
        <f>HYPERLINK("https://lsnyc.legalserver.org/matter/dynamic-profile/view/1891563","19-1891563")</f>
        <v>0</v>
      </c>
      <c r="B3601" t="s">
        <v>197</v>
      </c>
      <c r="C3601" t="s">
        <v>248</v>
      </c>
      <c r="D3601" t="s">
        <v>636</v>
      </c>
      <c r="F3601" t="s">
        <v>1732</v>
      </c>
      <c r="G3601" t="s">
        <v>4332</v>
      </c>
      <c r="H3601" t="s">
        <v>5124</v>
      </c>
      <c r="I3601" t="s">
        <v>7026</v>
      </c>
      <c r="J3601" t="s">
        <v>7174</v>
      </c>
      <c r="K3601">
        <v>11233</v>
      </c>
      <c r="N3601" t="s">
        <v>7237</v>
      </c>
      <c r="O3601" t="s">
        <v>7772</v>
      </c>
      <c r="P3601">
        <v>6</v>
      </c>
      <c r="Q3601">
        <v>0</v>
      </c>
      <c r="R3601">
        <v>383.06</v>
      </c>
      <c r="U3601">
        <v>132500</v>
      </c>
      <c r="V3601" t="s">
        <v>10675</v>
      </c>
      <c r="W3601">
        <v>0</v>
      </c>
      <c r="Y3601" t="s">
        <v>225</v>
      </c>
      <c r="AA3601" t="s">
        <v>10974</v>
      </c>
      <c r="AB3601" t="s">
        <v>874</v>
      </c>
      <c r="AD3601" t="s">
        <v>11098</v>
      </c>
      <c r="AF3601" t="s">
        <v>11122</v>
      </c>
      <c r="AH3601" t="s">
        <v>10974</v>
      </c>
      <c r="AI3601" t="s">
        <v>11126</v>
      </c>
      <c r="AK3601" t="s">
        <v>7225</v>
      </c>
      <c r="AM3601">
        <v>1157</v>
      </c>
      <c r="AO3601">
        <v>359</v>
      </c>
      <c r="AQ3601" t="s">
        <v>11157</v>
      </c>
      <c r="AS3601" t="s">
        <v>11173</v>
      </c>
      <c r="AU3601">
        <v>39</v>
      </c>
      <c r="AW3601" t="s">
        <v>11187</v>
      </c>
      <c r="AY3601" t="s">
        <v>11213</v>
      </c>
      <c r="AZ3601" t="s">
        <v>11221</v>
      </c>
      <c r="BA3601" t="s">
        <v>11173</v>
      </c>
      <c r="BC3601" t="s">
        <v>11173</v>
      </c>
      <c r="BD3601" t="s">
        <v>11667</v>
      </c>
      <c r="BF3601" t="s">
        <v>14364</v>
      </c>
      <c r="BG3601" t="s">
        <v>15229</v>
      </c>
      <c r="BM3601" t="s">
        <v>15650</v>
      </c>
    </row>
    <row r="3602" spans="1:65">
      <c r="A3602" s="1">
        <f>HYPERLINK("https://lsnyc.legalserver.org/matter/dynamic-profile/view/1890584","19-1890584")</f>
        <v>0</v>
      </c>
      <c r="B3602" t="s">
        <v>197</v>
      </c>
      <c r="C3602" t="s">
        <v>248</v>
      </c>
      <c r="D3602" t="s">
        <v>442</v>
      </c>
      <c r="F3602" t="s">
        <v>1527</v>
      </c>
      <c r="G3602" t="s">
        <v>4333</v>
      </c>
      <c r="H3602" t="s">
        <v>5124</v>
      </c>
      <c r="I3602" t="s">
        <v>6598</v>
      </c>
      <c r="J3602" t="s">
        <v>7174</v>
      </c>
      <c r="K3602">
        <v>11233</v>
      </c>
      <c r="N3602" t="s">
        <v>7237</v>
      </c>
      <c r="O3602" t="s">
        <v>9523</v>
      </c>
      <c r="P3602">
        <v>2</v>
      </c>
      <c r="Q3602">
        <v>0</v>
      </c>
      <c r="R3602">
        <v>325.25</v>
      </c>
      <c r="U3602">
        <v>55000</v>
      </c>
      <c r="V3602" t="s">
        <v>10570</v>
      </c>
      <c r="W3602">
        <v>0</v>
      </c>
      <c r="Y3602" t="s">
        <v>101</v>
      </c>
      <c r="AA3602" t="s">
        <v>10974</v>
      </c>
      <c r="AB3602" t="s">
        <v>874</v>
      </c>
      <c r="AD3602" t="s">
        <v>11098</v>
      </c>
      <c r="AF3602" t="s">
        <v>11122</v>
      </c>
      <c r="AH3602" t="s">
        <v>10974</v>
      </c>
      <c r="AJ3602" t="s">
        <v>11104</v>
      </c>
      <c r="AK3602" t="s">
        <v>7225</v>
      </c>
      <c r="AM3602">
        <v>1189.18</v>
      </c>
      <c r="AO3602">
        <v>359</v>
      </c>
      <c r="AQ3602" t="s">
        <v>11157</v>
      </c>
      <c r="AS3602" t="s">
        <v>11173</v>
      </c>
      <c r="AU3602">
        <v>44</v>
      </c>
      <c r="AW3602" t="s">
        <v>11187</v>
      </c>
      <c r="AY3602" t="s">
        <v>11213</v>
      </c>
      <c r="AZ3602" t="s">
        <v>11221</v>
      </c>
      <c r="BD3602" t="s">
        <v>11667</v>
      </c>
      <c r="BF3602" t="s">
        <v>14364</v>
      </c>
      <c r="BG3602" t="s">
        <v>15229</v>
      </c>
      <c r="BM3602" t="s">
        <v>15650</v>
      </c>
    </row>
    <row r="3603" spans="1:65">
      <c r="A3603" s="1">
        <f>HYPERLINK("https://lsnyc.legalserver.org/matter/dynamic-profile/view/1891600","19-1891600")</f>
        <v>0</v>
      </c>
      <c r="B3603" t="s">
        <v>197</v>
      </c>
      <c r="C3603" t="s">
        <v>248</v>
      </c>
      <c r="D3603" t="s">
        <v>515</v>
      </c>
      <c r="F3603" t="s">
        <v>1527</v>
      </c>
      <c r="G3603" t="s">
        <v>4333</v>
      </c>
      <c r="H3603" t="s">
        <v>5124</v>
      </c>
      <c r="I3603" t="s">
        <v>6598</v>
      </c>
      <c r="J3603" t="s">
        <v>7174</v>
      </c>
      <c r="K3603">
        <v>11233</v>
      </c>
      <c r="N3603" t="s">
        <v>7237</v>
      </c>
      <c r="O3603" t="s">
        <v>9523</v>
      </c>
      <c r="P3603">
        <v>2</v>
      </c>
      <c r="Q3603">
        <v>0</v>
      </c>
      <c r="R3603">
        <v>325.25</v>
      </c>
      <c r="U3603">
        <v>55000</v>
      </c>
      <c r="V3603" t="s">
        <v>10676</v>
      </c>
      <c r="W3603">
        <v>0</v>
      </c>
      <c r="Y3603" t="s">
        <v>101</v>
      </c>
      <c r="AA3603" t="s">
        <v>10974</v>
      </c>
      <c r="AB3603" t="s">
        <v>395</v>
      </c>
      <c r="AD3603" t="s">
        <v>11100</v>
      </c>
      <c r="AF3603" t="s">
        <v>10384</v>
      </c>
      <c r="AH3603" t="s">
        <v>10974</v>
      </c>
      <c r="AJ3603" t="s">
        <v>11104</v>
      </c>
      <c r="AK3603" t="s">
        <v>7225</v>
      </c>
      <c r="AM3603">
        <v>1189.1</v>
      </c>
      <c r="AO3603">
        <v>359</v>
      </c>
      <c r="AQ3603" t="s">
        <v>11157</v>
      </c>
      <c r="AS3603" t="s">
        <v>11173</v>
      </c>
      <c r="AU3603">
        <v>44</v>
      </c>
      <c r="AW3603" t="s">
        <v>11187</v>
      </c>
      <c r="AY3603" t="s">
        <v>11213</v>
      </c>
      <c r="AZ3603" t="s">
        <v>11221</v>
      </c>
      <c r="BD3603" t="s">
        <v>11667</v>
      </c>
      <c r="BF3603" t="s">
        <v>14364</v>
      </c>
      <c r="BM3603" t="s">
        <v>15650</v>
      </c>
    </row>
    <row r="3604" spans="1:65">
      <c r="A3604" s="1">
        <f>HYPERLINK("https://lsnyc.legalserver.org/matter/dynamic-profile/view/1898836","19-1898836")</f>
        <v>0</v>
      </c>
      <c r="B3604" t="s">
        <v>197</v>
      </c>
      <c r="C3604" t="s">
        <v>248</v>
      </c>
      <c r="D3604" t="s">
        <v>347</v>
      </c>
      <c r="F3604" t="s">
        <v>1122</v>
      </c>
      <c r="G3604" t="s">
        <v>4330</v>
      </c>
      <c r="H3604" t="s">
        <v>5940</v>
      </c>
      <c r="I3604" t="s">
        <v>7025</v>
      </c>
      <c r="J3604" t="s">
        <v>7174</v>
      </c>
      <c r="K3604">
        <v>11233</v>
      </c>
      <c r="N3604" t="s">
        <v>7237</v>
      </c>
      <c r="O3604" t="s">
        <v>9520</v>
      </c>
      <c r="P3604">
        <v>1</v>
      </c>
      <c r="Q3604">
        <v>0</v>
      </c>
      <c r="R3604">
        <v>511.84</v>
      </c>
      <c r="U3604">
        <v>63929</v>
      </c>
      <c r="V3604" t="s">
        <v>10677</v>
      </c>
      <c r="W3604">
        <v>0.2</v>
      </c>
      <c r="X3604" t="s">
        <v>598</v>
      </c>
      <c r="Y3604" t="s">
        <v>101</v>
      </c>
      <c r="AA3604" t="s">
        <v>10974</v>
      </c>
      <c r="AB3604" t="s">
        <v>395</v>
      </c>
      <c r="AD3604" t="s">
        <v>11100</v>
      </c>
      <c r="AF3604" t="s">
        <v>10384</v>
      </c>
      <c r="AH3604" t="s">
        <v>10974</v>
      </c>
      <c r="AJ3604" t="s">
        <v>11104</v>
      </c>
      <c r="AK3604" t="s">
        <v>7225</v>
      </c>
      <c r="AM3604">
        <v>950</v>
      </c>
      <c r="AO3604">
        <v>359</v>
      </c>
      <c r="AQ3604" t="s">
        <v>11157</v>
      </c>
      <c r="AR3604" t="s">
        <v>11172</v>
      </c>
      <c r="AU3604">
        <v>9</v>
      </c>
      <c r="AW3604" t="s">
        <v>11187</v>
      </c>
      <c r="AY3604" t="s">
        <v>11213</v>
      </c>
      <c r="AZ3604" t="s">
        <v>11221</v>
      </c>
      <c r="BD3604" t="s">
        <v>11667</v>
      </c>
      <c r="BF3604" t="s">
        <v>14364</v>
      </c>
      <c r="BM3604" t="s">
        <v>15650</v>
      </c>
    </row>
    <row r="3605" spans="1:65">
      <c r="A3605" s="1">
        <f>HYPERLINK("https://lsnyc.legalserver.org/matter/dynamic-profile/view/1913294","19-1913294")</f>
        <v>0</v>
      </c>
      <c r="B3605" t="s">
        <v>197</v>
      </c>
      <c r="C3605" t="s">
        <v>248</v>
      </c>
      <c r="D3605" t="s">
        <v>925</v>
      </c>
      <c r="F3605" t="s">
        <v>1461</v>
      </c>
      <c r="G3605" t="s">
        <v>3235</v>
      </c>
      <c r="H3605" t="s">
        <v>5010</v>
      </c>
      <c r="I3605">
        <v>27</v>
      </c>
      <c r="J3605" t="s">
        <v>7174</v>
      </c>
      <c r="K3605">
        <v>11213</v>
      </c>
      <c r="N3605" t="s">
        <v>7237</v>
      </c>
      <c r="O3605" t="s">
        <v>7720</v>
      </c>
      <c r="P3605">
        <v>2</v>
      </c>
      <c r="Q3605">
        <v>0</v>
      </c>
      <c r="R3605">
        <v>359.55</v>
      </c>
      <c r="U3605">
        <v>60800</v>
      </c>
      <c r="V3605" t="s">
        <v>10678</v>
      </c>
      <c r="W3605">
        <v>77.59999999999999</v>
      </c>
      <c r="X3605" t="s">
        <v>638</v>
      </c>
      <c r="Y3605" t="s">
        <v>225</v>
      </c>
      <c r="AA3605" t="s">
        <v>10974</v>
      </c>
      <c r="AB3605" t="s">
        <v>11003</v>
      </c>
      <c r="AD3605" t="s">
        <v>11085</v>
      </c>
      <c r="AF3605" t="s">
        <v>11118</v>
      </c>
      <c r="AH3605" t="s">
        <v>10974</v>
      </c>
      <c r="AJ3605" t="s">
        <v>11141</v>
      </c>
      <c r="AK3605" t="s">
        <v>7225</v>
      </c>
      <c r="AM3605">
        <v>861.2</v>
      </c>
      <c r="AO3605">
        <v>31</v>
      </c>
      <c r="AQ3605" t="s">
        <v>11157</v>
      </c>
      <c r="AS3605" t="s">
        <v>11173</v>
      </c>
      <c r="AU3605">
        <v>34</v>
      </c>
      <c r="AW3605" t="s">
        <v>11187</v>
      </c>
      <c r="AY3605" t="s">
        <v>11213</v>
      </c>
      <c r="BA3605" t="s">
        <v>11222</v>
      </c>
      <c r="BC3605" t="s">
        <v>11173</v>
      </c>
      <c r="BE3605" t="s">
        <v>12078</v>
      </c>
      <c r="BF3605" t="s">
        <v>14364</v>
      </c>
      <c r="BM3605" t="s">
        <v>15650</v>
      </c>
    </row>
    <row r="3606" spans="1:65">
      <c r="A3606" s="1">
        <f>HYPERLINK("https://lsnyc.legalserver.org/matter/dynamic-profile/view/1890526","19-1890526")</f>
        <v>0</v>
      </c>
      <c r="B3606" t="s">
        <v>197</v>
      </c>
      <c r="C3606" t="s">
        <v>248</v>
      </c>
      <c r="D3606" t="s">
        <v>442</v>
      </c>
      <c r="F3606" t="s">
        <v>1575</v>
      </c>
      <c r="G3606" t="s">
        <v>2201</v>
      </c>
      <c r="H3606" t="s">
        <v>5124</v>
      </c>
      <c r="I3606" t="s">
        <v>7011</v>
      </c>
      <c r="J3606" t="s">
        <v>7174</v>
      </c>
      <c r="K3606">
        <v>11233</v>
      </c>
      <c r="N3606" t="s">
        <v>7237</v>
      </c>
      <c r="O3606" t="s">
        <v>9499</v>
      </c>
      <c r="P3606">
        <v>2</v>
      </c>
      <c r="Q3606">
        <v>0</v>
      </c>
      <c r="R3606">
        <v>420.19</v>
      </c>
      <c r="U3606">
        <v>71054</v>
      </c>
      <c r="V3606" t="s">
        <v>10679</v>
      </c>
      <c r="W3606">
        <v>0</v>
      </c>
      <c r="Y3606" t="s">
        <v>225</v>
      </c>
      <c r="AA3606" t="s">
        <v>10974</v>
      </c>
      <c r="AB3606" t="s">
        <v>874</v>
      </c>
      <c r="AD3606" t="s">
        <v>11098</v>
      </c>
      <c r="AF3606" t="s">
        <v>11122</v>
      </c>
      <c r="AH3606" t="s">
        <v>10974</v>
      </c>
      <c r="AJ3606" t="s">
        <v>11140</v>
      </c>
      <c r="AK3606" t="s">
        <v>7225</v>
      </c>
      <c r="AM3606">
        <v>1027</v>
      </c>
      <c r="AO3606">
        <v>359</v>
      </c>
      <c r="AQ3606" t="s">
        <v>11157</v>
      </c>
      <c r="AS3606" t="s">
        <v>11173</v>
      </c>
      <c r="AU3606">
        <v>7</v>
      </c>
      <c r="AW3606" t="s">
        <v>11187</v>
      </c>
      <c r="AY3606" t="s">
        <v>11213</v>
      </c>
      <c r="AZ3606" t="s">
        <v>11221</v>
      </c>
      <c r="BA3606" t="s">
        <v>11173</v>
      </c>
      <c r="BC3606" t="s">
        <v>11228</v>
      </c>
      <c r="BD3606" t="s">
        <v>11667</v>
      </c>
      <c r="BF3606" t="s">
        <v>14364</v>
      </c>
      <c r="BG3606" t="s">
        <v>15229</v>
      </c>
      <c r="BM3606" t="s">
        <v>15650</v>
      </c>
    </row>
    <row r="3607" spans="1:65">
      <c r="A3607" s="1">
        <f>HYPERLINK("https://lsnyc.legalserver.org/matter/dynamic-profile/view/1915315","19-1915315")</f>
        <v>0</v>
      </c>
      <c r="B3607" t="s">
        <v>197</v>
      </c>
      <c r="C3607" t="s">
        <v>248</v>
      </c>
      <c r="D3607" t="s">
        <v>426</v>
      </c>
      <c r="F3607" t="s">
        <v>1940</v>
      </c>
      <c r="G3607" t="s">
        <v>1157</v>
      </c>
      <c r="H3607" t="s">
        <v>5010</v>
      </c>
      <c r="I3607">
        <v>38</v>
      </c>
      <c r="J3607" t="s">
        <v>7174</v>
      </c>
      <c r="K3607">
        <v>11213</v>
      </c>
      <c r="N3607" t="s">
        <v>7237</v>
      </c>
      <c r="O3607" t="s">
        <v>9144</v>
      </c>
      <c r="P3607">
        <v>2</v>
      </c>
      <c r="Q3607">
        <v>0</v>
      </c>
      <c r="R3607">
        <v>312.24</v>
      </c>
      <c r="U3607">
        <v>52800</v>
      </c>
      <c r="V3607" t="s">
        <v>10539</v>
      </c>
      <c r="W3607">
        <v>0</v>
      </c>
      <c r="Y3607" t="s">
        <v>225</v>
      </c>
      <c r="AA3607" t="s">
        <v>10974</v>
      </c>
      <c r="AB3607" t="s">
        <v>264</v>
      </c>
      <c r="AD3607" t="s">
        <v>11085</v>
      </c>
      <c r="AF3607" t="s">
        <v>11118</v>
      </c>
      <c r="AH3607" t="s">
        <v>10974</v>
      </c>
      <c r="AJ3607" t="s">
        <v>11134</v>
      </c>
      <c r="AK3607" t="s">
        <v>7225</v>
      </c>
      <c r="AM3607">
        <v>1161.8</v>
      </c>
      <c r="AO3607">
        <v>31</v>
      </c>
      <c r="AQ3607" t="s">
        <v>11157</v>
      </c>
      <c r="AS3607" t="s">
        <v>11173</v>
      </c>
      <c r="AU3607">
        <v>8</v>
      </c>
      <c r="AW3607" t="s">
        <v>11187</v>
      </c>
      <c r="AY3607" t="s">
        <v>11213</v>
      </c>
      <c r="BA3607" t="s">
        <v>11222</v>
      </c>
      <c r="BC3607" t="s">
        <v>11228</v>
      </c>
      <c r="BD3607" t="s">
        <v>11667</v>
      </c>
      <c r="BF3607" t="s">
        <v>14364</v>
      </c>
      <c r="BG3607" t="s">
        <v>15124</v>
      </c>
      <c r="BM3607" t="s">
        <v>15650</v>
      </c>
    </row>
    <row r="3608" spans="1:65">
      <c r="A3608" s="1">
        <f>HYPERLINK("https://lsnyc.legalserver.org/matter/dynamic-profile/view/1891983","19-1891983")</f>
        <v>0</v>
      </c>
      <c r="B3608" t="s">
        <v>197</v>
      </c>
      <c r="C3608" t="s">
        <v>248</v>
      </c>
      <c r="D3608" t="s">
        <v>425</v>
      </c>
      <c r="F3608" t="s">
        <v>1641</v>
      </c>
      <c r="G3608" t="s">
        <v>4334</v>
      </c>
      <c r="H3608" t="s">
        <v>5124</v>
      </c>
      <c r="I3608" t="s">
        <v>7027</v>
      </c>
      <c r="J3608" t="s">
        <v>7174</v>
      </c>
      <c r="K3608">
        <v>11233</v>
      </c>
      <c r="N3608" t="s">
        <v>7237</v>
      </c>
      <c r="O3608" t="s">
        <v>9524</v>
      </c>
      <c r="P3608">
        <v>2</v>
      </c>
      <c r="Q3608">
        <v>0</v>
      </c>
      <c r="R3608">
        <v>567.71</v>
      </c>
      <c r="U3608">
        <v>96000</v>
      </c>
      <c r="V3608" t="s">
        <v>10680</v>
      </c>
      <c r="W3608">
        <v>0</v>
      </c>
      <c r="Y3608" t="s">
        <v>101</v>
      </c>
      <c r="AA3608" t="s">
        <v>10974</v>
      </c>
      <c r="AB3608" t="s">
        <v>874</v>
      </c>
      <c r="AD3608" t="s">
        <v>11098</v>
      </c>
      <c r="AF3608" t="s">
        <v>11122</v>
      </c>
      <c r="AH3608" t="s">
        <v>10974</v>
      </c>
      <c r="AJ3608" t="s">
        <v>11104</v>
      </c>
      <c r="AK3608" t="s">
        <v>7225</v>
      </c>
      <c r="AM3608">
        <v>989.35</v>
      </c>
      <c r="AO3608">
        <v>359</v>
      </c>
      <c r="AQ3608" t="s">
        <v>11157</v>
      </c>
      <c r="AS3608" t="s">
        <v>11173</v>
      </c>
      <c r="AU3608">
        <v>16</v>
      </c>
      <c r="AW3608" t="s">
        <v>11187</v>
      </c>
      <c r="AY3608" t="s">
        <v>11213</v>
      </c>
      <c r="AZ3608" t="s">
        <v>11221</v>
      </c>
      <c r="BD3608" t="s">
        <v>11667</v>
      </c>
      <c r="BF3608" t="s">
        <v>14364</v>
      </c>
      <c r="BG3608" t="s">
        <v>15229</v>
      </c>
      <c r="BM3608" t="s">
        <v>15650</v>
      </c>
    </row>
    <row r="3609" spans="1:65">
      <c r="A3609" s="1">
        <f>HYPERLINK("https://lsnyc.legalserver.org/matter/dynamic-profile/view/1891871","19-1891871")</f>
        <v>0</v>
      </c>
      <c r="B3609" t="s">
        <v>197</v>
      </c>
      <c r="C3609" t="s">
        <v>248</v>
      </c>
      <c r="D3609" t="s">
        <v>545</v>
      </c>
      <c r="F3609" t="s">
        <v>1629</v>
      </c>
      <c r="G3609" t="s">
        <v>4176</v>
      </c>
      <c r="H3609" t="s">
        <v>4798</v>
      </c>
      <c r="I3609" t="s">
        <v>6619</v>
      </c>
      <c r="J3609" t="s">
        <v>7174</v>
      </c>
      <c r="K3609">
        <v>11233</v>
      </c>
      <c r="N3609" t="s">
        <v>7237</v>
      </c>
      <c r="O3609" t="s">
        <v>9525</v>
      </c>
      <c r="P3609">
        <v>1</v>
      </c>
      <c r="Q3609">
        <v>0</v>
      </c>
      <c r="R3609">
        <v>176.86</v>
      </c>
      <c r="U3609">
        <v>22090</v>
      </c>
      <c r="V3609" t="s">
        <v>10645</v>
      </c>
      <c r="W3609">
        <v>0</v>
      </c>
      <c r="Y3609" t="s">
        <v>225</v>
      </c>
      <c r="AA3609" t="s">
        <v>10974</v>
      </c>
      <c r="AB3609" t="s">
        <v>395</v>
      </c>
      <c r="AD3609" t="s">
        <v>11100</v>
      </c>
      <c r="AF3609" t="s">
        <v>10384</v>
      </c>
      <c r="AH3609" t="s">
        <v>10974</v>
      </c>
      <c r="AI3609" t="s">
        <v>11126</v>
      </c>
      <c r="AK3609" t="s">
        <v>7225</v>
      </c>
      <c r="AM3609">
        <v>875</v>
      </c>
      <c r="AO3609">
        <v>359</v>
      </c>
      <c r="AQ3609" t="s">
        <v>11157</v>
      </c>
      <c r="AS3609" t="s">
        <v>11173</v>
      </c>
      <c r="AU3609">
        <v>40</v>
      </c>
      <c r="AW3609" t="s">
        <v>11187</v>
      </c>
      <c r="AY3609" t="s">
        <v>11213</v>
      </c>
      <c r="AZ3609" t="s">
        <v>11221</v>
      </c>
      <c r="BA3609" t="s">
        <v>11173</v>
      </c>
      <c r="BC3609" t="s">
        <v>11173</v>
      </c>
      <c r="BD3609" t="s">
        <v>11667</v>
      </c>
      <c r="BF3609" t="s">
        <v>14364</v>
      </c>
      <c r="BG3609" t="s">
        <v>11173</v>
      </c>
      <c r="BM3609" t="s">
        <v>15650</v>
      </c>
    </row>
    <row r="3610" spans="1:65">
      <c r="A3610" s="1">
        <f>HYPERLINK("https://lsnyc.legalserver.org/matter/dynamic-profile/view/1890572","19-1890572")</f>
        <v>0</v>
      </c>
      <c r="B3610" t="s">
        <v>197</v>
      </c>
      <c r="C3610" t="s">
        <v>248</v>
      </c>
      <c r="D3610" t="s">
        <v>442</v>
      </c>
      <c r="F3610" t="s">
        <v>1629</v>
      </c>
      <c r="G3610" t="s">
        <v>4176</v>
      </c>
      <c r="H3610" t="s">
        <v>4798</v>
      </c>
      <c r="I3610" t="s">
        <v>6619</v>
      </c>
      <c r="J3610" t="s">
        <v>7174</v>
      </c>
      <c r="K3610">
        <v>11233</v>
      </c>
      <c r="N3610" t="s">
        <v>7237</v>
      </c>
      <c r="O3610" t="s">
        <v>9525</v>
      </c>
      <c r="P3610">
        <v>1</v>
      </c>
      <c r="Q3610">
        <v>0</v>
      </c>
      <c r="R3610">
        <v>176.86</v>
      </c>
      <c r="U3610">
        <v>22090</v>
      </c>
      <c r="V3610" t="s">
        <v>10601</v>
      </c>
      <c r="W3610">
        <v>0</v>
      </c>
      <c r="Y3610" t="s">
        <v>225</v>
      </c>
      <c r="AA3610" t="s">
        <v>10974</v>
      </c>
      <c r="AB3610" t="s">
        <v>11068</v>
      </c>
      <c r="AD3610" t="s">
        <v>11098</v>
      </c>
      <c r="AF3610" t="s">
        <v>11122</v>
      </c>
      <c r="AH3610" t="s">
        <v>10974</v>
      </c>
      <c r="AJ3610" t="s">
        <v>11140</v>
      </c>
      <c r="AK3610" t="s">
        <v>7225</v>
      </c>
      <c r="AM3610">
        <v>875</v>
      </c>
      <c r="AO3610">
        <v>359</v>
      </c>
      <c r="AQ3610" t="s">
        <v>11157</v>
      </c>
      <c r="AS3610" t="s">
        <v>11173</v>
      </c>
      <c r="AU3610">
        <v>40</v>
      </c>
      <c r="AW3610" t="s">
        <v>11187</v>
      </c>
      <c r="AY3610" t="s">
        <v>11213</v>
      </c>
      <c r="AZ3610" t="s">
        <v>11221</v>
      </c>
      <c r="BA3610" t="s">
        <v>11173</v>
      </c>
      <c r="BC3610" t="s">
        <v>11173</v>
      </c>
      <c r="BD3610" t="s">
        <v>11667</v>
      </c>
      <c r="BF3610" t="s">
        <v>14364</v>
      </c>
      <c r="BG3610" t="s">
        <v>15228</v>
      </c>
      <c r="BM3610" t="s">
        <v>15650</v>
      </c>
    </row>
    <row r="3611" spans="1:65">
      <c r="A3611" s="1">
        <f>HYPERLINK("https://lsnyc.legalserver.org/matter/dynamic-profile/view/1859934","18-1859934")</f>
        <v>0</v>
      </c>
      <c r="B3611" t="s">
        <v>197</v>
      </c>
      <c r="C3611" t="s">
        <v>248</v>
      </c>
      <c r="D3611" t="s">
        <v>643</v>
      </c>
      <c r="F3611" t="s">
        <v>1545</v>
      </c>
      <c r="G3611" t="s">
        <v>4335</v>
      </c>
      <c r="H3611" t="s">
        <v>5946</v>
      </c>
      <c r="I3611" t="s">
        <v>7028</v>
      </c>
      <c r="J3611" t="s">
        <v>7174</v>
      </c>
      <c r="K3611">
        <v>11233</v>
      </c>
      <c r="N3611" t="s">
        <v>7237</v>
      </c>
      <c r="O3611" t="s">
        <v>7377</v>
      </c>
      <c r="P3611">
        <v>4</v>
      </c>
      <c r="Q3611">
        <v>2</v>
      </c>
      <c r="R3611">
        <v>80.86</v>
      </c>
      <c r="U3611">
        <v>26652</v>
      </c>
      <c r="W3611">
        <v>22</v>
      </c>
      <c r="X3611" t="s">
        <v>394</v>
      </c>
      <c r="Y3611" t="s">
        <v>10913</v>
      </c>
      <c r="AA3611" t="s">
        <v>10974</v>
      </c>
      <c r="AB3611" t="s">
        <v>871</v>
      </c>
      <c r="AD3611" t="s">
        <v>11083</v>
      </c>
      <c r="AF3611" t="s">
        <v>11118</v>
      </c>
      <c r="AH3611" t="s">
        <v>10975</v>
      </c>
      <c r="AJ3611" t="s">
        <v>11128</v>
      </c>
      <c r="AK3611" t="s">
        <v>7225</v>
      </c>
      <c r="AM3611">
        <v>2200</v>
      </c>
      <c r="AO3611">
        <v>2</v>
      </c>
      <c r="AP3611" t="s">
        <v>11155</v>
      </c>
      <c r="AR3611" t="s">
        <v>11172</v>
      </c>
      <c r="AU3611">
        <v>46</v>
      </c>
      <c r="AW3611" t="s">
        <v>11187</v>
      </c>
      <c r="AZ3611" t="s">
        <v>11221</v>
      </c>
      <c r="BC3611" t="s">
        <v>11544</v>
      </c>
      <c r="BE3611" t="s">
        <v>13669</v>
      </c>
      <c r="BG3611" t="s">
        <v>15237</v>
      </c>
      <c r="BM3611" t="s">
        <v>15650</v>
      </c>
    </row>
    <row r="3612" spans="1:65">
      <c r="A3612" s="1">
        <f>HYPERLINK("https://lsnyc.legalserver.org/matter/dynamic-profile/view/1891875","19-1891875")</f>
        <v>0</v>
      </c>
      <c r="B3612" t="s">
        <v>197</v>
      </c>
      <c r="C3612" t="s">
        <v>248</v>
      </c>
      <c r="D3612" t="s">
        <v>545</v>
      </c>
      <c r="F3612" t="s">
        <v>2496</v>
      </c>
      <c r="G3612" t="s">
        <v>4336</v>
      </c>
      <c r="H3612" t="s">
        <v>4798</v>
      </c>
      <c r="I3612" t="s">
        <v>6921</v>
      </c>
      <c r="J3612" t="s">
        <v>7174</v>
      </c>
      <c r="K3612">
        <v>11233</v>
      </c>
      <c r="N3612" t="s">
        <v>7237</v>
      </c>
      <c r="O3612" t="s">
        <v>9526</v>
      </c>
      <c r="P3612">
        <v>3</v>
      </c>
      <c r="Q3612">
        <v>1</v>
      </c>
      <c r="R3612">
        <v>174.76</v>
      </c>
      <c r="U3612">
        <v>45000</v>
      </c>
      <c r="V3612" t="s">
        <v>10681</v>
      </c>
      <c r="W3612">
        <v>0</v>
      </c>
      <c r="Y3612" t="s">
        <v>225</v>
      </c>
      <c r="AA3612" t="s">
        <v>10974</v>
      </c>
      <c r="AB3612" t="s">
        <v>395</v>
      </c>
      <c r="AD3612" t="s">
        <v>11100</v>
      </c>
      <c r="AF3612" t="s">
        <v>10384</v>
      </c>
      <c r="AH3612" t="s">
        <v>10974</v>
      </c>
      <c r="AI3612" t="s">
        <v>11126</v>
      </c>
      <c r="AK3612" t="s">
        <v>7225</v>
      </c>
      <c r="AM3612">
        <v>1200</v>
      </c>
      <c r="AO3612">
        <v>359</v>
      </c>
      <c r="AQ3612" t="s">
        <v>11157</v>
      </c>
      <c r="AS3612" t="s">
        <v>11173</v>
      </c>
      <c r="AU3612">
        <v>10</v>
      </c>
      <c r="AW3612" t="s">
        <v>11187</v>
      </c>
      <c r="AY3612" t="s">
        <v>11213</v>
      </c>
      <c r="AZ3612" t="s">
        <v>11221</v>
      </c>
      <c r="BD3612" t="s">
        <v>11667</v>
      </c>
      <c r="BF3612" t="s">
        <v>14364</v>
      </c>
      <c r="BG3612" t="s">
        <v>11228</v>
      </c>
      <c r="BM3612" t="s">
        <v>15650</v>
      </c>
    </row>
    <row r="3613" spans="1:65">
      <c r="A3613" s="1">
        <f>HYPERLINK("https://lsnyc.legalserver.org/matter/dynamic-profile/view/1890630","19-1890630")</f>
        <v>0</v>
      </c>
      <c r="B3613" t="s">
        <v>197</v>
      </c>
      <c r="C3613" t="s">
        <v>248</v>
      </c>
      <c r="D3613" t="s">
        <v>442</v>
      </c>
      <c r="F3613" t="s">
        <v>2496</v>
      </c>
      <c r="G3613" t="s">
        <v>4336</v>
      </c>
      <c r="H3613" t="s">
        <v>4798</v>
      </c>
      <c r="I3613" t="s">
        <v>6921</v>
      </c>
      <c r="J3613" t="s">
        <v>7174</v>
      </c>
      <c r="K3613">
        <v>11233</v>
      </c>
      <c r="N3613" t="s">
        <v>7237</v>
      </c>
      <c r="O3613" t="s">
        <v>9526</v>
      </c>
      <c r="P3613">
        <v>3</v>
      </c>
      <c r="Q3613">
        <v>1</v>
      </c>
      <c r="R3613">
        <v>174.76</v>
      </c>
      <c r="U3613">
        <v>45000</v>
      </c>
      <c r="V3613" t="s">
        <v>10570</v>
      </c>
      <c r="W3613">
        <v>0</v>
      </c>
      <c r="Y3613" t="s">
        <v>101</v>
      </c>
      <c r="AA3613" t="s">
        <v>10974</v>
      </c>
      <c r="AB3613" t="s">
        <v>874</v>
      </c>
      <c r="AD3613" t="s">
        <v>11098</v>
      </c>
      <c r="AF3613" t="s">
        <v>11122</v>
      </c>
      <c r="AH3613" t="s">
        <v>10974</v>
      </c>
      <c r="AJ3613" t="s">
        <v>11104</v>
      </c>
      <c r="AK3613" t="s">
        <v>7225</v>
      </c>
      <c r="AM3613">
        <v>1200</v>
      </c>
      <c r="AO3613">
        <v>359</v>
      </c>
      <c r="AQ3613" t="s">
        <v>11157</v>
      </c>
      <c r="AS3613" t="s">
        <v>11173</v>
      </c>
      <c r="AU3613">
        <v>10</v>
      </c>
      <c r="AW3613" t="s">
        <v>11187</v>
      </c>
      <c r="AY3613" t="s">
        <v>11213</v>
      </c>
      <c r="AZ3613" t="s">
        <v>11221</v>
      </c>
      <c r="BD3613" t="s">
        <v>11667</v>
      </c>
      <c r="BF3613" t="s">
        <v>14364</v>
      </c>
      <c r="BG3613" t="s">
        <v>15228</v>
      </c>
      <c r="BM3613" t="s">
        <v>15650</v>
      </c>
    </row>
    <row r="3614" spans="1:65">
      <c r="A3614" s="1">
        <f>HYPERLINK("https://lsnyc.legalserver.org/matter/dynamic-profile/view/1887097","19-1887097")</f>
        <v>0</v>
      </c>
      <c r="B3614" t="s">
        <v>197</v>
      </c>
      <c r="C3614" t="s">
        <v>248</v>
      </c>
      <c r="D3614" t="s">
        <v>785</v>
      </c>
      <c r="F3614" t="s">
        <v>2497</v>
      </c>
      <c r="G3614" t="s">
        <v>4337</v>
      </c>
      <c r="H3614" t="s">
        <v>4798</v>
      </c>
      <c r="I3614" t="s">
        <v>7029</v>
      </c>
      <c r="J3614" t="s">
        <v>7174</v>
      </c>
      <c r="K3614">
        <v>11233</v>
      </c>
      <c r="N3614" t="s">
        <v>7237</v>
      </c>
      <c r="O3614" t="s">
        <v>9527</v>
      </c>
      <c r="P3614">
        <v>5</v>
      </c>
      <c r="Q3614">
        <v>0</v>
      </c>
      <c r="R3614">
        <v>174.03</v>
      </c>
      <c r="U3614">
        <v>51200</v>
      </c>
      <c r="W3614">
        <v>0</v>
      </c>
      <c r="Y3614" t="s">
        <v>225</v>
      </c>
      <c r="AA3614" t="s">
        <v>10974</v>
      </c>
      <c r="AB3614" t="s">
        <v>672</v>
      </c>
      <c r="AD3614" t="s">
        <v>11098</v>
      </c>
      <c r="AF3614" t="s">
        <v>11122</v>
      </c>
      <c r="AH3614" t="s">
        <v>10974</v>
      </c>
      <c r="AJ3614" t="s">
        <v>11134</v>
      </c>
      <c r="AK3614" t="s">
        <v>7225</v>
      </c>
      <c r="AM3614">
        <v>1353.11</v>
      </c>
      <c r="AO3614">
        <v>764</v>
      </c>
      <c r="AQ3614" t="s">
        <v>11157</v>
      </c>
      <c r="AS3614" t="s">
        <v>11173</v>
      </c>
      <c r="AU3614">
        <v>24</v>
      </c>
      <c r="AW3614" t="s">
        <v>11187</v>
      </c>
      <c r="AY3614" t="s">
        <v>11213</v>
      </c>
      <c r="AZ3614" t="s">
        <v>11221</v>
      </c>
      <c r="BC3614" t="s">
        <v>11173</v>
      </c>
      <c r="BE3614" t="s">
        <v>13670</v>
      </c>
      <c r="BF3614" t="s">
        <v>14364</v>
      </c>
      <c r="BG3614" t="s">
        <v>15228</v>
      </c>
      <c r="BM3614" t="s">
        <v>15650</v>
      </c>
    </row>
    <row r="3615" spans="1:65">
      <c r="A3615" s="1">
        <f>HYPERLINK("https://lsnyc.legalserver.org/matter/dynamic-profile/view/1886536","18-1886536")</f>
        <v>0</v>
      </c>
      <c r="B3615" t="s">
        <v>197</v>
      </c>
      <c r="C3615" t="s">
        <v>248</v>
      </c>
      <c r="D3615" t="s">
        <v>300</v>
      </c>
      <c r="F3615" t="s">
        <v>2473</v>
      </c>
      <c r="G3615" t="s">
        <v>1192</v>
      </c>
      <c r="H3615" t="s">
        <v>5941</v>
      </c>
      <c r="I3615" t="s">
        <v>6487</v>
      </c>
      <c r="J3615" t="s">
        <v>7174</v>
      </c>
      <c r="K3615">
        <v>11233</v>
      </c>
      <c r="N3615" t="s">
        <v>7237</v>
      </c>
      <c r="O3615" t="s">
        <v>7772</v>
      </c>
      <c r="P3615">
        <v>1</v>
      </c>
      <c r="Q3615">
        <v>0</v>
      </c>
      <c r="R3615">
        <v>172.98</v>
      </c>
      <c r="U3615">
        <v>21000</v>
      </c>
      <c r="W3615">
        <v>0</v>
      </c>
      <c r="Y3615" t="s">
        <v>101</v>
      </c>
      <c r="AA3615" t="s">
        <v>10974</v>
      </c>
      <c r="AB3615" t="s">
        <v>11021</v>
      </c>
      <c r="AD3615" t="s">
        <v>11098</v>
      </c>
      <c r="AF3615" t="s">
        <v>11122</v>
      </c>
      <c r="AH3615" t="s">
        <v>10974</v>
      </c>
      <c r="AJ3615" t="s">
        <v>11132</v>
      </c>
      <c r="AK3615" t="s">
        <v>7225</v>
      </c>
      <c r="AM3615">
        <v>446</v>
      </c>
      <c r="AO3615">
        <v>764</v>
      </c>
      <c r="AQ3615" t="s">
        <v>11157</v>
      </c>
      <c r="AS3615" t="s">
        <v>11174</v>
      </c>
      <c r="AT3615" t="s">
        <v>11184</v>
      </c>
      <c r="AU3615">
        <v>0</v>
      </c>
      <c r="AW3615" t="s">
        <v>11187</v>
      </c>
      <c r="AY3615" t="s">
        <v>11213</v>
      </c>
      <c r="AZ3615" t="s">
        <v>11221</v>
      </c>
      <c r="BE3615" t="s">
        <v>13671</v>
      </c>
      <c r="BF3615" t="s">
        <v>14364</v>
      </c>
      <c r="BG3615" t="s">
        <v>15228</v>
      </c>
      <c r="BM3615" t="s">
        <v>15650</v>
      </c>
    </row>
    <row r="3616" spans="1:65">
      <c r="A3616" s="1">
        <f>HYPERLINK("https://lsnyc.legalserver.org/matter/dynamic-profile/view/1891564","19-1891564")</f>
        <v>0</v>
      </c>
      <c r="B3616" t="s">
        <v>197</v>
      </c>
      <c r="C3616" t="s">
        <v>248</v>
      </c>
      <c r="D3616" t="s">
        <v>636</v>
      </c>
      <c r="F3616" t="s">
        <v>1732</v>
      </c>
      <c r="G3616" t="s">
        <v>4332</v>
      </c>
      <c r="H3616" t="s">
        <v>5124</v>
      </c>
      <c r="I3616" t="s">
        <v>7026</v>
      </c>
      <c r="J3616" t="s">
        <v>7174</v>
      </c>
      <c r="K3616">
        <v>11233</v>
      </c>
      <c r="N3616" t="s">
        <v>7237</v>
      </c>
      <c r="O3616" t="s">
        <v>7772</v>
      </c>
      <c r="P3616">
        <v>6</v>
      </c>
      <c r="Q3616">
        <v>0</v>
      </c>
      <c r="R3616">
        <v>383.06</v>
      </c>
      <c r="S3616" t="s">
        <v>776</v>
      </c>
      <c r="U3616">
        <v>132500</v>
      </c>
      <c r="V3616" t="s">
        <v>10682</v>
      </c>
      <c r="W3616">
        <v>0</v>
      </c>
      <c r="Y3616" t="s">
        <v>225</v>
      </c>
      <c r="AA3616" t="s">
        <v>10974</v>
      </c>
      <c r="AB3616" t="s">
        <v>395</v>
      </c>
      <c r="AD3616" t="s">
        <v>11100</v>
      </c>
      <c r="AF3616" t="s">
        <v>10384</v>
      </c>
      <c r="AH3616" t="s">
        <v>10974</v>
      </c>
      <c r="AI3616" t="s">
        <v>11126</v>
      </c>
      <c r="AK3616" t="s">
        <v>7225</v>
      </c>
      <c r="AM3616">
        <v>1157</v>
      </c>
      <c r="AO3616">
        <v>359</v>
      </c>
      <c r="AQ3616" t="s">
        <v>11157</v>
      </c>
      <c r="AR3616" t="s">
        <v>11172</v>
      </c>
      <c r="AU3616">
        <v>39</v>
      </c>
      <c r="AW3616" t="s">
        <v>11187</v>
      </c>
      <c r="AY3616" t="s">
        <v>11213</v>
      </c>
      <c r="AZ3616" t="s">
        <v>11221</v>
      </c>
      <c r="BD3616" t="s">
        <v>11667</v>
      </c>
      <c r="BF3616" t="s">
        <v>14364</v>
      </c>
      <c r="BG3616" t="s">
        <v>11228</v>
      </c>
      <c r="BM3616" t="s">
        <v>15650</v>
      </c>
    </row>
    <row r="3617" spans="1:65">
      <c r="A3617" s="1">
        <f>HYPERLINK("https://lsnyc.legalserver.org/matter/dynamic-profile/view/1891988","19-1891988")</f>
        <v>0</v>
      </c>
      <c r="B3617" t="s">
        <v>197</v>
      </c>
      <c r="C3617" t="s">
        <v>248</v>
      </c>
      <c r="D3617" t="s">
        <v>425</v>
      </c>
      <c r="F3617" t="s">
        <v>1641</v>
      </c>
      <c r="G3617" t="s">
        <v>4334</v>
      </c>
      <c r="H3617" t="s">
        <v>5124</v>
      </c>
      <c r="I3617" t="s">
        <v>7027</v>
      </c>
      <c r="J3617" t="s">
        <v>7174</v>
      </c>
      <c r="K3617">
        <v>11233</v>
      </c>
      <c r="N3617" t="s">
        <v>7237</v>
      </c>
      <c r="O3617" t="s">
        <v>9524</v>
      </c>
      <c r="P3617">
        <v>2</v>
      </c>
      <c r="Q3617">
        <v>0</v>
      </c>
      <c r="R3617">
        <v>567.71</v>
      </c>
      <c r="U3617">
        <v>96000</v>
      </c>
      <c r="V3617" t="s">
        <v>10683</v>
      </c>
      <c r="W3617">
        <v>0</v>
      </c>
      <c r="Y3617" t="s">
        <v>101</v>
      </c>
      <c r="AA3617" t="s">
        <v>10974</v>
      </c>
      <c r="AB3617" t="s">
        <v>395</v>
      </c>
      <c r="AD3617" t="s">
        <v>11100</v>
      </c>
      <c r="AF3617" t="s">
        <v>10384</v>
      </c>
      <c r="AH3617" t="s">
        <v>10974</v>
      </c>
      <c r="AJ3617" t="s">
        <v>11104</v>
      </c>
      <c r="AK3617" t="s">
        <v>7225</v>
      </c>
      <c r="AM3617">
        <v>989.35</v>
      </c>
      <c r="AO3617">
        <v>359</v>
      </c>
      <c r="AQ3617" t="s">
        <v>11157</v>
      </c>
      <c r="AS3617" t="s">
        <v>11173</v>
      </c>
      <c r="AU3617">
        <v>16</v>
      </c>
      <c r="AW3617" t="s">
        <v>11187</v>
      </c>
      <c r="AY3617" t="s">
        <v>11213</v>
      </c>
      <c r="AZ3617" t="s">
        <v>11221</v>
      </c>
      <c r="BD3617" t="s">
        <v>11667</v>
      </c>
      <c r="BF3617" t="s">
        <v>14364</v>
      </c>
      <c r="BM3617" t="s">
        <v>15650</v>
      </c>
    </row>
    <row r="3618" spans="1:65">
      <c r="A3618" s="1">
        <f>HYPERLINK("https://lsnyc.legalserver.org/matter/dynamic-profile/view/1914614","19-1914614")</f>
        <v>0</v>
      </c>
      <c r="B3618" t="s">
        <v>197</v>
      </c>
      <c r="C3618" t="s">
        <v>248</v>
      </c>
      <c r="D3618" t="s">
        <v>297</v>
      </c>
      <c r="F3618" t="s">
        <v>2308</v>
      </c>
      <c r="G3618" t="s">
        <v>4115</v>
      </c>
      <c r="H3618" t="s">
        <v>5010</v>
      </c>
      <c r="I3618">
        <v>28</v>
      </c>
      <c r="J3618" t="s">
        <v>7174</v>
      </c>
      <c r="K3618">
        <v>11213</v>
      </c>
      <c r="N3618" t="s">
        <v>7237</v>
      </c>
      <c r="O3618" t="s">
        <v>9149</v>
      </c>
      <c r="P3618">
        <v>2</v>
      </c>
      <c r="Q3618">
        <v>0</v>
      </c>
      <c r="R3618">
        <v>372.56</v>
      </c>
      <c r="T3618" t="s">
        <v>10276</v>
      </c>
      <c r="U3618">
        <v>63000</v>
      </c>
      <c r="V3618" t="s">
        <v>10684</v>
      </c>
      <c r="W3618">
        <v>0</v>
      </c>
      <c r="Y3618" t="s">
        <v>225</v>
      </c>
      <c r="AA3618" t="s">
        <v>10974</v>
      </c>
      <c r="AB3618" t="s">
        <v>293</v>
      </c>
      <c r="AD3618" t="s">
        <v>11098</v>
      </c>
      <c r="AF3618" t="s">
        <v>11122</v>
      </c>
      <c r="AH3618" t="s">
        <v>10974</v>
      </c>
      <c r="AJ3618" t="s">
        <v>11141</v>
      </c>
      <c r="AK3618" t="s">
        <v>7225</v>
      </c>
      <c r="AM3618">
        <v>1326</v>
      </c>
      <c r="AO3618">
        <v>31</v>
      </c>
      <c r="AQ3618" t="s">
        <v>11157</v>
      </c>
      <c r="AS3618" t="s">
        <v>11173</v>
      </c>
      <c r="AU3618">
        <v>2</v>
      </c>
      <c r="AW3618" t="s">
        <v>11187</v>
      </c>
      <c r="AY3618" t="s">
        <v>11213</v>
      </c>
      <c r="BA3618" t="s">
        <v>11222</v>
      </c>
      <c r="BB3618" t="s">
        <v>11224</v>
      </c>
      <c r="BC3618" t="s">
        <v>11482</v>
      </c>
      <c r="BE3618" t="s">
        <v>13375</v>
      </c>
      <c r="BF3618" t="s">
        <v>14364</v>
      </c>
      <c r="BG3618" t="s">
        <v>14633</v>
      </c>
      <c r="BM3618" t="s">
        <v>15650</v>
      </c>
    </row>
    <row r="3619" spans="1:65">
      <c r="A3619" s="1">
        <f>HYPERLINK("https://lsnyc.legalserver.org/matter/dynamic-profile/view/1891991","19-1891991")</f>
        <v>0</v>
      </c>
      <c r="B3619" t="s">
        <v>197</v>
      </c>
      <c r="C3619" t="s">
        <v>248</v>
      </c>
      <c r="D3619" t="s">
        <v>425</v>
      </c>
      <c r="F3619" t="s">
        <v>1904</v>
      </c>
      <c r="G3619" t="s">
        <v>4338</v>
      </c>
      <c r="H3619" t="s">
        <v>5941</v>
      </c>
      <c r="I3619" t="s">
        <v>7030</v>
      </c>
      <c r="J3619" t="s">
        <v>7174</v>
      </c>
      <c r="K3619">
        <v>11233</v>
      </c>
      <c r="N3619" t="s">
        <v>7237</v>
      </c>
      <c r="O3619" t="s">
        <v>9528</v>
      </c>
      <c r="P3619">
        <v>2</v>
      </c>
      <c r="Q3619">
        <v>0</v>
      </c>
      <c r="R3619">
        <v>77.31999999999999</v>
      </c>
      <c r="U3619">
        <v>13074</v>
      </c>
      <c r="V3619" t="s">
        <v>10685</v>
      </c>
      <c r="W3619">
        <v>0</v>
      </c>
      <c r="Y3619" t="s">
        <v>101</v>
      </c>
      <c r="AA3619" t="s">
        <v>10974</v>
      </c>
      <c r="AB3619" t="s">
        <v>874</v>
      </c>
      <c r="AD3619" t="s">
        <v>11098</v>
      </c>
      <c r="AF3619" t="s">
        <v>11122</v>
      </c>
      <c r="AH3619" t="s">
        <v>10974</v>
      </c>
      <c r="AJ3619" t="s">
        <v>11104</v>
      </c>
      <c r="AK3619" t="s">
        <v>7225</v>
      </c>
      <c r="AM3619">
        <v>1040.6</v>
      </c>
      <c r="AO3619">
        <v>359</v>
      </c>
      <c r="AQ3619" t="s">
        <v>11157</v>
      </c>
      <c r="AS3619" t="s">
        <v>11174</v>
      </c>
      <c r="AU3619">
        <v>29</v>
      </c>
      <c r="AW3619" t="s">
        <v>11187</v>
      </c>
      <c r="AY3619" t="s">
        <v>11213</v>
      </c>
      <c r="AZ3619" t="s">
        <v>11221</v>
      </c>
      <c r="BD3619" t="s">
        <v>11667</v>
      </c>
      <c r="BF3619" t="s">
        <v>14364</v>
      </c>
      <c r="BG3619" t="s">
        <v>15228</v>
      </c>
      <c r="BM3619" t="s">
        <v>15650</v>
      </c>
    </row>
    <row r="3620" spans="1:65">
      <c r="A3620" s="1">
        <f>HYPERLINK("https://lsnyc.legalserver.org/matter/dynamic-profile/view/1914600","19-1914600")</f>
        <v>0</v>
      </c>
      <c r="B3620" t="s">
        <v>197</v>
      </c>
      <c r="C3620" t="s">
        <v>248</v>
      </c>
      <c r="D3620" t="s">
        <v>297</v>
      </c>
      <c r="F3620" t="s">
        <v>2308</v>
      </c>
      <c r="G3620" t="s">
        <v>4115</v>
      </c>
      <c r="H3620" t="s">
        <v>5010</v>
      </c>
      <c r="I3620">
        <v>28</v>
      </c>
      <c r="J3620" t="s">
        <v>7174</v>
      </c>
      <c r="K3620">
        <v>11213</v>
      </c>
      <c r="N3620" t="s">
        <v>7237</v>
      </c>
      <c r="O3620" t="s">
        <v>9149</v>
      </c>
      <c r="P3620">
        <v>2</v>
      </c>
      <c r="Q3620">
        <v>0</v>
      </c>
      <c r="R3620">
        <v>372.56</v>
      </c>
      <c r="U3620">
        <v>63000</v>
      </c>
      <c r="V3620" t="s">
        <v>10684</v>
      </c>
      <c r="W3620">
        <v>0</v>
      </c>
      <c r="Y3620" t="s">
        <v>225</v>
      </c>
      <c r="AA3620" t="s">
        <v>10974</v>
      </c>
      <c r="AB3620" t="s">
        <v>312</v>
      </c>
      <c r="AD3620" t="s">
        <v>11098</v>
      </c>
      <c r="AF3620" t="s">
        <v>11122</v>
      </c>
      <c r="AH3620" t="s">
        <v>10974</v>
      </c>
      <c r="AJ3620" t="s">
        <v>11141</v>
      </c>
      <c r="AK3620" t="s">
        <v>7225</v>
      </c>
      <c r="AM3620">
        <v>1326</v>
      </c>
      <c r="AO3620">
        <v>31</v>
      </c>
      <c r="AQ3620" t="s">
        <v>11157</v>
      </c>
      <c r="AS3620" t="s">
        <v>11173</v>
      </c>
      <c r="AU3620">
        <v>2</v>
      </c>
      <c r="AW3620" t="s">
        <v>11187</v>
      </c>
      <c r="AY3620" t="s">
        <v>11213</v>
      </c>
      <c r="BA3620" t="s">
        <v>11222</v>
      </c>
      <c r="BB3620" t="s">
        <v>11224</v>
      </c>
      <c r="BC3620" t="s">
        <v>11482</v>
      </c>
      <c r="BE3620" t="s">
        <v>13375</v>
      </c>
      <c r="BF3620" t="s">
        <v>14364</v>
      </c>
      <c r="BG3620" t="s">
        <v>14574</v>
      </c>
      <c r="BM3620" t="s">
        <v>15650</v>
      </c>
    </row>
    <row r="3621" spans="1:65">
      <c r="A3621" s="1">
        <f>HYPERLINK("https://lsnyc.legalserver.org/matter/dynamic-profile/view/1892508","19-1892508")</f>
        <v>0</v>
      </c>
      <c r="B3621" t="s">
        <v>197</v>
      </c>
      <c r="C3621" t="s">
        <v>248</v>
      </c>
      <c r="D3621" t="s">
        <v>403</v>
      </c>
      <c r="F3621" t="s">
        <v>1519</v>
      </c>
      <c r="G3621" t="s">
        <v>2921</v>
      </c>
      <c r="H3621" t="s">
        <v>4798</v>
      </c>
      <c r="I3621" t="s">
        <v>6467</v>
      </c>
      <c r="J3621" t="s">
        <v>7174</v>
      </c>
      <c r="K3621">
        <v>11233</v>
      </c>
      <c r="N3621" t="s">
        <v>7237</v>
      </c>
      <c r="O3621" t="s">
        <v>9529</v>
      </c>
      <c r="P3621">
        <v>2</v>
      </c>
      <c r="Q3621">
        <v>1</v>
      </c>
      <c r="R3621">
        <v>171.84</v>
      </c>
      <c r="U3621">
        <v>36653</v>
      </c>
      <c r="V3621" t="s">
        <v>10686</v>
      </c>
      <c r="W3621">
        <v>0</v>
      </c>
      <c r="Y3621" t="s">
        <v>101</v>
      </c>
      <c r="AA3621" t="s">
        <v>10974</v>
      </c>
      <c r="AB3621" t="s">
        <v>395</v>
      </c>
      <c r="AD3621" t="s">
        <v>11100</v>
      </c>
      <c r="AF3621" t="s">
        <v>10384</v>
      </c>
      <c r="AH3621" t="s">
        <v>10974</v>
      </c>
      <c r="AJ3621" t="s">
        <v>11104</v>
      </c>
      <c r="AK3621" t="s">
        <v>7225</v>
      </c>
      <c r="AM3621">
        <v>986</v>
      </c>
      <c r="AO3621">
        <v>359</v>
      </c>
      <c r="AQ3621" t="s">
        <v>11157</v>
      </c>
      <c r="AS3621" t="s">
        <v>11173</v>
      </c>
      <c r="AU3621">
        <v>16</v>
      </c>
      <c r="AW3621" t="s">
        <v>11187</v>
      </c>
      <c r="AY3621" t="s">
        <v>11213</v>
      </c>
      <c r="AZ3621" t="s">
        <v>11221</v>
      </c>
      <c r="BA3621" t="s">
        <v>11173</v>
      </c>
      <c r="BC3621" t="s">
        <v>11228</v>
      </c>
      <c r="BD3621" t="s">
        <v>11667</v>
      </c>
      <c r="BF3621" t="s">
        <v>14364</v>
      </c>
      <c r="BG3621" t="s">
        <v>11173</v>
      </c>
      <c r="BM3621" t="s">
        <v>15650</v>
      </c>
    </row>
    <row r="3622" spans="1:65">
      <c r="A3622" s="1">
        <f>HYPERLINK("https://lsnyc.legalserver.org/matter/dynamic-profile/view/1891663","19-1891663")</f>
        <v>0</v>
      </c>
      <c r="B3622" t="s">
        <v>197</v>
      </c>
      <c r="C3622" t="s">
        <v>248</v>
      </c>
      <c r="D3622" t="s">
        <v>515</v>
      </c>
      <c r="F3622" t="s">
        <v>2365</v>
      </c>
      <c r="G3622" t="s">
        <v>4339</v>
      </c>
      <c r="H3622" t="s">
        <v>5124</v>
      </c>
      <c r="I3622" t="s">
        <v>6881</v>
      </c>
      <c r="J3622" t="s">
        <v>7174</v>
      </c>
      <c r="K3622">
        <v>11233</v>
      </c>
      <c r="N3622" t="s">
        <v>7237</v>
      </c>
      <c r="O3622" t="s">
        <v>9530</v>
      </c>
      <c r="P3622">
        <v>2</v>
      </c>
      <c r="Q3622">
        <v>0</v>
      </c>
      <c r="R3622">
        <v>65.78</v>
      </c>
      <c r="U3622">
        <v>11124</v>
      </c>
      <c r="V3622" t="s">
        <v>10687</v>
      </c>
      <c r="W3622">
        <v>0</v>
      </c>
      <c r="Y3622" t="s">
        <v>225</v>
      </c>
      <c r="AA3622" t="s">
        <v>10974</v>
      </c>
      <c r="AB3622" t="s">
        <v>395</v>
      </c>
      <c r="AD3622" t="s">
        <v>11100</v>
      </c>
      <c r="AF3622" t="s">
        <v>10384</v>
      </c>
      <c r="AH3622" t="s">
        <v>10974</v>
      </c>
      <c r="AI3622" t="s">
        <v>11126</v>
      </c>
      <c r="AK3622" t="s">
        <v>7225</v>
      </c>
      <c r="AM3622">
        <v>802</v>
      </c>
      <c r="AO3622">
        <v>359</v>
      </c>
      <c r="AQ3622" t="s">
        <v>11157</v>
      </c>
      <c r="AR3622" t="s">
        <v>11172</v>
      </c>
      <c r="AU3622">
        <v>12</v>
      </c>
      <c r="AW3622" t="s">
        <v>11187</v>
      </c>
      <c r="AY3622" t="s">
        <v>11213</v>
      </c>
      <c r="AZ3622" t="s">
        <v>11221</v>
      </c>
      <c r="BD3622" t="s">
        <v>11667</v>
      </c>
      <c r="BF3622" t="s">
        <v>14364</v>
      </c>
      <c r="BG3622" t="s">
        <v>11173</v>
      </c>
      <c r="BM3622" t="s">
        <v>15650</v>
      </c>
    </row>
    <row r="3623" spans="1:65">
      <c r="A3623" s="1">
        <f>HYPERLINK("https://lsnyc.legalserver.org/matter/dynamic-profile/view/1892505","19-1892505")</f>
        <v>0</v>
      </c>
      <c r="B3623" t="s">
        <v>197</v>
      </c>
      <c r="C3623" t="s">
        <v>248</v>
      </c>
      <c r="D3623" t="s">
        <v>403</v>
      </c>
      <c r="F3623" t="s">
        <v>1519</v>
      </c>
      <c r="G3623" t="s">
        <v>2921</v>
      </c>
      <c r="H3623" t="s">
        <v>4798</v>
      </c>
      <c r="I3623" t="s">
        <v>6467</v>
      </c>
      <c r="J3623" t="s">
        <v>7174</v>
      </c>
      <c r="K3623">
        <v>11233</v>
      </c>
      <c r="N3623" t="s">
        <v>7237</v>
      </c>
      <c r="O3623" t="s">
        <v>9529</v>
      </c>
      <c r="P3623">
        <v>2</v>
      </c>
      <c r="Q3623">
        <v>1</v>
      </c>
      <c r="R3623">
        <v>171.84</v>
      </c>
      <c r="U3623">
        <v>36653</v>
      </c>
      <c r="V3623" t="s">
        <v>10625</v>
      </c>
      <c r="W3623">
        <v>0</v>
      </c>
      <c r="Y3623" t="s">
        <v>101</v>
      </c>
      <c r="AA3623" t="s">
        <v>10974</v>
      </c>
      <c r="AB3623" t="s">
        <v>874</v>
      </c>
      <c r="AD3623" t="s">
        <v>11098</v>
      </c>
      <c r="AF3623" t="s">
        <v>11122</v>
      </c>
      <c r="AH3623" t="s">
        <v>10974</v>
      </c>
      <c r="AJ3623" t="s">
        <v>11104</v>
      </c>
      <c r="AK3623" t="s">
        <v>7225</v>
      </c>
      <c r="AM3623">
        <v>986</v>
      </c>
      <c r="AO3623">
        <v>359</v>
      </c>
      <c r="AQ3623" t="s">
        <v>11157</v>
      </c>
      <c r="AS3623" t="s">
        <v>11173</v>
      </c>
      <c r="AU3623">
        <v>16</v>
      </c>
      <c r="AW3623" t="s">
        <v>11187</v>
      </c>
      <c r="AY3623" t="s">
        <v>11213</v>
      </c>
      <c r="AZ3623" t="s">
        <v>11221</v>
      </c>
      <c r="BA3623" t="s">
        <v>11173</v>
      </c>
      <c r="BC3623" t="s">
        <v>11228</v>
      </c>
      <c r="BD3623" t="s">
        <v>11667</v>
      </c>
      <c r="BF3623" t="s">
        <v>14364</v>
      </c>
      <c r="BG3623" t="s">
        <v>15228</v>
      </c>
      <c r="BM3623" t="s">
        <v>15650</v>
      </c>
    </row>
    <row r="3624" spans="1:65">
      <c r="A3624" s="1">
        <f>HYPERLINK("https://lsnyc.legalserver.org/matter/dynamic-profile/view/1891662","19-1891662")</f>
        <v>0</v>
      </c>
      <c r="B3624" t="s">
        <v>197</v>
      </c>
      <c r="C3624" t="s">
        <v>248</v>
      </c>
      <c r="D3624" t="s">
        <v>515</v>
      </c>
      <c r="F3624" t="s">
        <v>2365</v>
      </c>
      <c r="G3624" t="s">
        <v>4339</v>
      </c>
      <c r="H3624" t="s">
        <v>5124</v>
      </c>
      <c r="I3624" t="s">
        <v>6881</v>
      </c>
      <c r="J3624" t="s">
        <v>7174</v>
      </c>
      <c r="K3624">
        <v>11233</v>
      </c>
      <c r="N3624" t="s">
        <v>7237</v>
      </c>
      <c r="O3624" t="s">
        <v>9530</v>
      </c>
      <c r="P3624">
        <v>2</v>
      </c>
      <c r="Q3624">
        <v>0</v>
      </c>
      <c r="R3624">
        <v>65.78</v>
      </c>
      <c r="U3624">
        <v>11124</v>
      </c>
      <c r="V3624" t="s">
        <v>10578</v>
      </c>
      <c r="W3624">
        <v>0</v>
      </c>
      <c r="Y3624" t="s">
        <v>225</v>
      </c>
      <c r="AA3624" t="s">
        <v>10974</v>
      </c>
      <c r="AB3624" t="s">
        <v>874</v>
      </c>
      <c r="AD3624" t="s">
        <v>11098</v>
      </c>
      <c r="AF3624" t="s">
        <v>11122</v>
      </c>
      <c r="AH3624" t="s">
        <v>10974</v>
      </c>
      <c r="AI3624" t="s">
        <v>11126</v>
      </c>
      <c r="AK3624" t="s">
        <v>7225</v>
      </c>
      <c r="AM3624">
        <v>802</v>
      </c>
      <c r="AO3624">
        <v>359</v>
      </c>
      <c r="AQ3624" t="s">
        <v>11157</v>
      </c>
      <c r="AR3624" t="s">
        <v>11172</v>
      </c>
      <c r="AU3624">
        <v>12</v>
      </c>
      <c r="AW3624" t="s">
        <v>11187</v>
      </c>
      <c r="AY3624" t="s">
        <v>11213</v>
      </c>
      <c r="AZ3624" t="s">
        <v>11221</v>
      </c>
      <c r="BD3624" t="s">
        <v>11667</v>
      </c>
      <c r="BF3624" t="s">
        <v>14364</v>
      </c>
      <c r="BG3624" t="s">
        <v>15229</v>
      </c>
      <c r="BM3624" t="s">
        <v>15650</v>
      </c>
    </row>
    <row r="3625" spans="1:65">
      <c r="A3625" s="1">
        <f>HYPERLINK("https://lsnyc.legalserver.org/matter/dynamic-profile/view/1895348","19-1895348")</f>
        <v>0</v>
      </c>
      <c r="B3625" t="s">
        <v>197</v>
      </c>
      <c r="C3625" t="s">
        <v>248</v>
      </c>
      <c r="D3625" t="s">
        <v>299</v>
      </c>
      <c r="F3625" t="s">
        <v>1111</v>
      </c>
      <c r="G3625" t="s">
        <v>3276</v>
      </c>
      <c r="H3625" t="s">
        <v>4800</v>
      </c>
      <c r="I3625" t="s">
        <v>6413</v>
      </c>
      <c r="J3625" t="s">
        <v>7174</v>
      </c>
      <c r="K3625">
        <v>11221</v>
      </c>
      <c r="N3625" t="s">
        <v>7242</v>
      </c>
      <c r="O3625" t="s">
        <v>8315</v>
      </c>
      <c r="P3625">
        <v>1</v>
      </c>
      <c r="Q3625">
        <v>1</v>
      </c>
      <c r="R3625">
        <v>82.79000000000001</v>
      </c>
      <c r="U3625">
        <v>14000</v>
      </c>
      <c r="V3625" t="s">
        <v>10418</v>
      </c>
      <c r="W3625">
        <v>1.5</v>
      </c>
      <c r="X3625" t="s">
        <v>312</v>
      </c>
      <c r="Y3625" t="s">
        <v>225</v>
      </c>
      <c r="AA3625" t="s">
        <v>10974</v>
      </c>
      <c r="AB3625" t="s">
        <v>299</v>
      </c>
      <c r="AD3625" t="s">
        <v>11097</v>
      </c>
      <c r="AF3625" t="s">
        <v>11123</v>
      </c>
      <c r="AH3625" t="s">
        <v>10974</v>
      </c>
      <c r="AJ3625" t="s">
        <v>11141</v>
      </c>
      <c r="AK3625" t="s">
        <v>7225</v>
      </c>
      <c r="AM3625">
        <v>336.58</v>
      </c>
      <c r="AO3625">
        <v>12</v>
      </c>
      <c r="AQ3625" t="s">
        <v>11157</v>
      </c>
      <c r="AS3625" t="s">
        <v>11173</v>
      </c>
      <c r="AU3625">
        <v>8</v>
      </c>
      <c r="AW3625" t="s">
        <v>11187</v>
      </c>
      <c r="BA3625" t="s">
        <v>11222</v>
      </c>
      <c r="BB3625" t="s">
        <v>11224</v>
      </c>
      <c r="BC3625" t="s">
        <v>11377</v>
      </c>
      <c r="BE3625" t="s">
        <v>12607</v>
      </c>
      <c r="BG3625" t="s">
        <v>15238</v>
      </c>
      <c r="BM3625" t="s">
        <v>15650</v>
      </c>
    </row>
    <row r="3626" spans="1:65">
      <c r="A3626" s="1">
        <f>HYPERLINK("https://lsnyc.legalserver.org/matter/dynamic-profile/view/1890587","19-1890587")</f>
        <v>0</v>
      </c>
      <c r="B3626" t="s">
        <v>197</v>
      </c>
      <c r="C3626" t="s">
        <v>248</v>
      </c>
      <c r="D3626" t="s">
        <v>442</v>
      </c>
      <c r="F3626" t="s">
        <v>2478</v>
      </c>
      <c r="G3626" t="s">
        <v>3422</v>
      </c>
      <c r="H3626" t="s">
        <v>5124</v>
      </c>
      <c r="I3626" t="s">
        <v>7000</v>
      </c>
      <c r="J3626" t="s">
        <v>7174</v>
      </c>
      <c r="K3626">
        <v>11233</v>
      </c>
      <c r="N3626" t="s">
        <v>7237</v>
      </c>
      <c r="O3626" t="s">
        <v>7632</v>
      </c>
      <c r="P3626">
        <v>2</v>
      </c>
      <c r="Q3626">
        <v>2</v>
      </c>
      <c r="R3626">
        <v>446.6</v>
      </c>
      <c r="U3626">
        <v>115000</v>
      </c>
      <c r="V3626" t="s">
        <v>10601</v>
      </c>
      <c r="W3626">
        <v>0</v>
      </c>
      <c r="Y3626" t="s">
        <v>225</v>
      </c>
      <c r="AA3626" t="s">
        <v>10974</v>
      </c>
      <c r="AB3626" t="s">
        <v>874</v>
      </c>
      <c r="AD3626" t="s">
        <v>11098</v>
      </c>
      <c r="AF3626" t="s">
        <v>11122</v>
      </c>
      <c r="AH3626" t="s">
        <v>10974</v>
      </c>
      <c r="AJ3626" t="s">
        <v>11140</v>
      </c>
      <c r="AK3626" t="s">
        <v>7225</v>
      </c>
      <c r="AM3626">
        <v>1077</v>
      </c>
      <c r="AO3626">
        <v>359</v>
      </c>
      <c r="AQ3626" t="s">
        <v>11157</v>
      </c>
      <c r="AS3626" t="s">
        <v>11173</v>
      </c>
      <c r="AU3626">
        <v>12</v>
      </c>
      <c r="AW3626" t="s">
        <v>11187</v>
      </c>
      <c r="AY3626" t="s">
        <v>11213</v>
      </c>
      <c r="AZ3626" t="s">
        <v>11221</v>
      </c>
      <c r="BD3626" t="s">
        <v>11667</v>
      </c>
      <c r="BF3626" t="s">
        <v>14364</v>
      </c>
      <c r="BG3626" t="s">
        <v>15229</v>
      </c>
      <c r="BM3626" t="s">
        <v>15650</v>
      </c>
    </row>
    <row r="3627" spans="1:65">
      <c r="A3627" s="1">
        <f>HYPERLINK("https://lsnyc.legalserver.org/matter/dynamic-profile/view/1898404","19-1898404")</f>
        <v>0</v>
      </c>
      <c r="B3627" t="s">
        <v>197</v>
      </c>
      <c r="C3627" t="s">
        <v>248</v>
      </c>
      <c r="D3627" t="s">
        <v>519</v>
      </c>
      <c r="F3627" t="s">
        <v>2498</v>
      </c>
      <c r="G3627" t="s">
        <v>3213</v>
      </c>
      <c r="H3627" t="s">
        <v>5124</v>
      </c>
      <c r="I3627" t="s">
        <v>7003</v>
      </c>
      <c r="J3627" t="s">
        <v>7174</v>
      </c>
      <c r="K3627">
        <v>11233</v>
      </c>
      <c r="N3627" t="s">
        <v>7237</v>
      </c>
      <c r="O3627" t="s">
        <v>9531</v>
      </c>
      <c r="P3627">
        <v>2</v>
      </c>
      <c r="Q3627">
        <v>3</v>
      </c>
      <c r="R3627">
        <v>298.31</v>
      </c>
      <c r="U3627">
        <v>90000</v>
      </c>
      <c r="V3627" t="s">
        <v>10570</v>
      </c>
      <c r="W3627">
        <v>0</v>
      </c>
      <c r="Y3627" t="s">
        <v>101</v>
      </c>
      <c r="AA3627" t="s">
        <v>10974</v>
      </c>
      <c r="AB3627" t="s">
        <v>874</v>
      </c>
      <c r="AD3627" t="s">
        <v>11098</v>
      </c>
      <c r="AF3627" t="s">
        <v>11122</v>
      </c>
      <c r="AH3627" t="s">
        <v>10974</v>
      </c>
      <c r="AJ3627" t="s">
        <v>11104</v>
      </c>
      <c r="AK3627" t="s">
        <v>7225</v>
      </c>
      <c r="AM3627">
        <v>1160</v>
      </c>
      <c r="AO3627">
        <v>359</v>
      </c>
      <c r="AQ3627" t="s">
        <v>11157</v>
      </c>
      <c r="AR3627" t="s">
        <v>11172</v>
      </c>
      <c r="AU3627">
        <v>37</v>
      </c>
      <c r="AW3627" t="s">
        <v>11187</v>
      </c>
      <c r="AY3627" t="s">
        <v>11213</v>
      </c>
      <c r="AZ3627" t="s">
        <v>11221</v>
      </c>
      <c r="BD3627" t="s">
        <v>11667</v>
      </c>
      <c r="BF3627" t="s">
        <v>14364</v>
      </c>
      <c r="BG3627" t="s">
        <v>15229</v>
      </c>
      <c r="BM3627" t="s">
        <v>15650</v>
      </c>
    </row>
    <row r="3628" spans="1:65">
      <c r="A3628" s="1">
        <f>HYPERLINK("https://lsnyc.legalserver.org/matter/dynamic-profile/view/1901989","19-1901989")</f>
        <v>0</v>
      </c>
      <c r="B3628" t="s">
        <v>197</v>
      </c>
      <c r="C3628" t="s">
        <v>248</v>
      </c>
      <c r="D3628" t="s">
        <v>590</v>
      </c>
      <c r="F3628" t="s">
        <v>2499</v>
      </c>
      <c r="G3628" t="s">
        <v>3623</v>
      </c>
      <c r="H3628" t="s">
        <v>5940</v>
      </c>
      <c r="I3628" t="s">
        <v>7031</v>
      </c>
      <c r="J3628" t="s">
        <v>7174</v>
      </c>
      <c r="K3628">
        <v>11233</v>
      </c>
      <c r="N3628" t="s">
        <v>7237</v>
      </c>
      <c r="O3628" t="s">
        <v>9532</v>
      </c>
      <c r="P3628">
        <v>1</v>
      </c>
      <c r="Q3628">
        <v>0</v>
      </c>
      <c r="R3628">
        <v>80.06</v>
      </c>
      <c r="U3628">
        <v>10000</v>
      </c>
      <c r="V3628" t="s">
        <v>10688</v>
      </c>
      <c r="W3628">
        <v>0</v>
      </c>
      <c r="Y3628" t="s">
        <v>101</v>
      </c>
      <c r="AA3628" t="s">
        <v>10974</v>
      </c>
      <c r="AB3628" t="s">
        <v>395</v>
      </c>
      <c r="AD3628" t="s">
        <v>11100</v>
      </c>
      <c r="AF3628" t="s">
        <v>10384</v>
      </c>
      <c r="AH3628" t="s">
        <v>10974</v>
      </c>
      <c r="AJ3628" t="s">
        <v>11104</v>
      </c>
      <c r="AK3628" t="s">
        <v>7225</v>
      </c>
      <c r="AM3628">
        <v>1099.98</v>
      </c>
      <c r="AO3628">
        <v>359</v>
      </c>
      <c r="AQ3628" t="s">
        <v>11157</v>
      </c>
      <c r="AR3628" t="s">
        <v>11172</v>
      </c>
      <c r="AU3628">
        <v>51</v>
      </c>
      <c r="AW3628" t="s">
        <v>11187</v>
      </c>
      <c r="AY3628" t="s">
        <v>11213</v>
      </c>
      <c r="AZ3628" t="s">
        <v>11221</v>
      </c>
      <c r="BA3628" t="s">
        <v>11173</v>
      </c>
      <c r="BD3628" t="s">
        <v>11667</v>
      </c>
      <c r="BF3628" t="s">
        <v>14364</v>
      </c>
      <c r="BG3628" t="s">
        <v>11086</v>
      </c>
      <c r="BM3628" t="s">
        <v>15650</v>
      </c>
    </row>
    <row r="3629" spans="1:65">
      <c r="A3629" s="1">
        <f>HYPERLINK("https://lsnyc.legalserver.org/matter/dynamic-profile/view/1897408","19-1897408")</f>
        <v>0</v>
      </c>
      <c r="B3629" t="s">
        <v>197</v>
      </c>
      <c r="C3629" t="s">
        <v>248</v>
      </c>
      <c r="D3629" t="s">
        <v>583</v>
      </c>
      <c r="F3629" t="s">
        <v>2500</v>
      </c>
      <c r="G3629" t="s">
        <v>4340</v>
      </c>
      <c r="H3629" t="s">
        <v>4798</v>
      </c>
      <c r="I3629" t="s">
        <v>6659</v>
      </c>
      <c r="J3629" t="s">
        <v>7174</v>
      </c>
      <c r="K3629">
        <v>11233</v>
      </c>
      <c r="N3629" t="s">
        <v>7237</v>
      </c>
      <c r="O3629" t="s">
        <v>9533</v>
      </c>
      <c r="P3629">
        <v>3</v>
      </c>
      <c r="Q3629">
        <v>0</v>
      </c>
      <c r="R3629">
        <v>375.06</v>
      </c>
      <c r="U3629">
        <v>80000</v>
      </c>
      <c r="V3629" t="s">
        <v>10689</v>
      </c>
      <c r="W3629">
        <v>0</v>
      </c>
      <c r="Y3629" t="s">
        <v>225</v>
      </c>
      <c r="AA3629" t="s">
        <v>10974</v>
      </c>
      <c r="AB3629" t="s">
        <v>874</v>
      </c>
      <c r="AD3629" t="s">
        <v>11098</v>
      </c>
      <c r="AF3629" t="s">
        <v>11122</v>
      </c>
      <c r="AH3629" t="s">
        <v>10974</v>
      </c>
      <c r="AJ3629" t="s">
        <v>11140</v>
      </c>
      <c r="AK3629" t="s">
        <v>7225</v>
      </c>
      <c r="AM3629">
        <v>1000</v>
      </c>
      <c r="AO3629">
        <v>359</v>
      </c>
      <c r="AQ3629" t="s">
        <v>11157</v>
      </c>
      <c r="AR3629" t="s">
        <v>11172</v>
      </c>
      <c r="AU3629">
        <v>4</v>
      </c>
      <c r="AW3629" t="s">
        <v>11187</v>
      </c>
      <c r="AY3629" t="s">
        <v>11213</v>
      </c>
      <c r="AZ3629" t="s">
        <v>11221</v>
      </c>
      <c r="BD3629" t="s">
        <v>11667</v>
      </c>
      <c r="BF3629" t="s">
        <v>14364</v>
      </c>
      <c r="BG3629" t="s">
        <v>15228</v>
      </c>
      <c r="BM3629" t="s">
        <v>15650</v>
      </c>
    </row>
    <row r="3630" spans="1:65">
      <c r="A3630" s="1">
        <f>HYPERLINK("https://lsnyc.legalserver.org/matter/dynamic-profile/view/1897410","19-1897410")</f>
        <v>0</v>
      </c>
      <c r="B3630" t="s">
        <v>197</v>
      </c>
      <c r="C3630" t="s">
        <v>248</v>
      </c>
      <c r="D3630" t="s">
        <v>583</v>
      </c>
      <c r="F3630" t="s">
        <v>2500</v>
      </c>
      <c r="G3630" t="s">
        <v>4340</v>
      </c>
      <c r="H3630" t="s">
        <v>4798</v>
      </c>
      <c r="I3630" t="s">
        <v>6659</v>
      </c>
      <c r="J3630" t="s">
        <v>7174</v>
      </c>
      <c r="K3630">
        <v>11233</v>
      </c>
      <c r="N3630" t="s">
        <v>7237</v>
      </c>
      <c r="O3630" t="s">
        <v>9533</v>
      </c>
      <c r="P3630">
        <v>3</v>
      </c>
      <c r="Q3630">
        <v>0</v>
      </c>
      <c r="R3630">
        <v>375.06</v>
      </c>
      <c r="U3630">
        <v>80000</v>
      </c>
      <c r="V3630" t="s">
        <v>10569</v>
      </c>
      <c r="W3630">
        <v>0</v>
      </c>
      <c r="Y3630" t="s">
        <v>225</v>
      </c>
      <c r="AA3630" t="s">
        <v>10974</v>
      </c>
      <c r="AB3630" t="s">
        <v>395</v>
      </c>
      <c r="AD3630" t="s">
        <v>11100</v>
      </c>
      <c r="AF3630" t="s">
        <v>10384</v>
      </c>
      <c r="AH3630" t="s">
        <v>10974</v>
      </c>
      <c r="AJ3630" t="s">
        <v>11140</v>
      </c>
      <c r="AK3630" t="s">
        <v>7225</v>
      </c>
      <c r="AM3630">
        <v>1000</v>
      </c>
      <c r="AO3630">
        <v>359</v>
      </c>
      <c r="AQ3630" t="s">
        <v>11157</v>
      </c>
      <c r="AR3630" t="s">
        <v>11172</v>
      </c>
      <c r="AU3630">
        <v>4</v>
      </c>
      <c r="AW3630" t="s">
        <v>11187</v>
      </c>
      <c r="AY3630" t="s">
        <v>11213</v>
      </c>
      <c r="AZ3630" t="s">
        <v>11221</v>
      </c>
      <c r="BD3630" t="s">
        <v>11667</v>
      </c>
      <c r="BF3630" t="s">
        <v>14364</v>
      </c>
      <c r="BM3630" t="s">
        <v>15650</v>
      </c>
    </row>
    <row r="3631" spans="1:65">
      <c r="A3631" s="1">
        <f>HYPERLINK("https://lsnyc.legalserver.org/matter/dynamic-profile/view/1898030","19-1898030")</f>
        <v>0</v>
      </c>
      <c r="B3631" t="s">
        <v>197</v>
      </c>
      <c r="C3631" t="s">
        <v>248</v>
      </c>
      <c r="D3631" t="s">
        <v>594</v>
      </c>
      <c r="F3631" t="s">
        <v>1964</v>
      </c>
      <c r="G3631" t="s">
        <v>4294</v>
      </c>
      <c r="H3631" t="s">
        <v>4798</v>
      </c>
      <c r="I3631" t="s">
        <v>7032</v>
      </c>
      <c r="J3631" t="s">
        <v>7174</v>
      </c>
      <c r="K3631">
        <v>11233</v>
      </c>
      <c r="N3631" t="s">
        <v>7237</v>
      </c>
      <c r="O3631" t="s">
        <v>7706</v>
      </c>
      <c r="P3631">
        <v>2</v>
      </c>
      <c r="Q3631">
        <v>1</v>
      </c>
      <c r="R3631">
        <v>178.15</v>
      </c>
      <c r="U3631">
        <v>38000</v>
      </c>
      <c r="V3631" t="s">
        <v>10625</v>
      </c>
      <c r="W3631">
        <v>0</v>
      </c>
      <c r="Y3631" t="s">
        <v>101</v>
      </c>
      <c r="AA3631" t="s">
        <v>10974</v>
      </c>
      <c r="AB3631" t="s">
        <v>874</v>
      </c>
      <c r="AD3631" t="s">
        <v>11098</v>
      </c>
      <c r="AF3631" t="s">
        <v>11122</v>
      </c>
      <c r="AH3631" t="s">
        <v>10974</v>
      </c>
      <c r="AJ3631" t="s">
        <v>11104</v>
      </c>
      <c r="AK3631" t="s">
        <v>7225</v>
      </c>
      <c r="AM3631">
        <v>1059</v>
      </c>
      <c r="AO3631">
        <v>359</v>
      </c>
      <c r="AQ3631" t="s">
        <v>11157</v>
      </c>
      <c r="AR3631" t="s">
        <v>11172</v>
      </c>
      <c r="AU3631">
        <v>39</v>
      </c>
      <c r="AW3631" t="s">
        <v>11187</v>
      </c>
      <c r="AY3631" t="s">
        <v>11213</v>
      </c>
      <c r="AZ3631" t="s">
        <v>11221</v>
      </c>
      <c r="BD3631" t="s">
        <v>11667</v>
      </c>
      <c r="BF3631" t="s">
        <v>14364</v>
      </c>
      <c r="BG3631" t="s">
        <v>15228</v>
      </c>
      <c r="BM3631" t="s">
        <v>15650</v>
      </c>
    </row>
    <row r="3632" spans="1:65">
      <c r="A3632" s="1">
        <f>HYPERLINK("https://lsnyc.legalserver.org/matter/dynamic-profile/view/1891606","19-1891606")</f>
        <v>0</v>
      </c>
      <c r="B3632" t="s">
        <v>197</v>
      </c>
      <c r="C3632" t="s">
        <v>248</v>
      </c>
      <c r="D3632" t="s">
        <v>515</v>
      </c>
      <c r="F3632" t="s">
        <v>1188</v>
      </c>
      <c r="G3632" t="s">
        <v>4341</v>
      </c>
      <c r="H3632" t="s">
        <v>4798</v>
      </c>
      <c r="I3632" t="s">
        <v>6666</v>
      </c>
      <c r="J3632" t="s">
        <v>7174</v>
      </c>
      <c r="K3632">
        <v>11233</v>
      </c>
      <c r="N3632" t="s">
        <v>7237</v>
      </c>
      <c r="O3632" t="s">
        <v>9534</v>
      </c>
      <c r="P3632">
        <v>1</v>
      </c>
      <c r="Q3632">
        <v>2</v>
      </c>
      <c r="R3632">
        <v>97.52</v>
      </c>
      <c r="U3632">
        <v>20800</v>
      </c>
      <c r="V3632" t="s">
        <v>10690</v>
      </c>
      <c r="W3632">
        <v>0</v>
      </c>
      <c r="Y3632" t="s">
        <v>225</v>
      </c>
      <c r="AA3632" t="s">
        <v>10974</v>
      </c>
      <c r="AB3632" t="s">
        <v>395</v>
      </c>
      <c r="AD3632" t="s">
        <v>11100</v>
      </c>
      <c r="AF3632" t="s">
        <v>10384</v>
      </c>
      <c r="AH3632" t="s">
        <v>10974</v>
      </c>
      <c r="AI3632" t="s">
        <v>11126</v>
      </c>
      <c r="AK3632" t="s">
        <v>7225</v>
      </c>
      <c r="AM3632">
        <v>820</v>
      </c>
      <c r="AO3632">
        <v>359</v>
      </c>
      <c r="AQ3632" t="s">
        <v>11157</v>
      </c>
      <c r="AR3632" t="s">
        <v>11172</v>
      </c>
      <c r="AU3632">
        <v>6</v>
      </c>
      <c r="AW3632" t="s">
        <v>11187</v>
      </c>
      <c r="AY3632" t="s">
        <v>11213</v>
      </c>
      <c r="AZ3632" t="s">
        <v>11221</v>
      </c>
      <c r="BD3632" t="s">
        <v>11667</v>
      </c>
      <c r="BF3632" t="s">
        <v>14364</v>
      </c>
      <c r="BG3632" t="s">
        <v>11173</v>
      </c>
      <c r="BM3632" t="s">
        <v>15650</v>
      </c>
    </row>
    <row r="3633" spans="1:65">
      <c r="A3633" s="1">
        <f>HYPERLINK("https://lsnyc.legalserver.org/matter/dynamic-profile/view/1898821","19-1898821")</f>
        <v>0</v>
      </c>
      <c r="B3633" t="s">
        <v>197</v>
      </c>
      <c r="C3633" t="s">
        <v>248</v>
      </c>
      <c r="D3633" t="s">
        <v>347</v>
      </c>
      <c r="F3633" t="s">
        <v>2501</v>
      </c>
      <c r="G3633" t="s">
        <v>2617</v>
      </c>
      <c r="H3633" t="s">
        <v>5940</v>
      </c>
      <c r="I3633" t="s">
        <v>7033</v>
      </c>
      <c r="J3633" t="s">
        <v>7174</v>
      </c>
      <c r="K3633">
        <v>11233</v>
      </c>
      <c r="N3633" t="s">
        <v>7237</v>
      </c>
      <c r="O3633" t="s">
        <v>9535</v>
      </c>
      <c r="P3633">
        <v>1</v>
      </c>
      <c r="Q3633">
        <v>1</v>
      </c>
      <c r="R3633">
        <v>70.95999999999999</v>
      </c>
      <c r="U3633">
        <v>12000</v>
      </c>
      <c r="V3633" t="s">
        <v>10691</v>
      </c>
      <c r="W3633">
        <v>0</v>
      </c>
      <c r="Y3633" t="s">
        <v>101</v>
      </c>
      <c r="AA3633" t="s">
        <v>10974</v>
      </c>
      <c r="AB3633" t="s">
        <v>395</v>
      </c>
      <c r="AD3633" t="s">
        <v>11100</v>
      </c>
      <c r="AF3633" t="s">
        <v>10384</v>
      </c>
      <c r="AH3633" t="s">
        <v>10974</v>
      </c>
      <c r="AJ3633" t="s">
        <v>11104</v>
      </c>
      <c r="AK3633" t="s">
        <v>7225</v>
      </c>
      <c r="AM3633">
        <v>615</v>
      </c>
      <c r="AO3633">
        <v>359</v>
      </c>
      <c r="AQ3633" t="s">
        <v>11157</v>
      </c>
      <c r="AR3633" t="s">
        <v>11172</v>
      </c>
      <c r="AU3633">
        <v>10</v>
      </c>
      <c r="AW3633" t="s">
        <v>11187</v>
      </c>
      <c r="AY3633" t="s">
        <v>11213</v>
      </c>
      <c r="AZ3633" t="s">
        <v>11221</v>
      </c>
      <c r="BD3633" t="s">
        <v>11667</v>
      </c>
      <c r="BF3633" t="s">
        <v>14364</v>
      </c>
      <c r="BM3633" t="s">
        <v>15650</v>
      </c>
    </row>
    <row r="3634" spans="1:65">
      <c r="A3634" s="1">
        <f>HYPERLINK("https://lsnyc.legalserver.org/matter/dynamic-profile/view/1891604","19-1891604")</f>
        <v>0</v>
      </c>
      <c r="B3634" t="s">
        <v>197</v>
      </c>
      <c r="C3634" t="s">
        <v>248</v>
      </c>
      <c r="D3634" t="s">
        <v>515</v>
      </c>
      <c r="F3634" t="s">
        <v>1188</v>
      </c>
      <c r="G3634" t="s">
        <v>4341</v>
      </c>
      <c r="H3634" t="s">
        <v>4798</v>
      </c>
      <c r="I3634" t="s">
        <v>6666</v>
      </c>
      <c r="J3634" t="s">
        <v>7174</v>
      </c>
      <c r="K3634">
        <v>11233</v>
      </c>
      <c r="N3634" t="s">
        <v>7237</v>
      </c>
      <c r="O3634" t="s">
        <v>9534</v>
      </c>
      <c r="P3634">
        <v>1</v>
      </c>
      <c r="Q3634">
        <v>2</v>
      </c>
      <c r="R3634">
        <v>97.52</v>
      </c>
      <c r="U3634">
        <v>20800</v>
      </c>
      <c r="V3634" t="s">
        <v>10578</v>
      </c>
      <c r="W3634">
        <v>0</v>
      </c>
      <c r="Y3634" t="s">
        <v>225</v>
      </c>
      <c r="AA3634" t="s">
        <v>10974</v>
      </c>
      <c r="AB3634" t="s">
        <v>874</v>
      </c>
      <c r="AD3634" t="s">
        <v>11098</v>
      </c>
      <c r="AF3634" t="s">
        <v>11122</v>
      </c>
      <c r="AH3634" t="s">
        <v>10974</v>
      </c>
      <c r="AI3634" t="s">
        <v>11126</v>
      </c>
      <c r="AK3634" t="s">
        <v>7225</v>
      </c>
      <c r="AM3634">
        <v>820</v>
      </c>
      <c r="AO3634">
        <v>359</v>
      </c>
      <c r="AQ3634" t="s">
        <v>11157</v>
      </c>
      <c r="AR3634" t="s">
        <v>11172</v>
      </c>
      <c r="AU3634">
        <v>6</v>
      </c>
      <c r="AW3634" t="s">
        <v>11187</v>
      </c>
      <c r="AY3634" t="s">
        <v>11213</v>
      </c>
      <c r="AZ3634" t="s">
        <v>11221</v>
      </c>
      <c r="BD3634" t="s">
        <v>11667</v>
      </c>
      <c r="BF3634" t="s">
        <v>14364</v>
      </c>
      <c r="BG3634" t="s">
        <v>15228</v>
      </c>
      <c r="BM3634" t="s">
        <v>15650</v>
      </c>
    </row>
    <row r="3635" spans="1:65">
      <c r="A3635" s="1">
        <f>HYPERLINK("https://lsnyc.legalserver.org/matter/dynamic-profile/view/1898732","19-1898732")</f>
        <v>0</v>
      </c>
      <c r="B3635" t="s">
        <v>197</v>
      </c>
      <c r="C3635" t="s">
        <v>248</v>
      </c>
      <c r="D3635" t="s">
        <v>562</v>
      </c>
      <c r="F3635" t="s">
        <v>2501</v>
      </c>
      <c r="G3635" t="s">
        <v>2617</v>
      </c>
      <c r="H3635" t="s">
        <v>5940</v>
      </c>
      <c r="I3635" t="s">
        <v>7033</v>
      </c>
      <c r="J3635" t="s">
        <v>7174</v>
      </c>
      <c r="K3635">
        <v>11233</v>
      </c>
      <c r="N3635" t="s">
        <v>7237</v>
      </c>
      <c r="O3635" t="s">
        <v>9535</v>
      </c>
      <c r="P3635">
        <v>1</v>
      </c>
      <c r="Q3635">
        <v>1</v>
      </c>
      <c r="R3635">
        <v>70.95999999999999</v>
      </c>
      <c r="U3635">
        <v>12000</v>
      </c>
      <c r="V3635" t="s">
        <v>10570</v>
      </c>
      <c r="W3635">
        <v>0</v>
      </c>
      <c r="Y3635" t="s">
        <v>101</v>
      </c>
      <c r="AA3635" t="s">
        <v>10974</v>
      </c>
      <c r="AB3635" t="s">
        <v>874</v>
      </c>
      <c r="AD3635" t="s">
        <v>11098</v>
      </c>
      <c r="AF3635" t="s">
        <v>11122</v>
      </c>
      <c r="AH3635" t="s">
        <v>10974</v>
      </c>
      <c r="AJ3635" t="s">
        <v>11104</v>
      </c>
      <c r="AK3635" t="s">
        <v>7225</v>
      </c>
      <c r="AM3635">
        <v>615</v>
      </c>
      <c r="AO3635">
        <v>359</v>
      </c>
      <c r="AQ3635" t="s">
        <v>11157</v>
      </c>
      <c r="AR3635" t="s">
        <v>11172</v>
      </c>
      <c r="AU3635">
        <v>10</v>
      </c>
      <c r="AW3635" t="s">
        <v>11187</v>
      </c>
      <c r="AY3635" t="s">
        <v>11213</v>
      </c>
      <c r="AZ3635" t="s">
        <v>11221</v>
      </c>
      <c r="BD3635" t="s">
        <v>11667</v>
      </c>
      <c r="BF3635" t="s">
        <v>14364</v>
      </c>
      <c r="BG3635" t="s">
        <v>15229</v>
      </c>
      <c r="BM3635" t="s">
        <v>15650</v>
      </c>
    </row>
    <row r="3636" spans="1:65">
      <c r="A3636" s="1">
        <f>HYPERLINK("https://lsnyc.legalserver.org/matter/dynamic-profile/view/1888217","19-1888217")</f>
        <v>0</v>
      </c>
      <c r="B3636" t="s">
        <v>197</v>
      </c>
      <c r="C3636" t="s">
        <v>248</v>
      </c>
      <c r="D3636" t="s">
        <v>681</v>
      </c>
      <c r="F3636" t="s">
        <v>1475</v>
      </c>
      <c r="G3636" t="s">
        <v>4342</v>
      </c>
      <c r="H3636" t="s">
        <v>5947</v>
      </c>
      <c r="I3636" t="s">
        <v>6432</v>
      </c>
      <c r="J3636" t="s">
        <v>7174</v>
      </c>
      <c r="K3636">
        <v>11215</v>
      </c>
      <c r="N3636" t="s">
        <v>7237</v>
      </c>
      <c r="O3636" t="s">
        <v>9536</v>
      </c>
      <c r="P3636">
        <v>2</v>
      </c>
      <c r="Q3636">
        <v>0</v>
      </c>
      <c r="R3636">
        <v>185.57</v>
      </c>
      <c r="U3636">
        <v>31380</v>
      </c>
      <c r="W3636">
        <v>0</v>
      </c>
      <c r="Y3636" t="s">
        <v>225</v>
      </c>
      <c r="AA3636" t="s">
        <v>10974</v>
      </c>
      <c r="AB3636" t="s">
        <v>290</v>
      </c>
      <c r="AD3636" t="s">
        <v>11101</v>
      </c>
      <c r="AF3636" t="s">
        <v>11118</v>
      </c>
      <c r="AH3636" t="s">
        <v>10974</v>
      </c>
      <c r="AJ3636" t="s">
        <v>11129</v>
      </c>
      <c r="AK3636" t="s">
        <v>7225</v>
      </c>
      <c r="AM3636">
        <v>149</v>
      </c>
      <c r="AO3636">
        <v>7</v>
      </c>
      <c r="AQ3636" t="s">
        <v>11160</v>
      </c>
      <c r="AS3636" t="s">
        <v>11173</v>
      </c>
      <c r="AU3636">
        <v>42</v>
      </c>
      <c r="AW3636" t="s">
        <v>11187</v>
      </c>
      <c r="AY3636" t="s">
        <v>11213</v>
      </c>
      <c r="BA3636" t="s">
        <v>11222</v>
      </c>
      <c r="BC3636" t="s">
        <v>11228</v>
      </c>
      <c r="BD3636" t="s">
        <v>11667</v>
      </c>
      <c r="BF3636" t="s">
        <v>14364</v>
      </c>
      <c r="BG3636" t="s">
        <v>15239</v>
      </c>
      <c r="BM3636" t="s">
        <v>15650</v>
      </c>
    </row>
    <row r="3637" spans="1:65">
      <c r="A3637" s="1">
        <f>HYPERLINK("https://lsnyc.legalserver.org/matter/dynamic-profile/view/1891717","19-1891717")</f>
        <v>0</v>
      </c>
      <c r="B3637" t="s">
        <v>197</v>
      </c>
      <c r="C3637" t="s">
        <v>248</v>
      </c>
      <c r="D3637" t="s">
        <v>515</v>
      </c>
      <c r="F3637" t="s">
        <v>1128</v>
      </c>
      <c r="G3637" t="s">
        <v>4288</v>
      </c>
      <c r="H3637" t="s">
        <v>4798</v>
      </c>
      <c r="I3637" t="s">
        <v>6832</v>
      </c>
      <c r="J3637" t="s">
        <v>7174</v>
      </c>
      <c r="K3637">
        <v>11233</v>
      </c>
      <c r="N3637" t="s">
        <v>7237</v>
      </c>
      <c r="O3637" t="s">
        <v>9463</v>
      </c>
      <c r="P3637">
        <v>1</v>
      </c>
      <c r="Q3637">
        <v>0</v>
      </c>
      <c r="R3637">
        <v>185.37</v>
      </c>
      <c r="U3637">
        <v>23152.8</v>
      </c>
      <c r="V3637" t="s">
        <v>10692</v>
      </c>
      <c r="W3637">
        <v>0</v>
      </c>
      <c r="Y3637" t="s">
        <v>225</v>
      </c>
      <c r="AA3637" t="s">
        <v>10974</v>
      </c>
      <c r="AB3637" t="s">
        <v>395</v>
      </c>
      <c r="AD3637" t="s">
        <v>11100</v>
      </c>
      <c r="AF3637" t="s">
        <v>10384</v>
      </c>
      <c r="AH3637" t="s">
        <v>10974</v>
      </c>
      <c r="AI3637" t="s">
        <v>11126</v>
      </c>
      <c r="AK3637" t="s">
        <v>7225</v>
      </c>
      <c r="AM3637">
        <v>1076.55</v>
      </c>
      <c r="AO3637">
        <v>359</v>
      </c>
      <c r="AQ3637" t="s">
        <v>11157</v>
      </c>
      <c r="AS3637" t="s">
        <v>11175</v>
      </c>
      <c r="AU3637">
        <v>21</v>
      </c>
      <c r="AW3637" t="s">
        <v>11187</v>
      </c>
      <c r="AY3637" t="s">
        <v>11213</v>
      </c>
      <c r="AZ3637" t="s">
        <v>11221</v>
      </c>
      <c r="BE3637" t="s">
        <v>13659</v>
      </c>
      <c r="BF3637" t="s">
        <v>14364</v>
      </c>
      <c r="BG3637" t="s">
        <v>11228</v>
      </c>
      <c r="BM3637" t="s">
        <v>15650</v>
      </c>
    </row>
    <row r="3638" spans="1:65">
      <c r="A3638" s="1">
        <f>HYPERLINK("https://lsnyc.legalserver.org/matter/dynamic-profile/view/1898960","19-1898960")</f>
        <v>0</v>
      </c>
      <c r="B3638" t="s">
        <v>197</v>
      </c>
      <c r="C3638" t="s">
        <v>248</v>
      </c>
      <c r="D3638" t="s">
        <v>608</v>
      </c>
      <c r="F3638" t="s">
        <v>2502</v>
      </c>
      <c r="G3638" t="s">
        <v>4343</v>
      </c>
      <c r="H3638" t="s">
        <v>4798</v>
      </c>
      <c r="I3638" t="s">
        <v>7034</v>
      </c>
      <c r="J3638" t="s">
        <v>7174</v>
      </c>
      <c r="K3638">
        <v>11233</v>
      </c>
      <c r="N3638" t="s">
        <v>7237</v>
      </c>
      <c r="O3638" t="s">
        <v>9537</v>
      </c>
      <c r="P3638">
        <v>2</v>
      </c>
      <c r="Q3638">
        <v>0</v>
      </c>
      <c r="R3638">
        <v>97.5</v>
      </c>
      <c r="U3638">
        <v>16488</v>
      </c>
      <c r="V3638" t="s">
        <v>10693</v>
      </c>
      <c r="W3638">
        <v>0</v>
      </c>
      <c r="Y3638" t="s">
        <v>101</v>
      </c>
      <c r="AA3638" t="s">
        <v>10974</v>
      </c>
      <c r="AB3638" t="s">
        <v>395</v>
      </c>
      <c r="AD3638" t="s">
        <v>11100</v>
      </c>
      <c r="AF3638" t="s">
        <v>10384</v>
      </c>
      <c r="AH3638" t="s">
        <v>10974</v>
      </c>
      <c r="AJ3638" t="s">
        <v>11104</v>
      </c>
      <c r="AK3638" t="s">
        <v>7225</v>
      </c>
      <c r="AM3638">
        <v>1041.4</v>
      </c>
      <c r="AO3638">
        <v>359</v>
      </c>
      <c r="AQ3638" t="s">
        <v>11157</v>
      </c>
      <c r="AR3638" t="s">
        <v>11172</v>
      </c>
      <c r="AU3638">
        <v>18</v>
      </c>
      <c r="AW3638" t="s">
        <v>11187</v>
      </c>
      <c r="AY3638" t="s">
        <v>11213</v>
      </c>
      <c r="AZ3638" t="s">
        <v>11221</v>
      </c>
      <c r="BA3638" t="s">
        <v>11173</v>
      </c>
      <c r="BD3638" t="s">
        <v>11667</v>
      </c>
      <c r="BF3638" t="s">
        <v>14364</v>
      </c>
      <c r="BM3638" t="s">
        <v>15650</v>
      </c>
    </row>
    <row r="3639" spans="1:65">
      <c r="A3639" s="1">
        <f>HYPERLINK("https://lsnyc.legalserver.org/matter/dynamic-profile/view/1898956","19-1898956")</f>
        <v>0</v>
      </c>
      <c r="B3639" t="s">
        <v>197</v>
      </c>
      <c r="C3639" t="s">
        <v>248</v>
      </c>
      <c r="D3639" t="s">
        <v>608</v>
      </c>
      <c r="F3639" t="s">
        <v>2502</v>
      </c>
      <c r="G3639" t="s">
        <v>4343</v>
      </c>
      <c r="H3639" t="s">
        <v>4798</v>
      </c>
      <c r="I3639" t="s">
        <v>7034</v>
      </c>
      <c r="J3639" t="s">
        <v>7174</v>
      </c>
      <c r="K3639">
        <v>11233</v>
      </c>
      <c r="N3639" t="s">
        <v>7237</v>
      </c>
      <c r="O3639" t="s">
        <v>9537</v>
      </c>
      <c r="P3639">
        <v>2</v>
      </c>
      <c r="Q3639">
        <v>0</v>
      </c>
      <c r="R3639">
        <v>97.5</v>
      </c>
      <c r="U3639">
        <v>16488</v>
      </c>
      <c r="V3639" t="s">
        <v>10570</v>
      </c>
      <c r="W3639">
        <v>0</v>
      </c>
      <c r="Y3639" t="s">
        <v>101</v>
      </c>
      <c r="AA3639" t="s">
        <v>10974</v>
      </c>
      <c r="AB3639" t="s">
        <v>874</v>
      </c>
      <c r="AD3639" t="s">
        <v>11098</v>
      </c>
      <c r="AF3639" t="s">
        <v>11122</v>
      </c>
      <c r="AH3639" t="s">
        <v>10974</v>
      </c>
      <c r="AJ3639" t="s">
        <v>11104</v>
      </c>
      <c r="AK3639" t="s">
        <v>7225</v>
      </c>
      <c r="AM3639">
        <v>1041.4</v>
      </c>
      <c r="AO3639">
        <v>359</v>
      </c>
      <c r="AQ3639" t="s">
        <v>11157</v>
      </c>
      <c r="AR3639" t="s">
        <v>11172</v>
      </c>
      <c r="AU3639">
        <v>18</v>
      </c>
      <c r="AW3639" t="s">
        <v>11187</v>
      </c>
      <c r="AY3639" t="s">
        <v>11213</v>
      </c>
      <c r="AZ3639" t="s">
        <v>11221</v>
      </c>
      <c r="BA3639" t="s">
        <v>11173</v>
      </c>
      <c r="BD3639" t="s">
        <v>11667</v>
      </c>
      <c r="BF3639" t="s">
        <v>14364</v>
      </c>
      <c r="BG3639" t="s">
        <v>15228</v>
      </c>
      <c r="BM3639" t="s">
        <v>15650</v>
      </c>
    </row>
    <row r="3640" spans="1:65">
      <c r="A3640" s="1">
        <f>HYPERLINK("https://lsnyc.legalserver.org/matter/dynamic-profile/view/1893258","19-1893258")</f>
        <v>0</v>
      </c>
      <c r="B3640" t="s">
        <v>197</v>
      </c>
      <c r="C3640" t="s">
        <v>248</v>
      </c>
      <c r="D3640" t="s">
        <v>696</v>
      </c>
      <c r="F3640" t="s">
        <v>2503</v>
      </c>
      <c r="G3640" t="s">
        <v>3047</v>
      </c>
      <c r="H3640" t="s">
        <v>5124</v>
      </c>
      <c r="I3640" t="s">
        <v>6437</v>
      </c>
      <c r="J3640" t="s">
        <v>7174</v>
      </c>
      <c r="K3640">
        <v>11233</v>
      </c>
      <c r="N3640" t="s">
        <v>7237</v>
      </c>
      <c r="O3640" t="s">
        <v>9538</v>
      </c>
      <c r="P3640">
        <v>1</v>
      </c>
      <c r="Q3640">
        <v>0</v>
      </c>
      <c r="R3640">
        <v>454.64</v>
      </c>
      <c r="U3640">
        <v>56784</v>
      </c>
      <c r="V3640" t="s">
        <v>10694</v>
      </c>
      <c r="W3640">
        <v>0</v>
      </c>
      <c r="Y3640" t="s">
        <v>225</v>
      </c>
      <c r="AA3640" t="s">
        <v>10974</v>
      </c>
      <c r="AB3640" t="s">
        <v>874</v>
      </c>
      <c r="AD3640" t="s">
        <v>11098</v>
      </c>
      <c r="AF3640" t="s">
        <v>11122</v>
      </c>
      <c r="AH3640" t="s">
        <v>10974</v>
      </c>
      <c r="AJ3640" t="s">
        <v>11104</v>
      </c>
      <c r="AK3640" t="s">
        <v>7225</v>
      </c>
      <c r="AM3640">
        <v>1515</v>
      </c>
      <c r="AO3640">
        <v>359</v>
      </c>
      <c r="AQ3640" t="s">
        <v>11157</v>
      </c>
      <c r="AS3640" t="s">
        <v>11173</v>
      </c>
      <c r="AU3640">
        <v>2</v>
      </c>
      <c r="AW3640" t="s">
        <v>11187</v>
      </c>
      <c r="AY3640" t="s">
        <v>11213</v>
      </c>
      <c r="AZ3640" t="s">
        <v>11221</v>
      </c>
      <c r="BC3640" t="s">
        <v>11173</v>
      </c>
      <c r="BD3640" t="s">
        <v>11667</v>
      </c>
      <c r="BF3640" t="s">
        <v>14364</v>
      </c>
      <c r="BG3640" t="s">
        <v>15229</v>
      </c>
      <c r="BM3640" t="s">
        <v>15650</v>
      </c>
    </row>
    <row r="3641" spans="1:65">
      <c r="A3641" s="1">
        <f>HYPERLINK("https://lsnyc.legalserver.org/matter/dynamic-profile/view/1891702","19-1891702")</f>
        <v>0</v>
      </c>
      <c r="B3641" t="s">
        <v>197</v>
      </c>
      <c r="C3641" t="s">
        <v>248</v>
      </c>
      <c r="D3641" t="s">
        <v>515</v>
      </c>
      <c r="F3641" t="s">
        <v>1137</v>
      </c>
      <c r="G3641" t="s">
        <v>4128</v>
      </c>
      <c r="H3641" t="s">
        <v>4798</v>
      </c>
      <c r="I3641" t="s">
        <v>6939</v>
      </c>
      <c r="J3641" t="s">
        <v>7174</v>
      </c>
      <c r="K3641">
        <v>11233</v>
      </c>
      <c r="N3641" t="s">
        <v>7237</v>
      </c>
      <c r="O3641" t="s">
        <v>9176</v>
      </c>
      <c r="P3641">
        <v>2</v>
      </c>
      <c r="Q3641">
        <v>0</v>
      </c>
      <c r="R3641">
        <v>81.15000000000001</v>
      </c>
      <c r="U3641">
        <v>13722.36</v>
      </c>
      <c r="V3641" t="s">
        <v>10695</v>
      </c>
      <c r="W3641">
        <v>128.7</v>
      </c>
      <c r="X3641" t="s">
        <v>262</v>
      </c>
      <c r="Y3641" t="s">
        <v>225</v>
      </c>
      <c r="AA3641" t="s">
        <v>10974</v>
      </c>
      <c r="AB3641" t="s">
        <v>395</v>
      </c>
      <c r="AD3641" t="s">
        <v>11100</v>
      </c>
      <c r="AF3641" t="s">
        <v>10384</v>
      </c>
      <c r="AH3641" t="s">
        <v>10974</v>
      </c>
      <c r="AI3641" t="s">
        <v>11126</v>
      </c>
      <c r="AK3641" t="s">
        <v>7225</v>
      </c>
      <c r="AM3641">
        <v>995.08</v>
      </c>
      <c r="AO3641">
        <v>359</v>
      </c>
      <c r="AQ3641" t="s">
        <v>11157</v>
      </c>
      <c r="AR3641" t="s">
        <v>11172</v>
      </c>
      <c r="AU3641">
        <v>16</v>
      </c>
      <c r="AW3641" t="s">
        <v>11187</v>
      </c>
      <c r="AY3641" t="s">
        <v>11213</v>
      </c>
      <c r="AZ3641" t="s">
        <v>11221</v>
      </c>
      <c r="BB3641" t="s">
        <v>11224</v>
      </c>
      <c r="BC3641" t="s">
        <v>11545</v>
      </c>
      <c r="BE3641" t="s">
        <v>13403</v>
      </c>
      <c r="BF3641" t="s">
        <v>14364</v>
      </c>
      <c r="BG3641" t="s">
        <v>11173</v>
      </c>
      <c r="BM3641" t="s">
        <v>15650</v>
      </c>
    </row>
    <row r="3642" spans="1:65">
      <c r="A3642" s="1">
        <f>HYPERLINK("https://lsnyc.legalserver.org/matter/dynamic-profile/view/1893262","19-1893262")</f>
        <v>0</v>
      </c>
      <c r="B3642" t="s">
        <v>197</v>
      </c>
      <c r="C3642" t="s">
        <v>248</v>
      </c>
      <c r="D3642" t="s">
        <v>696</v>
      </c>
      <c r="F3642" t="s">
        <v>2503</v>
      </c>
      <c r="G3642" t="s">
        <v>3047</v>
      </c>
      <c r="H3642" t="s">
        <v>5124</v>
      </c>
      <c r="I3642" t="s">
        <v>6437</v>
      </c>
      <c r="J3642" t="s">
        <v>7174</v>
      </c>
      <c r="K3642">
        <v>11233</v>
      </c>
      <c r="N3642" t="s">
        <v>7237</v>
      </c>
      <c r="O3642" t="s">
        <v>9538</v>
      </c>
      <c r="P3642">
        <v>1</v>
      </c>
      <c r="Q3642">
        <v>0</v>
      </c>
      <c r="R3642">
        <v>454.64</v>
      </c>
      <c r="U3642">
        <v>56784</v>
      </c>
      <c r="V3642" t="s">
        <v>10696</v>
      </c>
      <c r="W3642">
        <v>0</v>
      </c>
      <c r="Y3642" t="s">
        <v>225</v>
      </c>
      <c r="AA3642" t="s">
        <v>10974</v>
      </c>
      <c r="AB3642" t="s">
        <v>395</v>
      </c>
      <c r="AD3642" t="s">
        <v>11100</v>
      </c>
      <c r="AF3642" t="s">
        <v>10384</v>
      </c>
      <c r="AH3642" t="s">
        <v>10974</v>
      </c>
      <c r="AJ3642" t="s">
        <v>11104</v>
      </c>
      <c r="AK3642" t="s">
        <v>7225</v>
      </c>
      <c r="AM3642">
        <v>1515</v>
      </c>
      <c r="AO3642">
        <v>359</v>
      </c>
      <c r="AQ3642" t="s">
        <v>11157</v>
      </c>
      <c r="AS3642" t="s">
        <v>11173</v>
      </c>
      <c r="AU3642">
        <v>2</v>
      </c>
      <c r="AW3642" t="s">
        <v>11187</v>
      </c>
      <c r="AY3642" t="s">
        <v>11213</v>
      </c>
      <c r="AZ3642" t="s">
        <v>11221</v>
      </c>
      <c r="BD3642" t="s">
        <v>11667</v>
      </c>
      <c r="BF3642" t="s">
        <v>14364</v>
      </c>
      <c r="BG3642" t="s">
        <v>11173</v>
      </c>
      <c r="BM3642" t="s">
        <v>15650</v>
      </c>
    </row>
    <row r="3643" spans="1:65">
      <c r="A3643" s="1">
        <f>HYPERLINK("https://lsnyc.legalserver.org/matter/dynamic-profile/view/1905856","19-1905856")</f>
        <v>0</v>
      </c>
      <c r="B3643" t="s">
        <v>197</v>
      </c>
      <c r="C3643" t="s">
        <v>248</v>
      </c>
      <c r="D3643" t="s">
        <v>337</v>
      </c>
      <c r="F3643" t="s">
        <v>1475</v>
      </c>
      <c r="G3643" t="s">
        <v>4342</v>
      </c>
      <c r="H3643" t="s">
        <v>5947</v>
      </c>
      <c r="I3643" t="s">
        <v>6432</v>
      </c>
      <c r="J3643" t="s">
        <v>7174</v>
      </c>
      <c r="K3643">
        <v>11215</v>
      </c>
      <c r="N3643" t="s">
        <v>7237</v>
      </c>
      <c r="O3643" t="s">
        <v>9536</v>
      </c>
      <c r="P3643">
        <v>2</v>
      </c>
      <c r="Q3643">
        <v>0</v>
      </c>
      <c r="R3643">
        <v>182.38</v>
      </c>
      <c r="U3643">
        <v>30840</v>
      </c>
      <c r="W3643">
        <v>0</v>
      </c>
      <c r="Y3643" t="s">
        <v>225</v>
      </c>
      <c r="AA3643" t="s">
        <v>10974</v>
      </c>
      <c r="AB3643" t="s">
        <v>389</v>
      </c>
      <c r="AD3643" t="s">
        <v>11086</v>
      </c>
      <c r="AF3643" t="s">
        <v>10384</v>
      </c>
      <c r="AH3643" t="s">
        <v>10974</v>
      </c>
      <c r="AJ3643" t="s">
        <v>11129</v>
      </c>
      <c r="AK3643" t="s">
        <v>7225</v>
      </c>
      <c r="AM3643">
        <v>149</v>
      </c>
      <c r="AO3643">
        <v>7</v>
      </c>
      <c r="AQ3643" t="s">
        <v>11160</v>
      </c>
      <c r="AS3643" t="s">
        <v>11173</v>
      </c>
      <c r="AU3643">
        <v>42</v>
      </c>
      <c r="AW3643" t="s">
        <v>11187</v>
      </c>
      <c r="AY3643" t="s">
        <v>11213</v>
      </c>
      <c r="BA3643" t="s">
        <v>11222</v>
      </c>
      <c r="BC3643" t="s">
        <v>11173</v>
      </c>
      <c r="BD3643" t="s">
        <v>11667</v>
      </c>
      <c r="BF3643" t="s">
        <v>14364</v>
      </c>
      <c r="BG3643" t="s">
        <v>14410</v>
      </c>
      <c r="BM3643" t="s">
        <v>15650</v>
      </c>
    </row>
    <row r="3644" spans="1:65">
      <c r="A3644" s="1">
        <f>HYPERLINK("https://lsnyc.legalserver.org/matter/dynamic-profile/view/1902158","19-1902158")</f>
        <v>0</v>
      </c>
      <c r="B3644" t="s">
        <v>197</v>
      </c>
      <c r="C3644" t="s">
        <v>248</v>
      </c>
      <c r="D3644" t="s">
        <v>629</v>
      </c>
      <c r="F3644" t="s">
        <v>1914</v>
      </c>
      <c r="G3644" t="s">
        <v>4344</v>
      </c>
      <c r="H3644" t="s">
        <v>4798</v>
      </c>
      <c r="I3644" t="s">
        <v>7035</v>
      </c>
      <c r="J3644" t="s">
        <v>7174</v>
      </c>
      <c r="K3644">
        <v>11233</v>
      </c>
      <c r="N3644" t="s">
        <v>7237</v>
      </c>
      <c r="O3644" t="s">
        <v>7772</v>
      </c>
      <c r="P3644">
        <v>3</v>
      </c>
      <c r="Q3644">
        <v>4</v>
      </c>
      <c r="R3644">
        <v>17.94</v>
      </c>
      <c r="U3644">
        <v>7000</v>
      </c>
      <c r="V3644" t="s">
        <v>10570</v>
      </c>
      <c r="W3644">
        <v>0</v>
      </c>
      <c r="Y3644" t="s">
        <v>101</v>
      </c>
      <c r="AA3644" t="s">
        <v>10974</v>
      </c>
      <c r="AB3644" t="s">
        <v>874</v>
      </c>
      <c r="AD3644" t="s">
        <v>11098</v>
      </c>
      <c r="AF3644" t="s">
        <v>11122</v>
      </c>
      <c r="AH3644" t="s">
        <v>10974</v>
      </c>
      <c r="AJ3644" t="s">
        <v>11104</v>
      </c>
      <c r="AK3644" t="s">
        <v>7225</v>
      </c>
      <c r="AM3644">
        <v>1170</v>
      </c>
      <c r="AO3644">
        <v>359</v>
      </c>
      <c r="AQ3644" t="s">
        <v>11157</v>
      </c>
      <c r="AR3644" t="s">
        <v>11172</v>
      </c>
      <c r="AU3644">
        <v>29</v>
      </c>
      <c r="AW3644" t="s">
        <v>11187</v>
      </c>
      <c r="AY3644" t="s">
        <v>11213</v>
      </c>
      <c r="AZ3644" t="s">
        <v>11221</v>
      </c>
      <c r="BA3644" t="s">
        <v>11173</v>
      </c>
      <c r="BD3644" t="s">
        <v>11667</v>
      </c>
      <c r="BF3644" t="s">
        <v>14364</v>
      </c>
      <c r="BG3644" t="s">
        <v>15228</v>
      </c>
      <c r="BM3644" t="s">
        <v>15650</v>
      </c>
    </row>
    <row r="3645" spans="1:65">
      <c r="A3645" s="1">
        <f>HYPERLINK("https://lsnyc.legalserver.org/matter/dynamic-profile/view/1902163","19-1902163")</f>
        <v>0</v>
      </c>
      <c r="B3645" t="s">
        <v>197</v>
      </c>
      <c r="C3645" t="s">
        <v>248</v>
      </c>
      <c r="D3645" t="s">
        <v>629</v>
      </c>
      <c r="F3645" t="s">
        <v>1914</v>
      </c>
      <c r="G3645" t="s">
        <v>4344</v>
      </c>
      <c r="H3645" t="s">
        <v>4798</v>
      </c>
      <c r="I3645" t="s">
        <v>7035</v>
      </c>
      <c r="J3645" t="s">
        <v>7174</v>
      </c>
      <c r="K3645">
        <v>11233</v>
      </c>
      <c r="N3645" t="s">
        <v>7237</v>
      </c>
      <c r="O3645" t="s">
        <v>7772</v>
      </c>
      <c r="P3645">
        <v>3</v>
      </c>
      <c r="Q3645">
        <v>4</v>
      </c>
      <c r="R3645">
        <v>17.94</v>
      </c>
      <c r="U3645">
        <v>7000</v>
      </c>
      <c r="V3645" t="s">
        <v>10697</v>
      </c>
      <c r="W3645">
        <v>0</v>
      </c>
      <c r="Y3645" t="s">
        <v>101</v>
      </c>
      <c r="AA3645" t="s">
        <v>10974</v>
      </c>
      <c r="AB3645" t="s">
        <v>395</v>
      </c>
      <c r="AD3645" t="s">
        <v>11100</v>
      </c>
      <c r="AF3645" t="s">
        <v>10384</v>
      </c>
      <c r="AH3645" t="s">
        <v>10974</v>
      </c>
      <c r="AJ3645" t="s">
        <v>11104</v>
      </c>
      <c r="AK3645" t="s">
        <v>7225</v>
      </c>
      <c r="AM3645">
        <v>1170</v>
      </c>
      <c r="AO3645">
        <v>359</v>
      </c>
      <c r="AQ3645" t="s">
        <v>11157</v>
      </c>
      <c r="AR3645" t="s">
        <v>11172</v>
      </c>
      <c r="AU3645">
        <v>29</v>
      </c>
      <c r="AW3645" t="s">
        <v>11187</v>
      </c>
      <c r="AY3645" t="s">
        <v>11213</v>
      </c>
      <c r="AZ3645" t="s">
        <v>11221</v>
      </c>
      <c r="BA3645" t="s">
        <v>11173</v>
      </c>
      <c r="BD3645" t="s">
        <v>11667</v>
      </c>
      <c r="BF3645" t="s">
        <v>14364</v>
      </c>
      <c r="BG3645" t="s">
        <v>14411</v>
      </c>
      <c r="BM3645" t="s">
        <v>15650</v>
      </c>
    </row>
    <row r="3646" spans="1:65">
      <c r="A3646" s="1">
        <f>HYPERLINK("https://lsnyc.legalserver.org/matter/dynamic-profile/view/1836256","17-1836256")</f>
        <v>0</v>
      </c>
      <c r="B3646" t="s">
        <v>197</v>
      </c>
      <c r="C3646" t="s">
        <v>248</v>
      </c>
      <c r="D3646" t="s">
        <v>455</v>
      </c>
      <c r="F3646" t="s">
        <v>2504</v>
      </c>
      <c r="G3646" t="s">
        <v>3538</v>
      </c>
      <c r="H3646" t="s">
        <v>5948</v>
      </c>
      <c r="I3646">
        <v>1</v>
      </c>
      <c r="J3646" t="s">
        <v>7174</v>
      </c>
      <c r="K3646">
        <v>11233</v>
      </c>
      <c r="N3646" t="s">
        <v>7237</v>
      </c>
      <c r="O3646" t="s">
        <v>9539</v>
      </c>
      <c r="P3646">
        <v>1</v>
      </c>
      <c r="Q3646">
        <v>0</v>
      </c>
      <c r="R3646">
        <v>81.79000000000001</v>
      </c>
      <c r="U3646">
        <v>9864</v>
      </c>
      <c r="W3646">
        <v>151.7</v>
      </c>
      <c r="X3646" t="s">
        <v>436</v>
      </c>
      <c r="Y3646" t="s">
        <v>10913</v>
      </c>
      <c r="AA3646" t="s">
        <v>10974</v>
      </c>
      <c r="AB3646" t="s">
        <v>455</v>
      </c>
      <c r="AD3646" t="s">
        <v>11083</v>
      </c>
      <c r="AF3646" t="s">
        <v>11118</v>
      </c>
      <c r="AH3646" t="s">
        <v>10975</v>
      </c>
      <c r="AJ3646" t="s">
        <v>11128</v>
      </c>
      <c r="AK3646" t="s">
        <v>7225</v>
      </c>
      <c r="AM3646">
        <v>1200</v>
      </c>
      <c r="AO3646">
        <v>2</v>
      </c>
      <c r="AQ3646" t="s">
        <v>11156</v>
      </c>
      <c r="AS3646" t="s">
        <v>11174</v>
      </c>
      <c r="AU3646">
        <v>2</v>
      </c>
      <c r="AW3646" t="s">
        <v>11187</v>
      </c>
      <c r="AZ3646" t="s">
        <v>11221</v>
      </c>
      <c r="BB3646" t="s">
        <v>11224</v>
      </c>
      <c r="BC3646" t="s">
        <v>11546</v>
      </c>
      <c r="BE3646" t="s">
        <v>13672</v>
      </c>
      <c r="BG3646" t="s">
        <v>15240</v>
      </c>
      <c r="BM3646" t="s">
        <v>15650</v>
      </c>
    </row>
    <row r="3647" spans="1:65">
      <c r="A3647" s="1">
        <f>HYPERLINK("https://lsnyc.legalserver.org/matter/dynamic-profile/view/1892512","19-1892512")</f>
        <v>0</v>
      </c>
      <c r="B3647" t="s">
        <v>197</v>
      </c>
      <c r="C3647" t="s">
        <v>248</v>
      </c>
      <c r="D3647" t="s">
        <v>403</v>
      </c>
      <c r="F3647" t="s">
        <v>1625</v>
      </c>
      <c r="G3647" t="s">
        <v>2921</v>
      </c>
      <c r="H3647" t="s">
        <v>5124</v>
      </c>
      <c r="I3647" t="s">
        <v>6884</v>
      </c>
      <c r="J3647" t="s">
        <v>7174</v>
      </c>
      <c r="K3647">
        <v>11233</v>
      </c>
      <c r="N3647" t="s">
        <v>7237</v>
      </c>
      <c r="O3647" t="s">
        <v>7772</v>
      </c>
      <c r="P3647">
        <v>2</v>
      </c>
      <c r="Q3647">
        <v>0</v>
      </c>
      <c r="R3647">
        <v>413.96</v>
      </c>
      <c r="U3647">
        <v>70000</v>
      </c>
      <c r="V3647" t="s">
        <v>10698</v>
      </c>
      <c r="W3647">
        <v>0</v>
      </c>
      <c r="Y3647" t="s">
        <v>101</v>
      </c>
      <c r="AA3647" t="s">
        <v>10974</v>
      </c>
      <c r="AB3647" t="s">
        <v>874</v>
      </c>
      <c r="AD3647" t="s">
        <v>11098</v>
      </c>
      <c r="AF3647" t="s">
        <v>11122</v>
      </c>
      <c r="AH3647" t="s">
        <v>10974</v>
      </c>
      <c r="AJ3647" t="s">
        <v>11104</v>
      </c>
      <c r="AK3647" t="s">
        <v>7225</v>
      </c>
      <c r="AL3647" t="s">
        <v>11150</v>
      </c>
      <c r="AM3647">
        <v>0</v>
      </c>
      <c r="AO3647">
        <v>359</v>
      </c>
      <c r="AQ3647" t="s">
        <v>11157</v>
      </c>
      <c r="AS3647" t="s">
        <v>11173</v>
      </c>
      <c r="AU3647">
        <v>43</v>
      </c>
      <c r="AW3647" t="s">
        <v>11187</v>
      </c>
      <c r="AY3647" t="s">
        <v>11213</v>
      </c>
      <c r="AZ3647" t="s">
        <v>11221</v>
      </c>
      <c r="BA3647" t="s">
        <v>11173</v>
      </c>
      <c r="BC3647" t="s">
        <v>11173</v>
      </c>
      <c r="BD3647" t="s">
        <v>11667</v>
      </c>
      <c r="BF3647" t="s">
        <v>14364</v>
      </c>
      <c r="BG3647" t="s">
        <v>15229</v>
      </c>
      <c r="BM3647" t="s">
        <v>15650</v>
      </c>
    </row>
    <row r="3648" spans="1:65">
      <c r="A3648" s="1">
        <f>HYPERLINK("https://lsnyc.legalserver.org/matter/dynamic-profile/view/1903267","19-1903267")</f>
        <v>0</v>
      </c>
      <c r="B3648" t="s">
        <v>197</v>
      </c>
      <c r="C3648" t="s">
        <v>248</v>
      </c>
      <c r="D3648" t="s">
        <v>571</v>
      </c>
      <c r="F3648" t="s">
        <v>2505</v>
      </c>
      <c r="G3648" t="s">
        <v>3193</v>
      </c>
      <c r="H3648" t="s">
        <v>5949</v>
      </c>
      <c r="I3648" t="s">
        <v>6717</v>
      </c>
      <c r="J3648" t="s">
        <v>7174</v>
      </c>
      <c r="K3648">
        <v>11239</v>
      </c>
      <c r="N3648" t="s">
        <v>7237</v>
      </c>
      <c r="O3648" t="s">
        <v>9540</v>
      </c>
      <c r="P3648">
        <v>1</v>
      </c>
      <c r="Q3648">
        <v>2</v>
      </c>
      <c r="R3648">
        <v>180.5</v>
      </c>
      <c r="U3648">
        <v>38500</v>
      </c>
      <c r="W3648">
        <v>16.45</v>
      </c>
      <c r="X3648" t="s">
        <v>426</v>
      </c>
      <c r="Y3648" t="s">
        <v>197</v>
      </c>
      <c r="AA3648" t="s">
        <v>10974</v>
      </c>
      <c r="AB3648" t="s">
        <v>382</v>
      </c>
      <c r="AD3648" t="s">
        <v>11082</v>
      </c>
      <c r="AF3648" t="s">
        <v>11118</v>
      </c>
      <c r="AH3648" t="s">
        <v>10975</v>
      </c>
      <c r="AJ3648" t="s">
        <v>11129</v>
      </c>
      <c r="AK3648" t="s">
        <v>7225</v>
      </c>
      <c r="AM3648">
        <v>986</v>
      </c>
      <c r="AN3648" t="s">
        <v>11151</v>
      </c>
      <c r="AO3648" t="s">
        <v>11153</v>
      </c>
      <c r="AQ3648" t="s">
        <v>11161</v>
      </c>
      <c r="AR3648" t="s">
        <v>11172</v>
      </c>
      <c r="AU3648">
        <v>5</v>
      </c>
      <c r="AW3648" t="s">
        <v>11187</v>
      </c>
      <c r="AY3648" t="s">
        <v>11213</v>
      </c>
      <c r="BA3648" t="s">
        <v>11222</v>
      </c>
      <c r="BE3648" t="s">
        <v>13673</v>
      </c>
      <c r="BG3648" t="s">
        <v>15241</v>
      </c>
      <c r="BM3648" t="s">
        <v>15650</v>
      </c>
    </row>
    <row r="3649" spans="1:65">
      <c r="A3649" s="1">
        <f>HYPERLINK("https://lsnyc.legalserver.org/matter/dynamic-profile/view/1892517","19-1892517")</f>
        <v>0</v>
      </c>
      <c r="B3649" t="s">
        <v>197</v>
      </c>
      <c r="C3649" t="s">
        <v>248</v>
      </c>
      <c r="D3649" t="s">
        <v>403</v>
      </c>
      <c r="F3649" t="s">
        <v>1625</v>
      </c>
      <c r="G3649" t="s">
        <v>2921</v>
      </c>
      <c r="H3649" t="s">
        <v>5124</v>
      </c>
      <c r="I3649" t="s">
        <v>6884</v>
      </c>
      <c r="J3649" t="s">
        <v>7174</v>
      </c>
      <c r="K3649">
        <v>11233</v>
      </c>
      <c r="N3649" t="s">
        <v>7237</v>
      </c>
      <c r="O3649" t="s">
        <v>7772</v>
      </c>
      <c r="P3649">
        <v>2</v>
      </c>
      <c r="Q3649">
        <v>0</v>
      </c>
      <c r="R3649">
        <v>413.96</v>
      </c>
      <c r="U3649">
        <v>70000</v>
      </c>
      <c r="V3649" t="s">
        <v>10698</v>
      </c>
      <c r="W3649">
        <v>0</v>
      </c>
      <c r="Y3649" t="s">
        <v>101</v>
      </c>
      <c r="AA3649" t="s">
        <v>10974</v>
      </c>
      <c r="AB3649" t="s">
        <v>395</v>
      </c>
      <c r="AD3649" t="s">
        <v>11100</v>
      </c>
      <c r="AF3649" t="s">
        <v>10384</v>
      </c>
      <c r="AH3649" t="s">
        <v>10974</v>
      </c>
      <c r="AJ3649" t="s">
        <v>11104</v>
      </c>
      <c r="AK3649" t="s">
        <v>7225</v>
      </c>
      <c r="AL3649" t="s">
        <v>11150</v>
      </c>
      <c r="AM3649">
        <v>0</v>
      </c>
      <c r="AO3649">
        <v>359</v>
      </c>
      <c r="AQ3649" t="s">
        <v>11157</v>
      </c>
      <c r="AS3649" t="s">
        <v>11173</v>
      </c>
      <c r="AU3649">
        <v>43</v>
      </c>
      <c r="AW3649" t="s">
        <v>11187</v>
      </c>
      <c r="AY3649" t="s">
        <v>11213</v>
      </c>
      <c r="AZ3649" t="s">
        <v>11221</v>
      </c>
      <c r="BA3649" t="s">
        <v>11173</v>
      </c>
      <c r="BC3649" t="s">
        <v>11173</v>
      </c>
      <c r="BD3649" t="s">
        <v>11667</v>
      </c>
      <c r="BF3649" t="s">
        <v>14364</v>
      </c>
      <c r="BG3649" t="s">
        <v>11173</v>
      </c>
      <c r="BM3649" t="s">
        <v>15650</v>
      </c>
    </row>
    <row r="3650" spans="1:65">
      <c r="A3650" s="1">
        <f>HYPERLINK("https://lsnyc.legalserver.org/matter/dynamic-profile/view/1892672","19-1892672")</f>
        <v>0</v>
      </c>
      <c r="B3650" t="s">
        <v>197</v>
      </c>
      <c r="C3650" t="s">
        <v>248</v>
      </c>
      <c r="D3650" t="s">
        <v>729</v>
      </c>
      <c r="F3650" t="s">
        <v>2506</v>
      </c>
      <c r="G3650" t="s">
        <v>4345</v>
      </c>
      <c r="H3650" t="s">
        <v>5941</v>
      </c>
      <c r="I3650" t="s">
        <v>6477</v>
      </c>
      <c r="J3650" t="s">
        <v>7174</v>
      </c>
      <c r="K3650">
        <v>11233</v>
      </c>
      <c r="N3650" t="s">
        <v>7237</v>
      </c>
      <c r="O3650" t="s">
        <v>9541</v>
      </c>
      <c r="P3650">
        <v>4</v>
      </c>
      <c r="Q3650">
        <v>1</v>
      </c>
      <c r="R3650">
        <v>178.99</v>
      </c>
      <c r="U3650">
        <v>54000</v>
      </c>
      <c r="V3650" t="s">
        <v>10699</v>
      </c>
      <c r="W3650">
        <v>0</v>
      </c>
      <c r="Y3650" t="s">
        <v>101</v>
      </c>
      <c r="AA3650" t="s">
        <v>10974</v>
      </c>
      <c r="AB3650" t="s">
        <v>395</v>
      </c>
      <c r="AD3650" t="s">
        <v>11100</v>
      </c>
      <c r="AF3650" t="s">
        <v>10384</v>
      </c>
      <c r="AH3650" t="s">
        <v>10974</v>
      </c>
      <c r="AJ3650" t="s">
        <v>11104</v>
      </c>
      <c r="AK3650" t="s">
        <v>7225</v>
      </c>
      <c r="AM3650">
        <v>981.97</v>
      </c>
      <c r="AO3650">
        <v>359</v>
      </c>
      <c r="AQ3650" t="s">
        <v>11157</v>
      </c>
      <c r="AR3650" t="s">
        <v>11172</v>
      </c>
      <c r="AT3650" t="s">
        <v>11184</v>
      </c>
      <c r="AU3650">
        <v>0</v>
      </c>
      <c r="AW3650" t="s">
        <v>3528</v>
      </c>
      <c r="AY3650" t="s">
        <v>11213</v>
      </c>
      <c r="AZ3650" t="s">
        <v>11221</v>
      </c>
      <c r="BD3650" t="s">
        <v>11667</v>
      </c>
      <c r="BF3650" t="s">
        <v>14364</v>
      </c>
      <c r="BM3650" t="s">
        <v>15650</v>
      </c>
    </row>
    <row r="3651" spans="1:65">
      <c r="A3651" s="1">
        <f>HYPERLINK("https://lsnyc.legalserver.org/matter/dynamic-profile/view/1892667","19-1892667")</f>
        <v>0</v>
      </c>
      <c r="B3651" t="s">
        <v>197</v>
      </c>
      <c r="C3651" t="s">
        <v>248</v>
      </c>
      <c r="D3651" t="s">
        <v>729</v>
      </c>
      <c r="F3651" t="s">
        <v>2506</v>
      </c>
      <c r="G3651" t="s">
        <v>4345</v>
      </c>
      <c r="H3651" t="s">
        <v>5941</v>
      </c>
      <c r="I3651" t="s">
        <v>6477</v>
      </c>
      <c r="J3651" t="s">
        <v>7174</v>
      </c>
      <c r="K3651">
        <v>11233</v>
      </c>
      <c r="N3651" t="s">
        <v>7237</v>
      </c>
      <c r="O3651" t="s">
        <v>9541</v>
      </c>
      <c r="P3651">
        <v>4</v>
      </c>
      <c r="Q3651">
        <v>1</v>
      </c>
      <c r="R3651">
        <v>178.99</v>
      </c>
      <c r="U3651">
        <v>54000</v>
      </c>
      <c r="V3651" t="s">
        <v>10625</v>
      </c>
      <c r="W3651">
        <v>0</v>
      </c>
      <c r="Y3651" t="s">
        <v>101</v>
      </c>
      <c r="AA3651" t="s">
        <v>10974</v>
      </c>
      <c r="AB3651" t="s">
        <v>874</v>
      </c>
      <c r="AD3651" t="s">
        <v>11098</v>
      </c>
      <c r="AF3651" t="s">
        <v>11122</v>
      </c>
      <c r="AH3651" t="s">
        <v>10974</v>
      </c>
      <c r="AJ3651" t="s">
        <v>11104</v>
      </c>
      <c r="AK3651" t="s">
        <v>7225</v>
      </c>
      <c r="AM3651">
        <v>981.97</v>
      </c>
      <c r="AO3651">
        <v>359</v>
      </c>
      <c r="AQ3651" t="s">
        <v>11157</v>
      </c>
      <c r="AR3651" t="s">
        <v>11172</v>
      </c>
      <c r="AT3651" t="s">
        <v>11184</v>
      </c>
      <c r="AU3651">
        <v>0</v>
      </c>
      <c r="AW3651" t="s">
        <v>3528</v>
      </c>
      <c r="AY3651" t="s">
        <v>11213</v>
      </c>
      <c r="AZ3651" t="s">
        <v>11221</v>
      </c>
      <c r="BD3651" t="s">
        <v>11667</v>
      </c>
      <c r="BF3651" t="s">
        <v>14364</v>
      </c>
      <c r="BG3651" t="s">
        <v>15228</v>
      </c>
      <c r="BM3651" t="s">
        <v>15650</v>
      </c>
    </row>
    <row r="3652" spans="1:65">
      <c r="A3652" s="1">
        <f>HYPERLINK("https://lsnyc.legalserver.org/matter/dynamic-profile/view/1898037","19-1898037")</f>
        <v>0</v>
      </c>
      <c r="B3652" t="s">
        <v>197</v>
      </c>
      <c r="C3652" t="s">
        <v>248</v>
      </c>
      <c r="D3652" t="s">
        <v>594</v>
      </c>
      <c r="F3652" t="s">
        <v>1964</v>
      </c>
      <c r="G3652" t="s">
        <v>4294</v>
      </c>
      <c r="H3652" t="s">
        <v>4798</v>
      </c>
      <c r="I3652" t="s">
        <v>7032</v>
      </c>
      <c r="J3652" t="s">
        <v>7174</v>
      </c>
      <c r="K3652">
        <v>11233</v>
      </c>
      <c r="N3652" t="s">
        <v>7237</v>
      </c>
      <c r="O3652" t="s">
        <v>7706</v>
      </c>
      <c r="P3652">
        <v>2</v>
      </c>
      <c r="Q3652">
        <v>1</v>
      </c>
      <c r="R3652">
        <v>178.15</v>
      </c>
      <c r="U3652">
        <v>38000</v>
      </c>
      <c r="V3652" t="s">
        <v>10700</v>
      </c>
      <c r="W3652">
        <v>0</v>
      </c>
      <c r="Y3652" t="s">
        <v>101</v>
      </c>
      <c r="AA3652" t="s">
        <v>10974</v>
      </c>
      <c r="AB3652" t="s">
        <v>395</v>
      </c>
      <c r="AD3652" t="s">
        <v>11100</v>
      </c>
      <c r="AF3652" t="s">
        <v>10384</v>
      </c>
      <c r="AH3652" t="s">
        <v>10974</v>
      </c>
      <c r="AJ3652" t="s">
        <v>11104</v>
      </c>
      <c r="AK3652" t="s">
        <v>7225</v>
      </c>
      <c r="AM3652">
        <v>1059</v>
      </c>
      <c r="AO3652">
        <v>359</v>
      </c>
      <c r="AQ3652" t="s">
        <v>11157</v>
      </c>
      <c r="AR3652" t="s">
        <v>11172</v>
      </c>
      <c r="AU3652">
        <v>39</v>
      </c>
      <c r="AW3652" t="s">
        <v>11187</v>
      </c>
      <c r="AY3652" t="s">
        <v>11213</v>
      </c>
      <c r="AZ3652" t="s">
        <v>11221</v>
      </c>
      <c r="BD3652" t="s">
        <v>11667</v>
      </c>
      <c r="BF3652" t="s">
        <v>14364</v>
      </c>
      <c r="BM3652" t="s">
        <v>15650</v>
      </c>
    </row>
    <row r="3653" spans="1:65">
      <c r="A3653" s="1">
        <f>HYPERLINK("https://lsnyc.legalserver.org/matter/dynamic-profile/view/1892865","19-1892865")</f>
        <v>0</v>
      </c>
      <c r="B3653" t="s">
        <v>197</v>
      </c>
      <c r="C3653" t="s">
        <v>248</v>
      </c>
      <c r="D3653" t="s">
        <v>319</v>
      </c>
      <c r="F3653" t="s">
        <v>1584</v>
      </c>
      <c r="G3653" t="s">
        <v>4346</v>
      </c>
      <c r="H3653" t="s">
        <v>5940</v>
      </c>
      <c r="I3653" t="s">
        <v>6414</v>
      </c>
      <c r="J3653" t="s">
        <v>7174</v>
      </c>
      <c r="K3653">
        <v>11233</v>
      </c>
      <c r="N3653" t="s">
        <v>7237</v>
      </c>
      <c r="O3653" t="s">
        <v>9542</v>
      </c>
      <c r="P3653">
        <v>1</v>
      </c>
      <c r="Q3653">
        <v>0</v>
      </c>
      <c r="R3653">
        <v>408.33</v>
      </c>
      <c r="U3653">
        <v>51000</v>
      </c>
      <c r="V3653" t="s">
        <v>10701</v>
      </c>
      <c r="W3653">
        <v>0</v>
      </c>
      <c r="Y3653" t="s">
        <v>101</v>
      </c>
      <c r="AA3653" t="s">
        <v>10974</v>
      </c>
      <c r="AB3653" t="s">
        <v>395</v>
      </c>
      <c r="AD3653" t="s">
        <v>11100</v>
      </c>
      <c r="AF3653" t="s">
        <v>10384</v>
      </c>
      <c r="AH3653" t="s">
        <v>10974</v>
      </c>
      <c r="AJ3653" t="s">
        <v>11104</v>
      </c>
      <c r="AK3653" t="s">
        <v>7225</v>
      </c>
      <c r="AM3653">
        <v>621.34</v>
      </c>
      <c r="AO3653">
        <v>359</v>
      </c>
      <c r="AQ3653" t="s">
        <v>11157</v>
      </c>
      <c r="AR3653" t="s">
        <v>11172</v>
      </c>
      <c r="AU3653">
        <v>18</v>
      </c>
      <c r="AW3653" t="s">
        <v>11187</v>
      </c>
      <c r="AY3653" t="s">
        <v>11213</v>
      </c>
      <c r="AZ3653" t="s">
        <v>11221</v>
      </c>
      <c r="BD3653" t="s">
        <v>11667</v>
      </c>
      <c r="BF3653" t="s">
        <v>14364</v>
      </c>
      <c r="BM3653" t="s">
        <v>15650</v>
      </c>
    </row>
    <row r="3654" spans="1:65">
      <c r="A3654" s="1">
        <f>HYPERLINK("https://lsnyc.legalserver.org/matter/dynamic-profile/view/1898406","19-1898406")</f>
        <v>0</v>
      </c>
      <c r="B3654" t="s">
        <v>197</v>
      </c>
      <c r="C3654" t="s">
        <v>248</v>
      </c>
      <c r="D3654" t="s">
        <v>519</v>
      </c>
      <c r="F3654" t="s">
        <v>2498</v>
      </c>
      <c r="G3654" t="s">
        <v>3213</v>
      </c>
      <c r="H3654" t="s">
        <v>5124</v>
      </c>
      <c r="I3654" t="s">
        <v>7003</v>
      </c>
      <c r="J3654" t="s">
        <v>7174</v>
      </c>
      <c r="K3654">
        <v>11233</v>
      </c>
      <c r="N3654" t="s">
        <v>7237</v>
      </c>
      <c r="O3654" t="s">
        <v>9531</v>
      </c>
      <c r="P3654">
        <v>2</v>
      </c>
      <c r="Q3654">
        <v>3</v>
      </c>
      <c r="R3654">
        <v>298.31</v>
      </c>
      <c r="U3654">
        <v>90000</v>
      </c>
      <c r="V3654" t="s">
        <v>10702</v>
      </c>
      <c r="W3654">
        <v>0</v>
      </c>
      <c r="Y3654" t="s">
        <v>101</v>
      </c>
      <c r="AA3654" t="s">
        <v>10974</v>
      </c>
      <c r="AB3654" t="s">
        <v>395</v>
      </c>
      <c r="AD3654" t="s">
        <v>11100</v>
      </c>
      <c r="AF3654" t="s">
        <v>10384</v>
      </c>
      <c r="AH3654" t="s">
        <v>10974</v>
      </c>
      <c r="AJ3654" t="s">
        <v>11104</v>
      </c>
      <c r="AK3654" t="s">
        <v>7225</v>
      </c>
      <c r="AM3654">
        <v>1160</v>
      </c>
      <c r="AO3654">
        <v>359</v>
      </c>
      <c r="AQ3654" t="s">
        <v>11157</v>
      </c>
      <c r="AR3654" t="s">
        <v>11172</v>
      </c>
      <c r="AU3654">
        <v>37</v>
      </c>
      <c r="AW3654" t="s">
        <v>11187</v>
      </c>
      <c r="AY3654" t="s">
        <v>11213</v>
      </c>
      <c r="AZ3654" t="s">
        <v>11221</v>
      </c>
      <c r="BD3654" t="s">
        <v>11667</v>
      </c>
      <c r="BF3654" t="s">
        <v>14364</v>
      </c>
      <c r="BM3654" t="s">
        <v>15650</v>
      </c>
    </row>
    <row r="3655" spans="1:65">
      <c r="A3655" s="1">
        <f>HYPERLINK("https://lsnyc.legalserver.org/matter/dynamic-profile/view/1901986","19-1901986")</f>
        <v>0</v>
      </c>
      <c r="B3655" t="s">
        <v>197</v>
      </c>
      <c r="C3655" t="s">
        <v>248</v>
      </c>
      <c r="D3655" t="s">
        <v>590</v>
      </c>
      <c r="F3655" t="s">
        <v>2499</v>
      </c>
      <c r="G3655" t="s">
        <v>3623</v>
      </c>
      <c r="H3655" t="s">
        <v>5940</v>
      </c>
      <c r="I3655" t="s">
        <v>7031</v>
      </c>
      <c r="J3655" t="s">
        <v>7174</v>
      </c>
      <c r="K3655">
        <v>11233</v>
      </c>
      <c r="N3655" t="s">
        <v>7237</v>
      </c>
      <c r="O3655" t="s">
        <v>9532</v>
      </c>
      <c r="P3655">
        <v>1</v>
      </c>
      <c r="Q3655">
        <v>0</v>
      </c>
      <c r="R3655">
        <v>80.06</v>
      </c>
      <c r="U3655">
        <v>10000</v>
      </c>
      <c r="V3655" t="s">
        <v>10570</v>
      </c>
      <c r="W3655">
        <v>0</v>
      </c>
      <c r="Y3655" t="s">
        <v>101</v>
      </c>
      <c r="AA3655" t="s">
        <v>10974</v>
      </c>
      <c r="AB3655" t="s">
        <v>874</v>
      </c>
      <c r="AD3655" t="s">
        <v>11098</v>
      </c>
      <c r="AF3655" t="s">
        <v>11122</v>
      </c>
      <c r="AH3655" t="s">
        <v>10974</v>
      </c>
      <c r="AJ3655" t="s">
        <v>11104</v>
      </c>
      <c r="AK3655" t="s">
        <v>7225</v>
      </c>
      <c r="AM3655">
        <v>1099.98</v>
      </c>
      <c r="AO3655">
        <v>359</v>
      </c>
      <c r="AQ3655" t="s">
        <v>11157</v>
      </c>
      <c r="AR3655" t="s">
        <v>11172</v>
      </c>
      <c r="AU3655">
        <v>51</v>
      </c>
      <c r="AW3655" t="s">
        <v>11187</v>
      </c>
      <c r="AY3655" t="s">
        <v>11213</v>
      </c>
      <c r="AZ3655" t="s">
        <v>11221</v>
      </c>
      <c r="BA3655" t="s">
        <v>11173</v>
      </c>
      <c r="BD3655" t="s">
        <v>11667</v>
      </c>
      <c r="BF3655" t="s">
        <v>14364</v>
      </c>
      <c r="BG3655" t="s">
        <v>15229</v>
      </c>
      <c r="BM3655" t="s">
        <v>15650</v>
      </c>
    </row>
    <row r="3656" spans="1:65">
      <c r="A3656" s="1">
        <f>HYPERLINK("https://lsnyc.legalserver.org/matter/dynamic-profile/view/1891718","19-1891718")</f>
        <v>0</v>
      </c>
      <c r="B3656" t="s">
        <v>197</v>
      </c>
      <c r="C3656" t="s">
        <v>248</v>
      </c>
      <c r="D3656" t="s">
        <v>515</v>
      </c>
      <c r="F3656" t="s">
        <v>2497</v>
      </c>
      <c r="G3656" t="s">
        <v>4337</v>
      </c>
      <c r="H3656" t="s">
        <v>4798</v>
      </c>
      <c r="I3656" t="s">
        <v>7029</v>
      </c>
      <c r="J3656" t="s">
        <v>7174</v>
      </c>
      <c r="K3656">
        <v>11233</v>
      </c>
      <c r="N3656" t="s">
        <v>7237</v>
      </c>
      <c r="O3656" t="s">
        <v>9527</v>
      </c>
      <c r="P3656">
        <v>5</v>
      </c>
      <c r="Q3656">
        <v>0</v>
      </c>
      <c r="R3656">
        <v>169.71</v>
      </c>
      <c r="U3656">
        <v>51200</v>
      </c>
      <c r="V3656" t="s">
        <v>10703</v>
      </c>
      <c r="W3656">
        <v>0</v>
      </c>
      <c r="Y3656" t="s">
        <v>225</v>
      </c>
      <c r="AA3656" t="s">
        <v>10974</v>
      </c>
      <c r="AB3656" t="s">
        <v>395</v>
      </c>
      <c r="AD3656" t="s">
        <v>11100</v>
      </c>
      <c r="AF3656" t="s">
        <v>10384</v>
      </c>
      <c r="AH3656" t="s">
        <v>10974</v>
      </c>
      <c r="AI3656" t="s">
        <v>11126</v>
      </c>
      <c r="AK3656" t="s">
        <v>7225</v>
      </c>
      <c r="AM3656">
        <v>1353.11</v>
      </c>
      <c r="AO3656">
        <v>359</v>
      </c>
      <c r="AQ3656" t="s">
        <v>11157</v>
      </c>
      <c r="AS3656" t="s">
        <v>11173</v>
      </c>
      <c r="AU3656">
        <v>24</v>
      </c>
      <c r="AW3656" t="s">
        <v>11187</v>
      </c>
      <c r="AY3656" t="s">
        <v>11213</v>
      </c>
      <c r="AZ3656" t="s">
        <v>11221</v>
      </c>
      <c r="BE3656" t="s">
        <v>13670</v>
      </c>
      <c r="BF3656" t="s">
        <v>14364</v>
      </c>
      <c r="BG3656" t="s">
        <v>11228</v>
      </c>
      <c r="BM3656" t="s">
        <v>15650</v>
      </c>
    </row>
    <row r="3657" spans="1:65">
      <c r="A3657" s="1">
        <f>HYPERLINK("https://lsnyc.legalserver.org/matter/dynamic-profile/view/1909085","19-1909085")</f>
        <v>0</v>
      </c>
      <c r="B3657" t="s">
        <v>197</v>
      </c>
      <c r="C3657" t="s">
        <v>248</v>
      </c>
      <c r="D3657" t="s">
        <v>598</v>
      </c>
      <c r="F3657" t="s">
        <v>2507</v>
      </c>
      <c r="G3657" t="s">
        <v>4347</v>
      </c>
      <c r="H3657" t="s">
        <v>5941</v>
      </c>
      <c r="I3657" t="s">
        <v>6562</v>
      </c>
      <c r="J3657" t="s">
        <v>7174</v>
      </c>
      <c r="K3657">
        <v>11233</v>
      </c>
      <c r="N3657" t="s">
        <v>7237</v>
      </c>
      <c r="O3657" t="s">
        <v>9543</v>
      </c>
      <c r="P3657">
        <v>2</v>
      </c>
      <c r="Q3657">
        <v>0</v>
      </c>
      <c r="R3657">
        <v>35.48</v>
      </c>
      <c r="U3657">
        <v>6000</v>
      </c>
      <c r="V3657" t="s">
        <v>10704</v>
      </c>
      <c r="W3657">
        <v>0</v>
      </c>
      <c r="Y3657" t="s">
        <v>101</v>
      </c>
      <c r="AA3657" t="s">
        <v>10974</v>
      </c>
      <c r="AB3657" t="s">
        <v>10988</v>
      </c>
      <c r="AD3657" t="s">
        <v>11098</v>
      </c>
      <c r="AF3657" t="s">
        <v>11122</v>
      </c>
      <c r="AH3657" t="s">
        <v>10974</v>
      </c>
      <c r="AJ3657" t="s">
        <v>11104</v>
      </c>
      <c r="AK3657" t="s">
        <v>7225</v>
      </c>
      <c r="AM3657">
        <v>840</v>
      </c>
      <c r="AO3657">
        <v>359</v>
      </c>
      <c r="AQ3657" t="s">
        <v>11157</v>
      </c>
      <c r="AR3657" t="s">
        <v>11172</v>
      </c>
      <c r="AU3657">
        <v>20</v>
      </c>
      <c r="AW3657" t="s">
        <v>11187</v>
      </c>
      <c r="AY3657" t="s">
        <v>11213</v>
      </c>
      <c r="AZ3657" t="s">
        <v>11221</v>
      </c>
      <c r="BA3657" t="s">
        <v>11173</v>
      </c>
      <c r="BD3657" t="s">
        <v>11667</v>
      </c>
      <c r="BG3657" t="s">
        <v>15230</v>
      </c>
      <c r="BM3657" t="s">
        <v>15650</v>
      </c>
    </row>
    <row r="3658" spans="1:65">
      <c r="A3658" s="1">
        <f>HYPERLINK("https://lsnyc.legalserver.org/matter/dynamic-profile/view/1902001","19-1902001")</f>
        <v>0</v>
      </c>
      <c r="B3658" t="s">
        <v>197</v>
      </c>
      <c r="C3658" t="s">
        <v>248</v>
      </c>
      <c r="D3658" t="s">
        <v>590</v>
      </c>
      <c r="F3658" t="s">
        <v>1904</v>
      </c>
      <c r="G3658" t="s">
        <v>4348</v>
      </c>
      <c r="H3658" t="s">
        <v>5124</v>
      </c>
      <c r="I3658" t="s">
        <v>7036</v>
      </c>
      <c r="J3658" t="s">
        <v>7174</v>
      </c>
      <c r="K3658">
        <v>11233</v>
      </c>
      <c r="N3658" t="s">
        <v>7237</v>
      </c>
      <c r="O3658" t="s">
        <v>9544</v>
      </c>
      <c r="P3658">
        <v>3</v>
      </c>
      <c r="Q3658">
        <v>1</v>
      </c>
      <c r="R3658">
        <v>35.93</v>
      </c>
      <c r="U3658">
        <v>9252</v>
      </c>
      <c r="V3658" t="s">
        <v>10570</v>
      </c>
      <c r="W3658">
        <v>0</v>
      </c>
      <c r="Y3658" t="s">
        <v>101</v>
      </c>
      <c r="AA3658" t="s">
        <v>10974</v>
      </c>
      <c r="AB3658" t="s">
        <v>874</v>
      </c>
      <c r="AD3658" t="s">
        <v>11098</v>
      </c>
      <c r="AF3658" t="s">
        <v>11122</v>
      </c>
      <c r="AH3658" t="s">
        <v>10974</v>
      </c>
      <c r="AJ3658" t="s">
        <v>11104</v>
      </c>
      <c r="AK3658" t="s">
        <v>7225</v>
      </c>
      <c r="AM3658">
        <v>1350</v>
      </c>
      <c r="AO3658">
        <v>359</v>
      </c>
      <c r="AQ3658" t="s">
        <v>11157</v>
      </c>
      <c r="AR3658" t="s">
        <v>11172</v>
      </c>
      <c r="AU3658">
        <v>20</v>
      </c>
      <c r="AW3658" t="s">
        <v>11187</v>
      </c>
      <c r="AZ3658" t="s">
        <v>11221</v>
      </c>
      <c r="BA3658" t="s">
        <v>11173</v>
      </c>
      <c r="BD3658" t="s">
        <v>11667</v>
      </c>
      <c r="BF3658" t="s">
        <v>14364</v>
      </c>
      <c r="BG3658" t="s">
        <v>15229</v>
      </c>
      <c r="BM3658" t="s">
        <v>15650</v>
      </c>
    </row>
    <row r="3659" spans="1:65">
      <c r="A3659" s="1">
        <f>HYPERLINK("https://lsnyc.legalserver.org/matter/dynamic-profile/view/1902003","19-1902003")</f>
        <v>0</v>
      </c>
      <c r="B3659" t="s">
        <v>197</v>
      </c>
      <c r="C3659" t="s">
        <v>248</v>
      </c>
      <c r="D3659" t="s">
        <v>590</v>
      </c>
      <c r="F3659" t="s">
        <v>1904</v>
      </c>
      <c r="G3659" t="s">
        <v>4348</v>
      </c>
      <c r="H3659" t="s">
        <v>5124</v>
      </c>
      <c r="I3659" t="s">
        <v>7036</v>
      </c>
      <c r="J3659" t="s">
        <v>7174</v>
      </c>
      <c r="K3659">
        <v>11233</v>
      </c>
      <c r="N3659" t="s">
        <v>7237</v>
      </c>
      <c r="O3659" t="s">
        <v>9544</v>
      </c>
      <c r="P3659">
        <v>3</v>
      </c>
      <c r="Q3659">
        <v>1</v>
      </c>
      <c r="R3659">
        <v>35.93</v>
      </c>
      <c r="U3659">
        <v>9252</v>
      </c>
      <c r="V3659" t="s">
        <v>10705</v>
      </c>
      <c r="W3659">
        <v>0</v>
      </c>
      <c r="Y3659" t="s">
        <v>101</v>
      </c>
      <c r="AA3659" t="s">
        <v>10974</v>
      </c>
      <c r="AB3659" t="s">
        <v>395</v>
      </c>
      <c r="AD3659" t="s">
        <v>11100</v>
      </c>
      <c r="AF3659" t="s">
        <v>10384</v>
      </c>
      <c r="AH3659" t="s">
        <v>10974</v>
      </c>
      <c r="AJ3659" t="s">
        <v>11104</v>
      </c>
      <c r="AK3659" t="s">
        <v>7225</v>
      </c>
      <c r="AM3659">
        <v>1350</v>
      </c>
      <c r="AO3659">
        <v>359</v>
      </c>
      <c r="AQ3659" t="s">
        <v>11157</v>
      </c>
      <c r="AR3659" t="s">
        <v>11172</v>
      </c>
      <c r="AU3659">
        <v>20</v>
      </c>
      <c r="AW3659" t="s">
        <v>11187</v>
      </c>
      <c r="AZ3659" t="s">
        <v>11221</v>
      </c>
      <c r="BA3659" t="s">
        <v>11173</v>
      </c>
      <c r="BD3659" t="s">
        <v>11667</v>
      </c>
      <c r="BF3659" t="s">
        <v>14364</v>
      </c>
      <c r="BG3659" t="s">
        <v>11086</v>
      </c>
      <c r="BM3659" t="s">
        <v>15650</v>
      </c>
    </row>
    <row r="3660" spans="1:65">
      <c r="A3660" s="1">
        <f>HYPERLINK("https://lsnyc.legalserver.org/matter/dynamic-profile/view/1898983","19-1898983")</f>
        <v>0</v>
      </c>
      <c r="B3660" t="s">
        <v>197</v>
      </c>
      <c r="C3660" t="s">
        <v>248</v>
      </c>
      <c r="D3660" t="s">
        <v>608</v>
      </c>
      <c r="F3660" t="s">
        <v>2508</v>
      </c>
      <c r="G3660" t="s">
        <v>2921</v>
      </c>
      <c r="H3660" t="s">
        <v>4798</v>
      </c>
      <c r="I3660" t="s">
        <v>6561</v>
      </c>
      <c r="J3660" t="s">
        <v>7174</v>
      </c>
      <c r="K3660">
        <v>11233</v>
      </c>
      <c r="N3660" t="s">
        <v>7237</v>
      </c>
      <c r="O3660" t="s">
        <v>9545</v>
      </c>
      <c r="P3660">
        <v>1</v>
      </c>
      <c r="Q3660">
        <v>0</v>
      </c>
      <c r="R3660">
        <v>360.29</v>
      </c>
      <c r="U3660">
        <v>45000</v>
      </c>
      <c r="V3660" t="s">
        <v>10706</v>
      </c>
      <c r="W3660">
        <v>0</v>
      </c>
      <c r="Y3660" t="s">
        <v>101</v>
      </c>
      <c r="AA3660" t="s">
        <v>10974</v>
      </c>
      <c r="AB3660" t="s">
        <v>395</v>
      </c>
      <c r="AD3660" t="s">
        <v>11100</v>
      </c>
      <c r="AF3660" t="s">
        <v>10384</v>
      </c>
      <c r="AH3660" t="s">
        <v>10974</v>
      </c>
      <c r="AJ3660" t="s">
        <v>11104</v>
      </c>
      <c r="AK3660" t="s">
        <v>7225</v>
      </c>
      <c r="AM3660">
        <v>1162</v>
      </c>
      <c r="AO3660">
        <v>359</v>
      </c>
      <c r="AQ3660" t="s">
        <v>11157</v>
      </c>
      <c r="AR3660" t="s">
        <v>11172</v>
      </c>
      <c r="AU3660">
        <v>55</v>
      </c>
      <c r="AW3660" t="s">
        <v>11187</v>
      </c>
      <c r="AY3660" t="s">
        <v>11213</v>
      </c>
      <c r="AZ3660" t="s">
        <v>11221</v>
      </c>
      <c r="BA3660" t="s">
        <v>11173</v>
      </c>
      <c r="BD3660" t="s">
        <v>11667</v>
      </c>
      <c r="BF3660" t="s">
        <v>14364</v>
      </c>
      <c r="BM3660" t="s">
        <v>15650</v>
      </c>
    </row>
    <row r="3661" spans="1:65">
      <c r="A3661" s="1">
        <f>HYPERLINK("https://lsnyc.legalserver.org/matter/dynamic-profile/view/1897159","19-1897159")</f>
        <v>0</v>
      </c>
      <c r="B3661" t="s">
        <v>197</v>
      </c>
      <c r="C3661" t="s">
        <v>248</v>
      </c>
      <c r="D3661" t="s">
        <v>444</v>
      </c>
      <c r="F3661" t="s">
        <v>2509</v>
      </c>
      <c r="G3661" t="s">
        <v>3249</v>
      </c>
      <c r="H3661" t="s">
        <v>4798</v>
      </c>
      <c r="I3661" t="s">
        <v>6581</v>
      </c>
      <c r="J3661" t="s">
        <v>7174</v>
      </c>
      <c r="K3661">
        <v>11233</v>
      </c>
      <c r="N3661" t="s">
        <v>7237</v>
      </c>
      <c r="O3661" t="s">
        <v>9546</v>
      </c>
      <c r="P3661">
        <v>1</v>
      </c>
      <c r="Q3661">
        <v>1</v>
      </c>
      <c r="R3661">
        <v>95.8</v>
      </c>
      <c r="U3661">
        <v>16200</v>
      </c>
      <c r="V3661" t="s">
        <v>10707</v>
      </c>
      <c r="W3661">
        <v>0</v>
      </c>
      <c r="Y3661" t="s">
        <v>101</v>
      </c>
      <c r="AA3661" t="s">
        <v>10974</v>
      </c>
      <c r="AB3661" t="s">
        <v>395</v>
      </c>
      <c r="AD3661" t="s">
        <v>11100</v>
      </c>
      <c r="AF3661" t="s">
        <v>10384</v>
      </c>
      <c r="AH3661" t="s">
        <v>10974</v>
      </c>
      <c r="AJ3661" t="s">
        <v>11104</v>
      </c>
      <c r="AK3661" t="s">
        <v>7225</v>
      </c>
      <c r="AM3661">
        <v>1100</v>
      </c>
      <c r="AO3661">
        <v>359</v>
      </c>
      <c r="AQ3661" t="s">
        <v>11157</v>
      </c>
      <c r="AS3661" t="s">
        <v>11173</v>
      </c>
      <c r="AU3661">
        <v>32</v>
      </c>
      <c r="AW3661" t="s">
        <v>11187</v>
      </c>
      <c r="AY3661" t="s">
        <v>11213</v>
      </c>
      <c r="AZ3661" t="s">
        <v>11221</v>
      </c>
      <c r="BD3661" t="s">
        <v>11667</v>
      </c>
      <c r="BF3661" t="s">
        <v>14364</v>
      </c>
      <c r="BM3661" t="s">
        <v>15650</v>
      </c>
    </row>
    <row r="3662" spans="1:65">
      <c r="A3662" s="1">
        <f>HYPERLINK("https://lsnyc.legalserver.org/matter/dynamic-profile/view/1856806","18-1856806")</f>
        <v>0</v>
      </c>
      <c r="B3662" t="s">
        <v>197</v>
      </c>
      <c r="C3662" t="s">
        <v>248</v>
      </c>
      <c r="D3662" t="s">
        <v>533</v>
      </c>
      <c r="F3662" t="s">
        <v>1475</v>
      </c>
      <c r="G3662" t="s">
        <v>4342</v>
      </c>
      <c r="H3662" t="s">
        <v>5947</v>
      </c>
      <c r="I3662" t="s">
        <v>6432</v>
      </c>
      <c r="J3662" t="s">
        <v>7174</v>
      </c>
      <c r="K3662">
        <v>11215</v>
      </c>
      <c r="N3662" t="s">
        <v>7237</v>
      </c>
      <c r="O3662" t="s">
        <v>9536</v>
      </c>
      <c r="P3662">
        <v>2</v>
      </c>
      <c r="Q3662">
        <v>0</v>
      </c>
      <c r="R3662">
        <v>63.92</v>
      </c>
      <c r="T3662" t="s">
        <v>10277</v>
      </c>
      <c r="U3662">
        <v>10380</v>
      </c>
      <c r="W3662">
        <v>6.4</v>
      </c>
      <c r="X3662" t="s">
        <v>511</v>
      </c>
      <c r="Y3662" t="s">
        <v>209</v>
      </c>
      <c r="AA3662" t="s">
        <v>10974</v>
      </c>
      <c r="AB3662" t="s">
        <v>533</v>
      </c>
      <c r="AD3662" t="s">
        <v>11101</v>
      </c>
      <c r="AF3662" t="s">
        <v>11118</v>
      </c>
      <c r="AH3662" t="s">
        <v>10974</v>
      </c>
      <c r="AJ3662" t="s">
        <v>11131</v>
      </c>
      <c r="AK3662" t="s">
        <v>7225</v>
      </c>
      <c r="AM3662">
        <v>149</v>
      </c>
      <c r="AO3662">
        <v>7</v>
      </c>
      <c r="AQ3662" t="s">
        <v>11160</v>
      </c>
      <c r="AR3662" t="s">
        <v>11172</v>
      </c>
      <c r="AU3662">
        <v>42</v>
      </c>
      <c r="AW3662" t="s">
        <v>11187</v>
      </c>
      <c r="BA3662" t="s">
        <v>11222</v>
      </c>
      <c r="BD3662" t="s">
        <v>11667</v>
      </c>
      <c r="BG3662" t="s">
        <v>15242</v>
      </c>
      <c r="BM3662" t="s">
        <v>15650</v>
      </c>
    </row>
    <row r="3663" spans="1:65">
      <c r="A3663" s="1">
        <f>HYPERLINK("https://lsnyc.legalserver.org/matter/dynamic-profile/view/1891621","19-1891621")</f>
        <v>0</v>
      </c>
      <c r="B3663" t="s">
        <v>197</v>
      </c>
      <c r="C3663" t="s">
        <v>248</v>
      </c>
      <c r="D3663" t="s">
        <v>515</v>
      </c>
      <c r="F3663" t="s">
        <v>1545</v>
      </c>
      <c r="G3663" t="s">
        <v>2692</v>
      </c>
      <c r="H3663" t="s">
        <v>5124</v>
      </c>
      <c r="I3663" t="s">
        <v>6404</v>
      </c>
      <c r="J3663" t="s">
        <v>7174</v>
      </c>
      <c r="K3663">
        <v>11233</v>
      </c>
      <c r="N3663" t="s">
        <v>7237</v>
      </c>
      <c r="O3663" t="s">
        <v>9547</v>
      </c>
      <c r="P3663">
        <v>2</v>
      </c>
      <c r="Q3663">
        <v>0</v>
      </c>
      <c r="R3663">
        <v>543.35</v>
      </c>
      <c r="U3663">
        <v>91879.89999999999</v>
      </c>
      <c r="V3663" t="s">
        <v>10708</v>
      </c>
      <c r="W3663">
        <v>0</v>
      </c>
      <c r="Y3663" t="s">
        <v>101</v>
      </c>
      <c r="AA3663" t="s">
        <v>10974</v>
      </c>
      <c r="AB3663" t="s">
        <v>874</v>
      </c>
      <c r="AD3663" t="s">
        <v>11100</v>
      </c>
      <c r="AF3663" t="s">
        <v>10384</v>
      </c>
      <c r="AH3663" t="s">
        <v>10974</v>
      </c>
      <c r="AJ3663" t="s">
        <v>11104</v>
      </c>
      <c r="AK3663" t="s">
        <v>7225</v>
      </c>
      <c r="AM3663">
        <v>776.46</v>
      </c>
      <c r="AO3663">
        <v>359</v>
      </c>
      <c r="AQ3663" t="s">
        <v>11157</v>
      </c>
      <c r="AS3663" t="s">
        <v>11173</v>
      </c>
      <c r="AU3663">
        <v>2</v>
      </c>
      <c r="AW3663" t="s">
        <v>11187</v>
      </c>
      <c r="AY3663" t="s">
        <v>11213</v>
      </c>
      <c r="AZ3663" t="s">
        <v>11221</v>
      </c>
      <c r="BA3663" t="s">
        <v>11173</v>
      </c>
      <c r="BC3663" t="s">
        <v>11173</v>
      </c>
      <c r="BD3663" t="s">
        <v>11667</v>
      </c>
      <c r="BF3663" t="s">
        <v>14364</v>
      </c>
      <c r="BM3663" t="s">
        <v>15650</v>
      </c>
    </row>
    <row r="3664" spans="1:65">
      <c r="A3664" s="1">
        <f>HYPERLINK("https://lsnyc.legalserver.org/matter/dynamic-profile/view/1890634","19-1890634")</f>
        <v>0</v>
      </c>
      <c r="B3664" t="s">
        <v>197</v>
      </c>
      <c r="C3664" t="s">
        <v>248</v>
      </c>
      <c r="D3664" t="s">
        <v>442</v>
      </c>
      <c r="F3664" t="s">
        <v>1545</v>
      </c>
      <c r="G3664" t="s">
        <v>2692</v>
      </c>
      <c r="H3664" t="s">
        <v>5124</v>
      </c>
      <c r="I3664" t="s">
        <v>6404</v>
      </c>
      <c r="J3664" t="s">
        <v>7174</v>
      </c>
      <c r="K3664">
        <v>11233</v>
      </c>
      <c r="N3664" t="s">
        <v>7237</v>
      </c>
      <c r="O3664" t="s">
        <v>9547</v>
      </c>
      <c r="P3664">
        <v>2</v>
      </c>
      <c r="Q3664">
        <v>0</v>
      </c>
      <c r="R3664">
        <v>543.35</v>
      </c>
      <c r="U3664">
        <v>91879.89999999999</v>
      </c>
      <c r="V3664" t="s">
        <v>10709</v>
      </c>
      <c r="W3664">
        <v>0</v>
      </c>
      <c r="Y3664" t="s">
        <v>101</v>
      </c>
      <c r="AA3664" t="s">
        <v>10974</v>
      </c>
      <c r="AB3664" t="s">
        <v>874</v>
      </c>
      <c r="AD3664" t="s">
        <v>11098</v>
      </c>
      <c r="AF3664" t="s">
        <v>11122</v>
      </c>
      <c r="AH3664" t="s">
        <v>10974</v>
      </c>
      <c r="AJ3664" t="s">
        <v>11104</v>
      </c>
      <c r="AK3664" t="s">
        <v>7225</v>
      </c>
      <c r="AM3664">
        <v>776.46</v>
      </c>
      <c r="AO3664">
        <v>359</v>
      </c>
      <c r="AQ3664" t="s">
        <v>11157</v>
      </c>
      <c r="AS3664" t="s">
        <v>11173</v>
      </c>
      <c r="AU3664">
        <v>2</v>
      </c>
      <c r="AW3664" t="s">
        <v>11187</v>
      </c>
      <c r="AY3664" t="s">
        <v>11213</v>
      </c>
      <c r="AZ3664" t="s">
        <v>11221</v>
      </c>
      <c r="BA3664" t="s">
        <v>11173</v>
      </c>
      <c r="BD3664" t="s">
        <v>11667</v>
      </c>
      <c r="BF3664" t="s">
        <v>14364</v>
      </c>
      <c r="BG3664" t="s">
        <v>15229</v>
      </c>
      <c r="BM3664" t="s">
        <v>15650</v>
      </c>
    </row>
    <row r="3665" spans="1:65">
      <c r="A3665" s="1">
        <f>HYPERLINK("https://lsnyc.legalserver.org/matter/dynamic-profile/view/1891586","19-1891586")</f>
        <v>0</v>
      </c>
      <c r="B3665" t="s">
        <v>197</v>
      </c>
      <c r="C3665" t="s">
        <v>248</v>
      </c>
      <c r="D3665" t="s">
        <v>515</v>
      </c>
      <c r="F3665" t="s">
        <v>2510</v>
      </c>
      <c r="G3665" t="s">
        <v>4349</v>
      </c>
      <c r="H3665" t="s">
        <v>5124</v>
      </c>
      <c r="I3665" t="s">
        <v>6507</v>
      </c>
      <c r="J3665" t="s">
        <v>7174</v>
      </c>
      <c r="K3665">
        <v>11233</v>
      </c>
      <c r="N3665" t="s">
        <v>7237</v>
      </c>
      <c r="O3665" t="s">
        <v>9181</v>
      </c>
      <c r="P3665">
        <v>1</v>
      </c>
      <c r="Q3665">
        <v>0</v>
      </c>
      <c r="R3665">
        <v>416.33</v>
      </c>
      <c r="U3665">
        <v>52000</v>
      </c>
      <c r="V3665" t="s">
        <v>10578</v>
      </c>
      <c r="W3665">
        <v>0</v>
      </c>
      <c r="Y3665" t="s">
        <v>225</v>
      </c>
      <c r="AA3665" t="s">
        <v>10974</v>
      </c>
      <c r="AB3665" t="s">
        <v>874</v>
      </c>
      <c r="AD3665" t="s">
        <v>11098</v>
      </c>
      <c r="AF3665" t="s">
        <v>11122</v>
      </c>
      <c r="AH3665" t="s">
        <v>10974</v>
      </c>
      <c r="AI3665" t="s">
        <v>11126</v>
      </c>
      <c r="AK3665" t="s">
        <v>7225</v>
      </c>
      <c r="AM3665">
        <v>1485</v>
      </c>
      <c r="AO3665">
        <v>359</v>
      </c>
      <c r="AQ3665" t="s">
        <v>11157</v>
      </c>
      <c r="AR3665" t="s">
        <v>11172</v>
      </c>
      <c r="AU3665">
        <v>2</v>
      </c>
      <c r="AW3665" t="s">
        <v>11187</v>
      </c>
      <c r="AY3665" t="s">
        <v>11213</v>
      </c>
      <c r="AZ3665" t="s">
        <v>11221</v>
      </c>
      <c r="BD3665" t="s">
        <v>11667</v>
      </c>
      <c r="BF3665" t="s">
        <v>14364</v>
      </c>
      <c r="BG3665" t="s">
        <v>15229</v>
      </c>
      <c r="BM3665" t="s">
        <v>15650</v>
      </c>
    </row>
    <row r="3666" spans="1:65">
      <c r="A3666" s="1">
        <f>HYPERLINK("https://lsnyc.legalserver.org/matter/dynamic-profile/view/1896625","19-1896625")</f>
        <v>0</v>
      </c>
      <c r="B3666" t="s">
        <v>197</v>
      </c>
      <c r="C3666" t="s">
        <v>248</v>
      </c>
      <c r="D3666" t="s">
        <v>585</v>
      </c>
      <c r="F3666" t="s">
        <v>1516</v>
      </c>
      <c r="G3666" t="s">
        <v>3301</v>
      </c>
      <c r="H3666" t="s">
        <v>5124</v>
      </c>
      <c r="I3666" t="s">
        <v>6916</v>
      </c>
      <c r="J3666" t="s">
        <v>7174</v>
      </c>
      <c r="K3666">
        <v>11233</v>
      </c>
      <c r="N3666" t="s">
        <v>7237</v>
      </c>
      <c r="O3666" t="s">
        <v>9548</v>
      </c>
      <c r="P3666">
        <v>2</v>
      </c>
      <c r="Q3666">
        <v>0</v>
      </c>
      <c r="R3666">
        <v>37.21</v>
      </c>
      <c r="U3666">
        <v>6292</v>
      </c>
      <c r="V3666" t="s">
        <v>10710</v>
      </c>
      <c r="W3666">
        <v>0</v>
      </c>
      <c r="Y3666" t="s">
        <v>101</v>
      </c>
      <c r="AA3666" t="s">
        <v>10974</v>
      </c>
      <c r="AB3666" t="s">
        <v>311</v>
      </c>
      <c r="AD3666" t="s">
        <v>11098</v>
      </c>
      <c r="AF3666" t="s">
        <v>11122</v>
      </c>
      <c r="AG3666" t="s">
        <v>11124</v>
      </c>
      <c r="AI3666" t="s">
        <v>11126</v>
      </c>
      <c r="AK3666" t="s">
        <v>7225</v>
      </c>
      <c r="AM3666">
        <v>1056</v>
      </c>
      <c r="AO3666">
        <v>359</v>
      </c>
      <c r="AQ3666" t="s">
        <v>11157</v>
      </c>
      <c r="AS3666" t="s">
        <v>11173</v>
      </c>
      <c r="AU3666">
        <v>9</v>
      </c>
      <c r="AW3666" t="s">
        <v>11187</v>
      </c>
      <c r="AY3666" t="s">
        <v>11213</v>
      </c>
      <c r="BA3666" t="s">
        <v>11222</v>
      </c>
      <c r="BD3666" t="s">
        <v>11667</v>
      </c>
      <c r="BF3666" t="s">
        <v>14364</v>
      </c>
      <c r="BG3666" t="s">
        <v>15229</v>
      </c>
      <c r="BM3666" t="s">
        <v>15650</v>
      </c>
    </row>
    <row r="3667" spans="1:65">
      <c r="A3667" s="1">
        <f>HYPERLINK("https://lsnyc.legalserver.org/matter/dynamic-profile/view/1891589","19-1891589")</f>
        <v>0</v>
      </c>
      <c r="B3667" t="s">
        <v>197</v>
      </c>
      <c r="C3667" t="s">
        <v>248</v>
      </c>
      <c r="D3667" t="s">
        <v>515</v>
      </c>
      <c r="F3667" t="s">
        <v>2510</v>
      </c>
      <c r="G3667" t="s">
        <v>4349</v>
      </c>
      <c r="H3667" t="s">
        <v>5124</v>
      </c>
      <c r="I3667" t="s">
        <v>6507</v>
      </c>
      <c r="J3667" t="s">
        <v>7174</v>
      </c>
      <c r="K3667">
        <v>11233</v>
      </c>
      <c r="N3667" t="s">
        <v>7237</v>
      </c>
      <c r="O3667" t="s">
        <v>9181</v>
      </c>
      <c r="P3667">
        <v>1</v>
      </c>
      <c r="Q3667">
        <v>0</v>
      </c>
      <c r="R3667">
        <v>416.33</v>
      </c>
      <c r="U3667">
        <v>52000</v>
      </c>
      <c r="V3667" t="s">
        <v>10711</v>
      </c>
      <c r="W3667">
        <v>0</v>
      </c>
      <c r="Y3667" t="s">
        <v>225</v>
      </c>
      <c r="AA3667" t="s">
        <v>10974</v>
      </c>
      <c r="AB3667" t="s">
        <v>395</v>
      </c>
      <c r="AD3667" t="s">
        <v>11100</v>
      </c>
      <c r="AF3667" t="s">
        <v>10384</v>
      </c>
      <c r="AH3667" t="s">
        <v>10974</v>
      </c>
      <c r="AI3667" t="s">
        <v>11126</v>
      </c>
      <c r="AK3667" t="s">
        <v>7225</v>
      </c>
      <c r="AM3667">
        <v>1485</v>
      </c>
      <c r="AO3667">
        <v>359</v>
      </c>
      <c r="AQ3667" t="s">
        <v>11157</v>
      </c>
      <c r="AR3667" t="s">
        <v>11172</v>
      </c>
      <c r="AU3667">
        <v>2</v>
      </c>
      <c r="AW3667" t="s">
        <v>11187</v>
      </c>
      <c r="AY3667" t="s">
        <v>11213</v>
      </c>
      <c r="AZ3667" t="s">
        <v>11221</v>
      </c>
      <c r="BD3667" t="s">
        <v>11667</v>
      </c>
      <c r="BF3667" t="s">
        <v>14364</v>
      </c>
      <c r="BG3667" t="s">
        <v>11173</v>
      </c>
      <c r="BM3667" t="s">
        <v>15650</v>
      </c>
    </row>
    <row r="3668" spans="1:65">
      <c r="A3668" s="1">
        <f>HYPERLINK("https://lsnyc.legalserver.org/matter/dynamic-profile/view/1896627","19-1896627")</f>
        <v>0</v>
      </c>
      <c r="B3668" t="s">
        <v>197</v>
      </c>
      <c r="C3668" t="s">
        <v>248</v>
      </c>
      <c r="D3668" t="s">
        <v>585</v>
      </c>
      <c r="F3668" t="s">
        <v>1516</v>
      </c>
      <c r="G3668" t="s">
        <v>3301</v>
      </c>
      <c r="H3668" t="s">
        <v>5124</v>
      </c>
      <c r="I3668" t="s">
        <v>6916</v>
      </c>
      <c r="J3668" t="s">
        <v>7174</v>
      </c>
      <c r="K3668">
        <v>11233</v>
      </c>
      <c r="N3668" t="s">
        <v>7237</v>
      </c>
      <c r="O3668" t="s">
        <v>9548</v>
      </c>
      <c r="P3668">
        <v>2</v>
      </c>
      <c r="Q3668">
        <v>0</v>
      </c>
      <c r="R3668">
        <v>37.21</v>
      </c>
      <c r="U3668">
        <v>6292</v>
      </c>
      <c r="V3668" t="s">
        <v>10712</v>
      </c>
      <c r="W3668">
        <v>0</v>
      </c>
      <c r="Y3668" t="s">
        <v>101</v>
      </c>
      <c r="AA3668" t="s">
        <v>10974</v>
      </c>
      <c r="AB3668" t="s">
        <v>311</v>
      </c>
      <c r="AD3668" t="s">
        <v>11100</v>
      </c>
      <c r="AF3668" t="s">
        <v>10384</v>
      </c>
      <c r="AH3668" t="s">
        <v>10974</v>
      </c>
      <c r="AI3668" t="s">
        <v>11126</v>
      </c>
      <c r="AK3668" t="s">
        <v>7225</v>
      </c>
      <c r="AM3668">
        <v>1056</v>
      </c>
      <c r="AO3668">
        <v>359</v>
      </c>
      <c r="AQ3668" t="s">
        <v>11157</v>
      </c>
      <c r="AS3668" t="s">
        <v>11173</v>
      </c>
      <c r="AU3668">
        <v>9</v>
      </c>
      <c r="AW3668" t="s">
        <v>11187</v>
      </c>
      <c r="AY3668" t="s">
        <v>11213</v>
      </c>
      <c r="BA3668" t="s">
        <v>11222</v>
      </c>
      <c r="BD3668" t="s">
        <v>11667</v>
      </c>
      <c r="BF3668" t="s">
        <v>14364</v>
      </c>
      <c r="BM3668" t="s">
        <v>15650</v>
      </c>
    </row>
    <row r="3669" spans="1:65">
      <c r="A3669" s="1">
        <f>HYPERLINK("https://lsnyc.legalserver.org/matter/dynamic-profile/view/1898386","19-1898386")</f>
        <v>0</v>
      </c>
      <c r="B3669" t="s">
        <v>197</v>
      </c>
      <c r="C3669" t="s">
        <v>248</v>
      </c>
      <c r="D3669" t="s">
        <v>519</v>
      </c>
      <c r="F3669" t="s">
        <v>1407</v>
      </c>
      <c r="G3669" t="s">
        <v>4350</v>
      </c>
      <c r="H3669" t="s">
        <v>5940</v>
      </c>
      <c r="I3669" t="s">
        <v>7037</v>
      </c>
      <c r="J3669" t="s">
        <v>7174</v>
      </c>
      <c r="K3669">
        <v>11233</v>
      </c>
      <c r="N3669" t="s">
        <v>7237</v>
      </c>
      <c r="O3669" t="s">
        <v>9549</v>
      </c>
      <c r="P3669">
        <v>1</v>
      </c>
      <c r="Q3669">
        <v>0</v>
      </c>
      <c r="R3669">
        <v>160.13</v>
      </c>
      <c r="U3669">
        <v>20000</v>
      </c>
      <c r="V3669" t="s">
        <v>10713</v>
      </c>
      <c r="W3669">
        <v>0</v>
      </c>
      <c r="Y3669" t="s">
        <v>101</v>
      </c>
      <c r="AA3669" t="s">
        <v>10974</v>
      </c>
      <c r="AB3669" t="s">
        <v>395</v>
      </c>
      <c r="AD3669" t="s">
        <v>11100</v>
      </c>
      <c r="AF3669" t="s">
        <v>10384</v>
      </c>
      <c r="AH3669" t="s">
        <v>10974</v>
      </c>
      <c r="AJ3669" t="s">
        <v>11104</v>
      </c>
      <c r="AK3669" t="s">
        <v>7225</v>
      </c>
      <c r="AM3669">
        <v>628.51</v>
      </c>
      <c r="AO3669">
        <v>359</v>
      </c>
      <c r="AQ3669" t="s">
        <v>11157</v>
      </c>
      <c r="AR3669" t="s">
        <v>11172</v>
      </c>
      <c r="AU3669">
        <v>7</v>
      </c>
      <c r="AW3669" t="s">
        <v>11187</v>
      </c>
      <c r="AY3669" t="s">
        <v>11213</v>
      </c>
      <c r="AZ3669" t="s">
        <v>11221</v>
      </c>
      <c r="BD3669" t="s">
        <v>11667</v>
      </c>
      <c r="BF3669" t="s">
        <v>14364</v>
      </c>
      <c r="BM3669" t="s">
        <v>15650</v>
      </c>
    </row>
    <row r="3670" spans="1:65">
      <c r="A3670" s="1">
        <f>HYPERLINK("https://lsnyc.legalserver.org/matter/dynamic-profile/view/1897154","19-1897154")</f>
        <v>0</v>
      </c>
      <c r="B3670" t="s">
        <v>197</v>
      </c>
      <c r="C3670" t="s">
        <v>248</v>
      </c>
      <c r="D3670" t="s">
        <v>444</v>
      </c>
      <c r="F3670" t="s">
        <v>2509</v>
      </c>
      <c r="G3670" t="s">
        <v>3249</v>
      </c>
      <c r="H3670" t="s">
        <v>4798</v>
      </c>
      <c r="I3670" t="s">
        <v>6581</v>
      </c>
      <c r="J3670" t="s">
        <v>7174</v>
      </c>
      <c r="K3670">
        <v>11233</v>
      </c>
      <c r="N3670" t="s">
        <v>7237</v>
      </c>
      <c r="O3670" t="s">
        <v>9546</v>
      </c>
      <c r="P3670">
        <v>1</v>
      </c>
      <c r="Q3670">
        <v>1</v>
      </c>
      <c r="R3670">
        <v>95.8</v>
      </c>
      <c r="U3670">
        <v>16200</v>
      </c>
      <c r="V3670" t="s">
        <v>10570</v>
      </c>
      <c r="W3670">
        <v>0</v>
      </c>
      <c r="Y3670" t="s">
        <v>101</v>
      </c>
      <c r="AA3670" t="s">
        <v>10974</v>
      </c>
      <c r="AB3670" t="s">
        <v>874</v>
      </c>
      <c r="AD3670" t="s">
        <v>11098</v>
      </c>
      <c r="AF3670" t="s">
        <v>11122</v>
      </c>
      <c r="AH3670" t="s">
        <v>10974</v>
      </c>
      <c r="AJ3670" t="s">
        <v>11104</v>
      </c>
      <c r="AK3670" t="s">
        <v>7225</v>
      </c>
      <c r="AM3670">
        <v>1100</v>
      </c>
      <c r="AO3670">
        <v>359</v>
      </c>
      <c r="AQ3670" t="s">
        <v>11157</v>
      </c>
      <c r="AS3670" t="s">
        <v>11173</v>
      </c>
      <c r="AU3670">
        <v>32</v>
      </c>
      <c r="AW3670" t="s">
        <v>11187</v>
      </c>
      <c r="AY3670" t="s">
        <v>11213</v>
      </c>
      <c r="AZ3670" t="s">
        <v>11221</v>
      </c>
      <c r="BD3670" t="s">
        <v>11667</v>
      </c>
      <c r="BF3670" t="s">
        <v>14364</v>
      </c>
      <c r="BG3670" t="s">
        <v>15228</v>
      </c>
      <c r="BM3670" t="s">
        <v>15650</v>
      </c>
    </row>
    <row r="3671" spans="1:65">
      <c r="A3671" s="1">
        <f>HYPERLINK("https://lsnyc.legalserver.org/matter/dynamic-profile/view/1909089","19-1909089")</f>
        <v>0</v>
      </c>
      <c r="B3671" t="s">
        <v>197</v>
      </c>
      <c r="C3671" t="s">
        <v>248</v>
      </c>
      <c r="D3671" t="s">
        <v>598</v>
      </c>
      <c r="F3671" t="s">
        <v>2511</v>
      </c>
      <c r="G3671" t="s">
        <v>4351</v>
      </c>
      <c r="H3671" t="s">
        <v>5124</v>
      </c>
      <c r="I3671" t="s">
        <v>6619</v>
      </c>
      <c r="J3671" t="s">
        <v>7174</v>
      </c>
      <c r="K3671">
        <v>11233</v>
      </c>
      <c r="N3671" t="s">
        <v>7237</v>
      </c>
      <c r="O3671" t="s">
        <v>9550</v>
      </c>
      <c r="P3671">
        <v>1</v>
      </c>
      <c r="Q3671">
        <v>0</v>
      </c>
      <c r="R3671">
        <v>160.13</v>
      </c>
      <c r="U3671">
        <v>20000</v>
      </c>
      <c r="V3671" t="s">
        <v>10714</v>
      </c>
      <c r="W3671">
        <v>0</v>
      </c>
      <c r="Y3671" t="s">
        <v>101</v>
      </c>
      <c r="AA3671" t="s">
        <v>10974</v>
      </c>
      <c r="AB3671" t="s">
        <v>10988</v>
      </c>
      <c r="AD3671" t="s">
        <v>11098</v>
      </c>
      <c r="AF3671" t="s">
        <v>11122</v>
      </c>
      <c r="AH3671" t="s">
        <v>10974</v>
      </c>
      <c r="AJ3671" t="s">
        <v>11104</v>
      </c>
      <c r="AK3671" t="s">
        <v>7225</v>
      </c>
      <c r="AM3671">
        <v>879</v>
      </c>
      <c r="AO3671">
        <v>359</v>
      </c>
      <c r="AQ3671" t="s">
        <v>11157</v>
      </c>
      <c r="AS3671" t="s">
        <v>11173</v>
      </c>
      <c r="AU3671">
        <v>28</v>
      </c>
      <c r="AW3671" t="s">
        <v>11187</v>
      </c>
      <c r="AY3671" t="s">
        <v>11213</v>
      </c>
      <c r="AZ3671" t="s">
        <v>11221</v>
      </c>
      <c r="BA3671" t="s">
        <v>11173</v>
      </c>
      <c r="BD3671" t="s">
        <v>11667</v>
      </c>
      <c r="BG3671" t="s">
        <v>15230</v>
      </c>
      <c r="BM3671" t="s">
        <v>15650</v>
      </c>
    </row>
    <row r="3672" spans="1:65">
      <c r="A3672" s="1">
        <f>HYPERLINK("https://lsnyc.legalserver.org/matter/dynamic-profile/view/1898982","19-1898982")</f>
        <v>0</v>
      </c>
      <c r="B3672" t="s">
        <v>197</v>
      </c>
      <c r="C3672" t="s">
        <v>248</v>
      </c>
      <c r="D3672" t="s">
        <v>608</v>
      </c>
      <c r="F3672" t="s">
        <v>2508</v>
      </c>
      <c r="G3672" t="s">
        <v>2921</v>
      </c>
      <c r="H3672" t="s">
        <v>4798</v>
      </c>
      <c r="I3672" t="s">
        <v>6561</v>
      </c>
      <c r="J3672" t="s">
        <v>7174</v>
      </c>
      <c r="K3672">
        <v>11233</v>
      </c>
      <c r="N3672" t="s">
        <v>7237</v>
      </c>
      <c r="O3672" t="s">
        <v>9545</v>
      </c>
      <c r="P3672">
        <v>1</v>
      </c>
      <c r="Q3672">
        <v>0</v>
      </c>
      <c r="R3672">
        <v>360.29</v>
      </c>
      <c r="U3672">
        <v>45000</v>
      </c>
      <c r="V3672" t="s">
        <v>10617</v>
      </c>
      <c r="W3672">
        <v>0</v>
      </c>
      <c r="Y3672" t="s">
        <v>101</v>
      </c>
      <c r="AA3672" t="s">
        <v>10974</v>
      </c>
      <c r="AB3672" t="s">
        <v>874</v>
      </c>
      <c r="AD3672" t="s">
        <v>11098</v>
      </c>
      <c r="AF3672" t="s">
        <v>11122</v>
      </c>
      <c r="AH3672" t="s">
        <v>10974</v>
      </c>
      <c r="AJ3672" t="s">
        <v>11104</v>
      </c>
      <c r="AK3672" t="s">
        <v>7225</v>
      </c>
      <c r="AM3672">
        <v>1162</v>
      </c>
      <c r="AO3672">
        <v>359</v>
      </c>
      <c r="AQ3672" t="s">
        <v>11157</v>
      </c>
      <c r="AR3672" t="s">
        <v>11172</v>
      </c>
      <c r="AU3672">
        <v>55</v>
      </c>
      <c r="AW3672" t="s">
        <v>11187</v>
      </c>
      <c r="AY3672" t="s">
        <v>11213</v>
      </c>
      <c r="AZ3672" t="s">
        <v>11221</v>
      </c>
      <c r="BA3672" t="s">
        <v>11173</v>
      </c>
      <c r="BD3672" t="s">
        <v>11667</v>
      </c>
      <c r="BF3672" t="s">
        <v>14364</v>
      </c>
      <c r="BG3672" t="s">
        <v>15228</v>
      </c>
      <c r="BM3672" t="s">
        <v>15650</v>
      </c>
    </row>
    <row r="3673" spans="1:65">
      <c r="A3673" s="1">
        <f>HYPERLINK("https://lsnyc.legalserver.org/matter/dynamic-profile/view/1898383","19-1898383")</f>
        <v>0</v>
      </c>
      <c r="B3673" t="s">
        <v>197</v>
      </c>
      <c r="C3673" t="s">
        <v>248</v>
      </c>
      <c r="D3673" t="s">
        <v>519</v>
      </c>
      <c r="F3673" t="s">
        <v>1407</v>
      </c>
      <c r="G3673" t="s">
        <v>4350</v>
      </c>
      <c r="H3673" t="s">
        <v>5940</v>
      </c>
      <c r="I3673" t="s">
        <v>7037</v>
      </c>
      <c r="J3673" t="s">
        <v>7174</v>
      </c>
      <c r="K3673">
        <v>11233</v>
      </c>
      <c r="N3673" t="s">
        <v>7237</v>
      </c>
      <c r="O3673" t="s">
        <v>9549</v>
      </c>
      <c r="P3673">
        <v>1</v>
      </c>
      <c r="Q3673">
        <v>0</v>
      </c>
      <c r="R3673">
        <v>160.13</v>
      </c>
      <c r="U3673">
        <v>20000</v>
      </c>
      <c r="V3673" t="s">
        <v>10570</v>
      </c>
      <c r="W3673">
        <v>0</v>
      </c>
      <c r="Y3673" t="s">
        <v>101</v>
      </c>
      <c r="AA3673" t="s">
        <v>10974</v>
      </c>
      <c r="AB3673" t="s">
        <v>874</v>
      </c>
      <c r="AD3673" t="s">
        <v>11098</v>
      </c>
      <c r="AF3673" t="s">
        <v>11122</v>
      </c>
      <c r="AH3673" t="s">
        <v>10974</v>
      </c>
      <c r="AJ3673" t="s">
        <v>11104</v>
      </c>
      <c r="AK3673" t="s">
        <v>7225</v>
      </c>
      <c r="AM3673">
        <v>628.51</v>
      </c>
      <c r="AO3673">
        <v>359</v>
      </c>
      <c r="AQ3673" t="s">
        <v>11157</v>
      </c>
      <c r="AR3673" t="s">
        <v>11172</v>
      </c>
      <c r="AU3673">
        <v>7</v>
      </c>
      <c r="AW3673" t="s">
        <v>11187</v>
      </c>
      <c r="AY3673" t="s">
        <v>11213</v>
      </c>
      <c r="AZ3673" t="s">
        <v>11221</v>
      </c>
      <c r="BD3673" t="s">
        <v>11667</v>
      </c>
      <c r="BF3673" t="s">
        <v>14364</v>
      </c>
      <c r="BG3673" t="s">
        <v>15229</v>
      </c>
      <c r="BM3673" t="s">
        <v>15650</v>
      </c>
    </row>
    <row r="3674" spans="1:65">
      <c r="A3674" s="1">
        <f>HYPERLINK("https://lsnyc.legalserver.org/matter/dynamic-profile/view/1891605","19-1891605")</f>
        <v>0</v>
      </c>
      <c r="B3674" t="s">
        <v>197</v>
      </c>
      <c r="C3674" t="s">
        <v>248</v>
      </c>
      <c r="D3674" t="s">
        <v>515</v>
      </c>
      <c r="F3674" t="s">
        <v>2512</v>
      </c>
      <c r="G3674" t="s">
        <v>4352</v>
      </c>
      <c r="H3674" t="s">
        <v>5124</v>
      </c>
      <c r="I3674" t="s">
        <v>6751</v>
      </c>
      <c r="J3674" t="s">
        <v>7174</v>
      </c>
      <c r="K3674">
        <v>11233</v>
      </c>
      <c r="N3674" t="s">
        <v>7237</v>
      </c>
      <c r="O3674" t="s">
        <v>9551</v>
      </c>
      <c r="P3674">
        <v>2</v>
      </c>
      <c r="Q3674">
        <v>0</v>
      </c>
      <c r="R3674">
        <v>159.67</v>
      </c>
      <c r="U3674">
        <v>27000</v>
      </c>
      <c r="V3674" t="s">
        <v>10715</v>
      </c>
      <c r="W3674">
        <v>0</v>
      </c>
      <c r="Y3674" t="s">
        <v>101</v>
      </c>
      <c r="AA3674" t="s">
        <v>10974</v>
      </c>
      <c r="AB3674" t="s">
        <v>395</v>
      </c>
      <c r="AD3674" t="s">
        <v>11100</v>
      </c>
      <c r="AF3674" t="s">
        <v>10384</v>
      </c>
      <c r="AH3674" t="s">
        <v>10974</v>
      </c>
      <c r="AJ3674" t="s">
        <v>11104</v>
      </c>
      <c r="AK3674" t="s">
        <v>7225</v>
      </c>
      <c r="AM3674">
        <v>1034</v>
      </c>
      <c r="AO3674">
        <v>359</v>
      </c>
      <c r="AQ3674" t="s">
        <v>11157</v>
      </c>
      <c r="AS3674" t="s">
        <v>11173</v>
      </c>
      <c r="AU3674">
        <v>37</v>
      </c>
      <c r="AW3674" t="s">
        <v>11187</v>
      </c>
      <c r="AY3674" t="s">
        <v>11213</v>
      </c>
      <c r="AZ3674" t="s">
        <v>11221</v>
      </c>
      <c r="BD3674" t="s">
        <v>11667</v>
      </c>
      <c r="BF3674" t="s">
        <v>14364</v>
      </c>
      <c r="BM3674" t="s">
        <v>15650</v>
      </c>
    </row>
    <row r="3675" spans="1:65">
      <c r="A3675" s="1">
        <f>HYPERLINK("https://lsnyc.legalserver.org/matter/dynamic-profile/view/1891940","19-1891940")</f>
        <v>0</v>
      </c>
      <c r="B3675" t="s">
        <v>197</v>
      </c>
      <c r="C3675" t="s">
        <v>248</v>
      </c>
      <c r="D3675" t="s">
        <v>425</v>
      </c>
      <c r="F3675" t="s">
        <v>2486</v>
      </c>
      <c r="G3675" t="s">
        <v>3126</v>
      </c>
      <c r="H3675" t="s">
        <v>5124</v>
      </c>
      <c r="I3675" t="s">
        <v>6420</v>
      </c>
      <c r="J3675" t="s">
        <v>7174</v>
      </c>
      <c r="K3675">
        <v>11233</v>
      </c>
      <c r="N3675" t="s">
        <v>7237</v>
      </c>
      <c r="O3675" t="s">
        <v>9503</v>
      </c>
      <c r="P3675">
        <v>2</v>
      </c>
      <c r="Q3675">
        <v>0</v>
      </c>
      <c r="R3675">
        <v>384.39</v>
      </c>
      <c r="S3675" t="s">
        <v>776</v>
      </c>
      <c r="T3675" t="s">
        <v>10276</v>
      </c>
      <c r="U3675">
        <v>65000</v>
      </c>
      <c r="V3675" t="s">
        <v>10581</v>
      </c>
      <c r="W3675">
        <v>0</v>
      </c>
      <c r="Y3675" t="s">
        <v>101</v>
      </c>
      <c r="AA3675" t="s">
        <v>10974</v>
      </c>
      <c r="AB3675" t="s">
        <v>874</v>
      </c>
      <c r="AD3675" t="s">
        <v>11098</v>
      </c>
      <c r="AF3675" t="s">
        <v>11122</v>
      </c>
      <c r="AH3675" t="s">
        <v>10974</v>
      </c>
      <c r="AJ3675" t="s">
        <v>11104</v>
      </c>
      <c r="AK3675" t="s">
        <v>7225</v>
      </c>
      <c r="AM3675">
        <v>1489</v>
      </c>
      <c r="AO3675">
        <v>359</v>
      </c>
      <c r="AQ3675" t="s">
        <v>11157</v>
      </c>
      <c r="AS3675" t="s">
        <v>11173</v>
      </c>
      <c r="AU3675">
        <v>4</v>
      </c>
      <c r="AW3675" t="s">
        <v>11187</v>
      </c>
      <c r="AY3675" t="s">
        <v>11213</v>
      </c>
      <c r="AZ3675" t="s">
        <v>11221</v>
      </c>
      <c r="BD3675" t="s">
        <v>11667</v>
      </c>
      <c r="BF3675" t="s">
        <v>14364</v>
      </c>
      <c r="BG3675" t="s">
        <v>15229</v>
      </c>
      <c r="BM3675" t="s">
        <v>15650</v>
      </c>
    </row>
    <row r="3676" spans="1:65">
      <c r="A3676" s="1">
        <f>HYPERLINK("https://lsnyc.legalserver.org/matter/dynamic-profile/view/1890585","19-1890585")</f>
        <v>0</v>
      </c>
      <c r="B3676" t="s">
        <v>197</v>
      </c>
      <c r="C3676" t="s">
        <v>248</v>
      </c>
      <c r="D3676" t="s">
        <v>442</v>
      </c>
      <c r="F3676" t="s">
        <v>2512</v>
      </c>
      <c r="G3676" t="s">
        <v>4352</v>
      </c>
      <c r="H3676" t="s">
        <v>5124</v>
      </c>
      <c r="I3676" t="s">
        <v>6751</v>
      </c>
      <c r="J3676" t="s">
        <v>7174</v>
      </c>
      <c r="K3676">
        <v>11233</v>
      </c>
      <c r="N3676" t="s">
        <v>7237</v>
      </c>
      <c r="O3676" t="s">
        <v>9551</v>
      </c>
      <c r="P3676">
        <v>2</v>
      </c>
      <c r="Q3676">
        <v>0</v>
      </c>
      <c r="R3676">
        <v>159.67</v>
      </c>
      <c r="U3676">
        <v>27000</v>
      </c>
      <c r="V3676" t="s">
        <v>10617</v>
      </c>
      <c r="W3676">
        <v>1</v>
      </c>
      <c r="X3676" t="s">
        <v>337</v>
      </c>
      <c r="Y3676" t="s">
        <v>101</v>
      </c>
      <c r="AA3676" t="s">
        <v>10974</v>
      </c>
      <c r="AB3676" t="s">
        <v>395</v>
      </c>
      <c r="AD3676" t="s">
        <v>11098</v>
      </c>
      <c r="AF3676" t="s">
        <v>11122</v>
      </c>
      <c r="AH3676" t="s">
        <v>10974</v>
      </c>
      <c r="AJ3676" t="s">
        <v>11104</v>
      </c>
      <c r="AK3676" t="s">
        <v>7225</v>
      </c>
      <c r="AM3676">
        <v>1034</v>
      </c>
      <c r="AO3676">
        <v>359</v>
      </c>
      <c r="AQ3676" t="s">
        <v>11157</v>
      </c>
      <c r="AS3676" t="s">
        <v>11173</v>
      </c>
      <c r="AU3676">
        <v>37</v>
      </c>
      <c r="AW3676" t="s">
        <v>11187</v>
      </c>
      <c r="AY3676" t="s">
        <v>11213</v>
      </c>
      <c r="AZ3676" t="s">
        <v>11221</v>
      </c>
      <c r="BD3676" t="s">
        <v>11667</v>
      </c>
      <c r="BF3676" t="s">
        <v>14364</v>
      </c>
      <c r="BG3676" t="s">
        <v>15229</v>
      </c>
      <c r="BM3676" t="s">
        <v>15650</v>
      </c>
    </row>
    <row r="3677" spans="1:65">
      <c r="A3677" s="1">
        <f>HYPERLINK("https://lsnyc.legalserver.org/matter/dynamic-profile/view/1891999","19-1891999")</f>
        <v>0</v>
      </c>
      <c r="B3677" t="s">
        <v>197</v>
      </c>
      <c r="C3677" t="s">
        <v>248</v>
      </c>
      <c r="D3677" t="s">
        <v>425</v>
      </c>
      <c r="F3677" t="s">
        <v>1904</v>
      </c>
      <c r="G3677" t="s">
        <v>4338</v>
      </c>
      <c r="H3677" t="s">
        <v>5941</v>
      </c>
      <c r="I3677" t="s">
        <v>7030</v>
      </c>
      <c r="J3677" t="s">
        <v>7174</v>
      </c>
      <c r="K3677">
        <v>11233</v>
      </c>
      <c r="N3677" t="s">
        <v>7237</v>
      </c>
      <c r="O3677" t="s">
        <v>9528</v>
      </c>
      <c r="P3677">
        <v>2</v>
      </c>
      <c r="Q3677">
        <v>0</v>
      </c>
      <c r="R3677">
        <v>77.31999999999999</v>
      </c>
      <c r="U3677">
        <v>13074</v>
      </c>
      <c r="V3677" t="s">
        <v>10716</v>
      </c>
      <c r="W3677">
        <v>0</v>
      </c>
      <c r="Y3677" t="s">
        <v>101</v>
      </c>
      <c r="AA3677" t="s">
        <v>10974</v>
      </c>
      <c r="AB3677" t="s">
        <v>395</v>
      </c>
      <c r="AD3677" t="s">
        <v>11100</v>
      </c>
      <c r="AF3677" t="s">
        <v>10384</v>
      </c>
      <c r="AH3677" t="s">
        <v>10974</v>
      </c>
      <c r="AJ3677" t="s">
        <v>11104</v>
      </c>
      <c r="AK3677" t="s">
        <v>7225</v>
      </c>
      <c r="AM3677">
        <v>1040.6</v>
      </c>
      <c r="AO3677">
        <v>359</v>
      </c>
      <c r="AQ3677" t="s">
        <v>11157</v>
      </c>
      <c r="AS3677" t="s">
        <v>11174</v>
      </c>
      <c r="AU3677">
        <v>29</v>
      </c>
      <c r="AW3677" t="s">
        <v>11187</v>
      </c>
      <c r="AY3677" t="s">
        <v>11213</v>
      </c>
      <c r="AZ3677" t="s">
        <v>11221</v>
      </c>
      <c r="BD3677" t="s">
        <v>11667</v>
      </c>
      <c r="BF3677" t="s">
        <v>14364</v>
      </c>
      <c r="BM3677" t="s">
        <v>15650</v>
      </c>
    </row>
    <row r="3678" spans="1:65">
      <c r="A3678" s="1">
        <f>HYPERLINK("https://lsnyc.legalserver.org/matter/dynamic-profile/view/1852111","17-1852111")</f>
        <v>0</v>
      </c>
      <c r="B3678" t="s">
        <v>197</v>
      </c>
      <c r="C3678" t="s">
        <v>248</v>
      </c>
      <c r="D3678" t="s">
        <v>396</v>
      </c>
      <c r="F3678" t="s">
        <v>1456</v>
      </c>
      <c r="G3678" t="s">
        <v>3032</v>
      </c>
      <c r="H3678" t="s">
        <v>5947</v>
      </c>
      <c r="I3678" t="s">
        <v>6620</v>
      </c>
      <c r="J3678" t="s">
        <v>7174</v>
      </c>
      <c r="K3678">
        <v>11215</v>
      </c>
      <c r="N3678" t="s">
        <v>7237</v>
      </c>
      <c r="O3678" t="s">
        <v>9552</v>
      </c>
      <c r="P3678">
        <v>3</v>
      </c>
      <c r="Q3678">
        <v>2</v>
      </c>
      <c r="R3678">
        <v>35.09</v>
      </c>
      <c r="U3678">
        <v>10100</v>
      </c>
      <c r="W3678">
        <v>207.9</v>
      </c>
      <c r="X3678" t="s">
        <v>264</v>
      </c>
      <c r="Y3678" t="s">
        <v>225</v>
      </c>
      <c r="AA3678" t="s">
        <v>10974</v>
      </c>
      <c r="AB3678" t="s">
        <v>413</v>
      </c>
      <c r="AD3678" t="s">
        <v>11083</v>
      </c>
      <c r="AF3678" t="s">
        <v>11118</v>
      </c>
      <c r="AH3678" t="s">
        <v>10974</v>
      </c>
      <c r="AJ3678" t="s">
        <v>11131</v>
      </c>
      <c r="AK3678" t="s">
        <v>7225</v>
      </c>
      <c r="AM3678">
        <v>165</v>
      </c>
      <c r="AO3678">
        <v>7</v>
      </c>
      <c r="AQ3678" t="s">
        <v>11160</v>
      </c>
      <c r="AS3678" t="s">
        <v>11173</v>
      </c>
      <c r="AU3678">
        <v>22</v>
      </c>
      <c r="AW3678" t="s">
        <v>11187</v>
      </c>
      <c r="AZ3678" t="s">
        <v>11221</v>
      </c>
      <c r="BE3678" t="s">
        <v>13674</v>
      </c>
      <c r="BG3678" t="s">
        <v>15243</v>
      </c>
      <c r="BM3678" t="s">
        <v>15650</v>
      </c>
    </row>
    <row r="3679" spans="1:65">
      <c r="A3679" s="1">
        <f>HYPERLINK("https://lsnyc.legalserver.org/matter/dynamic-profile/view/1891541","19-1891541")</f>
        <v>0</v>
      </c>
      <c r="B3679" t="s">
        <v>197</v>
      </c>
      <c r="C3679" t="s">
        <v>248</v>
      </c>
      <c r="D3679" t="s">
        <v>636</v>
      </c>
      <c r="F3679" t="s">
        <v>2513</v>
      </c>
      <c r="G3679" t="s">
        <v>1618</v>
      </c>
      <c r="H3679" t="s">
        <v>4798</v>
      </c>
      <c r="I3679" t="s">
        <v>6596</v>
      </c>
      <c r="J3679" t="s">
        <v>7174</v>
      </c>
      <c r="K3679">
        <v>11233</v>
      </c>
      <c r="N3679" t="s">
        <v>7237</v>
      </c>
      <c r="O3679" t="s">
        <v>9553</v>
      </c>
      <c r="P3679">
        <v>2</v>
      </c>
      <c r="Q3679">
        <v>0</v>
      </c>
      <c r="R3679">
        <v>408.04</v>
      </c>
      <c r="U3679">
        <v>69000</v>
      </c>
      <c r="V3679" t="s">
        <v>10578</v>
      </c>
      <c r="W3679">
        <v>0</v>
      </c>
      <c r="Y3679" t="s">
        <v>225</v>
      </c>
      <c r="AA3679" t="s">
        <v>10974</v>
      </c>
      <c r="AB3679" t="s">
        <v>874</v>
      </c>
      <c r="AD3679" t="s">
        <v>11098</v>
      </c>
      <c r="AF3679" t="s">
        <v>11122</v>
      </c>
      <c r="AH3679" t="s">
        <v>10974</v>
      </c>
      <c r="AI3679" t="s">
        <v>11126</v>
      </c>
      <c r="AK3679" t="s">
        <v>7225</v>
      </c>
      <c r="AM3679">
        <v>1089.12</v>
      </c>
      <c r="AO3679">
        <v>359</v>
      </c>
      <c r="AQ3679" t="s">
        <v>11157</v>
      </c>
      <c r="AR3679" t="s">
        <v>11172</v>
      </c>
      <c r="AU3679">
        <v>20</v>
      </c>
      <c r="AW3679" t="s">
        <v>11187</v>
      </c>
      <c r="AY3679" t="s">
        <v>11213</v>
      </c>
      <c r="AZ3679" t="s">
        <v>11221</v>
      </c>
      <c r="BD3679" t="s">
        <v>11667</v>
      </c>
      <c r="BF3679" t="s">
        <v>14364</v>
      </c>
      <c r="BG3679" t="s">
        <v>15228</v>
      </c>
      <c r="BM3679" t="s">
        <v>15650</v>
      </c>
    </row>
    <row r="3680" spans="1:65">
      <c r="A3680" s="1">
        <f>HYPERLINK("https://lsnyc.legalserver.org/matter/dynamic-profile/view/1880023","18-1880023")</f>
        <v>0</v>
      </c>
      <c r="B3680" t="s">
        <v>197</v>
      </c>
      <c r="C3680" t="s">
        <v>248</v>
      </c>
      <c r="D3680" t="s">
        <v>619</v>
      </c>
      <c r="F3680" t="s">
        <v>1122</v>
      </c>
      <c r="G3680" t="s">
        <v>2885</v>
      </c>
      <c r="H3680" t="s">
        <v>5944</v>
      </c>
      <c r="I3680" t="s">
        <v>6482</v>
      </c>
      <c r="J3680" t="s">
        <v>7174</v>
      </c>
      <c r="K3680">
        <v>11207</v>
      </c>
      <c r="N3680" t="s">
        <v>7237</v>
      </c>
      <c r="O3680" t="s">
        <v>9522</v>
      </c>
      <c r="P3680">
        <v>2</v>
      </c>
      <c r="Q3680">
        <v>0</v>
      </c>
      <c r="R3680">
        <v>55.12</v>
      </c>
      <c r="U3680">
        <v>9072</v>
      </c>
      <c r="V3680" t="s">
        <v>10717</v>
      </c>
      <c r="W3680">
        <v>0.5</v>
      </c>
      <c r="X3680" t="s">
        <v>329</v>
      </c>
      <c r="Y3680" t="s">
        <v>225</v>
      </c>
      <c r="AA3680" t="s">
        <v>10974</v>
      </c>
      <c r="AB3680" t="s">
        <v>569</v>
      </c>
      <c r="AD3680" t="s">
        <v>11098</v>
      </c>
      <c r="AF3680" t="s">
        <v>11122</v>
      </c>
      <c r="AH3680" t="s">
        <v>10974</v>
      </c>
      <c r="AJ3680" t="s">
        <v>11129</v>
      </c>
      <c r="AK3680" t="s">
        <v>7225</v>
      </c>
      <c r="AM3680">
        <v>1365</v>
      </c>
      <c r="AO3680">
        <v>6</v>
      </c>
      <c r="AQ3680" t="s">
        <v>11157</v>
      </c>
      <c r="AS3680" t="s">
        <v>11177</v>
      </c>
      <c r="AU3680">
        <v>5</v>
      </c>
      <c r="AW3680" t="s">
        <v>11187</v>
      </c>
      <c r="AY3680" t="s">
        <v>11213</v>
      </c>
      <c r="AZ3680" t="s">
        <v>11221</v>
      </c>
      <c r="BC3680" t="s">
        <v>11230</v>
      </c>
      <c r="BE3680" t="s">
        <v>13668</v>
      </c>
      <c r="BG3680" t="s">
        <v>15244</v>
      </c>
      <c r="BM3680" t="s">
        <v>15650</v>
      </c>
    </row>
    <row r="3681" spans="1:65">
      <c r="A3681" s="1">
        <f>HYPERLINK("https://lsnyc.legalserver.org/matter/dynamic-profile/view/1890637","19-1890637")</f>
        <v>0</v>
      </c>
      <c r="B3681" t="s">
        <v>197</v>
      </c>
      <c r="C3681" t="s">
        <v>248</v>
      </c>
      <c r="D3681" t="s">
        <v>442</v>
      </c>
      <c r="F3681" t="s">
        <v>1108</v>
      </c>
      <c r="G3681" t="s">
        <v>4353</v>
      </c>
      <c r="H3681" t="s">
        <v>5124</v>
      </c>
      <c r="I3681" t="s">
        <v>7038</v>
      </c>
      <c r="J3681" t="s">
        <v>7174</v>
      </c>
      <c r="K3681">
        <v>11233</v>
      </c>
      <c r="N3681" t="s">
        <v>7237</v>
      </c>
      <c r="O3681" t="s">
        <v>9554</v>
      </c>
      <c r="P3681">
        <v>1</v>
      </c>
      <c r="Q3681">
        <v>0</v>
      </c>
      <c r="R3681">
        <v>166.73</v>
      </c>
      <c r="U3681">
        <v>20824.62</v>
      </c>
      <c r="V3681" t="s">
        <v>10570</v>
      </c>
      <c r="W3681">
        <v>0</v>
      </c>
      <c r="Y3681" t="s">
        <v>101</v>
      </c>
      <c r="AA3681" t="s">
        <v>10974</v>
      </c>
      <c r="AB3681" t="s">
        <v>874</v>
      </c>
      <c r="AD3681" t="s">
        <v>11098</v>
      </c>
      <c r="AF3681" t="s">
        <v>11122</v>
      </c>
      <c r="AH3681" t="s">
        <v>10974</v>
      </c>
      <c r="AJ3681" t="s">
        <v>11104</v>
      </c>
      <c r="AK3681" t="s">
        <v>7225</v>
      </c>
      <c r="AM3681">
        <v>1148.69</v>
      </c>
      <c r="AO3681">
        <v>359</v>
      </c>
      <c r="AQ3681" t="s">
        <v>11157</v>
      </c>
      <c r="AS3681" t="s">
        <v>11173</v>
      </c>
      <c r="AU3681">
        <v>34</v>
      </c>
      <c r="AW3681" t="s">
        <v>11187</v>
      </c>
      <c r="AY3681" t="s">
        <v>11213</v>
      </c>
      <c r="AZ3681" t="s">
        <v>11221</v>
      </c>
      <c r="BA3681" t="s">
        <v>11173</v>
      </c>
      <c r="BC3681" t="s">
        <v>11228</v>
      </c>
      <c r="BD3681" t="s">
        <v>11667</v>
      </c>
      <c r="BF3681" t="s">
        <v>14364</v>
      </c>
      <c r="BG3681" t="s">
        <v>15229</v>
      </c>
      <c r="BM3681" t="s">
        <v>15650</v>
      </c>
    </row>
    <row r="3682" spans="1:65">
      <c r="A3682" s="1">
        <f>HYPERLINK("https://lsnyc.legalserver.org/matter/dynamic-profile/view/1891599","19-1891599")</f>
        <v>0</v>
      </c>
      <c r="B3682" t="s">
        <v>197</v>
      </c>
      <c r="C3682" t="s">
        <v>248</v>
      </c>
      <c r="D3682" t="s">
        <v>515</v>
      </c>
      <c r="F3682" t="s">
        <v>2514</v>
      </c>
      <c r="G3682" t="s">
        <v>4354</v>
      </c>
      <c r="H3682" t="s">
        <v>4798</v>
      </c>
      <c r="I3682" t="s">
        <v>6497</v>
      </c>
      <c r="J3682" t="s">
        <v>7174</v>
      </c>
      <c r="K3682">
        <v>11233</v>
      </c>
      <c r="N3682" t="s">
        <v>7237</v>
      </c>
      <c r="O3682" t="s">
        <v>9555</v>
      </c>
      <c r="P3682">
        <v>2</v>
      </c>
      <c r="Q3682">
        <v>0</v>
      </c>
      <c r="R3682">
        <v>366.65</v>
      </c>
      <c r="U3682">
        <v>62000</v>
      </c>
      <c r="V3682" t="s">
        <v>10718</v>
      </c>
      <c r="W3682">
        <v>0</v>
      </c>
      <c r="Y3682" t="s">
        <v>225</v>
      </c>
      <c r="AA3682" t="s">
        <v>10974</v>
      </c>
      <c r="AB3682" t="s">
        <v>395</v>
      </c>
      <c r="AD3682" t="s">
        <v>11100</v>
      </c>
      <c r="AF3682" t="s">
        <v>10384</v>
      </c>
      <c r="AH3682" t="s">
        <v>10974</v>
      </c>
      <c r="AI3682" t="s">
        <v>11126</v>
      </c>
      <c r="AK3682" t="s">
        <v>7225</v>
      </c>
      <c r="AM3682">
        <v>1038.66</v>
      </c>
      <c r="AO3682">
        <v>359</v>
      </c>
      <c r="AQ3682" t="s">
        <v>11157</v>
      </c>
      <c r="AR3682" t="s">
        <v>11172</v>
      </c>
      <c r="AU3682">
        <v>50</v>
      </c>
      <c r="AW3682" t="s">
        <v>11187</v>
      </c>
      <c r="AY3682" t="s">
        <v>11213</v>
      </c>
      <c r="AZ3682" t="s">
        <v>11221</v>
      </c>
      <c r="BD3682" t="s">
        <v>11667</v>
      </c>
      <c r="BF3682" t="s">
        <v>14364</v>
      </c>
      <c r="BG3682" t="s">
        <v>11173</v>
      </c>
      <c r="BM3682" t="s">
        <v>15650</v>
      </c>
    </row>
    <row r="3683" spans="1:65">
      <c r="A3683" s="1">
        <f>HYPERLINK("https://lsnyc.legalserver.org/matter/dynamic-profile/view/1891624","19-1891624")</f>
        <v>0</v>
      </c>
      <c r="B3683" t="s">
        <v>197</v>
      </c>
      <c r="C3683" t="s">
        <v>248</v>
      </c>
      <c r="D3683" t="s">
        <v>515</v>
      </c>
      <c r="F3683" t="s">
        <v>1108</v>
      </c>
      <c r="G3683" t="s">
        <v>4353</v>
      </c>
      <c r="H3683" t="s">
        <v>5124</v>
      </c>
      <c r="I3683" t="s">
        <v>7038</v>
      </c>
      <c r="J3683" t="s">
        <v>7174</v>
      </c>
      <c r="K3683">
        <v>11233</v>
      </c>
      <c r="N3683" t="s">
        <v>7237</v>
      </c>
      <c r="O3683" t="s">
        <v>9554</v>
      </c>
      <c r="P3683">
        <v>1</v>
      </c>
      <c r="Q3683">
        <v>0</v>
      </c>
      <c r="R3683">
        <v>166.73</v>
      </c>
      <c r="U3683">
        <v>20824.62</v>
      </c>
      <c r="V3683" t="s">
        <v>10719</v>
      </c>
      <c r="W3683">
        <v>0</v>
      </c>
      <c r="Y3683" t="s">
        <v>101</v>
      </c>
      <c r="AA3683" t="s">
        <v>10974</v>
      </c>
      <c r="AB3683" t="s">
        <v>395</v>
      </c>
      <c r="AD3683" t="s">
        <v>11100</v>
      </c>
      <c r="AF3683" t="s">
        <v>10384</v>
      </c>
      <c r="AH3683" t="s">
        <v>10974</v>
      </c>
      <c r="AJ3683" t="s">
        <v>11104</v>
      </c>
      <c r="AK3683" t="s">
        <v>7225</v>
      </c>
      <c r="AM3683">
        <v>1148.69</v>
      </c>
      <c r="AO3683">
        <v>359</v>
      </c>
      <c r="AQ3683" t="s">
        <v>11157</v>
      </c>
      <c r="AS3683" t="s">
        <v>11173</v>
      </c>
      <c r="AU3683">
        <v>34</v>
      </c>
      <c r="AW3683" t="s">
        <v>11187</v>
      </c>
      <c r="AY3683" t="s">
        <v>11213</v>
      </c>
      <c r="AZ3683" t="s">
        <v>11221</v>
      </c>
      <c r="BA3683" t="s">
        <v>11173</v>
      </c>
      <c r="BD3683" t="s">
        <v>11667</v>
      </c>
      <c r="BF3683" t="s">
        <v>14364</v>
      </c>
      <c r="BM3683" t="s">
        <v>15650</v>
      </c>
    </row>
    <row r="3684" spans="1:65">
      <c r="A3684" s="1">
        <f>HYPERLINK("https://lsnyc.legalserver.org/matter/dynamic-profile/view/1902052","19-1902052")</f>
        <v>0</v>
      </c>
      <c r="B3684" t="s">
        <v>197</v>
      </c>
      <c r="C3684" t="s">
        <v>248</v>
      </c>
      <c r="D3684" t="s">
        <v>590</v>
      </c>
      <c r="F3684" t="s">
        <v>2515</v>
      </c>
      <c r="G3684" t="s">
        <v>4355</v>
      </c>
      <c r="H3684" t="s">
        <v>4798</v>
      </c>
      <c r="I3684" t="s">
        <v>7039</v>
      </c>
      <c r="J3684" t="s">
        <v>7174</v>
      </c>
      <c r="K3684">
        <v>11233</v>
      </c>
      <c r="N3684" t="s">
        <v>7237</v>
      </c>
      <c r="O3684" t="s">
        <v>9556</v>
      </c>
      <c r="P3684">
        <v>1</v>
      </c>
      <c r="Q3684">
        <v>2</v>
      </c>
      <c r="R3684">
        <v>164.09</v>
      </c>
      <c r="U3684">
        <v>35000</v>
      </c>
      <c r="V3684" t="s">
        <v>10720</v>
      </c>
      <c r="W3684">
        <v>0</v>
      </c>
      <c r="Y3684" t="s">
        <v>101</v>
      </c>
      <c r="AA3684" t="s">
        <v>10974</v>
      </c>
      <c r="AB3684" t="s">
        <v>395</v>
      </c>
      <c r="AD3684" t="s">
        <v>11100</v>
      </c>
      <c r="AF3684" t="s">
        <v>10384</v>
      </c>
      <c r="AH3684" t="s">
        <v>10974</v>
      </c>
      <c r="AJ3684" t="s">
        <v>11104</v>
      </c>
      <c r="AK3684" t="s">
        <v>7225</v>
      </c>
      <c r="AM3684">
        <v>787</v>
      </c>
      <c r="AO3684">
        <v>359</v>
      </c>
      <c r="AQ3684" t="s">
        <v>11157</v>
      </c>
      <c r="AR3684" t="s">
        <v>11172</v>
      </c>
      <c r="AU3684">
        <v>10</v>
      </c>
      <c r="AW3684" t="s">
        <v>11187</v>
      </c>
      <c r="AY3684" t="s">
        <v>11213</v>
      </c>
      <c r="BA3684" t="s">
        <v>11222</v>
      </c>
      <c r="BD3684" t="s">
        <v>11667</v>
      </c>
      <c r="BF3684" t="s">
        <v>14364</v>
      </c>
      <c r="BG3684" t="s">
        <v>11086</v>
      </c>
      <c r="BM3684" t="s">
        <v>15650</v>
      </c>
    </row>
    <row r="3685" spans="1:65">
      <c r="A3685" s="1">
        <f>HYPERLINK("https://lsnyc.legalserver.org/matter/dynamic-profile/view/1891544","19-1891544")</f>
        <v>0</v>
      </c>
      <c r="B3685" t="s">
        <v>197</v>
      </c>
      <c r="C3685" t="s">
        <v>248</v>
      </c>
      <c r="D3685" t="s">
        <v>636</v>
      </c>
      <c r="F3685" t="s">
        <v>2513</v>
      </c>
      <c r="G3685" t="s">
        <v>1618</v>
      </c>
      <c r="H3685" t="s">
        <v>4798</v>
      </c>
      <c r="I3685" t="s">
        <v>6596</v>
      </c>
      <c r="J3685" t="s">
        <v>7174</v>
      </c>
      <c r="K3685">
        <v>11233</v>
      </c>
      <c r="N3685" t="s">
        <v>7237</v>
      </c>
      <c r="O3685" t="s">
        <v>9553</v>
      </c>
      <c r="P3685">
        <v>2</v>
      </c>
      <c r="Q3685">
        <v>0</v>
      </c>
      <c r="R3685">
        <v>408.04</v>
      </c>
      <c r="U3685">
        <v>69000</v>
      </c>
      <c r="V3685" t="s">
        <v>10721</v>
      </c>
      <c r="W3685">
        <v>0</v>
      </c>
      <c r="Y3685" t="s">
        <v>225</v>
      </c>
      <c r="AA3685" t="s">
        <v>10974</v>
      </c>
      <c r="AB3685" t="s">
        <v>395</v>
      </c>
      <c r="AD3685" t="s">
        <v>11100</v>
      </c>
      <c r="AF3685" t="s">
        <v>10384</v>
      </c>
      <c r="AH3685" t="s">
        <v>10974</v>
      </c>
      <c r="AI3685" t="s">
        <v>11126</v>
      </c>
      <c r="AK3685" t="s">
        <v>7225</v>
      </c>
      <c r="AM3685">
        <v>1089.12</v>
      </c>
      <c r="AO3685">
        <v>359</v>
      </c>
      <c r="AQ3685" t="s">
        <v>11157</v>
      </c>
      <c r="AR3685" t="s">
        <v>11172</v>
      </c>
      <c r="AU3685">
        <v>20</v>
      </c>
      <c r="AW3685" t="s">
        <v>11187</v>
      </c>
      <c r="AY3685" t="s">
        <v>11213</v>
      </c>
      <c r="AZ3685" t="s">
        <v>11221</v>
      </c>
      <c r="BD3685" t="s">
        <v>11667</v>
      </c>
      <c r="BF3685" t="s">
        <v>14364</v>
      </c>
      <c r="BM3685" t="s">
        <v>15650</v>
      </c>
    </row>
    <row r="3686" spans="1:65">
      <c r="A3686" s="1">
        <f>HYPERLINK("https://lsnyc.legalserver.org/matter/dynamic-profile/view/1892863","19-1892863")</f>
        <v>0</v>
      </c>
      <c r="B3686" t="s">
        <v>197</v>
      </c>
      <c r="C3686" t="s">
        <v>248</v>
      </c>
      <c r="D3686" t="s">
        <v>319</v>
      </c>
      <c r="F3686" t="s">
        <v>1584</v>
      </c>
      <c r="G3686" t="s">
        <v>4346</v>
      </c>
      <c r="H3686" t="s">
        <v>5940</v>
      </c>
      <c r="I3686" t="s">
        <v>6414</v>
      </c>
      <c r="J3686" t="s">
        <v>7174</v>
      </c>
      <c r="K3686">
        <v>11233</v>
      </c>
      <c r="N3686" t="s">
        <v>7237</v>
      </c>
      <c r="O3686" t="s">
        <v>9542</v>
      </c>
      <c r="P3686">
        <v>1</v>
      </c>
      <c r="Q3686">
        <v>0</v>
      </c>
      <c r="R3686">
        <v>408.33</v>
      </c>
      <c r="U3686">
        <v>51000</v>
      </c>
      <c r="V3686" t="s">
        <v>10625</v>
      </c>
      <c r="W3686">
        <v>0</v>
      </c>
      <c r="Y3686" t="s">
        <v>101</v>
      </c>
      <c r="AA3686" t="s">
        <v>10974</v>
      </c>
      <c r="AB3686" t="s">
        <v>874</v>
      </c>
      <c r="AD3686" t="s">
        <v>11098</v>
      </c>
      <c r="AF3686" t="s">
        <v>11122</v>
      </c>
      <c r="AH3686" t="s">
        <v>10974</v>
      </c>
      <c r="AJ3686" t="s">
        <v>11104</v>
      </c>
      <c r="AK3686" t="s">
        <v>7225</v>
      </c>
      <c r="AM3686">
        <v>621.34</v>
      </c>
      <c r="AO3686">
        <v>359</v>
      </c>
      <c r="AQ3686" t="s">
        <v>11157</v>
      </c>
      <c r="AR3686" t="s">
        <v>11172</v>
      </c>
      <c r="AU3686">
        <v>18</v>
      </c>
      <c r="AW3686" t="s">
        <v>11187</v>
      </c>
      <c r="AY3686" t="s">
        <v>11213</v>
      </c>
      <c r="AZ3686" t="s">
        <v>11221</v>
      </c>
      <c r="BD3686" t="s">
        <v>11667</v>
      </c>
      <c r="BF3686" t="s">
        <v>14364</v>
      </c>
      <c r="BG3686" t="s">
        <v>15229</v>
      </c>
      <c r="BM3686" t="s">
        <v>15650</v>
      </c>
    </row>
    <row r="3687" spans="1:65">
      <c r="A3687" s="1">
        <f>HYPERLINK("https://lsnyc.legalserver.org/matter/dynamic-profile/view/1890628","19-1890628")</f>
        <v>0</v>
      </c>
      <c r="B3687" t="s">
        <v>197</v>
      </c>
      <c r="C3687" t="s">
        <v>248</v>
      </c>
      <c r="D3687" t="s">
        <v>442</v>
      </c>
      <c r="F3687" t="s">
        <v>2487</v>
      </c>
      <c r="G3687" t="s">
        <v>4316</v>
      </c>
      <c r="H3687" t="s">
        <v>5124</v>
      </c>
      <c r="I3687" t="s">
        <v>7013</v>
      </c>
      <c r="J3687" t="s">
        <v>7174</v>
      </c>
      <c r="K3687">
        <v>11233</v>
      </c>
      <c r="N3687" t="s">
        <v>7237</v>
      </c>
      <c r="O3687" t="s">
        <v>9504</v>
      </c>
      <c r="P3687">
        <v>2</v>
      </c>
      <c r="Q3687">
        <v>0</v>
      </c>
      <c r="R3687">
        <v>384.39</v>
      </c>
      <c r="S3687" t="s">
        <v>776</v>
      </c>
      <c r="T3687" t="s">
        <v>10276</v>
      </c>
      <c r="U3687">
        <v>65000</v>
      </c>
      <c r="V3687" t="s">
        <v>10581</v>
      </c>
      <c r="W3687">
        <v>0</v>
      </c>
      <c r="Y3687" t="s">
        <v>101</v>
      </c>
      <c r="AA3687" t="s">
        <v>10974</v>
      </c>
      <c r="AB3687" t="s">
        <v>874</v>
      </c>
      <c r="AD3687" t="s">
        <v>11098</v>
      </c>
      <c r="AF3687" t="s">
        <v>11122</v>
      </c>
      <c r="AH3687" t="s">
        <v>10974</v>
      </c>
      <c r="AJ3687" t="s">
        <v>11104</v>
      </c>
      <c r="AK3687" t="s">
        <v>7225</v>
      </c>
      <c r="AM3687">
        <v>1534.37</v>
      </c>
      <c r="AO3687">
        <v>359</v>
      </c>
      <c r="AQ3687" t="s">
        <v>11157</v>
      </c>
      <c r="AS3687" t="s">
        <v>11173</v>
      </c>
      <c r="AU3687">
        <v>3</v>
      </c>
      <c r="AW3687" t="s">
        <v>11187</v>
      </c>
      <c r="AY3687" t="s">
        <v>11213</v>
      </c>
      <c r="AZ3687" t="s">
        <v>11221</v>
      </c>
      <c r="BD3687" t="s">
        <v>11667</v>
      </c>
      <c r="BF3687" t="s">
        <v>14364</v>
      </c>
      <c r="BG3687" t="s">
        <v>15229</v>
      </c>
      <c r="BM3687" t="s">
        <v>15650</v>
      </c>
    </row>
    <row r="3688" spans="1:65">
      <c r="A3688" s="1">
        <f>HYPERLINK("https://lsnyc.legalserver.org/matter/dynamic-profile/view/1907897","19-1907897")</f>
        <v>0</v>
      </c>
      <c r="B3688" t="s">
        <v>197</v>
      </c>
      <c r="C3688" t="s">
        <v>248</v>
      </c>
      <c r="D3688" t="s">
        <v>637</v>
      </c>
      <c r="F3688" t="s">
        <v>2516</v>
      </c>
      <c r="G3688" t="s">
        <v>4214</v>
      </c>
      <c r="H3688" t="s">
        <v>5950</v>
      </c>
      <c r="I3688" t="s">
        <v>6426</v>
      </c>
      <c r="J3688" t="s">
        <v>7174</v>
      </c>
      <c r="K3688">
        <v>11233</v>
      </c>
      <c r="N3688" t="s">
        <v>7237</v>
      </c>
      <c r="O3688" t="s">
        <v>9557</v>
      </c>
      <c r="P3688">
        <v>2</v>
      </c>
      <c r="Q3688">
        <v>2</v>
      </c>
      <c r="R3688">
        <v>166.99</v>
      </c>
      <c r="U3688">
        <v>43000</v>
      </c>
      <c r="W3688">
        <v>1.6</v>
      </c>
      <c r="X3688" t="s">
        <v>1010</v>
      </c>
      <c r="Y3688" t="s">
        <v>197</v>
      </c>
      <c r="AA3688" t="s">
        <v>10974</v>
      </c>
      <c r="AB3688" t="s">
        <v>637</v>
      </c>
      <c r="AD3688" t="s">
        <v>11100</v>
      </c>
      <c r="AF3688" t="s">
        <v>10384</v>
      </c>
      <c r="AH3688" t="s">
        <v>10975</v>
      </c>
      <c r="AJ3688" t="s">
        <v>11129</v>
      </c>
      <c r="AK3688" t="s">
        <v>7225</v>
      </c>
      <c r="AM3688">
        <v>482.02</v>
      </c>
      <c r="AO3688">
        <v>8</v>
      </c>
      <c r="AQ3688" t="s">
        <v>11163</v>
      </c>
      <c r="AR3688" t="s">
        <v>11172</v>
      </c>
      <c r="AU3688">
        <v>13</v>
      </c>
      <c r="AW3688" t="s">
        <v>11187</v>
      </c>
      <c r="AY3688" t="s">
        <v>11213</v>
      </c>
      <c r="BA3688" t="s">
        <v>11222</v>
      </c>
      <c r="BE3688" t="s">
        <v>13675</v>
      </c>
      <c r="BF3688" t="s">
        <v>14364</v>
      </c>
      <c r="BG3688" t="s">
        <v>11173</v>
      </c>
      <c r="BM3688" t="s">
        <v>15650</v>
      </c>
    </row>
    <row r="3689" spans="1:65">
      <c r="A3689" s="1">
        <f>HYPERLINK("https://lsnyc.legalserver.org/matter/dynamic-profile/view/1892094","19-1892094")</f>
        <v>0</v>
      </c>
      <c r="B3689" t="s">
        <v>197</v>
      </c>
      <c r="C3689" t="s">
        <v>248</v>
      </c>
      <c r="D3689" t="s">
        <v>342</v>
      </c>
      <c r="F3689" t="s">
        <v>1718</v>
      </c>
      <c r="G3689" t="s">
        <v>2921</v>
      </c>
      <c r="H3689" t="s">
        <v>4798</v>
      </c>
      <c r="I3689" t="s">
        <v>6995</v>
      </c>
      <c r="J3689" t="s">
        <v>7174</v>
      </c>
      <c r="K3689">
        <v>11233</v>
      </c>
      <c r="N3689" t="s">
        <v>7237</v>
      </c>
      <c r="O3689" t="s">
        <v>9471</v>
      </c>
      <c r="P3689">
        <v>3</v>
      </c>
      <c r="Q3689">
        <v>0</v>
      </c>
      <c r="R3689">
        <v>365.68</v>
      </c>
      <c r="U3689">
        <v>78000</v>
      </c>
      <c r="V3689" t="s">
        <v>10581</v>
      </c>
      <c r="W3689">
        <v>0</v>
      </c>
      <c r="Y3689" t="s">
        <v>101</v>
      </c>
      <c r="AA3689" t="s">
        <v>10974</v>
      </c>
      <c r="AB3689" t="s">
        <v>874</v>
      </c>
      <c r="AD3689" t="s">
        <v>11098</v>
      </c>
      <c r="AF3689" t="s">
        <v>11122</v>
      </c>
      <c r="AH3689" t="s">
        <v>10974</v>
      </c>
      <c r="AJ3689" t="s">
        <v>11104</v>
      </c>
      <c r="AK3689" t="s">
        <v>7225</v>
      </c>
      <c r="AM3689">
        <v>1037</v>
      </c>
      <c r="AO3689">
        <v>359</v>
      </c>
      <c r="AQ3689" t="s">
        <v>11157</v>
      </c>
      <c r="AR3689" t="s">
        <v>11172</v>
      </c>
      <c r="AU3689">
        <v>49</v>
      </c>
      <c r="AW3689" t="s">
        <v>11187</v>
      </c>
      <c r="AY3689" t="s">
        <v>11213</v>
      </c>
      <c r="AZ3689" t="s">
        <v>11221</v>
      </c>
      <c r="BD3689" t="s">
        <v>11667</v>
      </c>
      <c r="BF3689" t="s">
        <v>14364</v>
      </c>
      <c r="BG3689" t="s">
        <v>15228</v>
      </c>
      <c r="BM3689" t="s">
        <v>15650</v>
      </c>
    </row>
    <row r="3690" spans="1:65">
      <c r="A3690" s="1">
        <f>HYPERLINK("https://lsnyc.legalserver.org/matter/dynamic-profile/view/1891559","19-1891559")</f>
        <v>0</v>
      </c>
      <c r="B3690" t="s">
        <v>197</v>
      </c>
      <c r="C3690" t="s">
        <v>248</v>
      </c>
      <c r="D3690" t="s">
        <v>636</v>
      </c>
      <c r="F3690" t="s">
        <v>1394</v>
      </c>
      <c r="G3690" t="s">
        <v>4356</v>
      </c>
      <c r="H3690" t="s">
        <v>5124</v>
      </c>
      <c r="I3690" t="s">
        <v>6808</v>
      </c>
      <c r="J3690" t="s">
        <v>7174</v>
      </c>
      <c r="K3690">
        <v>11233</v>
      </c>
      <c r="N3690" t="s">
        <v>7237</v>
      </c>
      <c r="O3690" t="s">
        <v>9558</v>
      </c>
      <c r="P3690">
        <v>3</v>
      </c>
      <c r="Q3690">
        <v>0</v>
      </c>
      <c r="R3690">
        <v>300.05</v>
      </c>
      <c r="S3690" t="s">
        <v>776</v>
      </c>
      <c r="T3690" t="s">
        <v>10276</v>
      </c>
      <c r="U3690">
        <v>64000</v>
      </c>
      <c r="V3690" t="s">
        <v>10578</v>
      </c>
      <c r="W3690">
        <v>0</v>
      </c>
      <c r="Y3690" t="s">
        <v>225</v>
      </c>
      <c r="AA3690" t="s">
        <v>10974</v>
      </c>
      <c r="AB3690" t="s">
        <v>874</v>
      </c>
      <c r="AD3690" t="s">
        <v>11098</v>
      </c>
      <c r="AF3690" t="s">
        <v>11122</v>
      </c>
      <c r="AH3690" t="s">
        <v>10974</v>
      </c>
      <c r="AI3690" t="s">
        <v>11126</v>
      </c>
      <c r="AK3690" t="s">
        <v>7225</v>
      </c>
      <c r="AM3690">
        <v>1040</v>
      </c>
      <c r="AO3690">
        <v>359</v>
      </c>
      <c r="AQ3690" t="s">
        <v>11157</v>
      </c>
      <c r="AR3690" t="s">
        <v>11172</v>
      </c>
      <c r="AU3690">
        <v>32</v>
      </c>
      <c r="AW3690" t="s">
        <v>11187</v>
      </c>
      <c r="AY3690" t="s">
        <v>11213</v>
      </c>
      <c r="AZ3690" t="s">
        <v>11221</v>
      </c>
      <c r="BD3690" t="s">
        <v>11667</v>
      </c>
      <c r="BF3690" t="s">
        <v>14364</v>
      </c>
      <c r="BG3690" t="s">
        <v>15229</v>
      </c>
      <c r="BM3690" t="s">
        <v>15650</v>
      </c>
    </row>
    <row r="3691" spans="1:65">
      <c r="A3691" s="1">
        <f>HYPERLINK("https://lsnyc.legalserver.org/matter/dynamic-profile/view/1891715","19-1891715")</f>
        <v>0</v>
      </c>
      <c r="B3691" t="s">
        <v>197</v>
      </c>
      <c r="C3691" t="s">
        <v>248</v>
      </c>
      <c r="D3691" t="s">
        <v>515</v>
      </c>
      <c r="F3691" t="s">
        <v>2473</v>
      </c>
      <c r="G3691" t="s">
        <v>1192</v>
      </c>
      <c r="H3691" t="s">
        <v>5941</v>
      </c>
      <c r="I3691" t="s">
        <v>6487</v>
      </c>
      <c r="J3691" t="s">
        <v>7174</v>
      </c>
      <c r="K3691">
        <v>11233</v>
      </c>
      <c r="N3691" t="s">
        <v>7237</v>
      </c>
      <c r="O3691" t="s">
        <v>7772</v>
      </c>
      <c r="P3691">
        <v>1</v>
      </c>
      <c r="Q3691">
        <v>0</v>
      </c>
      <c r="R3691">
        <v>168.13</v>
      </c>
      <c r="U3691">
        <v>21000</v>
      </c>
      <c r="V3691" t="s">
        <v>10722</v>
      </c>
      <c r="W3691">
        <v>0</v>
      </c>
      <c r="Y3691" t="s">
        <v>225</v>
      </c>
      <c r="AA3691" t="s">
        <v>10974</v>
      </c>
      <c r="AB3691" t="s">
        <v>395</v>
      </c>
      <c r="AD3691" t="s">
        <v>11100</v>
      </c>
      <c r="AF3691" t="s">
        <v>10384</v>
      </c>
      <c r="AH3691" t="s">
        <v>10974</v>
      </c>
      <c r="AI3691" t="s">
        <v>11126</v>
      </c>
      <c r="AK3691" t="s">
        <v>7225</v>
      </c>
      <c r="AM3691">
        <v>446</v>
      </c>
      <c r="AO3691">
        <v>359</v>
      </c>
      <c r="AQ3691" t="s">
        <v>11157</v>
      </c>
      <c r="AS3691" t="s">
        <v>11174</v>
      </c>
      <c r="AT3691" t="s">
        <v>11184</v>
      </c>
      <c r="AU3691">
        <v>0</v>
      </c>
      <c r="AW3691" t="s">
        <v>11187</v>
      </c>
      <c r="AY3691" t="s">
        <v>11213</v>
      </c>
      <c r="AZ3691" t="s">
        <v>11221</v>
      </c>
      <c r="BE3691" t="s">
        <v>13671</v>
      </c>
      <c r="BF3691" t="s">
        <v>14364</v>
      </c>
      <c r="BG3691" t="s">
        <v>11228</v>
      </c>
      <c r="BM3691" t="s">
        <v>15650</v>
      </c>
    </row>
    <row r="3692" spans="1:65">
      <c r="A3692" s="1">
        <f>HYPERLINK("https://lsnyc.legalserver.org/matter/dynamic-profile/view/1886089","18-1886089")</f>
        <v>0</v>
      </c>
      <c r="B3692" t="s">
        <v>197</v>
      </c>
      <c r="C3692" t="s">
        <v>248</v>
      </c>
      <c r="D3692" t="s">
        <v>405</v>
      </c>
      <c r="F3692" t="s">
        <v>1137</v>
      </c>
      <c r="G3692" t="s">
        <v>4128</v>
      </c>
      <c r="H3692" t="s">
        <v>4798</v>
      </c>
      <c r="I3692" t="s">
        <v>6939</v>
      </c>
      <c r="J3692" t="s">
        <v>7174</v>
      </c>
      <c r="K3692">
        <v>11233</v>
      </c>
      <c r="N3692" t="s">
        <v>7237</v>
      </c>
      <c r="O3692" t="s">
        <v>9176</v>
      </c>
      <c r="P3692">
        <v>2</v>
      </c>
      <c r="Q3692">
        <v>0</v>
      </c>
      <c r="R3692">
        <v>83.37</v>
      </c>
      <c r="U3692">
        <v>13722.36</v>
      </c>
      <c r="V3692" t="s">
        <v>10723</v>
      </c>
      <c r="W3692">
        <v>648.65</v>
      </c>
      <c r="X3692" t="s">
        <v>426</v>
      </c>
      <c r="Y3692" t="s">
        <v>225</v>
      </c>
      <c r="AA3692" t="s">
        <v>10974</v>
      </c>
      <c r="AB3692" t="s">
        <v>672</v>
      </c>
      <c r="AD3692" t="s">
        <v>11098</v>
      </c>
      <c r="AF3692" t="s">
        <v>11122</v>
      </c>
      <c r="AH3692" t="s">
        <v>10974</v>
      </c>
      <c r="AJ3692" t="s">
        <v>11132</v>
      </c>
      <c r="AK3692" t="s">
        <v>7225</v>
      </c>
      <c r="AM3692">
        <v>955.08</v>
      </c>
      <c r="AO3692">
        <v>764</v>
      </c>
      <c r="AQ3692" t="s">
        <v>11157</v>
      </c>
      <c r="AS3692" t="s">
        <v>11173</v>
      </c>
      <c r="AU3692">
        <v>16</v>
      </c>
      <c r="AW3692" t="s">
        <v>11187</v>
      </c>
      <c r="AY3692" t="s">
        <v>11213</v>
      </c>
      <c r="AZ3692" t="s">
        <v>11221</v>
      </c>
      <c r="BB3692" t="s">
        <v>11224</v>
      </c>
      <c r="BC3692" t="s">
        <v>11545</v>
      </c>
      <c r="BE3692" t="s">
        <v>13403</v>
      </c>
      <c r="BF3692" t="s">
        <v>14364</v>
      </c>
      <c r="BG3692" t="s">
        <v>15228</v>
      </c>
      <c r="BM3692" t="s">
        <v>15650</v>
      </c>
    </row>
    <row r="3693" spans="1:65">
      <c r="A3693" s="1">
        <f>HYPERLINK("https://lsnyc.legalserver.org/matter/dynamic-profile/view/1891560","19-1891560")</f>
        <v>0</v>
      </c>
      <c r="B3693" t="s">
        <v>197</v>
      </c>
      <c r="C3693" t="s">
        <v>248</v>
      </c>
      <c r="D3693" t="s">
        <v>636</v>
      </c>
      <c r="F3693" t="s">
        <v>1394</v>
      </c>
      <c r="G3693" t="s">
        <v>4356</v>
      </c>
      <c r="H3693" t="s">
        <v>5124</v>
      </c>
      <c r="I3693" t="s">
        <v>6808</v>
      </c>
      <c r="J3693" t="s">
        <v>7174</v>
      </c>
      <c r="K3693">
        <v>11233</v>
      </c>
      <c r="N3693" t="s">
        <v>7237</v>
      </c>
      <c r="O3693" t="s">
        <v>9558</v>
      </c>
      <c r="P3693">
        <v>3</v>
      </c>
      <c r="Q3693">
        <v>0</v>
      </c>
      <c r="R3693">
        <v>300.05</v>
      </c>
      <c r="S3693" t="s">
        <v>776</v>
      </c>
      <c r="T3693" t="s">
        <v>10276</v>
      </c>
      <c r="U3693">
        <v>64000</v>
      </c>
      <c r="V3693" t="s">
        <v>10724</v>
      </c>
      <c r="W3693">
        <v>0</v>
      </c>
      <c r="Y3693" t="s">
        <v>225</v>
      </c>
      <c r="AA3693" t="s">
        <v>10974</v>
      </c>
      <c r="AB3693" t="s">
        <v>395</v>
      </c>
      <c r="AD3693" t="s">
        <v>11100</v>
      </c>
      <c r="AF3693" t="s">
        <v>10384</v>
      </c>
      <c r="AH3693" t="s">
        <v>10974</v>
      </c>
      <c r="AI3693" t="s">
        <v>11126</v>
      </c>
      <c r="AK3693" t="s">
        <v>7225</v>
      </c>
      <c r="AM3693">
        <v>1040</v>
      </c>
      <c r="AO3693">
        <v>359</v>
      </c>
      <c r="AQ3693" t="s">
        <v>11157</v>
      </c>
      <c r="AR3693" t="s">
        <v>11172</v>
      </c>
      <c r="AU3693">
        <v>32</v>
      </c>
      <c r="AW3693" t="s">
        <v>11187</v>
      </c>
      <c r="AY3693" t="s">
        <v>11213</v>
      </c>
      <c r="AZ3693" t="s">
        <v>11221</v>
      </c>
      <c r="BD3693" t="s">
        <v>11667</v>
      </c>
      <c r="BF3693" t="s">
        <v>14364</v>
      </c>
      <c r="BG3693" t="s">
        <v>11173</v>
      </c>
      <c r="BM3693" t="s">
        <v>15650</v>
      </c>
    </row>
    <row r="3694" spans="1:65">
      <c r="A3694" s="1">
        <f>HYPERLINK("https://lsnyc.legalserver.org/matter/dynamic-profile/view/1888215","19-1888215")</f>
        <v>0</v>
      </c>
      <c r="B3694" t="s">
        <v>197</v>
      </c>
      <c r="C3694" t="s">
        <v>248</v>
      </c>
      <c r="D3694" t="s">
        <v>681</v>
      </c>
      <c r="F3694" t="s">
        <v>1456</v>
      </c>
      <c r="G3694" t="s">
        <v>3032</v>
      </c>
      <c r="H3694" t="s">
        <v>5947</v>
      </c>
      <c r="I3694" t="s">
        <v>6620</v>
      </c>
      <c r="J3694" t="s">
        <v>7174</v>
      </c>
      <c r="K3694">
        <v>11215</v>
      </c>
      <c r="N3694" t="s">
        <v>7237</v>
      </c>
      <c r="O3694" t="s">
        <v>9552</v>
      </c>
      <c r="P3694">
        <v>3</v>
      </c>
      <c r="Q3694">
        <v>2</v>
      </c>
      <c r="R3694">
        <v>34.33</v>
      </c>
      <c r="U3694">
        <v>10100</v>
      </c>
      <c r="W3694">
        <v>0</v>
      </c>
      <c r="Y3694" t="s">
        <v>225</v>
      </c>
      <c r="AA3694" t="s">
        <v>10974</v>
      </c>
      <c r="AB3694" t="s">
        <v>290</v>
      </c>
      <c r="AD3694" t="s">
        <v>11101</v>
      </c>
      <c r="AF3694" t="s">
        <v>11118</v>
      </c>
      <c r="AH3694" t="s">
        <v>10974</v>
      </c>
      <c r="AJ3694" t="s">
        <v>11129</v>
      </c>
      <c r="AK3694" t="s">
        <v>7225</v>
      </c>
      <c r="AM3694">
        <v>165</v>
      </c>
      <c r="AO3694">
        <v>7</v>
      </c>
      <c r="AQ3694" t="s">
        <v>11160</v>
      </c>
      <c r="AS3694" t="s">
        <v>11173</v>
      </c>
      <c r="AU3694">
        <v>22</v>
      </c>
      <c r="AW3694" t="s">
        <v>11187</v>
      </c>
      <c r="AY3694" t="s">
        <v>11213</v>
      </c>
      <c r="BA3694" t="s">
        <v>11222</v>
      </c>
      <c r="BC3694" t="s">
        <v>11228</v>
      </c>
      <c r="BE3694" t="s">
        <v>13674</v>
      </c>
      <c r="BF3694" t="s">
        <v>14364</v>
      </c>
      <c r="BG3694" t="s">
        <v>15239</v>
      </c>
      <c r="BM3694" t="s">
        <v>15650</v>
      </c>
    </row>
    <row r="3695" spans="1:65">
      <c r="A3695" s="1">
        <f>HYPERLINK("https://lsnyc.legalserver.org/matter/dynamic-profile/view/1891594","19-1891594")</f>
        <v>0</v>
      </c>
      <c r="B3695" t="s">
        <v>197</v>
      </c>
      <c r="C3695" t="s">
        <v>248</v>
      </c>
      <c r="D3695" t="s">
        <v>515</v>
      </c>
      <c r="F3695" t="s">
        <v>2514</v>
      </c>
      <c r="G3695" t="s">
        <v>4354</v>
      </c>
      <c r="H3695" t="s">
        <v>4798</v>
      </c>
      <c r="I3695" t="s">
        <v>6497</v>
      </c>
      <c r="J3695" t="s">
        <v>7174</v>
      </c>
      <c r="K3695">
        <v>11233</v>
      </c>
      <c r="N3695" t="s">
        <v>7237</v>
      </c>
      <c r="O3695" t="s">
        <v>9555</v>
      </c>
      <c r="P3695">
        <v>2</v>
      </c>
      <c r="Q3695">
        <v>0</v>
      </c>
      <c r="R3695">
        <v>366.65</v>
      </c>
      <c r="U3695">
        <v>62000</v>
      </c>
      <c r="V3695" t="s">
        <v>10578</v>
      </c>
      <c r="W3695">
        <v>0</v>
      </c>
      <c r="Y3695" t="s">
        <v>225</v>
      </c>
      <c r="AA3695" t="s">
        <v>10974</v>
      </c>
      <c r="AB3695" t="s">
        <v>874</v>
      </c>
      <c r="AD3695" t="s">
        <v>11098</v>
      </c>
      <c r="AF3695" t="s">
        <v>11122</v>
      </c>
      <c r="AH3695" t="s">
        <v>10974</v>
      </c>
      <c r="AI3695" t="s">
        <v>11126</v>
      </c>
      <c r="AK3695" t="s">
        <v>7225</v>
      </c>
      <c r="AM3695">
        <v>1038.66</v>
      </c>
      <c r="AO3695">
        <v>359</v>
      </c>
      <c r="AQ3695" t="s">
        <v>11157</v>
      </c>
      <c r="AR3695" t="s">
        <v>11172</v>
      </c>
      <c r="AU3695">
        <v>50</v>
      </c>
      <c r="AW3695" t="s">
        <v>11187</v>
      </c>
      <c r="AY3695" t="s">
        <v>11213</v>
      </c>
      <c r="AZ3695" t="s">
        <v>11221</v>
      </c>
      <c r="BD3695" t="s">
        <v>11667</v>
      </c>
      <c r="BF3695" t="s">
        <v>14364</v>
      </c>
      <c r="BG3695" t="s">
        <v>15228</v>
      </c>
      <c r="BM3695" t="s">
        <v>15650</v>
      </c>
    </row>
    <row r="3696" spans="1:65">
      <c r="A3696" s="1">
        <f>HYPERLINK("https://lsnyc.legalserver.org/matter/dynamic-profile/view/1902048","19-1902048")</f>
        <v>0</v>
      </c>
      <c r="B3696" t="s">
        <v>197</v>
      </c>
      <c r="C3696" t="s">
        <v>248</v>
      </c>
      <c r="D3696" t="s">
        <v>590</v>
      </c>
      <c r="F3696" t="s">
        <v>2515</v>
      </c>
      <c r="G3696" t="s">
        <v>4355</v>
      </c>
      <c r="H3696" t="s">
        <v>4798</v>
      </c>
      <c r="I3696" t="s">
        <v>7039</v>
      </c>
      <c r="J3696" t="s">
        <v>7174</v>
      </c>
      <c r="K3696">
        <v>11233</v>
      </c>
      <c r="N3696" t="s">
        <v>7237</v>
      </c>
      <c r="O3696" t="s">
        <v>9556</v>
      </c>
      <c r="P3696">
        <v>1</v>
      </c>
      <c r="Q3696">
        <v>2</v>
      </c>
      <c r="R3696">
        <v>164.09</v>
      </c>
      <c r="U3696">
        <v>35000</v>
      </c>
      <c r="V3696" t="s">
        <v>10656</v>
      </c>
      <c r="W3696">
        <v>0</v>
      </c>
      <c r="Y3696" t="s">
        <v>101</v>
      </c>
      <c r="AA3696" t="s">
        <v>10974</v>
      </c>
      <c r="AB3696" t="s">
        <v>874</v>
      </c>
      <c r="AD3696" t="s">
        <v>11098</v>
      </c>
      <c r="AF3696" t="s">
        <v>11122</v>
      </c>
      <c r="AH3696" t="s">
        <v>10974</v>
      </c>
      <c r="AJ3696" t="s">
        <v>11104</v>
      </c>
      <c r="AK3696" t="s">
        <v>7225</v>
      </c>
      <c r="AM3696">
        <v>787</v>
      </c>
      <c r="AO3696">
        <v>359</v>
      </c>
      <c r="AQ3696" t="s">
        <v>11157</v>
      </c>
      <c r="AR3696" t="s">
        <v>11172</v>
      </c>
      <c r="AU3696">
        <v>10</v>
      </c>
      <c r="AW3696" t="s">
        <v>11187</v>
      </c>
      <c r="AY3696" t="s">
        <v>11213</v>
      </c>
      <c r="AZ3696" t="s">
        <v>11221</v>
      </c>
      <c r="BA3696" t="s">
        <v>11173</v>
      </c>
      <c r="BD3696" t="s">
        <v>11667</v>
      </c>
      <c r="BF3696" t="s">
        <v>14364</v>
      </c>
      <c r="BG3696" t="s">
        <v>15228</v>
      </c>
      <c r="BM3696" t="s">
        <v>15650</v>
      </c>
    </row>
    <row r="3697" spans="1:66">
      <c r="A3697" s="1">
        <f>HYPERLINK("https://lsnyc.legalserver.org/matter/dynamic-profile/view/1874429","18-1874429")</f>
        <v>0</v>
      </c>
      <c r="B3697" t="s">
        <v>198</v>
      </c>
      <c r="C3697" t="s">
        <v>245</v>
      </c>
      <c r="D3697" t="s">
        <v>876</v>
      </c>
      <c r="E3697" t="s">
        <v>548</v>
      </c>
      <c r="F3697" t="s">
        <v>2370</v>
      </c>
      <c r="G3697" t="s">
        <v>2962</v>
      </c>
      <c r="H3697" t="s">
        <v>5951</v>
      </c>
      <c r="I3697" t="s">
        <v>6959</v>
      </c>
      <c r="J3697" t="s">
        <v>7169</v>
      </c>
      <c r="K3697">
        <v>10029</v>
      </c>
      <c r="L3697" t="s">
        <v>7216</v>
      </c>
      <c r="N3697" t="s">
        <v>7237</v>
      </c>
      <c r="O3697" t="s">
        <v>8869</v>
      </c>
      <c r="P3697">
        <v>2</v>
      </c>
      <c r="Q3697">
        <v>2</v>
      </c>
      <c r="R3697">
        <v>118.73</v>
      </c>
      <c r="U3697">
        <v>29800</v>
      </c>
      <c r="W3697">
        <v>4.5</v>
      </c>
      <c r="X3697" t="s">
        <v>722</v>
      </c>
      <c r="Y3697" t="s">
        <v>10882</v>
      </c>
      <c r="AA3697" t="s">
        <v>10974</v>
      </c>
      <c r="AB3697" t="s">
        <v>527</v>
      </c>
      <c r="AD3697" t="s">
        <v>11086</v>
      </c>
      <c r="AF3697" t="s">
        <v>11119</v>
      </c>
      <c r="AH3697" t="s">
        <v>10975</v>
      </c>
      <c r="AI3697" t="s">
        <v>11126</v>
      </c>
      <c r="AK3697" t="s">
        <v>7225</v>
      </c>
      <c r="AM3697">
        <v>1600</v>
      </c>
      <c r="AO3697">
        <v>10</v>
      </c>
      <c r="AQ3697" t="s">
        <v>11164</v>
      </c>
      <c r="AS3697" t="s">
        <v>11173</v>
      </c>
      <c r="AU3697">
        <v>8</v>
      </c>
      <c r="AW3697" t="s">
        <v>11189</v>
      </c>
      <c r="AY3697" t="s">
        <v>11213</v>
      </c>
      <c r="AZ3697" t="s">
        <v>11221</v>
      </c>
      <c r="BD3697" t="s">
        <v>11667</v>
      </c>
      <c r="BF3697" t="s">
        <v>14364</v>
      </c>
      <c r="BM3697" t="s">
        <v>15651</v>
      </c>
    </row>
    <row r="3698" spans="1:66">
      <c r="A3698" s="1">
        <f>HYPERLINK("https://lsnyc.legalserver.org/matter/dynamic-profile/view/1889010","19-1889010")</f>
        <v>0</v>
      </c>
      <c r="B3698" t="s">
        <v>199</v>
      </c>
      <c r="C3698" t="s">
        <v>248</v>
      </c>
      <c r="D3698" t="s">
        <v>321</v>
      </c>
      <c r="F3698" t="s">
        <v>2517</v>
      </c>
      <c r="G3698" t="s">
        <v>4357</v>
      </c>
      <c r="H3698" t="s">
        <v>5952</v>
      </c>
      <c r="I3698" t="s">
        <v>6423</v>
      </c>
      <c r="J3698" t="s">
        <v>7174</v>
      </c>
      <c r="K3698">
        <v>11226</v>
      </c>
      <c r="M3698" t="s">
        <v>7227</v>
      </c>
      <c r="N3698" t="s">
        <v>7237</v>
      </c>
      <c r="O3698" t="s">
        <v>9559</v>
      </c>
      <c r="P3698">
        <v>1</v>
      </c>
      <c r="Q3698">
        <v>1</v>
      </c>
      <c r="R3698">
        <v>212.89</v>
      </c>
      <c r="U3698">
        <v>36000</v>
      </c>
      <c r="W3698">
        <v>0.3</v>
      </c>
      <c r="X3698" t="s">
        <v>437</v>
      </c>
      <c r="Y3698" t="s">
        <v>81</v>
      </c>
      <c r="Z3698" t="s">
        <v>10973</v>
      </c>
      <c r="AA3698" t="s">
        <v>10975</v>
      </c>
      <c r="AB3698" t="s">
        <v>11021</v>
      </c>
      <c r="AD3698" t="s">
        <v>11098</v>
      </c>
      <c r="AF3698" t="s">
        <v>11122</v>
      </c>
      <c r="AH3698" t="s">
        <v>10974</v>
      </c>
      <c r="AI3698" t="s">
        <v>11126</v>
      </c>
      <c r="AK3698" t="s">
        <v>7225</v>
      </c>
      <c r="AM3698">
        <v>1107</v>
      </c>
      <c r="AN3698" t="s">
        <v>11151</v>
      </c>
      <c r="AO3698" t="s">
        <v>11153</v>
      </c>
      <c r="AP3698" t="s">
        <v>11155</v>
      </c>
      <c r="AR3698" t="s">
        <v>11172</v>
      </c>
      <c r="AU3698">
        <v>13</v>
      </c>
      <c r="AW3698" t="s">
        <v>11187</v>
      </c>
      <c r="AY3698" t="s">
        <v>11213</v>
      </c>
      <c r="AZ3698" t="s">
        <v>11221</v>
      </c>
      <c r="BD3698" t="s">
        <v>11667</v>
      </c>
      <c r="BF3698" t="s">
        <v>14364</v>
      </c>
      <c r="BM3698" t="s">
        <v>15650</v>
      </c>
    </row>
    <row r="3699" spans="1:66">
      <c r="A3699" s="1">
        <f>HYPERLINK("https://lsnyc.legalserver.org/matter/dynamic-profile/view/1861830","18-1861830")</f>
        <v>0</v>
      </c>
      <c r="B3699" t="s">
        <v>199</v>
      </c>
      <c r="C3699" t="s">
        <v>248</v>
      </c>
      <c r="D3699" t="s">
        <v>964</v>
      </c>
      <c r="F3699" t="s">
        <v>1160</v>
      </c>
      <c r="G3699" t="s">
        <v>4358</v>
      </c>
      <c r="H3699" t="s">
        <v>5953</v>
      </c>
      <c r="I3699">
        <v>415</v>
      </c>
      <c r="J3699" t="s">
        <v>7174</v>
      </c>
      <c r="K3699">
        <v>11225</v>
      </c>
      <c r="M3699" t="s">
        <v>7227</v>
      </c>
      <c r="N3699" t="s">
        <v>7237</v>
      </c>
      <c r="O3699" t="s">
        <v>9560</v>
      </c>
      <c r="P3699">
        <v>2</v>
      </c>
      <c r="Q3699">
        <v>0</v>
      </c>
      <c r="R3699">
        <v>68.17</v>
      </c>
      <c r="U3699">
        <v>11220</v>
      </c>
      <c r="W3699">
        <v>5.65</v>
      </c>
      <c r="X3699" t="s">
        <v>337</v>
      </c>
      <c r="Y3699" t="s">
        <v>10909</v>
      </c>
      <c r="AA3699" t="s">
        <v>10974</v>
      </c>
      <c r="AB3699" t="s">
        <v>939</v>
      </c>
      <c r="AD3699" t="s">
        <v>11106</v>
      </c>
      <c r="AF3699" t="s">
        <v>11122</v>
      </c>
      <c r="AH3699" t="s">
        <v>10975</v>
      </c>
      <c r="AJ3699" t="s">
        <v>11141</v>
      </c>
      <c r="AK3699" t="s">
        <v>7225</v>
      </c>
      <c r="AM3699">
        <v>1100</v>
      </c>
      <c r="AO3699">
        <v>42</v>
      </c>
      <c r="AQ3699" t="s">
        <v>11157</v>
      </c>
      <c r="AS3699" t="s">
        <v>11174</v>
      </c>
      <c r="AU3699">
        <v>28</v>
      </c>
      <c r="AW3699" t="s">
        <v>11187</v>
      </c>
      <c r="AZ3699" t="s">
        <v>11221</v>
      </c>
      <c r="BD3699" t="s">
        <v>11667</v>
      </c>
      <c r="BF3699" t="s">
        <v>14364</v>
      </c>
      <c r="BM3699" t="s">
        <v>15650</v>
      </c>
    </row>
    <row r="3700" spans="1:66">
      <c r="A3700" s="1">
        <f>HYPERLINK("https://lsnyc.legalserver.org/matter/dynamic-profile/view/1875936","18-1875936")</f>
        <v>0</v>
      </c>
      <c r="B3700" t="s">
        <v>199</v>
      </c>
      <c r="C3700" t="s">
        <v>248</v>
      </c>
      <c r="D3700" t="s">
        <v>469</v>
      </c>
      <c r="F3700" t="s">
        <v>1483</v>
      </c>
      <c r="G3700" t="s">
        <v>3254</v>
      </c>
      <c r="H3700" t="s">
        <v>5032</v>
      </c>
      <c r="I3700" t="s">
        <v>6622</v>
      </c>
      <c r="J3700" t="s">
        <v>7174</v>
      </c>
      <c r="K3700">
        <v>11226</v>
      </c>
      <c r="N3700" t="s">
        <v>7237</v>
      </c>
      <c r="O3700" t="s">
        <v>7746</v>
      </c>
      <c r="P3700">
        <v>2</v>
      </c>
      <c r="Q3700">
        <v>2</v>
      </c>
      <c r="R3700">
        <v>0</v>
      </c>
      <c r="U3700">
        <v>0</v>
      </c>
      <c r="W3700">
        <v>235.25</v>
      </c>
      <c r="X3700" t="s">
        <v>433</v>
      </c>
      <c r="Y3700" t="s">
        <v>199</v>
      </c>
      <c r="AA3700" t="s">
        <v>10974</v>
      </c>
      <c r="AB3700" t="s">
        <v>11069</v>
      </c>
      <c r="AD3700" t="s">
        <v>11101</v>
      </c>
      <c r="AF3700" t="s">
        <v>11118</v>
      </c>
      <c r="AH3700" t="s">
        <v>10974</v>
      </c>
      <c r="AJ3700" t="s">
        <v>11141</v>
      </c>
      <c r="AK3700" t="s">
        <v>7225</v>
      </c>
      <c r="AM3700">
        <v>1031.15</v>
      </c>
      <c r="AO3700">
        <v>55</v>
      </c>
      <c r="AQ3700" t="s">
        <v>11157</v>
      </c>
      <c r="AR3700" t="s">
        <v>11172</v>
      </c>
      <c r="AU3700">
        <v>28</v>
      </c>
      <c r="AW3700" t="s">
        <v>11187</v>
      </c>
      <c r="AY3700" t="s">
        <v>11213</v>
      </c>
      <c r="AZ3700" t="s">
        <v>11221</v>
      </c>
      <c r="BE3700" t="s">
        <v>12100</v>
      </c>
      <c r="BG3700" t="s">
        <v>15245</v>
      </c>
      <c r="BI3700" t="s">
        <v>15614</v>
      </c>
      <c r="BK3700" t="s">
        <v>15642</v>
      </c>
      <c r="BM3700" t="s">
        <v>15650</v>
      </c>
      <c r="BN3700" t="s">
        <v>15652</v>
      </c>
    </row>
    <row r="3701" spans="1:66">
      <c r="A3701" s="1">
        <f>HYPERLINK("https://lsnyc.legalserver.org/matter/dynamic-profile/view/1883811","18-1883811")</f>
        <v>0</v>
      </c>
      <c r="B3701" t="s">
        <v>199</v>
      </c>
      <c r="C3701" t="s">
        <v>248</v>
      </c>
      <c r="D3701" t="s">
        <v>727</v>
      </c>
      <c r="F3701" t="s">
        <v>2518</v>
      </c>
      <c r="G3701" t="s">
        <v>3486</v>
      </c>
      <c r="H3701" t="s">
        <v>5954</v>
      </c>
      <c r="I3701" t="s">
        <v>6429</v>
      </c>
      <c r="J3701" t="s">
        <v>7174</v>
      </c>
      <c r="K3701">
        <v>11226</v>
      </c>
      <c r="N3701" t="s">
        <v>7237</v>
      </c>
      <c r="O3701" t="s">
        <v>9561</v>
      </c>
      <c r="P3701">
        <v>1</v>
      </c>
      <c r="Q3701">
        <v>0</v>
      </c>
      <c r="R3701">
        <v>0</v>
      </c>
      <c r="U3701">
        <v>0</v>
      </c>
      <c r="W3701">
        <v>110.8</v>
      </c>
      <c r="X3701" t="s">
        <v>301</v>
      </c>
      <c r="Y3701" t="s">
        <v>212</v>
      </c>
      <c r="AA3701" t="s">
        <v>10974</v>
      </c>
      <c r="AB3701" t="s">
        <v>729</v>
      </c>
      <c r="AD3701" t="s">
        <v>11082</v>
      </c>
      <c r="AF3701" t="s">
        <v>11118</v>
      </c>
      <c r="AH3701" t="s">
        <v>10975</v>
      </c>
      <c r="AJ3701" t="s">
        <v>11129</v>
      </c>
      <c r="AK3701" t="s">
        <v>7225</v>
      </c>
      <c r="AM3701">
        <v>2182.37</v>
      </c>
      <c r="AO3701">
        <v>39</v>
      </c>
      <c r="AQ3701" t="s">
        <v>11157</v>
      </c>
      <c r="AR3701" t="s">
        <v>11172</v>
      </c>
      <c r="AU3701">
        <v>20</v>
      </c>
      <c r="AW3701" t="s">
        <v>11187</v>
      </c>
      <c r="AY3701" t="s">
        <v>11213</v>
      </c>
      <c r="BA3701" t="s">
        <v>11222</v>
      </c>
      <c r="BE3701" t="s">
        <v>13676</v>
      </c>
      <c r="BG3701" t="s">
        <v>15246</v>
      </c>
      <c r="BI3701" t="s">
        <v>15609</v>
      </c>
      <c r="BM3701" t="s">
        <v>15650</v>
      </c>
    </row>
    <row r="3702" spans="1:66">
      <c r="A3702" s="1">
        <f>HYPERLINK("https://lsnyc.legalserver.org/matter/dynamic-profile/view/1871854","18-1871854")</f>
        <v>0</v>
      </c>
      <c r="B3702" t="s">
        <v>199</v>
      </c>
      <c r="C3702" t="s">
        <v>248</v>
      </c>
      <c r="D3702" t="s">
        <v>779</v>
      </c>
      <c r="F3702" t="s">
        <v>1527</v>
      </c>
      <c r="G3702" t="s">
        <v>2905</v>
      </c>
      <c r="H3702" t="s">
        <v>5955</v>
      </c>
      <c r="I3702" t="s">
        <v>6583</v>
      </c>
      <c r="J3702" t="s">
        <v>7174</v>
      </c>
      <c r="K3702">
        <v>11226</v>
      </c>
      <c r="N3702" t="s">
        <v>7237</v>
      </c>
      <c r="O3702" t="s">
        <v>9562</v>
      </c>
      <c r="P3702">
        <v>1</v>
      </c>
      <c r="Q3702">
        <v>0</v>
      </c>
      <c r="R3702">
        <v>74.14</v>
      </c>
      <c r="U3702">
        <v>9000</v>
      </c>
      <c r="W3702">
        <v>10.9</v>
      </c>
      <c r="X3702" t="s">
        <v>337</v>
      </c>
      <c r="Y3702" t="s">
        <v>10909</v>
      </c>
      <c r="AA3702" t="s">
        <v>10974</v>
      </c>
      <c r="AB3702" t="s">
        <v>569</v>
      </c>
      <c r="AD3702" t="s">
        <v>11086</v>
      </c>
      <c r="AF3702" t="s">
        <v>11120</v>
      </c>
      <c r="AH3702" t="s">
        <v>10975</v>
      </c>
      <c r="AJ3702" t="s">
        <v>11141</v>
      </c>
      <c r="AK3702" t="s">
        <v>7225</v>
      </c>
      <c r="AM3702">
        <v>1735</v>
      </c>
      <c r="AO3702">
        <v>24</v>
      </c>
      <c r="AQ3702" t="s">
        <v>11157</v>
      </c>
      <c r="AS3702" t="s">
        <v>11173</v>
      </c>
      <c r="AU3702">
        <v>41</v>
      </c>
      <c r="AW3702" t="s">
        <v>11187</v>
      </c>
      <c r="AZ3702" t="s">
        <v>11221</v>
      </c>
      <c r="BE3702" t="s">
        <v>13677</v>
      </c>
      <c r="BF3702" t="s">
        <v>14364</v>
      </c>
      <c r="BM3702" t="s">
        <v>15650</v>
      </c>
    </row>
    <row r="3703" spans="1:66">
      <c r="A3703" s="1">
        <f>HYPERLINK("https://lsnyc.legalserver.org/matter/dynamic-profile/view/1912335","19-1912335")</f>
        <v>0</v>
      </c>
      <c r="B3703" t="s">
        <v>199</v>
      </c>
      <c r="C3703" t="s">
        <v>248</v>
      </c>
      <c r="D3703" t="s">
        <v>737</v>
      </c>
      <c r="F3703" t="s">
        <v>1624</v>
      </c>
      <c r="G3703" t="s">
        <v>4359</v>
      </c>
      <c r="H3703" t="s">
        <v>5956</v>
      </c>
      <c r="I3703" t="s">
        <v>6502</v>
      </c>
      <c r="J3703" t="s">
        <v>7174</v>
      </c>
      <c r="K3703">
        <v>11217</v>
      </c>
      <c r="N3703" t="s">
        <v>7237</v>
      </c>
      <c r="O3703" t="s">
        <v>7772</v>
      </c>
      <c r="P3703">
        <v>1</v>
      </c>
      <c r="Q3703">
        <v>0</v>
      </c>
      <c r="R3703">
        <v>0</v>
      </c>
      <c r="U3703">
        <v>0</v>
      </c>
      <c r="W3703">
        <v>6.2</v>
      </c>
      <c r="X3703" t="s">
        <v>264</v>
      </c>
      <c r="Y3703" t="s">
        <v>199</v>
      </c>
      <c r="AA3703" t="s">
        <v>10974</v>
      </c>
      <c r="AB3703" t="s">
        <v>737</v>
      </c>
      <c r="AD3703" t="s">
        <v>11082</v>
      </c>
      <c r="AF3703" t="s">
        <v>11121</v>
      </c>
      <c r="AH3703" t="s">
        <v>10975</v>
      </c>
      <c r="AJ3703" t="s">
        <v>11138</v>
      </c>
      <c r="AK3703" t="s">
        <v>7225</v>
      </c>
      <c r="AL3703" t="s">
        <v>11150</v>
      </c>
      <c r="AM3703">
        <v>0</v>
      </c>
      <c r="AN3703" t="s">
        <v>11151</v>
      </c>
      <c r="AO3703" t="s">
        <v>11153</v>
      </c>
      <c r="AQ3703" t="s">
        <v>11157</v>
      </c>
      <c r="AS3703" t="s">
        <v>11173</v>
      </c>
      <c r="AT3703" t="s">
        <v>11184</v>
      </c>
      <c r="AU3703">
        <v>0</v>
      </c>
      <c r="AW3703" t="s">
        <v>11187</v>
      </c>
      <c r="AY3703" t="s">
        <v>11213</v>
      </c>
      <c r="BA3703" t="s">
        <v>11222</v>
      </c>
      <c r="BD3703" t="s">
        <v>11667</v>
      </c>
      <c r="BF3703" t="s">
        <v>14364</v>
      </c>
      <c r="BM3703" t="s">
        <v>15650</v>
      </c>
    </row>
    <row r="3704" spans="1:66">
      <c r="A3704" s="1">
        <f>HYPERLINK("https://lsnyc.legalserver.org/matter/dynamic-profile/view/1887126","19-1887126")</f>
        <v>0</v>
      </c>
      <c r="B3704" t="s">
        <v>199</v>
      </c>
      <c r="C3704" t="s">
        <v>248</v>
      </c>
      <c r="D3704" t="s">
        <v>785</v>
      </c>
      <c r="F3704" t="s">
        <v>1375</v>
      </c>
      <c r="G3704" t="s">
        <v>4360</v>
      </c>
      <c r="H3704" t="s">
        <v>5952</v>
      </c>
      <c r="J3704" t="s">
        <v>7174</v>
      </c>
      <c r="K3704">
        <v>11226</v>
      </c>
      <c r="M3704" t="s">
        <v>7227</v>
      </c>
      <c r="N3704" t="s">
        <v>7237</v>
      </c>
      <c r="O3704" t="s">
        <v>9563</v>
      </c>
      <c r="P3704">
        <v>2</v>
      </c>
      <c r="Q3704">
        <v>0</v>
      </c>
      <c r="R3704">
        <v>62.7</v>
      </c>
      <c r="U3704">
        <v>10320</v>
      </c>
      <c r="W3704">
        <v>2.8</v>
      </c>
      <c r="X3704" t="s">
        <v>437</v>
      </c>
      <c r="Y3704" t="s">
        <v>81</v>
      </c>
      <c r="Z3704" t="s">
        <v>10973</v>
      </c>
      <c r="AA3704" t="s">
        <v>10975</v>
      </c>
      <c r="AB3704" t="s">
        <v>542</v>
      </c>
      <c r="AD3704" t="s">
        <v>11098</v>
      </c>
      <c r="AF3704" t="s">
        <v>11122</v>
      </c>
      <c r="AH3704" t="s">
        <v>10974</v>
      </c>
      <c r="AJ3704" t="s">
        <v>11134</v>
      </c>
      <c r="AK3704" t="s">
        <v>7225</v>
      </c>
      <c r="AM3704">
        <v>856.9299999999999</v>
      </c>
      <c r="AO3704">
        <v>43</v>
      </c>
      <c r="AQ3704" t="s">
        <v>11157</v>
      </c>
      <c r="AR3704" t="s">
        <v>11172</v>
      </c>
      <c r="AU3704">
        <v>40</v>
      </c>
      <c r="AW3704" t="s">
        <v>11187</v>
      </c>
      <c r="AZ3704" t="s">
        <v>11221</v>
      </c>
      <c r="BE3704" t="s">
        <v>13678</v>
      </c>
      <c r="BF3704" t="s">
        <v>14364</v>
      </c>
      <c r="BG3704" t="s">
        <v>15247</v>
      </c>
      <c r="BI3704" t="s">
        <v>15611</v>
      </c>
      <c r="BM3704" t="s">
        <v>15650</v>
      </c>
    </row>
    <row r="3705" spans="1:66">
      <c r="A3705" s="1">
        <f>HYPERLINK("https://lsnyc.legalserver.org/matter/dynamic-profile/view/1889094","19-1889094")</f>
        <v>0</v>
      </c>
      <c r="B3705" t="s">
        <v>199</v>
      </c>
      <c r="C3705" t="s">
        <v>248</v>
      </c>
      <c r="D3705" t="s">
        <v>1007</v>
      </c>
      <c r="F3705" t="s">
        <v>1556</v>
      </c>
      <c r="G3705" t="s">
        <v>3336</v>
      </c>
      <c r="H3705" t="s">
        <v>5952</v>
      </c>
      <c r="I3705" t="s">
        <v>6420</v>
      </c>
      <c r="J3705" t="s">
        <v>7174</v>
      </c>
      <c r="K3705">
        <v>11226</v>
      </c>
      <c r="M3705" t="s">
        <v>7227</v>
      </c>
      <c r="N3705" t="s">
        <v>7237</v>
      </c>
      <c r="O3705" t="s">
        <v>9564</v>
      </c>
      <c r="P3705">
        <v>1</v>
      </c>
      <c r="Q3705">
        <v>0</v>
      </c>
      <c r="R3705">
        <v>448.36</v>
      </c>
      <c r="U3705">
        <v>56000</v>
      </c>
      <c r="W3705">
        <v>0.3</v>
      </c>
      <c r="X3705" t="s">
        <v>437</v>
      </c>
      <c r="Y3705" t="s">
        <v>81</v>
      </c>
      <c r="Z3705" t="s">
        <v>10973</v>
      </c>
      <c r="AA3705" t="s">
        <v>10975</v>
      </c>
      <c r="AB3705" t="s">
        <v>672</v>
      </c>
      <c r="AD3705" t="s">
        <v>11098</v>
      </c>
      <c r="AF3705" t="s">
        <v>11122</v>
      </c>
      <c r="AH3705" t="s">
        <v>10974</v>
      </c>
      <c r="AI3705" t="s">
        <v>11126</v>
      </c>
      <c r="AK3705" t="s">
        <v>7225</v>
      </c>
      <c r="AM3705">
        <v>838</v>
      </c>
      <c r="AN3705" t="s">
        <v>11151</v>
      </c>
      <c r="AO3705" t="s">
        <v>11153</v>
      </c>
      <c r="AQ3705" t="s">
        <v>11157</v>
      </c>
      <c r="AR3705" t="s">
        <v>11172</v>
      </c>
      <c r="AU3705">
        <v>26</v>
      </c>
      <c r="AW3705" t="s">
        <v>11187</v>
      </c>
      <c r="AZ3705" t="s">
        <v>11221</v>
      </c>
      <c r="BE3705" t="s">
        <v>13679</v>
      </c>
      <c r="BF3705" t="s">
        <v>14364</v>
      </c>
      <c r="BM3705" t="s">
        <v>15650</v>
      </c>
    </row>
    <row r="3706" spans="1:66">
      <c r="A3706" s="1">
        <f>HYPERLINK("https://lsnyc.legalserver.org/matter/dynamic-profile/view/1904052","19-1904052")</f>
        <v>0</v>
      </c>
      <c r="B3706" t="s">
        <v>199</v>
      </c>
      <c r="C3706" t="s">
        <v>248</v>
      </c>
      <c r="D3706" t="s">
        <v>1008</v>
      </c>
      <c r="F3706" t="s">
        <v>2248</v>
      </c>
      <c r="G3706" t="s">
        <v>4361</v>
      </c>
      <c r="H3706" t="s">
        <v>5957</v>
      </c>
      <c r="I3706" t="s">
        <v>6923</v>
      </c>
      <c r="J3706" t="s">
        <v>7174</v>
      </c>
      <c r="K3706">
        <v>11203</v>
      </c>
      <c r="N3706" t="s">
        <v>7237</v>
      </c>
      <c r="O3706" t="s">
        <v>8965</v>
      </c>
      <c r="P3706">
        <v>2</v>
      </c>
      <c r="Q3706">
        <v>0</v>
      </c>
      <c r="R3706">
        <v>225.03</v>
      </c>
      <c r="S3706" t="s">
        <v>512</v>
      </c>
      <c r="T3706" t="s">
        <v>10276</v>
      </c>
      <c r="U3706">
        <v>38052</v>
      </c>
      <c r="W3706">
        <v>34.5</v>
      </c>
      <c r="X3706" t="s">
        <v>312</v>
      </c>
      <c r="Y3706" t="s">
        <v>81</v>
      </c>
      <c r="AA3706" t="s">
        <v>10974</v>
      </c>
      <c r="AB3706" t="s">
        <v>1008</v>
      </c>
      <c r="AD3706" t="s">
        <v>11101</v>
      </c>
      <c r="AF3706" t="s">
        <v>11118</v>
      </c>
      <c r="AH3706" t="s">
        <v>10975</v>
      </c>
      <c r="AJ3706" t="s">
        <v>11129</v>
      </c>
      <c r="AK3706" t="s">
        <v>7225</v>
      </c>
      <c r="AL3706" t="s">
        <v>11150</v>
      </c>
      <c r="AM3706">
        <v>0</v>
      </c>
      <c r="AO3706">
        <v>42</v>
      </c>
      <c r="AQ3706" t="s">
        <v>11157</v>
      </c>
      <c r="AR3706" t="s">
        <v>11172</v>
      </c>
      <c r="AU3706">
        <v>13</v>
      </c>
      <c r="AW3706" t="s">
        <v>11187</v>
      </c>
      <c r="AY3706" t="s">
        <v>11213</v>
      </c>
      <c r="BA3706" t="s">
        <v>11222</v>
      </c>
      <c r="BE3706" t="s">
        <v>13680</v>
      </c>
      <c r="BF3706" t="s">
        <v>14364</v>
      </c>
      <c r="BI3706" t="s">
        <v>15611</v>
      </c>
      <c r="BM3706" t="s">
        <v>15650</v>
      </c>
    </row>
    <row r="3707" spans="1:66">
      <c r="A3707" s="1">
        <f>HYPERLINK("https://lsnyc.legalserver.org/matter/dynamic-profile/view/1889616","19-1889616")</f>
        <v>0</v>
      </c>
      <c r="B3707" t="s">
        <v>199</v>
      </c>
      <c r="C3707" t="s">
        <v>248</v>
      </c>
      <c r="D3707" t="s">
        <v>604</v>
      </c>
      <c r="F3707" t="s">
        <v>2519</v>
      </c>
      <c r="G3707" t="s">
        <v>3509</v>
      </c>
      <c r="H3707" t="s">
        <v>5958</v>
      </c>
      <c r="J3707" t="s">
        <v>7174</v>
      </c>
      <c r="K3707">
        <v>11238</v>
      </c>
      <c r="N3707" t="s">
        <v>7237</v>
      </c>
      <c r="O3707" t="s">
        <v>9565</v>
      </c>
      <c r="P3707">
        <v>2</v>
      </c>
      <c r="Q3707">
        <v>1</v>
      </c>
      <c r="R3707">
        <v>187.53</v>
      </c>
      <c r="U3707">
        <v>40000</v>
      </c>
      <c r="W3707">
        <v>44</v>
      </c>
      <c r="X3707" t="s">
        <v>701</v>
      </c>
      <c r="Y3707" t="s">
        <v>81</v>
      </c>
      <c r="AA3707" t="s">
        <v>10974</v>
      </c>
      <c r="AB3707" t="s">
        <v>321</v>
      </c>
      <c r="AD3707" t="s">
        <v>11082</v>
      </c>
      <c r="AF3707" t="s">
        <v>11118</v>
      </c>
      <c r="AH3707" t="s">
        <v>10975</v>
      </c>
      <c r="AJ3707" t="s">
        <v>11129</v>
      </c>
      <c r="AK3707" t="s">
        <v>7225</v>
      </c>
      <c r="AL3707" t="s">
        <v>11150</v>
      </c>
      <c r="AM3707">
        <v>0</v>
      </c>
      <c r="AN3707" t="s">
        <v>11151</v>
      </c>
      <c r="AO3707" t="s">
        <v>11153</v>
      </c>
      <c r="AQ3707" t="s">
        <v>11161</v>
      </c>
      <c r="AR3707" t="s">
        <v>11172</v>
      </c>
      <c r="AT3707" t="s">
        <v>11184</v>
      </c>
      <c r="AU3707">
        <v>0</v>
      </c>
      <c r="AW3707" t="s">
        <v>11187</v>
      </c>
      <c r="AZ3707" t="s">
        <v>11221</v>
      </c>
      <c r="BD3707" t="s">
        <v>11667</v>
      </c>
      <c r="BG3707" t="s">
        <v>15248</v>
      </c>
      <c r="BM3707" t="s">
        <v>15650</v>
      </c>
    </row>
    <row r="3708" spans="1:66">
      <c r="A3708" s="1">
        <f>HYPERLINK("https://lsnyc.legalserver.org/matter/dynamic-profile/view/1889220","19-1889220")</f>
        <v>0</v>
      </c>
      <c r="B3708" t="s">
        <v>199</v>
      </c>
      <c r="C3708" t="s">
        <v>248</v>
      </c>
      <c r="D3708" t="s">
        <v>1007</v>
      </c>
      <c r="F3708" t="s">
        <v>1196</v>
      </c>
      <c r="G3708" t="s">
        <v>4362</v>
      </c>
      <c r="H3708" t="s">
        <v>5952</v>
      </c>
      <c r="J3708" t="s">
        <v>7174</v>
      </c>
      <c r="K3708">
        <v>11226</v>
      </c>
      <c r="M3708" t="s">
        <v>7227</v>
      </c>
      <c r="N3708" t="s">
        <v>7237</v>
      </c>
      <c r="O3708" t="s">
        <v>9566</v>
      </c>
      <c r="P3708">
        <v>2</v>
      </c>
      <c r="Q3708">
        <v>1</v>
      </c>
      <c r="R3708">
        <v>761.84</v>
      </c>
      <c r="U3708">
        <v>162500</v>
      </c>
      <c r="W3708">
        <v>0.2</v>
      </c>
      <c r="X3708" t="s">
        <v>437</v>
      </c>
      <c r="Y3708" t="s">
        <v>81</v>
      </c>
      <c r="AA3708" t="s">
        <v>10974</v>
      </c>
      <c r="AB3708" t="s">
        <v>483</v>
      </c>
      <c r="AD3708" t="s">
        <v>11098</v>
      </c>
      <c r="AF3708" t="s">
        <v>11122</v>
      </c>
      <c r="AH3708" t="s">
        <v>10974</v>
      </c>
      <c r="AJ3708" t="s">
        <v>11130</v>
      </c>
      <c r="AK3708" t="s">
        <v>7225</v>
      </c>
      <c r="AM3708">
        <v>2937</v>
      </c>
      <c r="AO3708">
        <v>43</v>
      </c>
      <c r="AQ3708" t="s">
        <v>11157</v>
      </c>
      <c r="AR3708" t="s">
        <v>11172</v>
      </c>
      <c r="AU3708">
        <v>3</v>
      </c>
      <c r="AW3708" t="s">
        <v>11187</v>
      </c>
      <c r="BA3708" t="s">
        <v>11222</v>
      </c>
      <c r="BE3708" t="s">
        <v>13681</v>
      </c>
      <c r="BG3708" t="s">
        <v>15249</v>
      </c>
      <c r="BI3708" t="s">
        <v>15611</v>
      </c>
      <c r="BM3708" t="s">
        <v>15650</v>
      </c>
    </row>
    <row r="3709" spans="1:66">
      <c r="A3709" s="1">
        <f>HYPERLINK("https://lsnyc.legalserver.org/matter/dynamic-profile/view/1884563","18-1884563")</f>
        <v>0</v>
      </c>
      <c r="B3709" t="s">
        <v>199</v>
      </c>
      <c r="C3709" t="s">
        <v>248</v>
      </c>
      <c r="D3709" t="s">
        <v>684</v>
      </c>
      <c r="F3709" t="s">
        <v>2520</v>
      </c>
      <c r="G3709" t="s">
        <v>3591</v>
      </c>
      <c r="H3709" t="s">
        <v>5959</v>
      </c>
      <c r="I3709">
        <v>10</v>
      </c>
      <c r="J3709" t="s">
        <v>7174</v>
      </c>
      <c r="K3709">
        <v>11238</v>
      </c>
      <c r="N3709" t="s">
        <v>7237</v>
      </c>
      <c r="O3709" t="s">
        <v>9567</v>
      </c>
      <c r="P3709">
        <v>2</v>
      </c>
      <c r="Q3709">
        <v>0</v>
      </c>
      <c r="R3709">
        <v>1439.85</v>
      </c>
      <c r="U3709">
        <v>255000</v>
      </c>
      <c r="V3709" t="s">
        <v>10725</v>
      </c>
      <c r="W3709">
        <v>1.26</v>
      </c>
      <c r="X3709" t="s">
        <v>337</v>
      </c>
      <c r="Y3709" t="s">
        <v>10912</v>
      </c>
      <c r="Z3709" t="s">
        <v>10972</v>
      </c>
      <c r="AA3709" t="s">
        <v>10976</v>
      </c>
      <c r="AD3709" t="s">
        <v>11090</v>
      </c>
      <c r="AF3709" t="s">
        <v>11120</v>
      </c>
      <c r="AG3709" t="s">
        <v>11124</v>
      </c>
      <c r="AI3709" t="s">
        <v>11126</v>
      </c>
      <c r="AK3709" t="s">
        <v>7225</v>
      </c>
      <c r="AL3709" t="s">
        <v>11150</v>
      </c>
      <c r="AM3709">
        <v>0</v>
      </c>
      <c r="AN3709" t="s">
        <v>11151</v>
      </c>
      <c r="AO3709" t="s">
        <v>11153</v>
      </c>
      <c r="AQ3709" t="s">
        <v>11157</v>
      </c>
      <c r="AR3709" t="s">
        <v>11172</v>
      </c>
      <c r="AT3709" t="s">
        <v>11184</v>
      </c>
      <c r="AU3709">
        <v>0</v>
      </c>
      <c r="AW3709" t="s">
        <v>11187</v>
      </c>
      <c r="AX3709" t="s">
        <v>11212</v>
      </c>
      <c r="AZ3709" t="s">
        <v>11221</v>
      </c>
      <c r="BD3709" t="s">
        <v>11667</v>
      </c>
      <c r="BF3709" t="s">
        <v>14364</v>
      </c>
      <c r="BM3709" t="s">
        <v>15650</v>
      </c>
    </row>
    <row r="3710" spans="1:66">
      <c r="A3710" s="1">
        <f>HYPERLINK("https://lsnyc.legalserver.org/matter/dynamic-profile/view/1896453","19-1896453")</f>
        <v>0</v>
      </c>
      <c r="B3710" t="s">
        <v>199</v>
      </c>
      <c r="C3710" t="s">
        <v>248</v>
      </c>
      <c r="D3710" t="s">
        <v>412</v>
      </c>
      <c r="F3710" t="s">
        <v>1417</v>
      </c>
      <c r="G3710" t="s">
        <v>4363</v>
      </c>
      <c r="H3710" t="s">
        <v>5960</v>
      </c>
      <c r="I3710" t="s">
        <v>7040</v>
      </c>
      <c r="J3710" t="s">
        <v>7174</v>
      </c>
      <c r="K3710">
        <v>11206</v>
      </c>
      <c r="N3710" t="s">
        <v>7241</v>
      </c>
      <c r="O3710" t="s">
        <v>9568</v>
      </c>
      <c r="P3710">
        <v>2</v>
      </c>
      <c r="Q3710">
        <v>0</v>
      </c>
      <c r="R3710">
        <v>73.8</v>
      </c>
      <c r="U3710">
        <v>12480</v>
      </c>
      <c r="W3710">
        <v>17.9</v>
      </c>
      <c r="X3710" t="s">
        <v>436</v>
      </c>
      <c r="Y3710" t="s">
        <v>212</v>
      </c>
      <c r="AA3710" t="s">
        <v>10974</v>
      </c>
      <c r="AB3710" t="s">
        <v>412</v>
      </c>
      <c r="AC3710" t="s">
        <v>11081</v>
      </c>
      <c r="AF3710" t="s">
        <v>11120</v>
      </c>
      <c r="AG3710" t="s">
        <v>11124</v>
      </c>
      <c r="AI3710" t="s">
        <v>11126</v>
      </c>
      <c r="AK3710" t="s">
        <v>7225</v>
      </c>
      <c r="AL3710" t="s">
        <v>11150</v>
      </c>
      <c r="AM3710">
        <v>0</v>
      </c>
      <c r="AN3710" t="s">
        <v>11151</v>
      </c>
      <c r="AO3710" t="s">
        <v>11153</v>
      </c>
      <c r="AQ3710" t="s">
        <v>11166</v>
      </c>
      <c r="AS3710" t="s">
        <v>11104</v>
      </c>
      <c r="AT3710" t="s">
        <v>11184</v>
      </c>
      <c r="AU3710">
        <v>0</v>
      </c>
      <c r="AW3710" t="s">
        <v>11187</v>
      </c>
      <c r="BA3710" t="s">
        <v>11222</v>
      </c>
      <c r="BB3710" t="s">
        <v>11224</v>
      </c>
      <c r="BC3710" t="s">
        <v>11547</v>
      </c>
      <c r="BE3710" t="s">
        <v>13682</v>
      </c>
      <c r="BF3710" t="s">
        <v>14364</v>
      </c>
      <c r="BM3710" t="s">
        <v>15650</v>
      </c>
    </row>
    <row r="3711" spans="1:66">
      <c r="A3711" s="1">
        <f>HYPERLINK("https://lsnyc.legalserver.org/matter/dynamic-profile/view/1874240","18-1874240")</f>
        <v>0</v>
      </c>
      <c r="B3711" t="s">
        <v>199</v>
      </c>
      <c r="C3711" t="s">
        <v>248</v>
      </c>
      <c r="D3711" t="s">
        <v>897</v>
      </c>
      <c r="F3711" t="s">
        <v>1160</v>
      </c>
      <c r="G3711" t="s">
        <v>4358</v>
      </c>
      <c r="H3711" t="s">
        <v>5953</v>
      </c>
      <c r="I3711">
        <v>415</v>
      </c>
      <c r="J3711" t="s">
        <v>7174</v>
      </c>
      <c r="K3711">
        <v>11225</v>
      </c>
      <c r="N3711" t="s">
        <v>7237</v>
      </c>
      <c r="O3711" t="s">
        <v>9560</v>
      </c>
      <c r="P3711">
        <v>2</v>
      </c>
      <c r="Q3711">
        <v>0</v>
      </c>
      <c r="R3711">
        <v>68.17</v>
      </c>
      <c r="U3711">
        <v>11220</v>
      </c>
      <c r="W3711">
        <v>1.7</v>
      </c>
      <c r="X3711" t="s">
        <v>590</v>
      </c>
      <c r="Y3711" t="s">
        <v>10909</v>
      </c>
      <c r="AA3711" t="s">
        <v>10974</v>
      </c>
      <c r="AB3711" t="s">
        <v>729</v>
      </c>
      <c r="AD3711" t="s">
        <v>11090</v>
      </c>
      <c r="AF3711" t="s">
        <v>11120</v>
      </c>
      <c r="AH3711" t="s">
        <v>10975</v>
      </c>
      <c r="AJ3711" t="s">
        <v>11141</v>
      </c>
      <c r="AK3711" t="s">
        <v>7225</v>
      </c>
      <c r="AM3711">
        <v>257.3</v>
      </c>
      <c r="AO3711">
        <v>42</v>
      </c>
      <c r="AQ3711" t="s">
        <v>11157</v>
      </c>
      <c r="AS3711" t="s">
        <v>11174</v>
      </c>
      <c r="AU3711">
        <v>28</v>
      </c>
      <c r="AW3711" t="s">
        <v>11187</v>
      </c>
      <c r="AZ3711" t="s">
        <v>11221</v>
      </c>
      <c r="BD3711" t="s">
        <v>11667</v>
      </c>
      <c r="BF3711" t="s">
        <v>14364</v>
      </c>
      <c r="BM3711" t="s">
        <v>15650</v>
      </c>
    </row>
    <row r="3712" spans="1:66">
      <c r="A3712" s="1">
        <f>HYPERLINK("https://lsnyc.legalserver.org/matter/dynamic-profile/view/1899097","19-1899097")</f>
        <v>0</v>
      </c>
      <c r="B3712" t="s">
        <v>199</v>
      </c>
      <c r="C3712" t="s">
        <v>248</v>
      </c>
      <c r="D3712" t="s">
        <v>880</v>
      </c>
      <c r="F3712" t="s">
        <v>2521</v>
      </c>
      <c r="G3712" t="s">
        <v>4364</v>
      </c>
      <c r="H3712" t="s">
        <v>5961</v>
      </c>
      <c r="I3712" t="s">
        <v>6795</v>
      </c>
      <c r="J3712" t="s">
        <v>7174</v>
      </c>
      <c r="K3712">
        <v>11226</v>
      </c>
      <c r="N3712" t="s">
        <v>7237</v>
      </c>
      <c r="O3712" t="s">
        <v>9569</v>
      </c>
      <c r="P3712">
        <v>2</v>
      </c>
      <c r="Q3712">
        <v>0</v>
      </c>
      <c r="R3712">
        <v>390.3</v>
      </c>
      <c r="S3712" t="s">
        <v>512</v>
      </c>
      <c r="T3712" t="s">
        <v>10276</v>
      </c>
      <c r="U3712">
        <v>66000</v>
      </c>
      <c r="W3712">
        <v>28</v>
      </c>
      <c r="X3712" t="s">
        <v>262</v>
      </c>
      <c r="Y3712" t="s">
        <v>81</v>
      </c>
      <c r="AA3712" t="s">
        <v>10974</v>
      </c>
      <c r="AB3712" t="s">
        <v>880</v>
      </c>
      <c r="AD3712" t="s">
        <v>11100</v>
      </c>
      <c r="AF3712" t="s">
        <v>11120</v>
      </c>
      <c r="AH3712" t="s">
        <v>10974</v>
      </c>
      <c r="AJ3712" t="s">
        <v>11129</v>
      </c>
      <c r="AK3712" t="s">
        <v>7225</v>
      </c>
      <c r="AL3712" t="s">
        <v>11150</v>
      </c>
      <c r="AM3712">
        <v>0</v>
      </c>
      <c r="AO3712">
        <v>32</v>
      </c>
      <c r="AQ3712" t="s">
        <v>11157</v>
      </c>
      <c r="AR3712" t="s">
        <v>11172</v>
      </c>
      <c r="AT3712" t="s">
        <v>11184</v>
      </c>
      <c r="AU3712">
        <v>0</v>
      </c>
      <c r="AW3712" t="s">
        <v>11187</v>
      </c>
      <c r="AY3712" t="s">
        <v>11213</v>
      </c>
      <c r="BA3712" t="s">
        <v>11222</v>
      </c>
      <c r="BE3712" t="s">
        <v>13683</v>
      </c>
      <c r="BF3712" t="s">
        <v>14364</v>
      </c>
      <c r="BM3712" t="s">
        <v>15650</v>
      </c>
    </row>
    <row r="3713" spans="1:67">
      <c r="A3713" s="1">
        <f>HYPERLINK("https://lsnyc.legalserver.org/matter/dynamic-profile/view/1884554","18-1884554")</f>
        <v>0</v>
      </c>
      <c r="B3713" t="s">
        <v>199</v>
      </c>
      <c r="C3713" t="s">
        <v>248</v>
      </c>
      <c r="D3713" t="s">
        <v>684</v>
      </c>
      <c r="F3713" t="s">
        <v>2522</v>
      </c>
      <c r="G3713" t="s">
        <v>3591</v>
      </c>
      <c r="H3713" t="s">
        <v>5959</v>
      </c>
      <c r="I3713">
        <v>10</v>
      </c>
      <c r="J3713" t="s">
        <v>7174</v>
      </c>
      <c r="K3713">
        <v>11238</v>
      </c>
      <c r="N3713" t="s">
        <v>7237</v>
      </c>
      <c r="O3713" t="s">
        <v>9567</v>
      </c>
      <c r="P3713">
        <v>2</v>
      </c>
      <c r="Q3713">
        <v>0</v>
      </c>
      <c r="R3713">
        <v>1439.85</v>
      </c>
      <c r="U3713">
        <v>255000</v>
      </c>
      <c r="W3713">
        <v>1.1</v>
      </c>
      <c r="X3713" t="s">
        <v>570</v>
      </c>
      <c r="Y3713" t="s">
        <v>10912</v>
      </c>
      <c r="Z3713" t="s">
        <v>10972</v>
      </c>
      <c r="AA3713" t="s">
        <v>10976</v>
      </c>
      <c r="AB3713" t="s">
        <v>11000</v>
      </c>
      <c r="AC3713" t="s">
        <v>11081</v>
      </c>
      <c r="AF3713" t="s">
        <v>11120</v>
      </c>
      <c r="AG3713" t="s">
        <v>11124</v>
      </c>
      <c r="AI3713" t="s">
        <v>11126</v>
      </c>
      <c r="AK3713" t="s">
        <v>7225</v>
      </c>
      <c r="AL3713" t="s">
        <v>11150</v>
      </c>
      <c r="AM3713">
        <v>0</v>
      </c>
      <c r="AN3713" t="s">
        <v>11151</v>
      </c>
      <c r="AO3713" t="s">
        <v>11153</v>
      </c>
      <c r="AQ3713" t="s">
        <v>11157</v>
      </c>
      <c r="AR3713" t="s">
        <v>11172</v>
      </c>
      <c r="AT3713" t="s">
        <v>11184</v>
      </c>
      <c r="AU3713">
        <v>0</v>
      </c>
      <c r="AW3713" t="s">
        <v>11187</v>
      </c>
      <c r="AZ3713" t="s">
        <v>11221</v>
      </c>
      <c r="BD3713" t="s">
        <v>11667</v>
      </c>
      <c r="BF3713" t="s">
        <v>14364</v>
      </c>
      <c r="BM3713" t="s">
        <v>15650</v>
      </c>
    </row>
    <row r="3714" spans="1:67">
      <c r="A3714" s="1">
        <f>HYPERLINK("https://lsnyc.legalserver.org/matter/dynamic-profile/view/1901828","19-1901828")</f>
        <v>0</v>
      </c>
      <c r="B3714" t="s">
        <v>199</v>
      </c>
      <c r="C3714" t="s">
        <v>248</v>
      </c>
      <c r="D3714" t="s">
        <v>280</v>
      </c>
      <c r="F3714" t="s">
        <v>2523</v>
      </c>
      <c r="G3714" t="s">
        <v>4365</v>
      </c>
      <c r="H3714" t="s">
        <v>5962</v>
      </c>
      <c r="I3714" t="s">
        <v>7041</v>
      </c>
      <c r="J3714" t="s">
        <v>7174</v>
      </c>
      <c r="K3714">
        <v>11225</v>
      </c>
      <c r="N3714" t="s">
        <v>7237</v>
      </c>
      <c r="O3714" t="s">
        <v>9570</v>
      </c>
      <c r="P3714">
        <v>2</v>
      </c>
      <c r="Q3714">
        <v>0</v>
      </c>
      <c r="R3714">
        <v>214.67</v>
      </c>
      <c r="S3714" t="s">
        <v>470</v>
      </c>
      <c r="T3714" t="s">
        <v>10276</v>
      </c>
      <c r="U3714">
        <v>36300</v>
      </c>
      <c r="W3714">
        <v>4.2</v>
      </c>
      <c r="X3714" t="s">
        <v>332</v>
      </c>
      <c r="Y3714" t="s">
        <v>212</v>
      </c>
      <c r="AA3714" t="s">
        <v>10974</v>
      </c>
      <c r="AB3714" t="s">
        <v>311</v>
      </c>
      <c r="AD3714" t="s">
        <v>11088</v>
      </c>
      <c r="AF3714" t="s">
        <v>11120</v>
      </c>
      <c r="AH3714" t="s">
        <v>10975</v>
      </c>
      <c r="AI3714" t="s">
        <v>11126</v>
      </c>
      <c r="AK3714" t="s">
        <v>7225</v>
      </c>
      <c r="AL3714" t="s">
        <v>11150</v>
      </c>
      <c r="AM3714">
        <v>0</v>
      </c>
      <c r="AO3714">
        <v>21</v>
      </c>
      <c r="AP3714" t="s">
        <v>11155</v>
      </c>
      <c r="AR3714" t="s">
        <v>11172</v>
      </c>
      <c r="AT3714" t="s">
        <v>11184</v>
      </c>
      <c r="AU3714">
        <v>0</v>
      </c>
      <c r="AW3714" t="s">
        <v>11187</v>
      </c>
      <c r="BA3714" t="s">
        <v>11222</v>
      </c>
      <c r="BE3714" t="s">
        <v>13684</v>
      </c>
      <c r="BF3714" t="s">
        <v>14364</v>
      </c>
      <c r="BK3714" t="s">
        <v>11104</v>
      </c>
      <c r="BM3714" t="s">
        <v>15650</v>
      </c>
      <c r="BN3714" t="s">
        <v>15652</v>
      </c>
      <c r="BO3714" t="s">
        <v>15728</v>
      </c>
    </row>
    <row r="3715" spans="1:67">
      <c r="A3715" s="1">
        <f>HYPERLINK("https://lsnyc.legalserver.org/matter/dynamic-profile/view/1880365","18-1880365")</f>
        <v>0</v>
      </c>
      <c r="B3715" t="s">
        <v>199</v>
      </c>
      <c r="C3715" t="s">
        <v>248</v>
      </c>
      <c r="D3715" t="s">
        <v>465</v>
      </c>
      <c r="F3715" t="s">
        <v>2524</v>
      </c>
      <c r="G3715" t="s">
        <v>4366</v>
      </c>
      <c r="H3715" t="s">
        <v>5963</v>
      </c>
      <c r="I3715" t="s">
        <v>6527</v>
      </c>
      <c r="J3715" t="s">
        <v>7174</v>
      </c>
      <c r="K3715">
        <v>11238</v>
      </c>
      <c r="N3715" t="s">
        <v>7237</v>
      </c>
      <c r="O3715" t="s">
        <v>9571</v>
      </c>
      <c r="P3715">
        <v>3</v>
      </c>
      <c r="Q3715">
        <v>0</v>
      </c>
      <c r="R3715">
        <v>220.09</v>
      </c>
      <c r="S3715" t="s">
        <v>666</v>
      </c>
      <c r="T3715" t="s">
        <v>10276</v>
      </c>
      <c r="U3715">
        <v>45735</v>
      </c>
      <c r="W3715">
        <v>20.3</v>
      </c>
      <c r="X3715" t="s">
        <v>634</v>
      </c>
      <c r="Y3715" t="s">
        <v>212</v>
      </c>
      <c r="AA3715" t="s">
        <v>10974</v>
      </c>
      <c r="AB3715" t="s">
        <v>465</v>
      </c>
      <c r="AD3715" t="s">
        <v>11082</v>
      </c>
      <c r="AF3715" t="s">
        <v>11118</v>
      </c>
      <c r="AH3715" t="s">
        <v>10975</v>
      </c>
      <c r="AJ3715" t="s">
        <v>11135</v>
      </c>
      <c r="AK3715" t="s">
        <v>7225</v>
      </c>
      <c r="AL3715" t="s">
        <v>11150</v>
      </c>
      <c r="AM3715">
        <v>0</v>
      </c>
      <c r="AO3715">
        <v>20</v>
      </c>
      <c r="AQ3715" t="s">
        <v>11157</v>
      </c>
      <c r="AR3715" t="s">
        <v>11172</v>
      </c>
      <c r="AU3715">
        <v>34</v>
      </c>
      <c r="AW3715" t="s">
        <v>11187</v>
      </c>
      <c r="AY3715" t="s">
        <v>11215</v>
      </c>
      <c r="AZ3715" t="s">
        <v>11221</v>
      </c>
      <c r="BE3715" t="s">
        <v>13685</v>
      </c>
      <c r="BG3715" t="s">
        <v>15250</v>
      </c>
      <c r="BK3715" t="s">
        <v>15620</v>
      </c>
      <c r="BM3715" t="s">
        <v>15650</v>
      </c>
      <c r="BN3715" t="s">
        <v>15652</v>
      </c>
    </row>
    <row r="3716" spans="1:67">
      <c r="A3716" s="1">
        <f>HYPERLINK("https://lsnyc.legalserver.org/matter/dynamic-profile/view/1910716","19-1910716")</f>
        <v>0</v>
      </c>
      <c r="B3716" t="s">
        <v>199</v>
      </c>
      <c r="C3716" t="s">
        <v>248</v>
      </c>
      <c r="D3716" t="s">
        <v>327</v>
      </c>
      <c r="F3716" t="s">
        <v>1274</v>
      </c>
      <c r="G3716" t="s">
        <v>4367</v>
      </c>
      <c r="H3716" t="s">
        <v>5959</v>
      </c>
      <c r="I3716">
        <v>2</v>
      </c>
      <c r="J3716" t="s">
        <v>7174</v>
      </c>
      <c r="K3716">
        <v>11238</v>
      </c>
      <c r="N3716" t="s">
        <v>7237</v>
      </c>
      <c r="O3716" t="s">
        <v>9572</v>
      </c>
      <c r="P3716">
        <v>2</v>
      </c>
      <c r="Q3716">
        <v>0</v>
      </c>
      <c r="R3716">
        <v>123.83</v>
      </c>
      <c r="U3716">
        <v>20940</v>
      </c>
      <c r="W3716">
        <v>7.9</v>
      </c>
      <c r="X3716" t="s">
        <v>333</v>
      </c>
      <c r="Y3716" t="s">
        <v>212</v>
      </c>
      <c r="AA3716" t="s">
        <v>10974</v>
      </c>
      <c r="AB3716" t="s">
        <v>341</v>
      </c>
      <c r="AC3716" t="s">
        <v>11081</v>
      </c>
      <c r="AF3716" t="s">
        <v>11120</v>
      </c>
      <c r="AH3716" t="s">
        <v>10974</v>
      </c>
      <c r="AI3716" t="s">
        <v>11126</v>
      </c>
      <c r="AK3716" t="s">
        <v>7225</v>
      </c>
      <c r="AM3716">
        <v>939.46</v>
      </c>
      <c r="AO3716">
        <v>41</v>
      </c>
      <c r="AQ3716" t="s">
        <v>11157</v>
      </c>
      <c r="AR3716" t="s">
        <v>11172</v>
      </c>
      <c r="AT3716" t="s">
        <v>11184</v>
      </c>
      <c r="AU3716">
        <v>0</v>
      </c>
      <c r="AW3716" t="s">
        <v>11187</v>
      </c>
      <c r="BA3716" t="s">
        <v>11222</v>
      </c>
      <c r="BE3716" t="s">
        <v>13686</v>
      </c>
      <c r="BF3716" t="s">
        <v>14364</v>
      </c>
      <c r="BM3716" t="s">
        <v>15650</v>
      </c>
    </row>
    <row r="3717" spans="1:67">
      <c r="A3717" s="1">
        <f>HYPERLINK("https://lsnyc.legalserver.org/matter/dynamic-profile/view/1910248","19-1910248")</f>
        <v>0</v>
      </c>
      <c r="B3717" t="s">
        <v>199</v>
      </c>
      <c r="C3717" t="s">
        <v>248</v>
      </c>
      <c r="D3717" t="s">
        <v>976</v>
      </c>
      <c r="F3717" t="s">
        <v>1875</v>
      </c>
      <c r="G3717" t="s">
        <v>4368</v>
      </c>
      <c r="H3717" t="s">
        <v>5964</v>
      </c>
      <c r="I3717" t="s">
        <v>7042</v>
      </c>
      <c r="J3717" t="s">
        <v>7174</v>
      </c>
      <c r="K3717">
        <v>11238</v>
      </c>
      <c r="N3717" t="s">
        <v>7237</v>
      </c>
      <c r="O3717" t="s">
        <v>9573</v>
      </c>
      <c r="P3717">
        <v>1</v>
      </c>
      <c r="Q3717">
        <v>0</v>
      </c>
      <c r="R3717">
        <v>72.06</v>
      </c>
      <c r="U3717">
        <v>9000</v>
      </c>
      <c r="W3717">
        <v>14</v>
      </c>
      <c r="X3717" t="s">
        <v>264</v>
      </c>
      <c r="Y3717" t="s">
        <v>81</v>
      </c>
      <c r="AA3717" t="s">
        <v>10974</v>
      </c>
      <c r="AB3717" t="s">
        <v>976</v>
      </c>
      <c r="AD3717" t="s">
        <v>11082</v>
      </c>
      <c r="AF3717" t="s">
        <v>11118</v>
      </c>
      <c r="AH3717" t="s">
        <v>10974</v>
      </c>
      <c r="AJ3717" t="s">
        <v>11129</v>
      </c>
      <c r="AK3717" t="s">
        <v>7225</v>
      </c>
      <c r="AL3717" t="s">
        <v>11150</v>
      </c>
      <c r="AM3717">
        <v>0</v>
      </c>
      <c r="AO3717">
        <v>29</v>
      </c>
      <c r="AQ3717" t="s">
        <v>11157</v>
      </c>
      <c r="AR3717" t="s">
        <v>11172</v>
      </c>
      <c r="AT3717" t="s">
        <v>11184</v>
      </c>
      <c r="AU3717">
        <v>0</v>
      </c>
      <c r="AW3717" t="s">
        <v>11187</v>
      </c>
      <c r="AY3717" t="s">
        <v>11213</v>
      </c>
      <c r="BA3717" t="s">
        <v>11222</v>
      </c>
      <c r="BE3717" t="s">
        <v>13687</v>
      </c>
      <c r="BF3717" t="s">
        <v>14364</v>
      </c>
      <c r="BG3717" t="s">
        <v>15251</v>
      </c>
      <c r="BI3717" t="s">
        <v>15609</v>
      </c>
      <c r="BM3717" t="s">
        <v>15650</v>
      </c>
    </row>
    <row r="3718" spans="1:67">
      <c r="A3718" s="1">
        <f>HYPERLINK("https://lsnyc.legalserver.org/matter/dynamic-profile/view/1888758","19-1888758")</f>
        <v>0</v>
      </c>
      <c r="B3718" t="s">
        <v>199</v>
      </c>
      <c r="C3718" t="s">
        <v>248</v>
      </c>
      <c r="D3718" t="s">
        <v>587</v>
      </c>
      <c r="F3718" t="s">
        <v>1667</v>
      </c>
      <c r="G3718" t="s">
        <v>4369</v>
      </c>
      <c r="H3718" t="s">
        <v>5952</v>
      </c>
      <c r="I3718" t="s">
        <v>6410</v>
      </c>
      <c r="J3718" t="s">
        <v>7174</v>
      </c>
      <c r="K3718">
        <v>11226</v>
      </c>
      <c r="M3718" t="s">
        <v>7227</v>
      </c>
      <c r="N3718" t="s">
        <v>7237</v>
      </c>
      <c r="O3718" t="s">
        <v>7772</v>
      </c>
      <c r="P3718">
        <v>1</v>
      </c>
      <c r="Q3718">
        <v>0</v>
      </c>
      <c r="R3718">
        <v>331.18</v>
      </c>
      <c r="U3718">
        <v>41364.96</v>
      </c>
      <c r="W3718">
        <v>0.2</v>
      </c>
      <c r="X3718" t="s">
        <v>437</v>
      </c>
      <c r="Y3718" t="s">
        <v>81</v>
      </c>
      <c r="Z3718" t="s">
        <v>10973</v>
      </c>
      <c r="AA3718" t="s">
        <v>10975</v>
      </c>
      <c r="AB3718" t="s">
        <v>678</v>
      </c>
      <c r="AD3718" t="s">
        <v>11098</v>
      </c>
      <c r="AF3718" t="s">
        <v>11122</v>
      </c>
      <c r="AH3718" t="s">
        <v>10974</v>
      </c>
      <c r="AI3718" t="s">
        <v>11126</v>
      </c>
      <c r="AK3718" t="s">
        <v>7225</v>
      </c>
      <c r="AM3718">
        <v>904.1900000000001</v>
      </c>
      <c r="AN3718" t="s">
        <v>11151</v>
      </c>
      <c r="AO3718" t="s">
        <v>11153</v>
      </c>
      <c r="AP3718" t="s">
        <v>11155</v>
      </c>
      <c r="AR3718" t="s">
        <v>11172</v>
      </c>
      <c r="AU3718">
        <v>38</v>
      </c>
      <c r="AW3718" t="s">
        <v>11187</v>
      </c>
      <c r="AZ3718" t="s">
        <v>11221</v>
      </c>
      <c r="BD3718" t="s">
        <v>11667</v>
      </c>
      <c r="BF3718" t="s">
        <v>14364</v>
      </c>
      <c r="BM3718" t="s">
        <v>15650</v>
      </c>
    </row>
    <row r="3719" spans="1:67">
      <c r="A3719" s="1">
        <f>HYPERLINK("https://lsnyc.legalserver.org/matter/dynamic-profile/view/1896382","19-1896382")</f>
        <v>0</v>
      </c>
      <c r="B3719" t="s">
        <v>199</v>
      </c>
      <c r="C3719" t="s">
        <v>248</v>
      </c>
      <c r="D3719" t="s">
        <v>412</v>
      </c>
      <c r="F3719" t="s">
        <v>1738</v>
      </c>
      <c r="G3719" t="s">
        <v>4370</v>
      </c>
      <c r="H3719" t="s">
        <v>5965</v>
      </c>
      <c r="I3719" t="s">
        <v>6438</v>
      </c>
      <c r="J3719" t="s">
        <v>7174</v>
      </c>
      <c r="K3719">
        <v>11216</v>
      </c>
      <c r="N3719" t="s">
        <v>7237</v>
      </c>
      <c r="O3719" t="s">
        <v>8832</v>
      </c>
      <c r="P3719">
        <v>2</v>
      </c>
      <c r="Q3719">
        <v>7</v>
      </c>
      <c r="R3719">
        <v>67.51000000000001</v>
      </c>
      <c r="U3719">
        <v>32304</v>
      </c>
      <c r="W3719">
        <v>7.1</v>
      </c>
      <c r="X3719" t="s">
        <v>337</v>
      </c>
      <c r="Y3719" t="s">
        <v>199</v>
      </c>
      <c r="AA3719" t="s">
        <v>10974</v>
      </c>
      <c r="AB3719" t="s">
        <v>412</v>
      </c>
      <c r="AD3719" t="s">
        <v>11098</v>
      </c>
      <c r="AF3719" t="s">
        <v>11122</v>
      </c>
      <c r="AH3719" t="s">
        <v>10975</v>
      </c>
      <c r="AJ3719" t="s">
        <v>11129</v>
      </c>
      <c r="AK3719" t="s">
        <v>7225</v>
      </c>
      <c r="AM3719">
        <v>1414.37</v>
      </c>
      <c r="AO3719">
        <v>6</v>
      </c>
      <c r="AQ3719" t="s">
        <v>11157</v>
      </c>
      <c r="AR3719" t="s">
        <v>11172</v>
      </c>
      <c r="AU3719">
        <v>8</v>
      </c>
      <c r="AW3719" t="s">
        <v>11189</v>
      </c>
      <c r="AY3719" t="s">
        <v>11213</v>
      </c>
      <c r="AZ3719" t="s">
        <v>11221</v>
      </c>
      <c r="BC3719" t="s">
        <v>11548</v>
      </c>
      <c r="BE3719" t="s">
        <v>13688</v>
      </c>
      <c r="BF3719" t="s">
        <v>14364</v>
      </c>
      <c r="BM3719" t="s">
        <v>15650</v>
      </c>
    </row>
    <row r="3720" spans="1:67">
      <c r="A3720" s="1">
        <f>HYPERLINK("https://lsnyc.legalserver.org/matter/dynamic-profile/view/1910707","19-1910707")</f>
        <v>0</v>
      </c>
      <c r="B3720" t="s">
        <v>199</v>
      </c>
      <c r="C3720" t="s">
        <v>248</v>
      </c>
      <c r="D3720" t="s">
        <v>327</v>
      </c>
      <c r="F3720" t="s">
        <v>1295</v>
      </c>
      <c r="G3720" t="s">
        <v>2905</v>
      </c>
      <c r="H3720" t="s">
        <v>5966</v>
      </c>
      <c r="I3720" t="s">
        <v>6443</v>
      </c>
      <c r="J3720" t="s">
        <v>7174</v>
      </c>
      <c r="K3720">
        <v>11238</v>
      </c>
      <c r="N3720" t="s">
        <v>7237</v>
      </c>
      <c r="O3720" t="s">
        <v>9574</v>
      </c>
      <c r="P3720">
        <v>1</v>
      </c>
      <c r="Q3720">
        <v>0</v>
      </c>
      <c r="R3720">
        <v>112.09</v>
      </c>
      <c r="U3720">
        <v>14000</v>
      </c>
      <c r="W3720">
        <v>18.6</v>
      </c>
      <c r="X3720" t="s">
        <v>539</v>
      </c>
      <c r="Y3720" t="s">
        <v>212</v>
      </c>
      <c r="AA3720" t="s">
        <v>10974</v>
      </c>
      <c r="AB3720" t="s">
        <v>976</v>
      </c>
      <c r="AD3720" t="s">
        <v>11082</v>
      </c>
      <c r="AF3720" t="s">
        <v>11118</v>
      </c>
      <c r="AH3720" t="s">
        <v>10974</v>
      </c>
      <c r="AJ3720" t="s">
        <v>11129</v>
      </c>
      <c r="AK3720" t="s">
        <v>7225</v>
      </c>
      <c r="AM3720">
        <v>935.79</v>
      </c>
      <c r="AO3720">
        <v>38</v>
      </c>
      <c r="AQ3720" t="s">
        <v>11157</v>
      </c>
      <c r="AR3720" t="s">
        <v>11172</v>
      </c>
      <c r="AU3720">
        <v>7</v>
      </c>
      <c r="AW3720" t="s">
        <v>11187</v>
      </c>
      <c r="AY3720" t="s">
        <v>11213</v>
      </c>
      <c r="BA3720" t="s">
        <v>11222</v>
      </c>
      <c r="BD3720" t="s">
        <v>11667</v>
      </c>
      <c r="BF3720" t="s">
        <v>14364</v>
      </c>
      <c r="BG3720" t="s">
        <v>15252</v>
      </c>
      <c r="BM3720" t="s">
        <v>15650</v>
      </c>
    </row>
    <row r="3721" spans="1:67">
      <c r="A3721" s="1">
        <f>HYPERLINK("https://lsnyc.legalserver.org/matter/dynamic-profile/view/1910703","19-1910703")</f>
        <v>0</v>
      </c>
      <c r="B3721" t="s">
        <v>199</v>
      </c>
      <c r="C3721" t="s">
        <v>248</v>
      </c>
      <c r="D3721" t="s">
        <v>327</v>
      </c>
      <c r="F3721" t="s">
        <v>1517</v>
      </c>
      <c r="G3721" t="s">
        <v>4288</v>
      </c>
      <c r="H3721" t="s">
        <v>5967</v>
      </c>
      <c r="I3721" t="s">
        <v>6968</v>
      </c>
      <c r="J3721" t="s">
        <v>7207</v>
      </c>
      <c r="K3721">
        <v>11238</v>
      </c>
      <c r="N3721" t="s">
        <v>7237</v>
      </c>
      <c r="O3721" t="s">
        <v>9575</v>
      </c>
      <c r="P3721">
        <v>1</v>
      </c>
      <c r="Q3721">
        <v>0</v>
      </c>
      <c r="R3721">
        <v>74.08</v>
      </c>
      <c r="U3721">
        <v>9252</v>
      </c>
      <c r="W3721">
        <v>19</v>
      </c>
      <c r="X3721" t="s">
        <v>449</v>
      </c>
      <c r="Y3721" t="s">
        <v>212</v>
      </c>
      <c r="AA3721" t="s">
        <v>10974</v>
      </c>
      <c r="AB3721" t="s">
        <v>443</v>
      </c>
      <c r="AD3721" t="s">
        <v>11082</v>
      </c>
      <c r="AF3721" t="s">
        <v>11118</v>
      </c>
      <c r="AH3721" t="s">
        <v>10974</v>
      </c>
      <c r="AJ3721" t="s">
        <v>11129</v>
      </c>
      <c r="AK3721" t="s">
        <v>7225</v>
      </c>
      <c r="AM3721">
        <v>654.33</v>
      </c>
      <c r="AO3721">
        <v>29</v>
      </c>
      <c r="AQ3721" t="s">
        <v>11157</v>
      </c>
      <c r="AR3721" t="s">
        <v>11172</v>
      </c>
      <c r="AU3721">
        <v>44</v>
      </c>
      <c r="AW3721" t="s">
        <v>11187</v>
      </c>
      <c r="AY3721" t="s">
        <v>11213</v>
      </c>
      <c r="BA3721" t="s">
        <v>11222</v>
      </c>
      <c r="BE3721" t="s">
        <v>13689</v>
      </c>
      <c r="BG3721" t="s">
        <v>15253</v>
      </c>
      <c r="BI3721" t="s">
        <v>15609</v>
      </c>
      <c r="BM3721" t="s">
        <v>15650</v>
      </c>
    </row>
    <row r="3722" spans="1:67">
      <c r="A3722" s="1">
        <f>HYPERLINK("https://lsnyc.legalserver.org/matter/dynamic-profile/view/1884078","18-1884078")</f>
        <v>0</v>
      </c>
      <c r="B3722" t="s">
        <v>199</v>
      </c>
      <c r="C3722" t="s">
        <v>248</v>
      </c>
      <c r="D3722" t="s">
        <v>551</v>
      </c>
      <c r="F3722" t="s">
        <v>1139</v>
      </c>
      <c r="G3722" t="s">
        <v>4371</v>
      </c>
      <c r="H3722" t="s">
        <v>5952</v>
      </c>
      <c r="I3722" t="s">
        <v>6419</v>
      </c>
      <c r="J3722" t="s">
        <v>7174</v>
      </c>
      <c r="K3722">
        <v>11226</v>
      </c>
      <c r="M3722" t="s">
        <v>7227</v>
      </c>
      <c r="N3722" t="s">
        <v>7237</v>
      </c>
      <c r="O3722" t="s">
        <v>9576</v>
      </c>
      <c r="P3722">
        <v>2</v>
      </c>
      <c r="Q3722">
        <v>0</v>
      </c>
      <c r="R3722">
        <v>0</v>
      </c>
      <c r="U3722">
        <v>0</v>
      </c>
      <c r="W3722">
        <v>0.3</v>
      </c>
      <c r="X3722" t="s">
        <v>437</v>
      </c>
      <c r="Y3722" t="s">
        <v>81</v>
      </c>
      <c r="Z3722" t="s">
        <v>10973</v>
      </c>
      <c r="AA3722" t="s">
        <v>10975</v>
      </c>
      <c r="AB3722" t="s">
        <v>551</v>
      </c>
      <c r="AD3722" t="s">
        <v>11098</v>
      </c>
      <c r="AF3722" t="s">
        <v>11122</v>
      </c>
      <c r="AH3722" t="s">
        <v>10974</v>
      </c>
      <c r="AJ3722" t="s">
        <v>11134</v>
      </c>
      <c r="AK3722" t="s">
        <v>7225</v>
      </c>
      <c r="AM3722">
        <v>966.09</v>
      </c>
      <c r="AO3722">
        <v>43</v>
      </c>
      <c r="AQ3722" t="s">
        <v>11157</v>
      </c>
      <c r="AR3722" t="s">
        <v>11172</v>
      </c>
      <c r="AU3722">
        <v>17</v>
      </c>
      <c r="AW3722" t="s">
        <v>11187</v>
      </c>
      <c r="AY3722" t="s">
        <v>11213</v>
      </c>
      <c r="AZ3722" t="s">
        <v>11221</v>
      </c>
      <c r="BD3722" t="s">
        <v>11667</v>
      </c>
      <c r="BF3722" t="s">
        <v>14364</v>
      </c>
      <c r="BG3722" t="s">
        <v>15254</v>
      </c>
      <c r="BI3722" t="s">
        <v>15611</v>
      </c>
      <c r="BM3722" t="s">
        <v>15650</v>
      </c>
    </row>
    <row r="3723" spans="1:67">
      <c r="A3723" s="1">
        <f>HYPERLINK("https://lsnyc.legalserver.org/matter/dynamic-profile/view/1874458","18-1874458")</f>
        <v>0</v>
      </c>
      <c r="B3723" t="s">
        <v>199</v>
      </c>
      <c r="C3723" t="s">
        <v>248</v>
      </c>
      <c r="D3723" t="s">
        <v>876</v>
      </c>
      <c r="F3723" t="s">
        <v>2074</v>
      </c>
      <c r="G3723" t="s">
        <v>3293</v>
      </c>
      <c r="H3723" t="s">
        <v>5968</v>
      </c>
      <c r="I3723" t="s">
        <v>6870</v>
      </c>
      <c r="J3723" t="s">
        <v>7174</v>
      </c>
      <c r="K3723">
        <v>11226</v>
      </c>
      <c r="N3723" t="s">
        <v>7237</v>
      </c>
      <c r="O3723" t="s">
        <v>9577</v>
      </c>
      <c r="P3723">
        <v>2</v>
      </c>
      <c r="Q3723">
        <v>2</v>
      </c>
      <c r="R3723">
        <v>111.55</v>
      </c>
      <c r="U3723">
        <v>28000</v>
      </c>
      <c r="W3723">
        <v>0.7</v>
      </c>
      <c r="X3723" t="s">
        <v>337</v>
      </c>
      <c r="Y3723" t="s">
        <v>10909</v>
      </c>
      <c r="AA3723" t="s">
        <v>10974</v>
      </c>
      <c r="AB3723" t="s">
        <v>667</v>
      </c>
      <c r="AD3723" t="s">
        <v>11098</v>
      </c>
      <c r="AF3723" t="s">
        <v>11122</v>
      </c>
      <c r="AH3723" t="s">
        <v>10975</v>
      </c>
      <c r="AJ3723" t="s">
        <v>11134</v>
      </c>
      <c r="AK3723" t="s">
        <v>7225</v>
      </c>
      <c r="AM3723">
        <v>859.1900000000001</v>
      </c>
      <c r="AN3723" t="s">
        <v>11151</v>
      </c>
      <c r="AO3723" t="s">
        <v>11153</v>
      </c>
      <c r="AQ3723" t="s">
        <v>11157</v>
      </c>
      <c r="AS3723" t="s">
        <v>11173</v>
      </c>
      <c r="AU3723">
        <v>10</v>
      </c>
      <c r="AW3723" t="s">
        <v>11187</v>
      </c>
      <c r="BA3723" t="s">
        <v>11222</v>
      </c>
      <c r="BE3723" t="s">
        <v>13690</v>
      </c>
      <c r="BF3723" t="s">
        <v>14364</v>
      </c>
      <c r="BM3723" t="s">
        <v>15650</v>
      </c>
    </row>
    <row r="3724" spans="1:67">
      <c r="A3724" s="1">
        <f>HYPERLINK("https://lsnyc.legalserver.org/matter/dynamic-profile/view/1883160","18-1883160")</f>
        <v>0</v>
      </c>
      <c r="B3724" t="s">
        <v>199</v>
      </c>
      <c r="C3724" t="s">
        <v>248</v>
      </c>
      <c r="D3724" t="s">
        <v>616</v>
      </c>
      <c r="F3724" t="s">
        <v>2520</v>
      </c>
      <c r="G3724" t="s">
        <v>3591</v>
      </c>
      <c r="H3724" t="s">
        <v>5959</v>
      </c>
      <c r="I3724">
        <v>10</v>
      </c>
      <c r="J3724" t="s">
        <v>7174</v>
      </c>
      <c r="K3724">
        <v>11238</v>
      </c>
      <c r="N3724" t="s">
        <v>7237</v>
      </c>
      <c r="O3724" t="s">
        <v>9567</v>
      </c>
      <c r="P3724">
        <v>2</v>
      </c>
      <c r="Q3724">
        <v>0</v>
      </c>
      <c r="R3724">
        <v>236.94</v>
      </c>
      <c r="U3724">
        <v>39000</v>
      </c>
      <c r="W3724">
        <v>4.6</v>
      </c>
      <c r="X3724" t="s">
        <v>337</v>
      </c>
      <c r="Y3724" t="s">
        <v>199</v>
      </c>
      <c r="AA3724" t="s">
        <v>10974</v>
      </c>
      <c r="AB3724" t="s">
        <v>616</v>
      </c>
      <c r="AD3724" t="s">
        <v>11082</v>
      </c>
      <c r="AF3724" t="s">
        <v>11118</v>
      </c>
      <c r="AG3724" t="s">
        <v>11124</v>
      </c>
      <c r="AI3724" t="s">
        <v>11126</v>
      </c>
      <c r="AK3724" t="s">
        <v>7225</v>
      </c>
      <c r="AL3724" t="s">
        <v>11150</v>
      </c>
      <c r="AM3724">
        <v>0</v>
      </c>
      <c r="AN3724" t="s">
        <v>11151</v>
      </c>
      <c r="AO3724" t="s">
        <v>11153</v>
      </c>
      <c r="AP3724" t="s">
        <v>11155</v>
      </c>
      <c r="AR3724" t="s">
        <v>11172</v>
      </c>
      <c r="AT3724" t="s">
        <v>11184</v>
      </c>
      <c r="AU3724">
        <v>0</v>
      </c>
      <c r="AW3724" t="s">
        <v>11187</v>
      </c>
      <c r="BA3724" t="s">
        <v>11222</v>
      </c>
      <c r="BE3724" t="s">
        <v>13691</v>
      </c>
      <c r="BF3724" t="s">
        <v>14364</v>
      </c>
      <c r="BM3724" t="s">
        <v>15650</v>
      </c>
    </row>
    <row r="3725" spans="1:67">
      <c r="A3725" s="1">
        <f>HYPERLINK("https://lsnyc.legalserver.org/matter/dynamic-profile/view/1887085","19-1887085")</f>
        <v>0</v>
      </c>
      <c r="B3725" t="s">
        <v>199</v>
      </c>
      <c r="C3725" t="s">
        <v>248</v>
      </c>
      <c r="D3725" t="s">
        <v>785</v>
      </c>
      <c r="F3725" t="s">
        <v>1122</v>
      </c>
      <c r="G3725" t="s">
        <v>3408</v>
      </c>
      <c r="H3725" t="s">
        <v>5952</v>
      </c>
      <c r="J3725" t="s">
        <v>7174</v>
      </c>
      <c r="K3725">
        <v>11226</v>
      </c>
      <c r="M3725" t="s">
        <v>7227</v>
      </c>
      <c r="N3725" t="s">
        <v>7237</v>
      </c>
      <c r="O3725" t="s">
        <v>9578</v>
      </c>
      <c r="P3725">
        <v>1</v>
      </c>
      <c r="Q3725">
        <v>0</v>
      </c>
      <c r="R3725">
        <v>0</v>
      </c>
      <c r="U3725">
        <v>0</v>
      </c>
      <c r="W3725">
        <v>0.2</v>
      </c>
      <c r="X3725" t="s">
        <v>437</v>
      </c>
      <c r="Y3725" t="s">
        <v>81</v>
      </c>
      <c r="Z3725" t="s">
        <v>10973</v>
      </c>
      <c r="AA3725" t="s">
        <v>10975</v>
      </c>
      <c r="AB3725" t="s">
        <v>672</v>
      </c>
      <c r="AC3725" t="s">
        <v>11081</v>
      </c>
      <c r="AF3725" t="s">
        <v>11122</v>
      </c>
      <c r="AH3725" t="s">
        <v>10974</v>
      </c>
      <c r="AI3725" t="s">
        <v>11126</v>
      </c>
      <c r="AK3725" t="s">
        <v>7225</v>
      </c>
      <c r="AM3725">
        <v>945.2</v>
      </c>
      <c r="AN3725" t="s">
        <v>11151</v>
      </c>
      <c r="AO3725" t="s">
        <v>11153</v>
      </c>
      <c r="AP3725" t="s">
        <v>11155</v>
      </c>
      <c r="AR3725" t="s">
        <v>11172</v>
      </c>
      <c r="AU3725">
        <v>20</v>
      </c>
      <c r="AW3725" t="s">
        <v>11189</v>
      </c>
      <c r="AZ3725" t="s">
        <v>11221</v>
      </c>
      <c r="BD3725" t="s">
        <v>11667</v>
      </c>
      <c r="BF3725" t="s">
        <v>14364</v>
      </c>
      <c r="BM3725" t="s">
        <v>15650</v>
      </c>
    </row>
    <row r="3726" spans="1:67">
      <c r="A3726" s="1">
        <f>HYPERLINK("https://lsnyc.legalserver.org/matter/dynamic-profile/view/1900402","19-1900402")</f>
        <v>0</v>
      </c>
      <c r="B3726" t="s">
        <v>199</v>
      </c>
      <c r="C3726" t="s">
        <v>248</v>
      </c>
      <c r="D3726" t="s">
        <v>275</v>
      </c>
      <c r="F3726" t="s">
        <v>2523</v>
      </c>
      <c r="G3726" t="s">
        <v>4365</v>
      </c>
      <c r="H3726" t="s">
        <v>5962</v>
      </c>
      <c r="I3726" t="s">
        <v>7041</v>
      </c>
      <c r="J3726" t="s">
        <v>7174</v>
      </c>
      <c r="K3726">
        <v>11225</v>
      </c>
      <c r="N3726" t="s">
        <v>7237</v>
      </c>
      <c r="O3726" t="s">
        <v>9570</v>
      </c>
      <c r="P3726">
        <v>2</v>
      </c>
      <c r="Q3726">
        <v>0</v>
      </c>
      <c r="R3726">
        <v>214.67</v>
      </c>
      <c r="U3726">
        <v>36300</v>
      </c>
      <c r="W3726">
        <v>28.1</v>
      </c>
      <c r="X3726" t="s">
        <v>384</v>
      </c>
      <c r="Y3726" t="s">
        <v>212</v>
      </c>
      <c r="AA3726" t="s">
        <v>10974</v>
      </c>
      <c r="AB3726" t="s">
        <v>268</v>
      </c>
      <c r="AD3726" t="s">
        <v>11101</v>
      </c>
      <c r="AF3726" t="s">
        <v>11118</v>
      </c>
      <c r="AH3726" t="s">
        <v>10975</v>
      </c>
      <c r="AI3726" t="s">
        <v>11126</v>
      </c>
      <c r="AK3726" t="s">
        <v>7225</v>
      </c>
      <c r="AM3726">
        <v>693.5599999999999</v>
      </c>
      <c r="AO3726">
        <v>21</v>
      </c>
      <c r="AQ3726" t="s">
        <v>11157</v>
      </c>
      <c r="AR3726" t="s">
        <v>11172</v>
      </c>
      <c r="AU3726">
        <v>25</v>
      </c>
      <c r="AW3726" t="s">
        <v>11187</v>
      </c>
      <c r="AY3726" t="s">
        <v>11213</v>
      </c>
      <c r="BA3726" t="s">
        <v>11222</v>
      </c>
      <c r="BE3726" t="s">
        <v>13684</v>
      </c>
      <c r="BF3726" t="s">
        <v>14364</v>
      </c>
      <c r="BG3726" t="s">
        <v>15255</v>
      </c>
      <c r="BI3726" t="s">
        <v>15611</v>
      </c>
      <c r="BK3726" t="s">
        <v>11104</v>
      </c>
      <c r="BM3726" t="s">
        <v>15650</v>
      </c>
      <c r="BN3726" t="s">
        <v>15652</v>
      </c>
      <c r="BO3726" t="s">
        <v>15729</v>
      </c>
    </row>
    <row r="3727" spans="1:67">
      <c r="A3727" s="1">
        <f>HYPERLINK("https://lsnyc.legalserver.org/matter/dynamic-profile/view/1901561","19-1901561")</f>
        <v>0</v>
      </c>
      <c r="B3727" t="s">
        <v>199</v>
      </c>
      <c r="C3727" t="s">
        <v>248</v>
      </c>
      <c r="D3727" t="s">
        <v>701</v>
      </c>
      <c r="F3727" t="s">
        <v>2519</v>
      </c>
      <c r="G3727" t="s">
        <v>3509</v>
      </c>
      <c r="H3727" t="s">
        <v>5958</v>
      </c>
      <c r="J3727" t="s">
        <v>7174</v>
      </c>
      <c r="K3727">
        <v>11238</v>
      </c>
      <c r="N3727" t="s">
        <v>7237</v>
      </c>
      <c r="O3727" t="s">
        <v>9565</v>
      </c>
      <c r="P3727">
        <v>2</v>
      </c>
      <c r="Q3727">
        <v>1</v>
      </c>
      <c r="R3727">
        <v>187.53</v>
      </c>
      <c r="U3727">
        <v>40000</v>
      </c>
      <c r="W3727">
        <v>6.4</v>
      </c>
      <c r="X3727" t="s">
        <v>470</v>
      </c>
      <c r="Y3727" t="s">
        <v>212</v>
      </c>
      <c r="AA3727" t="s">
        <v>10974</v>
      </c>
      <c r="AB3727" t="s">
        <v>701</v>
      </c>
      <c r="AD3727" t="s">
        <v>11101</v>
      </c>
      <c r="AF3727" t="s">
        <v>11118</v>
      </c>
      <c r="AG3727" t="s">
        <v>11124</v>
      </c>
      <c r="AI3727" t="s">
        <v>11126</v>
      </c>
      <c r="AK3727" t="s">
        <v>7225</v>
      </c>
      <c r="AL3727" t="s">
        <v>11150</v>
      </c>
      <c r="AM3727">
        <v>0</v>
      </c>
      <c r="AN3727" t="s">
        <v>11151</v>
      </c>
      <c r="AO3727" t="s">
        <v>11153</v>
      </c>
      <c r="AP3727" t="s">
        <v>11155</v>
      </c>
      <c r="AR3727" t="s">
        <v>11172</v>
      </c>
      <c r="AT3727" t="s">
        <v>11184</v>
      </c>
      <c r="AU3727">
        <v>0</v>
      </c>
      <c r="AW3727" t="s">
        <v>11187</v>
      </c>
      <c r="BA3727" t="s">
        <v>11222</v>
      </c>
      <c r="BD3727" t="s">
        <v>11667</v>
      </c>
      <c r="BF3727" t="s">
        <v>14364</v>
      </c>
      <c r="BM3727" t="s">
        <v>15650</v>
      </c>
    </row>
    <row r="3728" spans="1:67">
      <c r="A3728" s="1">
        <f>HYPERLINK("https://lsnyc.legalserver.org/matter/dynamic-profile/view/1895629","19-1895629")</f>
        <v>0</v>
      </c>
      <c r="B3728" t="s">
        <v>199</v>
      </c>
      <c r="C3728" t="s">
        <v>248</v>
      </c>
      <c r="D3728" t="s">
        <v>602</v>
      </c>
      <c r="F3728" t="s">
        <v>1251</v>
      </c>
      <c r="G3728" t="s">
        <v>4372</v>
      </c>
      <c r="H3728" t="s">
        <v>5969</v>
      </c>
      <c r="I3728" t="s">
        <v>6947</v>
      </c>
      <c r="J3728" t="s">
        <v>7174</v>
      </c>
      <c r="K3728">
        <v>11217</v>
      </c>
      <c r="N3728" t="s">
        <v>7237</v>
      </c>
      <c r="O3728" t="s">
        <v>9579</v>
      </c>
      <c r="P3728">
        <v>1</v>
      </c>
      <c r="Q3728">
        <v>0</v>
      </c>
      <c r="R3728">
        <v>172.94</v>
      </c>
      <c r="U3728">
        <v>21600</v>
      </c>
      <c r="W3728">
        <v>8.1</v>
      </c>
      <c r="X3728" t="s">
        <v>433</v>
      </c>
      <c r="Y3728" t="s">
        <v>10909</v>
      </c>
      <c r="AA3728" t="s">
        <v>10974</v>
      </c>
      <c r="AB3728" t="s">
        <v>370</v>
      </c>
      <c r="AD3728" t="s">
        <v>11086</v>
      </c>
      <c r="AF3728" t="s">
        <v>11120</v>
      </c>
      <c r="AH3728" t="s">
        <v>10974</v>
      </c>
      <c r="AJ3728" t="s">
        <v>11134</v>
      </c>
      <c r="AK3728" t="s">
        <v>7225</v>
      </c>
      <c r="AM3728">
        <v>773.53</v>
      </c>
      <c r="AO3728">
        <v>8</v>
      </c>
      <c r="AQ3728" t="s">
        <v>11157</v>
      </c>
      <c r="AR3728" t="s">
        <v>11172</v>
      </c>
      <c r="AU3728">
        <v>20</v>
      </c>
      <c r="AW3728" t="s">
        <v>11187</v>
      </c>
      <c r="BA3728" t="s">
        <v>11222</v>
      </c>
      <c r="BD3728" t="s">
        <v>11667</v>
      </c>
      <c r="BF3728" t="s">
        <v>14364</v>
      </c>
      <c r="BM3728" t="s">
        <v>15650</v>
      </c>
    </row>
    <row r="3729" spans="1:67">
      <c r="A3729" s="1">
        <f>HYPERLINK("https://lsnyc.legalserver.org/matter/dynamic-profile/view/1901527","19-1901527")</f>
        <v>0</v>
      </c>
      <c r="B3729" t="s">
        <v>199</v>
      </c>
      <c r="C3729" t="s">
        <v>248</v>
      </c>
      <c r="D3729" t="s">
        <v>701</v>
      </c>
      <c r="F3729" t="s">
        <v>2524</v>
      </c>
      <c r="G3729" t="s">
        <v>4366</v>
      </c>
      <c r="H3729" t="s">
        <v>5963</v>
      </c>
      <c r="I3729" t="s">
        <v>6527</v>
      </c>
      <c r="J3729" t="s">
        <v>7174</v>
      </c>
      <c r="K3729">
        <v>11238</v>
      </c>
      <c r="N3729" t="s">
        <v>7237</v>
      </c>
      <c r="O3729" t="s">
        <v>9571</v>
      </c>
      <c r="P3729">
        <v>2</v>
      </c>
      <c r="Q3729">
        <v>0</v>
      </c>
      <c r="R3729">
        <v>396.83</v>
      </c>
      <c r="U3729">
        <v>67104</v>
      </c>
      <c r="W3729">
        <v>3.2</v>
      </c>
      <c r="X3729" t="s">
        <v>328</v>
      </c>
      <c r="Y3729" t="s">
        <v>212</v>
      </c>
      <c r="AA3729" t="s">
        <v>10974</v>
      </c>
      <c r="AB3729" t="s">
        <v>701</v>
      </c>
      <c r="AD3729" t="s">
        <v>11082</v>
      </c>
      <c r="AF3729" t="s">
        <v>11118</v>
      </c>
      <c r="AG3729" t="s">
        <v>11124</v>
      </c>
      <c r="AI3729" t="s">
        <v>11126</v>
      </c>
      <c r="AK3729" t="s">
        <v>7225</v>
      </c>
      <c r="AL3729" t="s">
        <v>11150</v>
      </c>
      <c r="AM3729">
        <v>0</v>
      </c>
      <c r="AN3729" t="s">
        <v>11151</v>
      </c>
      <c r="AO3729" t="s">
        <v>11153</v>
      </c>
      <c r="AP3729" t="s">
        <v>11155</v>
      </c>
      <c r="AR3729" t="s">
        <v>11172</v>
      </c>
      <c r="AT3729" t="s">
        <v>11184</v>
      </c>
      <c r="AU3729">
        <v>0</v>
      </c>
      <c r="AW3729" t="s">
        <v>11187</v>
      </c>
      <c r="AZ3729" t="s">
        <v>11221</v>
      </c>
      <c r="BE3729" t="s">
        <v>13685</v>
      </c>
      <c r="BF3729" t="s">
        <v>14364</v>
      </c>
      <c r="BG3729" t="s">
        <v>15256</v>
      </c>
      <c r="BI3729" t="s">
        <v>15611</v>
      </c>
      <c r="BK3729" t="s">
        <v>15620</v>
      </c>
      <c r="BM3729" t="s">
        <v>15650</v>
      </c>
      <c r="BN3729" t="s">
        <v>15652</v>
      </c>
      <c r="BO3729" t="s">
        <v>15654</v>
      </c>
    </row>
    <row r="3730" spans="1:67">
      <c r="A3730" s="1">
        <f>HYPERLINK("https://lsnyc.legalserver.org/matter/dynamic-profile/view/1889208","19-1889208")</f>
        <v>0</v>
      </c>
      <c r="B3730" t="s">
        <v>199</v>
      </c>
      <c r="C3730" t="s">
        <v>248</v>
      </c>
      <c r="D3730" t="s">
        <v>1007</v>
      </c>
      <c r="F3730" t="s">
        <v>1915</v>
      </c>
      <c r="G3730" t="s">
        <v>2814</v>
      </c>
      <c r="H3730" t="s">
        <v>5952</v>
      </c>
      <c r="J3730" t="s">
        <v>7174</v>
      </c>
      <c r="K3730">
        <v>11226</v>
      </c>
      <c r="M3730" t="s">
        <v>7227</v>
      </c>
      <c r="N3730" t="s">
        <v>7237</v>
      </c>
      <c r="O3730" t="s">
        <v>7772</v>
      </c>
      <c r="P3730">
        <v>1</v>
      </c>
      <c r="Q3730">
        <v>0</v>
      </c>
      <c r="R3730">
        <v>80.06</v>
      </c>
      <c r="U3730">
        <v>10000</v>
      </c>
      <c r="W3730">
        <v>0.2</v>
      </c>
      <c r="X3730" t="s">
        <v>437</v>
      </c>
      <c r="Y3730" t="s">
        <v>81</v>
      </c>
      <c r="Z3730" t="s">
        <v>10973</v>
      </c>
      <c r="AA3730" t="s">
        <v>10975</v>
      </c>
      <c r="AB3730" t="s">
        <v>946</v>
      </c>
      <c r="AC3730" t="s">
        <v>11081</v>
      </c>
      <c r="AF3730" t="s">
        <v>11122</v>
      </c>
      <c r="AH3730" t="s">
        <v>10974</v>
      </c>
      <c r="AI3730" t="s">
        <v>11126</v>
      </c>
      <c r="AK3730" t="s">
        <v>7225</v>
      </c>
      <c r="AM3730">
        <v>916</v>
      </c>
      <c r="AN3730" t="s">
        <v>11151</v>
      </c>
      <c r="AO3730" t="s">
        <v>11153</v>
      </c>
      <c r="AP3730" t="s">
        <v>11155</v>
      </c>
      <c r="AR3730" t="s">
        <v>11172</v>
      </c>
      <c r="AU3730">
        <v>33</v>
      </c>
      <c r="AW3730" t="s">
        <v>11187</v>
      </c>
      <c r="AZ3730" t="s">
        <v>11221</v>
      </c>
      <c r="BD3730" t="s">
        <v>11667</v>
      </c>
      <c r="BF3730" t="s">
        <v>14364</v>
      </c>
      <c r="BM3730" t="s">
        <v>15650</v>
      </c>
    </row>
    <row r="3731" spans="1:67">
      <c r="A3731" s="1">
        <f>HYPERLINK("https://lsnyc.legalserver.org/matter/dynamic-profile/view/1886645","18-1886645")</f>
        <v>0</v>
      </c>
      <c r="B3731" t="s">
        <v>199</v>
      </c>
      <c r="C3731" t="s">
        <v>248</v>
      </c>
      <c r="D3731" t="s">
        <v>922</v>
      </c>
      <c r="F3731" t="s">
        <v>2462</v>
      </c>
      <c r="G3731" t="s">
        <v>3338</v>
      </c>
      <c r="H3731" t="s">
        <v>5970</v>
      </c>
      <c r="I3731" t="s">
        <v>7043</v>
      </c>
      <c r="J3731" t="s">
        <v>7174</v>
      </c>
      <c r="K3731">
        <v>11216</v>
      </c>
      <c r="N3731" t="s">
        <v>7237</v>
      </c>
      <c r="O3731" t="s">
        <v>9580</v>
      </c>
      <c r="P3731">
        <v>3</v>
      </c>
      <c r="Q3731">
        <v>1</v>
      </c>
      <c r="R3731">
        <v>87.65000000000001</v>
      </c>
      <c r="U3731">
        <v>22000</v>
      </c>
      <c r="W3731">
        <v>4.7</v>
      </c>
      <c r="X3731" t="s">
        <v>548</v>
      </c>
      <c r="Y3731" t="s">
        <v>81</v>
      </c>
      <c r="AA3731" t="s">
        <v>10974</v>
      </c>
      <c r="AB3731" t="s">
        <v>922</v>
      </c>
      <c r="AD3731" t="s">
        <v>11086</v>
      </c>
      <c r="AF3731" t="s">
        <v>11120</v>
      </c>
      <c r="AH3731" t="s">
        <v>10975</v>
      </c>
      <c r="AJ3731" t="s">
        <v>11129</v>
      </c>
      <c r="AK3731" t="s">
        <v>7225</v>
      </c>
      <c r="AM3731">
        <v>1010</v>
      </c>
      <c r="AN3731" t="s">
        <v>11151</v>
      </c>
      <c r="AO3731" t="s">
        <v>11153</v>
      </c>
      <c r="AQ3731" t="s">
        <v>11157</v>
      </c>
      <c r="AR3731" t="s">
        <v>11172</v>
      </c>
      <c r="AU3731">
        <v>10</v>
      </c>
      <c r="AW3731" t="s">
        <v>11187</v>
      </c>
      <c r="BA3731" t="s">
        <v>11222</v>
      </c>
      <c r="BE3731" t="s">
        <v>13692</v>
      </c>
      <c r="BF3731" t="s">
        <v>14364</v>
      </c>
      <c r="BM3731" t="s">
        <v>15650</v>
      </c>
    </row>
    <row r="3732" spans="1:67">
      <c r="A3732" s="1">
        <f>HYPERLINK("https://lsnyc.legalserver.org/matter/dynamic-profile/view/1913835","19-1913835")</f>
        <v>0</v>
      </c>
      <c r="B3732" t="s">
        <v>199</v>
      </c>
      <c r="C3732" t="s">
        <v>248</v>
      </c>
      <c r="D3732" t="s">
        <v>735</v>
      </c>
      <c r="F3732" t="s">
        <v>2525</v>
      </c>
      <c r="G3732" t="s">
        <v>2912</v>
      </c>
      <c r="H3732" t="s">
        <v>5964</v>
      </c>
      <c r="I3732" t="s">
        <v>6405</v>
      </c>
      <c r="J3732" t="s">
        <v>7174</v>
      </c>
      <c r="K3732">
        <v>11238</v>
      </c>
      <c r="N3732" t="s">
        <v>7237</v>
      </c>
      <c r="O3732" t="s">
        <v>9581</v>
      </c>
      <c r="P3732">
        <v>2</v>
      </c>
      <c r="Q3732">
        <v>0</v>
      </c>
      <c r="R3732">
        <v>313.42</v>
      </c>
      <c r="U3732">
        <v>53000</v>
      </c>
      <c r="W3732">
        <v>0.5</v>
      </c>
      <c r="X3732" t="s">
        <v>735</v>
      </c>
      <c r="Y3732" t="s">
        <v>212</v>
      </c>
      <c r="AA3732" t="s">
        <v>10974</v>
      </c>
      <c r="AB3732" t="s">
        <v>735</v>
      </c>
      <c r="AC3732" t="s">
        <v>11081</v>
      </c>
      <c r="AF3732" t="s">
        <v>11118</v>
      </c>
      <c r="AH3732" t="s">
        <v>10974</v>
      </c>
      <c r="AJ3732" t="s">
        <v>11140</v>
      </c>
      <c r="AK3732" t="s">
        <v>7225</v>
      </c>
      <c r="AL3732" t="s">
        <v>11150</v>
      </c>
      <c r="AM3732">
        <v>0</v>
      </c>
      <c r="AO3732">
        <v>29</v>
      </c>
      <c r="AQ3732" t="s">
        <v>11157</v>
      </c>
      <c r="AR3732" t="s">
        <v>11172</v>
      </c>
      <c r="AT3732" t="s">
        <v>11184</v>
      </c>
      <c r="AU3732">
        <v>0</v>
      </c>
      <c r="AW3732" t="s">
        <v>11189</v>
      </c>
      <c r="AZ3732" t="s">
        <v>11221</v>
      </c>
      <c r="BD3732" t="s">
        <v>11667</v>
      </c>
      <c r="BF3732" t="s">
        <v>14364</v>
      </c>
      <c r="BM3732" t="s">
        <v>15650</v>
      </c>
    </row>
    <row r="3733" spans="1:67">
      <c r="A3733" s="1">
        <f>HYPERLINK("https://lsnyc.legalserver.org/matter/dynamic-profile/view/1907756","19-1907756")</f>
        <v>0</v>
      </c>
      <c r="B3733" t="s">
        <v>199</v>
      </c>
      <c r="C3733" t="s">
        <v>248</v>
      </c>
      <c r="D3733" t="s">
        <v>570</v>
      </c>
      <c r="F3733" t="s">
        <v>2526</v>
      </c>
      <c r="G3733" t="s">
        <v>4373</v>
      </c>
      <c r="H3733" t="s">
        <v>5971</v>
      </c>
      <c r="I3733" t="s">
        <v>7044</v>
      </c>
      <c r="J3733" t="s">
        <v>7174</v>
      </c>
      <c r="K3733">
        <v>11205</v>
      </c>
      <c r="N3733" t="s">
        <v>7237</v>
      </c>
      <c r="O3733" t="s">
        <v>9582</v>
      </c>
      <c r="P3733">
        <v>1</v>
      </c>
      <c r="Q3733">
        <v>1</v>
      </c>
      <c r="R3733">
        <v>192.03</v>
      </c>
      <c r="U3733">
        <v>32472</v>
      </c>
      <c r="V3733" t="s">
        <v>10726</v>
      </c>
      <c r="W3733">
        <v>0</v>
      </c>
      <c r="Y3733" t="s">
        <v>81</v>
      </c>
      <c r="Z3733" t="s">
        <v>10972</v>
      </c>
      <c r="AA3733" t="s">
        <v>10976</v>
      </c>
      <c r="AD3733" t="s">
        <v>11101</v>
      </c>
      <c r="AF3733" t="s">
        <v>11118</v>
      </c>
      <c r="AH3733" t="s">
        <v>10975</v>
      </c>
      <c r="AI3733" t="s">
        <v>11126</v>
      </c>
      <c r="AK3733" t="s">
        <v>7225</v>
      </c>
      <c r="AL3733" t="s">
        <v>11150</v>
      </c>
      <c r="AM3733">
        <v>0</v>
      </c>
      <c r="AO3733">
        <v>104</v>
      </c>
      <c r="AP3733" t="s">
        <v>11155</v>
      </c>
      <c r="AR3733" t="s">
        <v>11172</v>
      </c>
      <c r="AT3733" t="s">
        <v>11184</v>
      </c>
      <c r="AU3733">
        <v>0</v>
      </c>
      <c r="AW3733" t="s">
        <v>11187</v>
      </c>
      <c r="AX3733" t="s">
        <v>11212</v>
      </c>
      <c r="AZ3733" t="s">
        <v>11221</v>
      </c>
      <c r="BE3733" t="s">
        <v>13693</v>
      </c>
      <c r="BF3733" t="s">
        <v>14364</v>
      </c>
      <c r="BM3733" t="s">
        <v>15650</v>
      </c>
    </row>
    <row r="3734" spans="1:67">
      <c r="A3734" s="1">
        <f>HYPERLINK("https://lsnyc.legalserver.org/matter/dynamic-profile/view/1899041","19-1899041")</f>
        <v>0</v>
      </c>
      <c r="B3734" t="s">
        <v>199</v>
      </c>
      <c r="C3734" t="s">
        <v>248</v>
      </c>
      <c r="D3734" t="s">
        <v>608</v>
      </c>
      <c r="F3734" t="s">
        <v>1394</v>
      </c>
      <c r="G3734" t="s">
        <v>3180</v>
      </c>
      <c r="H3734" t="s">
        <v>5966</v>
      </c>
      <c r="I3734" t="s">
        <v>6923</v>
      </c>
      <c r="J3734" t="s">
        <v>7174</v>
      </c>
      <c r="K3734">
        <v>11238</v>
      </c>
      <c r="N3734" t="s">
        <v>7237</v>
      </c>
      <c r="O3734" t="s">
        <v>9583</v>
      </c>
      <c r="P3734">
        <v>3</v>
      </c>
      <c r="Q3734">
        <v>0</v>
      </c>
      <c r="R3734">
        <v>0</v>
      </c>
      <c r="U3734">
        <v>0</v>
      </c>
      <c r="W3734">
        <v>32.6</v>
      </c>
      <c r="X3734" t="s">
        <v>426</v>
      </c>
      <c r="Y3734" t="s">
        <v>199</v>
      </c>
      <c r="AA3734" t="s">
        <v>10974</v>
      </c>
      <c r="AB3734" t="s">
        <v>608</v>
      </c>
      <c r="AD3734" t="s">
        <v>11090</v>
      </c>
      <c r="AF3734" t="s">
        <v>11120</v>
      </c>
      <c r="AH3734" t="s">
        <v>10975</v>
      </c>
      <c r="AJ3734" t="s">
        <v>11129</v>
      </c>
      <c r="AK3734" t="s">
        <v>7225</v>
      </c>
      <c r="AM3734">
        <v>608.28</v>
      </c>
      <c r="AO3734">
        <v>38</v>
      </c>
      <c r="AQ3734" t="s">
        <v>11157</v>
      </c>
      <c r="AS3734" t="s">
        <v>11173</v>
      </c>
      <c r="AU3734">
        <v>30</v>
      </c>
      <c r="AW3734" t="s">
        <v>11187</v>
      </c>
      <c r="AY3734" t="s">
        <v>11213</v>
      </c>
      <c r="AZ3734" t="s">
        <v>11221</v>
      </c>
      <c r="BE3734" t="s">
        <v>13694</v>
      </c>
      <c r="BF3734" t="s">
        <v>14364</v>
      </c>
      <c r="BM3734" t="s">
        <v>15650</v>
      </c>
    </row>
    <row r="3735" spans="1:67">
      <c r="A3735" s="1">
        <f>HYPERLINK("https://lsnyc.legalserver.org/matter/dynamic-profile/view/1890777","19-1890777")</f>
        <v>0</v>
      </c>
      <c r="B3735" t="s">
        <v>199</v>
      </c>
      <c r="C3735" t="s">
        <v>248</v>
      </c>
      <c r="D3735" t="s">
        <v>367</v>
      </c>
      <c r="F3735" t="s">
        <v>1258</v>
      </c>
      <c r="G3735" t="s">
        <v>4374</v>
      </c>
      <c r="H3735" t="s">
        <v>5972</v>
      </c>
      <c r="I3735" t="s">
        <v>6876</v>
      </c>
      <c r="J3735" t="s">
        <v>7174</v>
      </c>
      <c r="K3735">
        <v>11226</v>
      </c>
      <c r="N3735" t="s">
        <v>7237</v>
      </c>
      <c r="O3735" t="s">
        <v>9584</v>
      </c>
      <c r="P3735">
        <v>3</v>
      </c>
      <c r="Q3735">
        <v>0</v>
      </c>
      <c r="R3735">
        <v>22.62</v>
      </c>
      <c r="U3735">
        <v>4824</v>
      </c>
      <c r="W3735">
        <v>42.9</v>
      </c>
      <c r="X3735" t="s">
        <v>735</v>
      </c>
      <c r="Y3735" t="s">
        <v>10960</v>
      </c>
      <c r="AA3735" t="s">
        <v>10974</v>
      </c>
      <c r="AB3735" t="s">
        <v>382</v>
      </c>
      <c r="AD3735" t="s">
        <v>11086</v>
      </c>
      <c r="AF3735" t="s">
        <v>11120</v>
      </c>
      <c r="AH3735" t="s">
        <v>10975</v>
      </c>
      <c r="AJ3735" t="s">
        <v>11141</v>
      </c>
      <c r="AK3735" t="s">
        <v>7225</v>
      </c>
      <c r="AM3735">
        <v>1158.36</v>
      </c>
      <c r="AO3735">
        <v>80</v>
      </c>
      <c r="AQ3735" t="s">
        <v>11157</v>
      </c>
      <c r="AR3735" t="s">
        <v>11172</v>
      </c>
      <c r="AU3735">
        <v>25</v>
      </c>
      <c r="AV3735" t="s">
        <v>11186</v>
      </c>
      <c r="BA3735" t="s">
        <v>11222</v>
      </c>
      <c r="BE3735" t="s">
        <v>13695</v>
      </c>
      <c r="BF3735" t="s">
        <v>14364</v>
      </c>
      <c r="BK3735" t="s">
        <v>15643</v>
      </c>
      <c r="BM3735" t="s">
        <v>15650</v>
      </c>
      <c r="BN3735" t="s">
        <v>15652</v>
      </c>
    </row>
    <row r="3736" spans="1:67">
      <c r="A3736" s="1">
        <f>HYPERLINK("https://lsnyc.legalserver.org/matter/dynamic-profile/view/1912384","19-1912384")</f>
        <v>0</v>
      </c>
      <c r="B3736" t="s">
        <v>199</v>
      </c>
      <c r="C3736" t="s">
        <v>248</v>
      </c>
      <c r="D3736" t="s">
        <v>737</v>
      </c>
      <c r="F3736" t="s">
        <v>2527</v>
      </c>
      <c r="G3736" t="s">
        <v>3229</v>
      </c>
      <c r="H3736" t="s">
        <v>5964</v>
      </c>
      <c r="I3736" t="s">
        <v>6485</v>
      </c>
      <c r="J3736" t="s">
        <v>7174</v>
      </c>
      <c r="K3736">
        <v>11238</v>
      </c>
      <c r="N3736" t="s">
        <v>7237</v>
      </c>
      <c r="O3736" t="s">
        <v>9585</v>
      </c>
      <c r="P3736">
        <v>1</v>
      </c>
      <c r="Q3736">
        <v>1</v>
      </c>
      <c r="R3736">
        <v>0</v>
      </c>
      <c r="U3736">
        <v>0</v>
      </c>
      <c r="W3736">
        <v>5.2</v>
      </c>
      <c r="X3736" t="s">
        <v>436</v>
      </c>
      <c r="Y3736" t="s">
        <v>81</v>
      </c>
      <c r="AA3736" t="s">
        <v>10974</v>
      </c>
      <c r="AB3736" t="s">
        <v>737</v>
      </c>
      <c r="AD3736" t="s">
        <v>11082</v>
      </c>
      <c r="AF3736" t="s">
        <v>11118</v>
      </c>
      <c r="AH3736" t="s">
        <v>10975</v>
      </c>
      <c r="AI3736" t="s">
        <v>11126</v>
      </c>
      <c r="AK3736" t="s">
        <v>7225</v>
      </c>
      <c r="AM3736">
        <v>989.25</v>
      </c>
      <c r="AO3736">
        <v>29</v>
      </c>
      <c r="AP3736" t="s">
        <v>11155</v>
      </c>
      <c r="AS3736" t="s">
        <v>11176</v>
      </c>
      <c r="AU3736">
        <v>10</v>
      </c>
      <c r="AW3736" t="s">
        <v>11187</v>
      </c>
      <c r="BA3736" t="s">
        <v>11222</v>
      </c>
      <c r="BE3736" t="s">
        <v>13696</v>
      </c>
      <c r="BF3736" t="s">
        <v>14364</v>
      </c>
      <c r="BM3736" t="s">
        <v>15650</v>
      </c>
    </row>
    <row r="3737" spans="1:67">
      <c r="A3737" s="1">
        <f>HYPERLINK("https://lsnyc.legalserver.org/matter/dynamic-profile/view/1910906","19-1910906")</f>
        <v>0</v>
      </c>
      <c r="B3737" t="s">
        <v>199</v>
      </c>
      <c r="C3737" t="s">
        <v>248</v>
      </c>
      <c r="D3737" t="s">
        <v>384</v>
      </c>
      <c r="F3737" t="s">
        <v>2528</v>
      </c>
      <c r="G3737" t="s">
        <v>4375</v>
      </c>
      <c r="J3737" t="s">
        <v>7174</v>
      </c>
      <c r="K3737">
        <v>11238</v>
      </c>
      <c r="N3737" t="s">
        <v>7237</v>
      </c>
      <c r="O3737" t="s">
        <v>9586</v>
      </c>
      <c r="P3737">
        <v>1</v>
      </c>
      <c r="Q3737">
        <v>0</v>
      </c>
      <c r="R3737">
        <v>0</v>
      </c>
      <c r="U3737">
        <v>0</v>
      </c>
      <c r="W3737">
        <v>3</v>
      </c>
      <c r="X3737" t="s">
        <v>327</v>
      </c>
      <c r="Y3737" t="s">
        <v>199</v>
      </c>
      <c r="AA3737" t="s">
        <v>10974</v>
      </c>
      <c r="AB3737" t="s">
        <v>327</v>
      </c>
      <c r="AD3737" t="s">
        <v>11082</v>
      </c>
      <c r="AF3737" t="s">
        <v>11118</v>
      </c>
      <c r="AH3737" t="s">
        <v>10974</v>
      </c>
      <c r="AJ3737" t="s">
        <v>11140</v>
      </c>
      <c r="AK3737" t="s">
        <v>7225</v>
      </c>
      <c r="AL3737" t="s">
        <v>11150</v>
      </c>
      <c r="AM3737">
        <v>0</v>
      </c>
      <c r="AN3737" t="s">
        <v>11151</v>
      </c>
      <c r="AO3737" t="s">
        <v>11153</v>
      </c>
      <c r="AQ3737" t="s">
        <v>11157</v>
      </c>
      <c r="AR3737" t="s">
        <v>11172</v>
      </c>
      <c r="AT3737" t="s">
        <v>11184</v>
      </c>
      <c r="AU3737">
        <v>0</v>
      </c>
      <c r="AW3737" t="s">
        <v>11187</v>
      </c>
      <c r="AY3737" t="s">
        <v>11213</v>
      </c>
      <c r="BA3737" t="s">
        <v>11222</v>
      </c>
      <c r="BD3737" t="s">
        <v>11667</v>
      </c>
      <c r="BF3737" t="s">
        <v>14364</v>
      </c>
      <c r="BM3737" t="s">
        <v>15650</v>
      </c>
    </row>
    <row r="3738" spans="1:67">
      <c r="A3738" s="1">
        <f>HYPERLINK("https://lsnyc.legalserver.org/matter/dynamic-profile/view/1910823","19-1910823")</f>
        <v>0</v>
      </c>
      <c r="B3738" t="s">
        <v>199</v>
      </c>
      <c r="C3738" t="s">
        <v>248</v>
      </c>
      <c r="D3738" t="s">
        <v>728</v>
      </c>
      <c r="F3738" t="s">
        <v>1562</v>
      </c>
      <c r="G3738" t="s">
        <v>4376</v>
      </c>
      <c r="H3738" t="s">
        <v>5966</v>
      </c>
      <c r="I3738" t="s">
        <v>6505</v>
      </c>
      <c r="J3738" t="s">
        <v>7174</v>
      </c>
      <c r="K3738">
        <v>11238</v>
      </c>
      <c r="N3738" t="s">
        <v>7237</v>
      </c>
      <c r="O3738" t="s">
        <v>9587</v>
      </c>
      <c r="P3738">
        <v>1</v>
      </c>
      <c r="Q3738">
        <v>0</v>
      </c>
      <c r="R3738">
        <v>0</v>
      </c>
      <c r="U3738">
        <v>0</v>
      </c>
      <c r="W3738">
        <v>7.3</v>
      </c>
      <c r="X3738" t="s">
        <v>293</v>
      </c>
      <c r="Y3738" t="s">
        <v>199</v>
      </c>
      <c r="Z3738" t="s">
        <v>10972</v>
      </c>
      <c r="AA3738" t="s">
        <v>10976</v>
      </c>
      <c r="AD3738" t="s">
        <v>11082</v>
      </c>
      <c r="AF3738" t="s">
        <v>11118</v>
      </c>
      <c r="AH3738" t="s">
        <v>10974</v>
      </c>
      <c r="AJ3738" t="s">
        <v>11140</v>
      </c>
      <c r="AK3738" t="s">
        <v>7225</v>
      </c>
      <c r="AM3738">
        <v>1119.8</v>
      </c>
      <c r="AO3738">
        <v>38</v>
      </c>
      <c r="AQ3738" t="s">
        <v>11157</v>
      </c>
      <c r="AS3738" t="s">
        <v>11173</v>
      </c>
      <c r="AU3738">
        <v>13</v>
      </c>
      <c r="AW3738" t="s">
        <v>11187</v>
      </c>
      <c r="AY3738" t="s">
        <v>11213</v>
      </c>
      <c r="AZ3738" t="s">
        <v>11221</v>
      </c>
      <c r="BE3738" t="s">
        <v>13697</v>
      </c>
      <c r="BF3738" t="s">
        <v>14364</v>
      </c>
      <c r="BG3738" t="s">
        <v>15257</v>
      </c>
      <c r="BM3738" t="s">
        <v>15650</v>
      </c>
    </row>
    <row r="3739" spans="1:67">
      <c r="A3739" s="1">
        <f>HYPERLINK("https://lsnyc.legalserver.org/matter/dynamic-profile/view/1887144","19-1887144")</f>
        <v>0</v>
      </c>
      <c r="B3739" t="s">
        <v>199</v>
      </c>
      <c r="C3739" t="s">
        <v>248</v>
      </c>
      <c r="D3739" t="s">
        <v>587</v>
      </c>
      <c r="F3739" t="s">
        <v>2529</v>
      </c>
      <c r="G3739" t="s">
        <v>1920</v>
      </c>
      <c r="H3739" t="s">
        <v>5952</v>
      </c>
      <c r="I3739" t="s">
        <v>6573</v>
      </c>
      <c r="J3739" t="s">
        <v>7174</v>
      </c>
      <c r="K3739">
        <v>11226</v>
      </c>
      <c r="M3739" t="s">
        <v>7227</v>
      </c>
      <c r="N3739" t="s">
        <v>7237</v>
      </c>
      <c r="O3739" t="s">
        <v>9588</v>
      </c>
      <c r="P3739">
        <v>4</v>
      </c>
      <c r="Q3739">
        <v>2</v>
      </c>
      <c r="R3739">
        <v>1.39</v>
      </c>
      <c r="U3739">
        <v>468</v>
      </c>
      <c r="W3739">
        <v>0.2</v>
      </c>
      <c r="X3739" t="s">
        <v>437</v>
      </c>
      <c r="Y3739" t="s">
        <v>81</v>
      </c>
      <c r="AA3739" t="s">
        <v>10974</v>
      </c>
      <c r="AB3739" t="s">
        <v>946</v>
      </c>
      <c r="AD3739" t="s">
        <v>11098</v>
      </c>
      <c r="AF3739" t="s">
        <v>11122</v>
      </c>
      <c r="AH3739" t="s">
        <v>10974</v>
      </c>
      <c r="AJ3739" t="s">
        <v>11141</v>
      </c>
      <c r="AK3739" t="s">
        <v>7225</v>
      </c>
      <c r="AM3739">
        <v>820</v>
      </c>
      <c r="AO3739">
        <v>43</v>
      </c>
      <c r="AQ3739" t="s">
        <v>11157</v>
      </c>
      <c r="AR3739" t="s">
        <v>11172</v>
      </c>
      <c r="AU3739">
        <v>32</v>
      </c>
      <c r="AW3739" t="s">
        <v>11187</v>
      </c>
      <c r="BA3739" t="s">
        <v>11222</v>
      </c>
      <c r="BD3739" t="s">
        <v>11667</v>
      </c>
      <c r="BG3739" t="s">
        <v>15249</v>
      </c>
      <c r="BI3739" t="s">
        <v>15611</v>
      </c>
      <c r="BM3739" t="s">
        <v>15650</v>
      </c>
    </row>
    <row r="3740" spans="1:67">
      <c r="A3740" s="1">
        <f>HYPERLINK("https://lsnyc.legalserver.org/matter/dynamic-profile/view/1910717","19-1910717")</f>
        <v>0</v>
      </c>
      <c r="B3740" t="s">
        <v>199</v>
      </c>
      <c r="C3740" t="s">
        <v>248</v>
      </c>
      <c r="D3740" t="s">
        <v>327</v>
      </c>
      <c r="F3740" t="s">
        <v>1394</v>
      </c>
      <c r="G3740" t="s">
        <v>3180</v>
      </c>
      <c r="H3740" t="s">
        <v>5966</v>
      </c>
      <c r="I3740" t="s">
        <v>6923</v>
      </c>
      <c r="J3740" t="s">
        <v>7174</v>
      </c>
      <c r="K3740">
        <v>11238</v>
      </c>
      <c r="N3740" t="s">
        <v>7237</v>
      </c>
      <c r="O3740" t="s">
        <v>9583</v>
      </c>
      <c r="P3740">
        <v>3</v>
      </c>
      <c r="Q3740">
        <v>0</v>
      </c>
      <c r="R3740">
        <v>0</v>
      </c>
      <c r="U3740">
        <v>0</v>
      </c>
      <c r="W3740">
        <v>11.7</v>
      </c>
      <c r="X3740" t="s">
        <v>426</v>
      </c>
      <c r="Y3740" t="s">
        <v>212</v>
      </c>
      <c r="Z3740" t="s">
        <v>10972</v>
      </c>
      <c r="AA3740" t="s">
        <v>10976</v>
      </c>
      <c r="AD3740" t="s">
        <v>11082</v>
      </c>
      <c r="AF3740" t="s">
        <v>11118</v>
      </c>
      <c r="AG3740" t="s">
        <v>11124</v>
      </c>
      <c r="AI3740" t="s">
        <v>11126</v>
      </c>
      <c r="AK3740" t="s">
        <v>7225</v>
      </c>
      <c r="AL3740" t="s">
        <v>11150</v>
      </c>
      <c r="AM3740">
        <v>0</v>
      </c>
      <c r="AN3740" t="s">
        <v>11151</v>
      </c>
      <c r="AO3740" t="s">
        <v>11153</v>
      </c>
      <c r="AP3740" t="s">
        <v>11155</v>
      </c>
      <c r="AR3740" t="s">
        <v>11172</v>
      </c>
      <c r="AT3740" t="s">
        <v>11184</v>
      </c>
      <c r="AU3740">
        <v>0</v>
      </c>
      <c r="AW3740" t="s">
        <v>11187</v>
      </c>
      <c r="AX3740" t="s">
        <v>11212</v>
      </c>
      <c r="AZ3740" t="s">
        <v>11221</v>
      </c>
      <c r="BE3740" t="s">
        <v>13694</v>
      </c>
      <c r="BF3740" t="s">
        <v>14364</v>
      </c>
      <c r="BM3740" t="s">
        <v>15650</v>
      </c>
    </row>
    <row r="3741" spans="1:67">
      <c r="A3741" s="1">
        <f>HYPERLINK("https://lsnyc.legalserver.org/matter/dynamic-profile/view/1900158","19-1900158")</f>
        <v>0</v>
      </c>
      <c r="B3741" t="s">
        <v>199</v>
      </c>
      <c r="C3741" t="s">
        <v>248</v>
      </c>
      <c r="D3741" t="s">
        <v>666</v>
      </c>
      <c r="F3741" t="s">
        <v>1517</v>
      </c>
      <c r="G3741" t="s">
        <v>4288</v>
      </c>
      <c r="H3741" t="s">
        <v>5967</v>
      </c>
      <c r="I3741" t="s">
        <v>6968</v>
      </c>
      <c r="J3741" t="s">
        <v>7207</v>
      </c>
      <c r="K3741">
        <v>11238</v>
      </c>
      <c r="N3741" t="s">
        <v>7237</v>
      </c>
      <c r="O3741" t="s">
        <v>9575</v>
      </c>
      <c r="P3741">
        <v>1</v>
      </c>
      <c r="Q3741">
        <v>0</v>
      </c>
      <c r="R3741">
        <v>0</v>
      </c>
      <c r="U3741">
        <v>0</v>
      </c>
      <c r="W3741">
        <v>5.1</v>
      </c>
      <c r="X3741" t="s">
        <v>312</v>
      </c>
      <c r="Y3741" t="s">
        <v>199</v>
      </c>
      <c r="AA3741" t="s">
        <v>10974</v>
      </c>
      <c r="AB3741" t="s">
        <v>666</v>
      </c>
      <c r="AD3741" t="s">
        <v>11098</v>
      </c>
      <c r="AF3741" t="s">
        <v>11122</v>
      </c>
      <c r="AH3741" t="s">
        <v>10974</v>
      </c>
      <c r="AJ3741" t="s">
        <v>11129</v>
      </c>
      <c r="AK3741" t="s">
        <v>7225</v>
      </c>
      <c r="AM3741">
        <v>654.34</v>
      </c>
      <c r="AO3741">
        <v>29</v>
      </c>
      <c r="AQ3741" t="s">
        <v>11157</v>
      </c>
      <c r="AR3741" t="s">
        <v>11172</v>
      </c>
      <c r="AU3741">
        <v>44</v>
      </c>
      <c r="AW3741" t="s">
        <v>11187</v>
      </c>
      <c r="AY3741" t="s">
        <v>11213</v>
      </c>
      <c r="BA3741" t="s">
        <v>11222</v>
      </c>
      <c r="BE3741" t="s">
        <v>13689</v>
      </c>
      <c r="BG3741" t="s">
        <v>15258</v>
      </c>
      <c r="BM3741" t="s">
        <v>15650</v>
      </c>
    </row>
    <row r="3742" spans="1:67">
      <c r="A3742" s="1">
        <f>HYPERLINK("https://lsnyc.legalserver.org/matter/dynamic-profile/view/1884147","18-1884147")</f>
        <v>0</v>
      </c>
      <c r="B3742" t="s">
        <v>199</v>
      </c>
      <c r="C3742" t="s">
        <v>248</v>
      </c>
      <c r="D3742" t="s">
        <v>721</v>
      </c>
      <c r="F3742" t="s">
        <v>2530</v>
      </c>
      <c r="G3742" t="s">
        <v>4257</v>
      </c>
      <c r="H3742" t="s">
        <v>5959</v>
      </c>
      <c r="I3742">
        <v>26</v>
      </c>
      <c r="J3742" t="s">
        <v>7174</v>
      </c>
      <c r="K3742">
        <v>11238</v>
      </c>
      <c r="N3742" t="s">
        <v>7237</v>
      </c>
      <c r="O3742" t="s">
        <v>9589</v>
      </c>
      <c r="P3742">
        <v>2</v>
      </c>
      <c r="Q3742">
        <v>0</v>
      </c>
      <c r="R3742">
        <v>162.1</v>
      </c>
      <c r="U3742">
        <v>26682</v>
      </c>
      <c r="W3742">
        <v>32.2</v>
      </c>
      <c r="X3742" t="s">
        <v>925</v>
      </c>
      <c r="Y3742" t="s">
        <v>10912</v>
      </c>
      <c r="AA3742" t="s">
        <v>10974</v>
      </c>
      <c r="AB3742" t="s">
        <v>721</v>
      </c>
      <c r="AD3742" t="s">
        <v>11082</v>
      </c>
      <c r="AF3742" t="s">
        <v>11118</v>
      </c>
      <c r="AG3742" t="s">
        <v>11124</v>
      </c>
      <c r="AJ3742" t="s">
        <v>11129</v>
      </c>
      <c r="AK3742" t="s">
        <v>7225</v>
      </c>
      <c r="AM3742">
        <v>1116.53</v>
      </c>
      <c r="AO3742">
        <v>41</v>
      </c>
      <c r="AQ3742" t="s">
        <v>11157</v>
      </c>
      <c r="AR3742" t="s">
        <v>11172</v>
      </c>
      <c r="AU3742">
        <v>17</v>
      </c>
      <c r="AW3742" t="s">
        <v>11187</v>
      </c>
      <c r="AY3742" t="s">
        <v>11213</v>
      </c>
      <c r="BA3742" t="s">
        <v>11222</v>
      </c>
      <c r="BB3742" t="s">
        <v>11224</v>
      </c>
      <c r="BC3742" t="s">
        <v>11549</v>
      </c>
      <c r="BE3742" t="s">
        <v>13698</v>
      </c>
      <c r="BG3742" t="s">
        <v>15259</v>
      </c>
      <c r="BI3742" t="s">
        <v>15609</v>
      </c>
      <c r="BK3742" t="s">
        <v>15631</v>
      </c>
      <c r="BM3742" t="s">
        <v>15650</v>
      </c>
    </row>
    <row r="3743" spans="1:67">
      <c r="A3743" s="1">
        <f>HYPERLINK("https://lsnyc.legalserver.org/matter/dynamic-profile/view/1887291","19-1887291")</f>
        <v>0</v>
      </c>
      <c r="B3743" t="s">
        <v>199</v>
      </c>
      <c r="C3743" t="s">
        <v>248</v>
      </c>
      <c r="D3743" t="s">
        <v>354</v>
      </c>
      <c r="F3743" t="s">
        <v>1388</v>
      </c>
      <c r="G3743" t="s">
        <v>4377</v>
      </c>
      <c r="H3743" t="s">
        <v>5973</v>
      </c>
      <c r="I3743" t="s">
        <v>6562</v>
      </c>
      <c r="J3743" t="s">
        <v>7174</v>
      </c>
      <c r="K3743">
        <v>11203</v>
      </c>
      <c r="N3743" t="s">
        <v>7241</v>
      </c>
      <c r="O3743" t="s">
        <v>9590</v>
      </c>
      <c r="P3743">
        <v>1</v>
      </c>
      <c r="Q3743">
        <v>0</v>
      </c>
      <c r="R3743">
        <v>77.2</v>
      </c>
      <c r="U3743">
        <v>9372</v>
      </c>
      <c r="W3743">
        <v>26.5</v>
      </c>
      <c r="X3743" t="s">
        <v>262</v>
      </c>
      <c r="Y3743" t="s">
        <v>199</v>
      </c>
      <c r="AA3743" t="s">
        <v>10974</v>
      </c>
      <c r="AB3743" t="s">
        <v>354</v>
      </c>
      <c r="AD3743" t="s">
        <v>11082</v>
      </c>
      <c r="AF3743" t="s">
        <v>11118</v>
      </c>
      <c r="AH3743" t="s">
        <v>10975</v>
      </c>
      <c r="AJ3743" t="s">
        <v>11129</v>
      </c>
      <c r="AK3743" t="s">
        <v>7225</v>
      </c>
      <c r="AM3743">
        <v>180</v>
      </c>
      <c r="AO3743">
        <v>101</v>
      </c>
      <c r="AQ3743" t="s">
        <v>11167</v>
      </c>
      <c r="AS3743" t="s">
        <v>11174</v>
      </c>
      <c r="AU3743">
        <v>8</v>
      </c>
      <c r="AV3743" t="s">
        <v>11186</v>
      </c>
      <c r="AY3743" t="s">
        <v>11213</v>
      </c>
      <c r="BA3743" t="s">
        <v>11222</v>
      </c>
      <c r="BE3743" t="s">
        <v>13699</v>
      </c>
      <c r="BG3743" t="s">
        <v>15260</v>
      </c>
      <c r="BI3743" t="s">
        <v>15613</v>
      </c>
      <c r="BM3743" t="s">
        <v>15650</v>
      </c>
    </row>
    <row r="3744" spans="1:67">
      <c r="A3744" s="1">
        <f>HYPERLINK("https://lsnyc.legalserver.org/matter/dynamic-profile/view/1898212","19-1898212")</f>
        <v>0</v>
      </c>
      <c r="B3744" t="s">
        <v>199</v>
      </c>
      <c r="C3744" t="s">
        <v>248</v>
      </c>
      <c r="D3744" t="s">
        <v>591</v>
      </c>
      <c r="F3744" t="s">
        <v>1496</v>
      </c>
      <c r="G3744" t="s">
        <v>4378</v>
      </c>
      <c r="H3744" t="s">
        <v>5032</v>
      </c>
      <c r="I3744" t="s">
        <v>6622</v>
      </c>
      <c r="J3744" t="s">
        <v>7174</v>
      </c>
      <c r="K3744">
        <v>11226</v>
      </c>
      <c r="N3744" t="s">
        <v>7237</v>
      </c>
      <c r="O3744" t="s">
        <v>9591</v>
      </c>
      <c r="P3744">
        <v>2</v>
      </c>
      <c r="Q3744">
        <v>2</v>
      </c>
      <c r="R3744">
        <v>49.82</v>
      </c>
      <c r="U3744">
        <v>12828</v>
      </c>
      <c r="W3744">
        <v>0.85</v>
      </c>
      <c r="X3744" t="s">
        <v>431</v>
      </c>
      <c r="Y3744" t="s">
        <v>199</v>
      </c>
      <c r="AA3744" t="s">
        <v>10974</v>
      </c>
      <c r="AB3744" t="s">
        <v>633</v>
      </c>
      <c r="AD3744" t="s">
        <v>11098</v>
      </c>
      <c r="AF3744" t="s">
        <v>11120</v>
      </c>
      <c r="AH3744" t="s">
        <v>10974</v>
      </c>
      <c r="AJ3744" t="s">
        <v>11132</v>
      </c>
      <c r="AK3744" t="s">
        <v>7225</v>
      </c>
      <c r="AM3744">
        <v>1031.15</v>
      </c>
      <c r="AO3744">
        <v>55</v>
      </c>
      <c r="AQ3744" t="s">
        <v>11157</v>
      </c>
      <c r="AS3744" t="s">
        <v>11175</v>
      </c>
      <c r="AU3744">
        <v>40</v>
      </c>
      <c r="AW3744" t="s">
        <v>3528</v>
      </c>
      <c r="AY3744" t="s">
        <v>11213</v>
      </c>
      <c r="BA3744" t="s">
        <v>11222</v>
      </c>
      <c r="BE3744" t="s">
        <v>13700</v>
      </c>
      <c r="BF3744" t="s">
        <v>14364</v>
      </c>
      <c r="BM3744" t="s">
        <v>15650</v>
      </c>
    </row>
    <row r="3745" spans="1:67">
      <c r="A3745" s="1">
        <f>HYPERLINK("https://lsnyc.legalserver.org/matter/dynamic-profile/view/1910921","19-1910921")</f>
        <v>0</v>
      </c>
      <c r="B3745" t="s">
        <v>199</v>
      </c>
      <c r="C3745" t="s">
        <v>248</v>
      </c>
      <c r="D3745" t="s">
        <v>384</v>
      </c>
      <c r="F3745" t="s">
        <v>2525</v>
      </c>
      <c r="G3745" t="s">
        <v>2536</v>
      </c>
      <c r="H3745" t="s">
        <v>5964</v>
      </c>
      <c r="I3745" t="s">
        <v>6405</v>
      </c>
      <c r="J3745" t="s">
        <v>7174</v>
      </c>
      <c r="K3745">
        <v>11238</v>
      </c>
      <c r="N3745" t="s">
        <v>7237</v>
      </c>
      <c r="O3745" t="s">
        <v>9592</v>
      </c>
      <c r="P3745">
        <v>2</v>
      </c>
      <c r="Q3745">
        <v>0</v>
      </c>
      <c r="R3745">
        <v>317.94</v>
      </c>
      <c r="S3745" t="s">
        <v>10272</v>
      </c>
      <c r="T3745" t="s">
        <v>10276</v>
      </c>
      <c r="U3745">
        <v>53762.88</v>
      </c>
      <c r="W3745">
        <v>13</v>
      </c>
      <c r="X3745" t="s">
        <v>536</v>
      </c>
      <c r="Y3745" t="s">
        <v>199</v>
      </c>
      <c r="AA3745" t="s">
        <v>10974</v>
      </c>
      <c r="AB3745" t="s">
        <v>11070</v>
      </c>
      <c r="AD3745" t="s">
        <v>11082</v>
      </c>
      <c r="AF3745" t="s">
        <v>11118</v>
      </c>
      <c r="AH3745" t="s">
        <v>10974</v>
      </c>
      <c r="AJ3745" t="s">
        <v>11140</v>
      </c>
      <c r="AK3745" t="s">
        <v>7225</v>
      </c>
      <c r="AL3745" t="s">
        <v>11150</v>
      </c>
      <c r="AM3745">
        <v>0</v>
      </c>
      <c r="AO3745">
        <v>29</v>
      </c>
      <c r="AQ3745" t="s">
        <v>11157</v>
      </c>
      <c r="AS3745" t="s">
        <v>11173</v>
      </c>
      <c r="AT3745" t="s">
        <v>11184</v>
      </c>
      <c r="AU3745">
        <v>0</v>
      </c>
      <c r="AW3745" t="s">
        <v>11189</v>
      </c>
      <c r="AY3745" t="s">
        <v>11215</v>
      </c>
      <c r="BA3745" t="s">
        <v>11222</v>
      </c>
      <c r="BD3745" t="s">
        <v>11667</v>
      </c>
      <c r="BG3745" t="s">
        <v>15261</v>
      </c>
      <c r="BM3745" t="s">
        <v>15650</v>
      </c>
    </row>
    <row r="3746" spans="1:67">
      <c r="A3746" s="1">
        <f>HYPERLINK("https://lsnyc.legalserver.org/matter/dynamic-profile/view/1899523","19-1899523")</f>
        <v>0</v>
      </c>
      <c r="B3746" t="s">
        <v>199</v>
      </c>
      <c r="C3746" t="s">
        <v>248</v>
      </c>
      <c r="D3746" t="s">
        <v>1009</v>
      </c>
      <c r="F3746" t="s">
        <v>2524</v>
      </c>
      <c r="G3746" t="s">
        <v>4366</v>
      </c>
      <c r="H3746" t="s">
        <v>5963</v>
      </c>
      <c r="I3746" t="s">
        <v>6527</v>
      </c>
      <c r="J3746" t="s">
        <v>7174</v>
      </c>
      <c r="K3746">
        <v>11238</v>
      </c>
      <c r="N3746" t="s">
        <v>7237</v>
      </c>
      <c r="O3746" t="s">
        <v>9571</v>
      </c>
      <c r="P3746">
        <v>2</v>
      </c>
      <c r="Q3746">
        <v>0</v>
      </c>
      <c r="R3746">
        <v>210.48</v>
      </c>
      <c r="S3746" t="s">
        <v>666</v>
      </c>
      <c r="T3746" t="s">
        <v>10276</v>
      </c>
      <c r="U3746">
        <v>35592</v>
      </c>
      <c r="W3746">
        <v>4.8</v>
      </c>
      <c r="X3746" t="s">
        <v>634</v>
      </c>
      <c r="Y3746" t="s">
        <v>199</v>
      </c>
      <c r="AA3746" t="s">
        <v>10974</v>
      </c>
      <c r="AB3746" t="s">
        <v>1009</v>
      </c>
      <c r="AD3746" t="s">
        <v>11086</v>
      </c>
      <c r="AF3746" t="s">
        <v>11120</v>
      </c>
      <c r="AH3746" t="s">
        <v>10975</v>
      </c>
      <c r="AJ3746" t="s">
        <v>11129</v>
      </c>
      <c r="AK3746" t="s">
        <v>7225</v>
      </c>
      <c r="AM3746">
        <v>993.77</v>
      </c>
      <c r="AO3746">
        <v>20</v>
      </c>
      <c r="AQ3746" t="s">
        <v>11157</v>
      </c>
      <c r="AS3746" t="s">
        <v>11173</v>
      </c>
      <c r="AU3746">
        <v>35</v>
      </c>
      <c r="AW3746" t="s">
        <v>11187</v>
      </c>
      <c r="AY3746" t="s">
        <v>11213</v>
      </c>
      <c r="BA3746" t="s">
        <v>11222</v>
      </c>
      <c r="BE3746" t="s">
        <v>13685</v>
      </c>
      <c r="BF3746" t="s">
        <v>14364</v>
      </c>
      <c r="BM3746" t="s">
        <v>15650</v>
      </c>
    </row>
    <row r="3747" spans="1:67">
      <c r="A3747" s="1">
        <f>HYPERLINK("https://lsnyc.legalserver.org/matter/dynamic-profile/view/1890605","19-1890605")</f>
        <v>0</v>
      </c>
      <c r="B3747" t="s">
        <v>199</v>
      </c>
      <c r="C3747" t="s">
        <v>248</v>
      </c>
      <c r="D3747" t="s">
        <v>636</v>
      </c>
      <c r="F3747" t="s">
        <v>1875</v>
      </c>
      <c r="G3747" t="s">
        <v>4368</v>
      </c>
      <c r="H3747" t="s">
        <v>5964</v>
      </c>
      <c r="I3747" t="s">
        <v>7042</v>
      </c>
      <c r="J3747" t="s">
        <v>7174</v>
      </c>
      <c r="K3747">
        <v>11238</v>
      </c>
      <c r="N3747" t="s">
        <v>7237</v>
      </c>
      <c r="O3747" t="s">
        <v>9573</v>
      </c>
      <c r="P3747">
        <v>2</v>
      </c>
      <c r="Q3747">
        <v>0</v>
      </c>
      <c r="R3747">
        <v>53.22</v>
      </c>
      <c r="U3747">
        <v>9000</v>
      </c>
      <c r="W3747">
        <v>16.4</v>
      </c>
      <c r="X3747" t="s">
        <v>433</v>
      </c>
      <c r="Y3747" t="s">
        <v>81</v>
      </c>
      <c r="AA3747" t="s">
        <v>10974</v>
      </c>
      <c r="AB3747" t="s">
        <v>874</v>
      </c>
      <c r="AD3747" t="s">
        <v>11088</v>
      </c>
      <c r="AF3747" t="s">
        <v>11120</v>
      </c>
      <c r="AH3747" t="s">
        <v>10975</v>
      </c>
      <c r="AJ3747" t="s">
        <v>11129</v>
      </c>
      <c r="AK3747" t="s">
        <v>7225</v>
      </c>
      <c r="AM3747">
        <v>650.39</v>
      </c>
      <c r="AO3747">
        <v>29</v>
      </c>
      <c r="AQ3747" t="s">
        <v>11157</v>
      </c>
      <c r="AR3747" t="s">
        <v>11172</v>
      </c>
      <c r="AU3747">
        <v>20</v>
      </c>
      <c r="AW3747" t="s">
        <v>11187</v>
      </c>
      <c r="BA3747" t="s">
        <v>11222</v>
      </c>
      <c r="BE3747" t="s">
        <v>13687</v>
      </c>
      <c r="BF3747" t="s">
        <v>14364</v>
      </c>
      <c r="BM3747" t="s">
        <v>15650</v>
      </c>
    </row>
    <row r="3748" spans="1:67">
      <c r="A3748" s="1">
        <f>HYPERLINK("https://lsnyc.legalserver.org/matter/dynamic-profile/view/1907662","19-1907662")</f>
        <v>0</v>
      </c>
      <c r="B3748" t="s">
        <v>199</v>
      </c>
      <c r="C3748" t="s">
        <v>248</v>
      </c>
      <c r="D3748" t="s">
        <v>544</v>
      </c>
      <c r="F3748" t="s">
        <v>1875</v>
      </c>
      <c r="G3748" t="s">
        <v>4368</v>
      </c>
      <c r="H3748" t="s">
        <v>5964</v>
      </c>
      <c r="I3748" t="s">
        <v>7042</v>
      </c>
      <c r="J3748" t="s">
        <v>7174</v>
      </c>
      <c r="K3748">
        <v>11238</v>
      </c>
      <c r="N3748" t="s">
        <v>7237</v>
      </c>
      <c r="O3748" t="s">
        <v>9573</v>
      </c>
      <c r="P3748">
        <v>2</v>
      </c>
      <c r="Q3748">
        <v>0</v>
      </c>
      <c r="R3748">
        <v>53.22</v>
      </c>
      <c r="U3748">
        <v>9000</v>
      </c>
      <c r="W3748">
        <v>9</v>
      </c>
      <c r="X3748" t="s">
        <v>273</v>
      </c>
      <c r="Y3748" t="s">
        <v>212</v>
      </c>
      <c r="AA3748" t="s">
        <v>10974</v>
      </c>
      <c r="AB3748" t="s">
        <v>544</v>
      </c>
      <c r="AD3748" t="s">
        <v>11100</v>
      </c>
      <c r="AF3748" t="s">
        <v>11120</v>
      </c>
      <c r="AH3748" t="s">
        <v>10975</v>
      </c>
      <c r="AI3748" t="s">
        <v>11126</v>
      </c>
      <c r="AK3748" t="s">
        <v>7225</v>
      </c>
      <c r="AL3748" t="s">
        <v>11150</v>
      </c>
      <c r="AM3748">
        <v>0</v>
      </c>
      <c r="AO3748">
        <v>29</v>
      </c>
      <c r="AP3748" t="s">
        <v>11155</v>
      </c>
      <c r="AR3748" t="s">
        <v>11172</v>
      </c>
      <c r="AT3748" t="s">
        <v>11184</v>
      </c>
      <c r="AU3748">
        <v>0</v>
      </c>
      <c r="AW3748" t="s">
        <v>11187</v>
      </c>
      <c r="BA3748" t="s">
        <v>11222</v>
      </c>
      <c r="BE3748" t="s">
        <v>13687</v>
      </c>
      <c r="BF3748" t="s">
        <v>14364</v>
      </c>
      <c r="BM3748" t="s">
        <v>15650</v>
      </c>
    </row>
    <row r="3749" spans="1:67">
      <c r="A3749" s="1">
        <f>HYPERLINK("https://lsnyc.legalserver.org/matter/dynamic-profile/view/1901563","19-1901563")</f>
        <v>0</v>
      </c>
      <c r="B3749" t="s">
        <v>199</v>
      </c>
      <c r="C3749" t="s">
        <v>248</v>
      </c>
      <c r="D3749" t="s">
        <v>701</v>
      </c>
      <c r="F3749" t="s">
        <v>2531</v>
      </c>
      <c r="G3749" t="s">
        <v>1624</v>
      </c>
      <c r="H3749" t="s">
        <v>5206</v>
      </c>
      <c r="I3749" t="s">
        <v>7045</v>
      </c>
      <c r="J3749" t="s">
        <v>7174</v>
      </c>
      <c r="K3749">
        <v>11206</v>
      </c>
      <c r="N3749" t="s">
        <v>7237</v>
      </c>
      <c r="O3749" t="s">
        <v>9593</v>
      </c>
      <c r="P3749">
        <v>1</v>
      </c>
      <c r="Q3749">
        <v>0</v>
      </c>
      <c r="R3749">
        <v>14.78</v>
      </c>
      <c r="U3749">
        <v>1846</v>
      </c>
      <c r="W3749">
        <v>3.1</v>
      </c>
      <c r="X3749" t="s">
        <v>441</v>
      </c>
      <c r="Y3749" t="s">
        <v>212</v>
      </c>
      <c r="AA3749" t="s">
        <v>10974</v>
      </c>
      <c r="AB3749" t="s">
        <v>701</v>
      </c>
      <c r="AD3749" t="s">
        <v>11100</v>
      </c>
      <c r="AF3749" t="s">
        <v>11120</v>
      </c>
      <c r="AH3749" t="s">
        <v>10975</v>
      </c>
      <c r="AJ3749" t="s">
        <v>11129</v>
      </c>
      <c r="AK3749" t="s">
        <v>7225</v>
      </c>
      <c r="AM3749">
        <v>215</v>
      </c>
      <c r="AO3749">
        <v>139</v>
      </c>
      <c r="AQ3749" t="s">
        <v>11161</v>
      </c>
      <c r="AR3749" t="s">
        <v>11172</v>
      </c>
      <c r="AU3749">
        <v>7</v>
      </c>
      <c r="AW3749" t="s">
        <v>11187</v>
      </c>
      <c r="BA3749" t="s">
        <v>11222</v>
      </c>
      <c r="BE3749" t="s">
        <v>13701</v>
      </c>
      <c r="BF3749" t="s">
        <v>14364</v>
      </c>
      <c r="BK3749" t="s">
        <v>15644</v>
      </c>
      <c r="BM3749" t="s">
        <v>15650</v>
      </c>
      <c r="BN3749" t="s">
        <v>15652</v>
      </c>
      <c r="BO3749" t="s">
        <v>15730</v>
      </c>
    </row>
    <row r="3750" spans="1:67">
      <c r="A3750" s="1">
        <f>HYPERLINK("https://lsnyc.legalserver.org/matter/dynamic-profile/view/1893711","19-1893711")</f>
        <v>0</v>
      </c>
      <c r="B3750" t="s">
        <v>199</v>
      </c>
      <c r="C3750" t="s">
        <v>248</v>
      </c>
      <c r="D3750" t="s">
        <v>863</v>
      </c>
      <c r="F3750" t="s">
        <v>2531</v>
      </c>
      <c r="G3750" t="s">
        <v>1624</v>
      </c>
      <c r="H3750" t="s">
        <v>5206</v>
      </c>
      <c r="I3750" t="s">
        <v>7045</v>
      </c>
      <c r="J3750" t="s">
        <v>7174</v>
      </c>
      <c r="K3750">
        <v>11206</v>
      </c>
      <c r="N3750" t="s">
        <v>7237</v>
      </c>
      <c r="O3750" t="s">
        <v>9593</v>
      </c>
      <c r="P3750">
        <v>1</v>
      </c>
      <c r="Q3750">
        <v>0</v>
      </c>
      <c r="R3750">
        <v>14.78</v>
      </c>
      <c r="U3750">
        <v>1846</v>
      </c>
      <c r="W3750">
        <v>24</v>
      </c>
      <c r="X3750" t="s">
        <v>634</v>
      </c>
      <c r="Y3750" t="s">
        <v>81</v>
      </c>
      <c r="AA3750" t="s">
        <v>10974</v>
      </c>
      <c r="AB3750" t="s">
        <v>344</v>
      </c>
      <c r="AD3750" t="s">
        <v>11082</v>
      </c>
      <c r="AF3750" t="s">
        <v>11118</v>
      </c>
      <c r="AH3750" t="s">
        <v>10975</v>
      </c>
      <c r="AJ3750" t="s">
        <v>11129</v>
      </c>
      <c r="AK3750" t="s">
        <v>7225</v>
      </c>
      <c r="AM3750">
        <v>225</v>
      </c>
      <c r="AN3750" t="s">
        <v>11151</v>
      </c>
      <c r="AO3750" t="s">
        <v>11153</v>
      </c>
      <c r="AQ3750" t="s">
        <v>11161</v>
      </c>
      <c r="AR3750" t="s">
        <v>11172</v>
      </c>
      <c r="AU3750">
        <v>15</v>
      </c>
      <c r="AW3750" t="s">
        <v>11187</v>
      </c>
      <c r="AY3750" t="s">
        <v>11213</v>
      </c>
      <c r="AZ3750" t="s">
        <v>11221</v>
      </c>
      <c r="BE3750" t="s">
        <v>13701</v>
      </c>
      <c r="BG3750" t="s">
        <v>15262</v>
      </c>
      <c r="BM3750" t="s">
        <v>15650</v>
      </c>
    </row>
    <row r="3751" spans="1:67">
      <c r="A3751" s="1">
        <f>HYPERLINK("https://lsnyc.legalserver.org/matter/dynamic-profile/view/1910916","19-1910916")</f>
        <v>0</v>
      </c>
      <c r="B3751" t="s">
        <v>199</v>
      </c>
      <c r="C3751" t="s">
        <v>248</v>
      </c>
      <c r="D3751" t="s">
        <v>384</v>
      </c>
      <c r="F3751" t="s">
        <v>2443</v>
      </c>
      <c r="G3751" t="s">
        <v>4379</v>
      </c>
      <c r="H3751" t="s">
        <v>5974</v>
      </c>
      <c r="I3751" t="s">
        <v>6760</v>
      </c>
      <c r="J3751" t="s">
        <v>7174</v>
      </c>
      <c r="K3751">
        <v>11220</v>
      </c>
      <c r="N3751" t="s">
        <v>7237</v>
      </c>
      <c r="O3751" t="s">
        <v>9594</v>
      </c>
      <c r="P3751">
        <v>1</v>
      </c>
      <c r="Q3751">
        <v>0</v>
      </c>
      <c r="R3751">
        <v>81.18000000000001</v>
      </c>
      <c r="U3751">
        <v>10140</v>
      </c>
      <c r="W3751">
        <v>49.9</v>
      </c>
      <c r="X3751" t="s">
        <v>735</v>
      </c>
      <c r="Y3751" t="s">
        <v>199</v>
      </c>
      <c r="AA3751" t="s">
        <v>10974</v>
      </c>
      <c r="AB3751" t="s">
        <v>561</v>
      </c>
      <c r="AD3751" t="s">
        <v>11101</v>
      </c>
      <c r="AF3751" t="s">
        <v>11118</v>
      </c>
      <c r="AH3751" t="s">
        <v>10975</v>
      </c>
      <c r="AJ3751" t="s">
        <v>11135</v>
      </c>
      <c r="AK3751" t="s">
        <v>7225</v>
      </c>
      <c r="AL3751" t="s">
        <v>11150</v>
      </c>
      <c r="AM3751">
        <v>0</v>
      </c>
      <c r="AO3751">
        <v>6</v>
      </c>
      <c r="AQ3751" t="s">
        <v>11157</v>
      </c>
      <c r="AR3751" t="s">
        <v>11172</v>
      </c>
      <c r="AU3751">
        <v>66</v>
      </c>
      <c r="AW3751" t="s">
        <v>11187</v>
      </c>
      <c r="AY3751" t="s">
        <v>11215</v>
      </c>
      <c r="BA3751" t="s">
        <v>11222</v>
      </c>
      <c r="BE3751" t="s">
        <v>13702</v>
      </c>
      <c r="BF3751" t="s">
        <v>14364</v>
      </c>
      <c r="BM3751" t="s">
        <v>15650</v>
      </c>
    </row>
    <row r="3752" spans="1:67">
      <c r="A3752" s="1">
        <f>HYPERLINK("https://lsnyc.legalserver.org/matter/dynamic-profile/view/1912120","19-1912120")</f>
        <v>0</v>
      </c>
      <c r="B3752" t="s">
        <v>199</v>
      </c>
      <c r="C3752" t="s">
        <v>248</v>
      </c>
      <c r="D3752" t="s">
        <v>271</v>
      </c>
      <c r="F3752" t="s">
        <v>1419</v>
      </c>
      <c r="G3752" t="s">
        <v>4380</v>
      </c>
      <c r="H3752" t="s">
        <v>5975</v>
      </c>
      <c r="I3752" t="s">
        <v>6609</v>
      </c>
      <c r="J3752" t="s">
        <v>7174</v>
      </c>
      <c r="K3752">
        <v>11226</v>
      </c>
      <c r="N3752" t="s">
        <v>7237</v>
      </c>
      <c r="O3752" t="s">
        <v>9595</v>
      </c>
      <c r="P3752">
        <v>2</v>
      </c>
      <c r="Q3752">
        <v>2</v>
      </c>
      <c r="R3752">
        <v>135.92</v>
      </c>
      <c r="U3752">
        <v>35000</v>
      </c>
      <c r="W3752">
        <v>12.7</v>
      </c>
      <c r="X3752" t="s">
        <v>539</v>
      </c>
      <c r="Y3752" t="s">
        <v>81</v>
      </c>
      <c r="AA3752" t="s">
        <v>10974</v>
      </c>
      <c r="AB3752" t="s">
        <v>271</v>
      </c>
      <c r="AD3752" t="s">
        <v>11100</v>
      </c>
      <c r="AF3752" t="s">
        <v>11120</v>
      </c>
      <c r="AH3752" t="s">
        <v>10975</v>
      </c>
      <c r="AI3752" t="s">
        <v>11126</v>
      </c>
      <c r="AK3752" t="s">
        <v>7225</v>
      </c>
      <c r="AL3752" t="s">
        <v>11150</v>
      </c>
      <c r="AM3752">
        <v>0</v>
      </c>
      <c r="AO3752">
        <v>83</v>
      </c>
      <c r="AQ3752" t="s">
        <v>11157</v>
      </c>
      <c r="AR3752" t="s">
        <v>11172</v>
      </c>
      <c r="AU3752">
        <v>8</v>
      </c>
      <c r="AW3752" t="s">
        <v>11199</v>
      </c>
      <c r="BA3752" t="s">
        <v>11222</v>
      </c>
      <c r="BD3752" t="s">
        <v>11667</v>
      </c>
      <c r="BF3752" t="s">
        <v>14364</v>
      </c>
      <c r="BM3752" t="s">
        <v>15650</v>
      </c>
    </row>
    <row r="3753" spans="1:67">
      <c r="A3753" s="1">
        <f>HYPERLINK("https://lsnyc.legalserver.org/matter/dynamic-profile/view/1882916","18-1882916")</f>
        <v>0</v>
      </c>
      <c r="B3753" t="s">
        <v>199</v>
      </c>
      <c r="C3753" t="s">
        <v>248</v>
      </c>
      <c r="D3753" t="s">
        <v>400</v>
      </c>
      <c r="E3753" t="s">
        <v>264</v>
      </c>
      <c r="F3753" t="s">
        <v>2532</v>
      </c>
      <c r="G3753" t="s">
        <v>4381</v>
      </c>
      <c r="H3753" t="s">
        <v>5976</v>
      </c>
      <c r="I3753" t="s">
        <v>7046</v>
      </c>
      <c r="J3753" t="s">
        <v>7174</v>
      </c>
      <c r="K3753">
        <v>11213</v>
      </c>
      <c r="L3753" t="s">
        <v>7219</v>
      </c>
      <c r="N3753" t="s">
        <v>7237</v>
      </c>
      <c r="O3753" t="s">
        <v>9596</v>
      </c>
      <c r="P3753">
        <v>1</v>
      </c>
      <c r="Q3753">
        <v>1</v>
      </c>
      <c r="R3753">
        <v>189.55</v>
      </c>
      <c r="U3753">
        <v>31200</v>
      </c>
      <c r="W3753">
        <v>52.36</v>
      </c>
      <c r="X3753" t="s">
        <v>264</v>
      </c>
      <c r="Y3753" t="s">
        <v>10912</v>
      </c>
      <c r="AA3753" t="s">
        <v>10974</v>
      </c>
      <c r="AB3753" t="s">
        <v>606</v>
      </c>
      <c r="AD3753" t="s">
        <v>11083</v>
      </c>
      <c r="AF3753" t="s">
        <v>11118</v>
      </c>
      <c r="AH3753" t="s">
        <v>10975</v>
      </c>
      <c r="AJ3753" t="s">
        <v>11129</v>
      </c>
      <c r="AK3753" t="s">
        <v>7225</v>
      </c>
      <c r="AM3753">
        <v>1158.98</v>
      </c>
      <c r="AO3753">
        <v>134</v>
      </c>
      <c r="AQ3753" t="s">
        <v>11157</v>
      </c>
      <c r="AS3753" t="s">
        <v>11173</v>
      </c>
      <c r="AU3753">
        <v>11</v>
      </c>
      <c r="AW3753" t="s">
        <v>11187</v>
      </c>
      <c r="AY3753" t="s">
        <v>11213</v>
      </c>
      <c r="BA3753" t="s">
        <v>11222</v>
      </c>
      <c r="BC3753" t="s">
        <v>11550</v>
      </c>
      <c r="BE3753" t="s">
        <v>13703</v>
      </c>
      <c r="BG3753" t="s">
        <v>15263</v>
      </c>
      <c r="BI3753" t="s">
        <v>15608</v>
      </c>
      <c r="BK3753" t="s">
        <v>15620</v>
      </c>
      <c r="BL3753" t="s">
        <v>15649</v>
      </c>
      <c r="BM3753" t="s">
        <v>15651</v>
      </c>
      <c r="BN3753" t="s">
        <v>15652</v>
      </c>
    </row>
    <row r="3754" spans="1:67">
      <c r="A3754" s="1">
        <f>HYPERLINK("https://lsnyc.legalserver.org/matter/dynamic-profile/view/1910603","19-1910603")</f>
        <v>0</v>
      </c>
      <c r="B3754" t="s">
        <v>200</v>
      </c>
      <c r="C3754" t="s">
        <v>246</v>
      </c>
      <c r="D3754" t="s">
        <v>554</v>
      </c>
      <c r="E3754" t="s">
        <v>297</v>
      </c>
      <c r="F3754" t="s">
        <v>1280</v>
      </c>
      <c r="G3754" t="s">
        <v>2877</v>
      </c>
      <c r="H3754" t="s">
        <v>5977</v>
      </c>
      <c r="I3754" t="s">
        <v>6412</v>
      </c>
      <c r="J3754" t="s">
        <v>7170</v>
      </c>
      <c r="K3754">
        <v>10459</v>
      </c>
      <c r="L3754" t="s">
        <v>7216</v>
      </c>
      <c r="N3754" t="s">
        <v>7237</v>
      </c>
      <c r="O3754" t="s">
        <v>9597</v>
      </c>
      <c r="P3754">
        <v>1</v>
      </c>
      <c r="Q3754">
        <v>0</v>
      </c>
      <c r="R3754">
        <v>62.45</v>
      </c>
      <c r="U3754">
        <v>7800</v>
      </c>
      <c r="W3754">
        <v>1</v>
      </c>
      <c r="X3754" t="s">
        <v>554</v>
      </c>
      <c r="Y3754" t="s">
        <v>200</v>
      </c>
      <c r="AA3754" t="s">
        <v>10974</v>
      </c>
      <c r="AD3754" t="s">
        <v>11086</v>
      </c>
      <c r="AF3754" t="s">
        <v>11119</v>
      </c>
      <c r="AH3754" t="s">
        <v>10975</v>
      </c>
      <c r="AI3754" t="s">
        <v>11126</v>
      </c>
      <c r="AK3754" t="s">
        <v>7225</v>
      </c>
      <c r="AM3754">
        <v>678.54</v>
      </c>
      <c r="AN3754" t="s">
        <v>11151</v>
      </c>
      <c r="AO3754" t="s">
        <v>11153</v>
      </c>
      <c r="AQ3754" t="s">
        <v>11157</v>
      </c>
      <c r="AS3754" t="s">
        <v>11175</v>
      </c>
      <c r="AU3754">
        <v>35</v>
      </c>
      <c r="AW3754" t="s">
        <v>11189</v>
      </c>
      <c r="AX3754" t="s">
        <v>11212</v>
      </c>
      <c r="BA3754" t="s">
        <v>11222</v>
      </c>
      <c r="BE3754" t="s">
        <v>13704</v>
      </c>
      <c r="BF3754" t="s">
        <v>14364</v>
      </c>
      <c r="BM3754" t="s">
        <v>15651</v>
      </c>
    </row>
    <row r="3755" spans="1:67">
      <c r="A3755" s="1">
        <f>HYPERLINK("https://lsnyc.legalserver.org/matter/dynamic-profile/view/1912709","19-1912709")</f>
        <v>0</v>
      </c>
      <c r="B3755" t="s">
        <v>200</v>
      </c>
      <c r="C3755" t="s">
        <v>246</v>
      </c>
      <c r="D3755" t="s">
        <v>265</v>
      </c>
      <c r="E3755" t="s">
        <v>614</v>
      </c>
      <c r="F3755" t="s">
        <v>2422</v>
      </c>
      <c r="G3755" t="s">
        <v>3945</v>
      </c>
      <c r="H3755" t="s">
        <v>5978</v>
      </c>
      <c r="I3755" t="s">
        <v>6403</v>
      </c>
      <c r="J3755" t="s">
        <v>7170</v>
      </c>
      <c r="K3755">
        <v>10452</v>
      </c>
      <c r="L3755" t="s">
        <v>7216</v>
      </c>
      <c r="N3755" t="s">
        <v>7237</v>
      </c>
      <c r="O3755" t="s">
        <v>9598</v>
      </c>
      <c r="P3755">
        <v>1</v>
      </c>
      <c r="Q3755">
        <v>0</v>
      </c>
      <c r="R3755">
        <v>78.78</v>
      </c>
      <c r="U3755">
        <v>9840</v>
      </c>
      <c r="W3755">
        <v>2.25</v>
      </c>
      <c r="X3755" t="s">
        <v>426</v>
      </c>
      <c r="Y3755" t="s">
        <v>200</v>
      </c>
      <c r="AA3755" t="s">
        <v>10974</v>
      </c>
      <c r="AD3755" t="s">
        <v>11086</v>
      </c>
      <c r="AF3755" t="s">
        <v>11119</v>
      </c>
      <c r="AH3755" t="s">
        <v>10975</v>
      </c>
      <c r="AJ3755" t="s">
        <v>11141</v>
      </c>
      <c r="AK3755" t="s">
        <v>7225</v>
      </c>
      <c r="AM3755">
        <v>1400</v>
      </c>
      <c r="AO3755">
        <v>48</v>
      </c>
      <c r="AQ3755" t="s">
        <v>11157</v>
      </c>
      <c r="AS3755" t="s">
        <v>11174</v>
      </c>
      <c r="AU3755">
        <v>12</v>
      </c>
      <c r="AW3755" t="s">
        <v>11187</v>
      </c>
      <c r="AX3755" t="s">
        <v>11212</v>
      </c>
      <c r="BA3755" t="s">
        <v>11222</v>
      </c>
      <c r="BE3755" t="s">
        <v>13705</v>
      </c>
      <c r="BF3755" t="s">
        <v>14364</v>
      </c>
      <c r="BM3755" t="s">
        <v>15651</v>
      </c>
    </row>
    <row r="3756" spans="1:67">
      <c r="A3756" s="1">
        <f>HYPERLINK("https://lsnyc.legalserver.org/matter/dynamic-profile/view/1907523","19-1907523")</f>
        <v>0</v>
      </c>
      <c r="B3756" t="s">
        <v>200</v>
      </c>
      <c r="C3756" t="s">
        <v>246</v>
      </c>
      <c r="D3756" t="s">
        <v>362</v>
      </c>
      <c r="F3756" t="s">
        <v>2533</v>
      </c>
      <c r="G3756" t="s">
        <v>4382</v>
      </c>
      <c r="H3756" t="s">
        <v>5979</v>
      </c>
      <c r="I3756" t="s">
        <v>6493</v>
      </c>
      <c r="J3756" t="s">
        <v>7170</v>
      </c>
      <c r="K3756">
        <v>10474</v>
      </c>
      <c r="N3756" t="s">
        <v>7237</v>
      </c>
      <c r="O3756" t="s">
        <v>9599</v>
      </c>
      <c r="P3756">
        <v>2</v>
      </c>
      <c r="Q3756">
        <v>0</v>
      </c>
      <c r="R3756">
        <v>292.13</v>
      </c>
      <c r="U3756">
        <v>49400</v>
      </c>
      <c r="W3756">
        <v>9.5</v>
      </c>
      <c r="X3756" t="s">
        <v>635</v>
      </c>
      <c r="Y3756" t="s">
        <v>227</v>
      </c>
      <c r="Z3756" t="s">
        <v>10972</v>
      </c>
      <c r="AA3756" t="s">
        <v>10976</v>
      </c>
      <c r="AD3756" t="s">
        <v>11098</v>
      </c>
      <c r="AF3756" t="s">
        <v>11122</v>
      </c>
      <c r="AH3756" t="s">
        <v>10974</v>
      </c>
      <c r="AJ3756" t="s">
        <v>11141</v>
      </c>
      <c r="AK3756" t="s">
        <v>7225</v>
      </c>
      <c r="AM3756">
        <v>1425</v>
      </c>
      <c r="AO3756">
        <v>45</v>
      </c>
      <c r="AQ3756" t="s">
        <v>11157</v>
      </c>
      <c r="AS3756" t="s">
        <v>11173</v>
      </c>
      <c r="AU3756">
        <v>4</v>
      </c>
      <c r="AW3756" t="s">
        <v>11187</v>
      </c>
      <c r="AX3756" t="s">
        <v>11212</v>
      </c>
      <c r="AZ3756" t="s">
        <v>11221</v>
      </c>
      <c r="BE3756" t="s">
        <v>13706</v>
      </c>
      <c r="BG3756" t="s">
        <v>15264</v>
      </c>
      <c r="BM3756" t="s">
        <v>15650</v>
      </c>
    </row>
    <row r="3757" spans="1:67">
      <c r="A3757" s="1">
        <f>HYPERLINK("https://lsnyc.legalserver.org/matter/dynamic-profile/view/1908730","19-1908730")</f>
        <v>0</v>
      </c>
      <c r="B3757" t="s">
        <v>200</v>
      </c>
      <c r="C3757" t="s">
        <v>246</v>
      </c>
      <c r="D3757" t="s">
        <v>421</v>
      </c>
      <c r="E3757" t="s">
        <v>614</v>
      </c>
      <c r="F3757" t="s">
        <v>2534</v>
      </c>
      <c r="G3757" t="s">
        <v>2877</v>
      </c>
      <c r="H3757" t="s">
        <v>5707</v>
      </c>
      <c r="I3757">
        <v>22</v>
      </c>
      <c r="J3757" t="s">
        <v>7170</v>
      </c>
      <c r="K3757">
        <v>10453</v>
      </c>
      <c r="L3757" t="s">
        <v>7216</v>
      </c>
      <c r="N3757" t="s">
        <v>7237</v>
      </c>
      <c r="O3757" t="s">
        <v>9600</v>
      </c>
      <c r="P3757">
        <v>2</v>
      </c>
      <c r="Q3757">
        <v>0</v>
      </c>
      <c r="R3757">
        <v>109.07</v>
      </c>
      <c r="U3757">
        <v>18444</v>
      </c>
      <c r="W3757">
        <v>4.75</v>
      </c>
      <c r="X3757" t="s">
        <v>434</v>
      </c>
      <c r="Y3757" t="s">
        <v>10914</v>
      </c>
      <c r="AA3757" t="s">
        <v>10974</v>
      </c>
      <c r="AD3757" t="s">
        <v>11086</v>
      </c>
      <c r="AF3757" t="s">
        <v>11119</v>
      </c>
      <c r="AH3757" t="s">
        <v>10975</v>
      </c>
      <c r="AJ3757" t="s">
        <v>11129</v>
      </c>
      <c r="AK3757" t="s">
        <v>7225</v>
      </c>
      <c r="AM3757">
        <v>1400</v>
      </c>
      <c r="AO3757">
        <v>6</v>
      </c>
      <c r="AP3757" t="s">
        <v>11155</v>
      </c>
      <c r="AS3757" t="s">
        <v>11180</v>
      </c>
      <c r="AU3757">
        <v>8</v>
      </c>
      <c r="AW3757" t="s">
        <v>11189</v>
      </c>
      <c r="AX3757" t="s">
        <v>11212</v>
      </c>
      <c r="BA3757" t="s">
        <v>11222</v>
      </c>
      <c r="BE3757" t="s">
        <v>13707</v>
      </c>
      <c r="BF3757" t="s">
        <v>14364</v>
      </c>
      <c r="BM3757" t="s">
        <v>15651</v>
      </c>
    </row>
    <row r="3758" spans="1:67">
      <c r="A3758" s="1">
        <f>HYPERLINK("https://lsnyc.legalserver.org/matter/dynamic-profile/view/1912653","19-1912653")</f>
        <v>0</v>
      </c>
      <c r="B3758" t="s">
        <v>200</v>
      </c>
      <c r="C3758" t="s">
        <v>246</v>
      </c>
      <c r="D3758" t="s">
        <v>265</v>
      </c>
      <c r="E3758" t="s">
        <v>426</v>
      </c>
      <c r="F3758" t="s">
        <v>1108</v>
      </c>
      <c r="G3758" t="s">
        <v>4339</v>
      </c>
      <c r="H3758" t="s">
        <v>4846</v>
      </c>
      <c r="I3758" t="s">
        <v>6682</v>
      </c>
      <c r="J3758" t="s">
        <v>7170</v>
      </c>
      <c r="K3758">
        <v>10452</v>
      </c>
      <c r="L3758" t="s">
        <v>7217</v>
      </c>
      <c r="N3758" t="s">
        <v>7237</v>
      </c>
      <c r="O3758" t="s">
        <v>9601</v>
      </c>
      <c r="P3758">
        <v>1</v>
      </c>
      <c r="Q3758">
        <v>0</v>
      </c>
      <c r="R3758">
        <v>76.73999999999999</v>
      </c>
      <c r="U3758">
        <v>9584.52</v>
      </c>
      <c r="W3758">
        <v>3.25</v>
      </c>
      <c r="X3758" t="s">
        <v>426</v>
      </c>
      <c r="Y3758" t="s">
        <v>200</v>
      </c>
      <c r="AA3758" t="s">
        <v>10974</v>
      </c>
      <c r="AD3758" t="s">
        <v>11086</v>
      </c>
      <c r="AF3758" t="s">
        <v>10384</v>
      </c>
      <c r="AH3758" t="s">
        <v>10975</v>
      </c>
      <c r="AJ3758" t="s">
        <v>11104</v>
      </c>
      <c r="AK3758" t="s">
        <v>7225</v>
      </c>
      <c r="AM3758">
        <v>231.3</v>
      </c>
      <c r="AO3758">
        <v>149</v>
      </c>
      <c r="AQ3758" t="s">
        <v>11157</v>
      </c>
      <c r="AS3758" t="s">
        <v>11104</v>
      </c>
      <c r="AU3758">
        <v>24</v>
      </c>
      <c r="AW3758" t="s">
        <v>11187</v>
      </c>
      <c r="AX3758" t="s">
        <v>11212</v>
      </c>
      <c r="BA3758" t="s">
        <v>11222</v>
      </c>
      <c r="BE3758" t="s">
        <v>13708</v>
      </c>
      <c r="BF3758" t="s">
        <v>14364</v>
      </c>
      <c r="BM3758" t="s">
        <v>15651</v>
      </c>
    </row>
    <row r="3759" spans="1:67">
      <c r="A3759" s="1">
        <f>HYPERLINK("https://lsnyc.legalserver.org/matter/dynamic-profile/view/1909649","19-1909649")</f>
        <v>0</v>
      </c>
      <c r="B3759" t="s">
        <v>200</v>
      </c>
      <c r="C3759" t="s">
        <v>246</v>
      </c>
      <c r="D3759" t="s">
        <v>1010</v>
      </c>
      <c r="E3759" t="s">
        <v>297</v>
      </c>
      <c r="F3759" t="s">
        <v>1122</v>
      </c>
      <c r="G3759" t="s">
        <v>4235</v>
      </c>
      <c r="H3759" t="s">
        <v>5249</v>
      </c>
      <c r="I3759">
        <v>45</v>
      </c>
      <c r="J3759" t="s">
        <v>7170</v>
      </c>
      <c r="K3759">
        <v>10456</v>
      </c>
      <c r="L3759" t="s">
        <v>7216</v>
      </c>
      <c r="N3759" t="s">
        <v>7237</v>
      </c>
      <c r="O3759" t="s">
        <v>9602</v>
      </c>
      <c r="P3759">
        <v>1</v>
      </c>
      <c r="Q3759">
        <v>0</v>
      </c>
      <c r="R3759">
        <v>0</v>
      </c>
      <c r="U3759">
        <v>0</v>
      </c>
      <c r="W3759">
        <v>0.1</v>
      </c>
      <c r="X3759" t="s">
        <v>728</v>
      </c>
      <c r="Y3759" t="s">
        <v>200</v>
      </c>
      <c r="AA3759" t="s">
        <v>10974</v>
      </c>
      <c r="AD3759" t="s">
        <v>11086</v>
      </c>
      <c r="AF3759" t="s">
        <v>11119</v>
      </c>
      <c r="AH3759" t="s">
        <v>10975</v>
      </c>
      <c r="AI3759" t="s">
        <v>11126</v>
      </c>
      <c r="AK3759" t="s">
        <v>7225</v>
      </c>
      <c r="AL3759" t="s">
        <v>11150</v>
      </c>
      <c r="AM3759">
        <v>0</v>
      </c>
      <c r="AN3759" t="s">
        <v>11151</v>
      </c>
      <c r="AO3759" t="s">
        <v>11153</v>
      </c>
      <c r="AP3759" t="s">
        <v>11155</v>
      </c>
      <c r="AS3759" t="s">
        <v>11173</v>
      </c>
      <c r="AU3759">
        <v>30</v>
      </c>
      <c r="AW3759" t="s">
        <v>11189</v>
      </c>
      <c r="AX3759" t="s">
        <v>11212</v>
      </c>
      <c r="BA3759" t="s">
        <v>11222</v>
      </c>
      <c r="BE3759" t="s">
        <v>13709</v>
      </c>
      <c r="BF3759" t="s">
        <v>14364</v>
      </c>
      <c r="BM3759" t="s">
        <v>15651</v>
      </c>
    </row>
    <row r="3760" spans="1:67">
      <c r="A3760" s="1">
        <f>HYPERLINK("https://lsnyc.legalserver.org/matter/dynamic-profile/view/1910843","19-1910843")</f>
        <v>0</v>
      </c>
      <c r="B3760" t="s">
        <v>200</v>
      </c>
      <c r="C3760" t="s">
        <v>246</v>
      </c>
      <c r="D3760" t="s">
        <v>554</v>
      </c>
      <c r="E3760" t="s">
        <v>264</v>
      </c>
      <c r="F3760" t="s">
        <v>1930</v>
      </c>
      <c r="G3760" t="s">
        <v>2884</v>
      </c>
      <c r="H3760" t="s">
        <v>5844</v>
      </c>
      <c r="I3760">
        <v>2</v>
      </c>
      <c r="J3760" t="s">
        <v>7170</v>
      </c>
      <c r="K3760">
        <v>10453</v>
      </c>
      <c r="L3760" t="s">
        <v>7216</v>
      </c>
      <c r="N3760" t="s">
        <v>7237</v>
      </c>
      <c r="O3760" t="s">
        <v>9603</v>
      </c>
      <c r="P3760">
        <v>2</v>
      </c>
      <c r="Q3760">
        <v>0</v>
      </c>
      <c r="R3760">
        <v>107.63</v>
      </c>
      <c r="U3760">
        <v>18200</v>
      </c>
      <c r="W3760">
        <v>1</v>
      </c>
      <c r="X3760" t="s">
        <v>601</v>
      </c>
      <c r="Y3760" t="s">
        <v>200</v>
      </c>
      <c r="AA3760" t="s">
        <v>10974</v>
      </c>
      <c r="AD3760" t="s">
        <v>11086</v>
      </c>
      <c r="AF3760" t="s">
        <v>11119</v>
      </c>
      <c r="AG3760" t="s">
        <v>11124</v>
      </c>
      <c r="AJ3760" t="s">
        <v>11141</v>
      </c>
      <c r="AK3760" t="s">
        <v>7225</v>
      </c>
      <c r="AM3760">
        <v>900</v>
      </c>
      <c r="AN3760" t="s">
        <v>11151</v>
      </c>
      <c r="AO3760" t="s">
        <v>11153</v>
      </c>
      <c r="AQ3760" t="s">
        <v>11157</v>
      </c>
      <c r="AS3760" t="s">
        <v>11174</v>
      </c>
      <c r="AU3760">
        <v>24</v>
      </c>
      <c r="AW3760" t="s">
        <v>11189</v>
      </c>
      <c r="AX3760" t="s">
        <v>11212</v>
      </c>
      <c r="BA3760" t="s">
        <v>11222</v>
      </c>
      <c r="BE3760" t="s">
        <v>13710</v>
      </c>
      <c r="BF3760" t="s">
        <v>14364</v>
      </c>
      <c r="BM3760" t="s">
        <v>15651</v>
      </c>
    </row>
    <row r="3761" spans="1:65">
      <c r="A3761" s="1">
        <f>HYPERLINK("https://lsnyc.legalserver.org/matter/dynamic-profile/view/1908074","19-1908074")</f>
        <v>0</v>
      </c>
      <c r="B3761" t="s">
        <v>200</v>
      </c>
      <c r="C3761" t="s">
        <v>246</v>
      </c>
      <c r="D3761" t="s">
        <v>437</v>
      </c>
      <c r="E3761" t="s">
        <v>264</v>
      </c>
      <c r="F3761" t="s">
        <v>1738</v>
      </c>
      <c r="G3761" t="s">
        <v>3770</v>
      </c>
      <c r="H3761" t="s">
        <v>5724</v>
      </c>
      <c r="I3761" t="s">
        <v>7047</v>
      </c>
      <c r="J3761" t="s">
        <v>7170</v>
      </c>
      <c r="K3761">
        <v>10452</v>
      </c>
      <c r="L3761" t="s">
        <v>7216</v>
      </c>
      <c r="N3761" t="s">
        <v>7237</v>
      </c>
      <c r="O3761" t="s">
        <v>9464</v>
      </c>
      <c r="P3761">
        <v>1</v>
      </c>
      <c r="Q3761">
        <v>3</v>
      </c>
      <c r="R3761">
        <v>50.49</v>
      </c>
      <c r="U3761">
        <v>13000</v>
      </c>
      <c r="W3761">
        <v>6.1</v>
      </c>
      <c r="X3761" t="s">
        <v>626</v>
      </c>
      <c r="Y3761" t="s">
        <v>200</v>
      </c>
      <c r="AA3761" t="s">
        <v>10974</v>
      </c>
      <c r="AC3761" t="s">
        <v>11081</v>
      </c>
      <c r="AF3761" t="s">
        <v>11119</v>
      </c>
      <c r="AH3761" t="s">
        <v>10975</v>
      </c>
      <c r="AJ3761" t="s">
        <v>11129</v>
      </c>
      <c r="AK3761" t="s">
        <v>7225</v>
      </c>
      <c r="AM3761">
        <v>1750</v>
      </c>
      <c r="AN3761" t="s">
        <v>11151</v>
      </c>
      <c r="AO3761" t="s">
        <v>11153</v>
      </c>
      <c r="AQ3761" t="s">
        <v>11157</v>
      </c>
      <c r="AS3761" t="s">
        <v>11180</v>
      </c>
      <c r="AU3761">
        <v>7</v>
      </c>
      <c r="AW3761" t="s">
        <v>11187</v>
      </c>
      <c r="AX3761" t="s">
        <v>11212</v>
      </c>
      <c r="BA3761" t="s">
        <v>11222</v>
      </c>
      <c r="BE3761" t="s">
        <v>13711</v>
      </c>
      <c r="BF3761" t="s">
        <v>14364</v>
      </c>
      <c r="BM3761" t="s">
        <v>15651</v>
      </c>
    </row>
    <row r="3762" spans="1:65">
      <c r="A3762" s="1">
        <f>HYPERLINK("https://lsnyc.legalserver.org/matter/dynamic-profile/view/1901369","19-1901369")</f>
        <v>0</v>
      </c>
      <c r="B3762" t="s">
        <v>200</v>
      </c>
      <c r="C3762" t="s">
        <v>246</v>
      </c>
      <c r="D3762" t="s">
        <v>589</v>
      </c>
      <c r="E3762" t="s">
        <v>614</v>
      </c>
      <c r="F3762" t="s">
        <v>1516</v>
      </c>
      <c r="G3762" t="s">
        <v>2536</v>
      </c>
      <c r="H3762" t="s">
        <v>5980</v>
      </c>
      <c r="I3762" t="s">
        <v>6408</v>
      </c>
      <c r="J3762" t="s">
        <v>7170</v>
      </c>
      <c r="K3762">
        <v>10472</v>
      </c>
      <c r="L3762" t="s">
        <v>7216</v>
      </c>
      <c r="N3762" t="s">
        <v>7237</v>
      </c>
      <c r="O3762" t="s">
        <v>9604</v>
      </c>
      <c r="P3762">
        <v>1</v>
      </c>
      <c r="Q3762">
        <v>1</v>
      </c>
      <c r="R3762">
        <v>44.74</v>
      </c>
      <c r="U3762">
        <v>7566</v>
      </c>
      <c r="W3762">
        <v>5</v>
      </c>
      <c r="X3762" t="s">
        <v>267</v>
      </c>
      <c r="Y3762" t="s">
        <v>200</v>
      </c>
      <c r="AA3762" t="s">
        <v>10974</v>
      </c>
      <c r="AB3762" t="s">
        <v>10979</v>
      </c>
      <c r="AD3762" t="s">
        <v>11086</v>
      </c>
      <c r="AF3762" t="s">
        <v>11119</v>
      </c>
      <c r="AH3762" t="s">
        <v>10975</v>
      </c>
      <c r="AJ3762" t="s">
        <v>11141</v>
      </c>
      <c r="AK3762" t="s">
        <v>7225</v>
      </c>
      <c r="AM3762">
        <v>1303</v>
      </c>
      <c r="AN3762" t="s">
        <v>11151</v>
      </c>
      <c r="AO3762" t="s">
        <v>11153</v>
      </c>
      <c r="AQ3762" t="s">
        <v>11157</v>
      </c>
      <c r="AS3762" t="s">
        <v>11180</v>
      </c>
      <c r="AT3762" t="s">
        <v>11184</v>
      </c>
      <c r="AU3762">
        <v>0</v>
      </c>
      <c r="AW3762" t="s">
        <v>11187</v>
      </c>
      <c r="BA3762" t="s">
        <v>11222</v>
      </c>
      <c r="BE3762" t="s">
        <v>11236</v>
      </c>
      <c r="BF3762" t="s">
        <v>14364</v>
      </c>
      <c r="BM3762" t="s">
        <v>15651</v>
      </c>
    </row>
    <row r="3763" spans="1:65">
      <c r="A3763" s="1">
        <f>HYPERLINK("https://lsnyc.legalserver.org/matter/dynamic-profile/view/1911881","19-1911881")</f>
        <v>0</v>
      </c>
      <c r="B3763" t="s">
        <v>200</v>
      </c>
      <c r="C3763" t="s">
        <v>246</v>
      </c>
      <c r="D3763" t="s">
        <v>345</v>
      </c>
      <c r="F3763" t="s">
        <v>1641</v>
      </c>
      <c r="G3763" t="s">
        <v>4383</v>
      </c>
      <c r="H3763" t="s">
        <v>5981</v>
      </c>
      <c r="I3763" t="s">
        <v>6684</v>
      </c>
      <c r="J3763" t="s">
        <v>7170</v>
      </c>
      <c r="K3763">
        <v>10452</v>
      </c>
      <c r="N3763" t="s">
        <v>7237</v>
      </c>
      <c r="O3763" t="s">
        <v>9605</v>
      </c>
      <c r="P3763">
        <v>1</v>
      </c>
      <c r="Q3763">
        <v>1</v>
      </c>
      <c r="R3763">
        <v>120.92</v>
      </c>
      <c r="U3763">
        <v>20448</v>
      </c>
      <c r="W3763">
        <v>3.25</v>
      </c>
      <c r="X3763" t="s">
        <v>634</v>
      </c>
      <c r="Y3763" t="s">
        <v>10884</v>
      </c>
      <c r="AA3763" t="s">
        <v>10974</v>
      </c>
      <c r="AD3763" t="s">
        <v>11086</v>
      </c>
      <c r="AE3763" t="s">
        <v>11117</v>
      </c>
      <c r="AG3763" t="s">
        <v>11124</v>
      </c>
      <c r="AJ3763" t="s">
        <v>11135</v>
      </c>
      <c r="AK3763" t="s">
        <v>7225</v>
      </c>
      <c r="AM3763">
        <v>678.08</v>
      </c>
      <c r="AO3763">
        <v>64</v>
      </c>
      <c r="AQ3763" t="s">
        <v>11162</v>
      </c>
      <c r="AS3763" t="s">
        <v>11174</v>
      </c>
      <c r="AU3763">
        <v>16</v>
      </c>
      <c r="AW3763" t="s">
        <v>11187</v>
      </c>
      <c r="AX3763" t="s">
        <v>11212</v>
      </c>
      <c r="BA3763" t="s">
        <v>11222</v>
      </c>
      <c r="BE3763" t="s">
        <v>13712</v>
      </c>
      <c r="BF3763" t="s">
        <v>14364</v>
      </c>
      <c r="BM3763" t="s">
        <v>15650</v>
      </c>
    </row>
    <row r="3764" spans="1:65">
      <c r="A3764" s="1">
        <f>HYPERLINK("https://lsnyc.legalserver.org/matter/dynamic-profile/view/1906257","19-1906257")</f>
        <v>0</v>
      </c>
      <c r="B3764" t="s">
        <v>200</v>
      </c>
      <c r="C3764" t="s">
        <v>246</v>
      </c>
      <c r="D3764" t="s">
        <v>337</v>
      </c>
      <c r="E3764" t="s">
        <v>264</v>
      </c>
      <c r="F3764" t="s">
        <v>1419</v>
      </c>
      <c r="G3764" t="s">
        <v>4384</v>
      </c>
      <c r="H3764" t="s">
        <v>5982</v>
      </c>
      <c r="I3764" t="s">
        <v>7048</v>
      </c>
      <c r="J3764" t="s">
        <v>7170</v>
      </c>
      <c r="K3764">
        <v>10472</v>
      </c>
      <c r="L3764" t="s">
        <v>7216</v>
      </c>
      <c r="N3764" t="s">
        <v>7237</v>
      </c>
      <c r="P3764">
        <v>2</v>
      </c>
      <c r="Q3764">
        <v>2</v>
      </c>
      <c r="R3764">
        <v>222.14</v>
      </c>
      <c r="U3764">
        <v>57200</v>
      </c>
      <c r="W3764">
        <v>1.8</v>
      </c>
      <c r="X3764" t="s">
        <v>362</v>
      </c>
      <c r="Y3764" t="s">
        <v>200</v>
      </c>
      <c r="AA3764" t="s">
        <v>10974</v>
      </c>
      <c r="AB3764" t="s">
        <v>362</v>
      </c>
      <c r="AD3764" t="s">
        <v>11086</v>
      </c>
      <c r="AF3764" t="s">
        <v>11119</v>
      </c>
      <c r="AH3764" t="s">
        <v>10975</v>
      </c>
      <c r="AJ3764" t="s">
        <v>11141</v>
      </c>
      <c r="AK3764" t="s">
        <v>7225</v>
      </c>
      <c r="AM3764">
        <v>1907</v>
      </c>
      <c r="AO3764">
        <v>59</v>
      </c>
      <c r="AQ3764" t="s">
        <v>11157</v>
      </c>
      <c r="AS3764" t="s">
        <v>11173</v>
      </c>
      <c r="AU3764">
        <v>7</v>
      </c>
      <c r="AW3764" t="s">
        <v>11187</v>
      </c>
      <c r="BA3764" t="s">
        <v>11222</v>
      </c>
      <c r="BE3764" t="s">
        <v>13713</v>
      </c>
      <c r="BF3764" t="s">
        <v>14364</v>
      </c>
      <c r="BM3764" t="s">
        <v>15651</v>
      </c>
    </row>
    <row r="3765" spans="1:65">
      <c r="A3765" s="1">
        <f>HYPERLINK("https://lsnyc.legalserver.org/matter/dynamic-profile/view/1909633","19-1909633")</f>
        <v>0</v>
      </c>
      <c r="B3765" t="s">
        <v>200</v>
      </c>
      <c r="C3765" t="s">
        <v>246</v>
      </c>
      <c r="D3765" t="s">
        <v>1010</v>
      </c>
      <c r="F3765" t="s">
        <v>2295</v>
      </c>
      <c r="G3765" t="s">
        <v>4385</v>
      </c>
      <c r="H3765" t="s">
        <v>5983</v>
      </c>
      <c r="I3765" t="s">
        <v>6405</v>
      </c>
      <c r="J3765" t="s">
        <v>7170</v>
      </c>
      <c r="K3765">
        <v>10452</v>
      </c>
      <c r="N3765" t="s">
        <v>7237</v>
      </c>
      <c r="O3765" t="s">
        <v>9606</v>
      </c>
      <c r="P3765">
        <v>1</v>
      </c>
      <c r="Q3765">
        <v>0</v>
      </c>
      <c r="R3765">
        <v>15.99</v>
      </c>
      <c r="U3765">
        <v>1997.28</v>
      </c>
      <c r="W3765">
        <v>1</v>
      </c>
      <c r="X3765" t="s">
        <v>269</v>
      </c>
      <c r="Y3765" t="s">
        <v>200</v>
      </c>
      <c r="AA3765" t="s">
        <v>10974</v>
      </c>
      <c r="AD3765" t="s">
        <v>11086</v>
      </c>
      <c r="AF3765" t="s">
        <v>11119</v>
      </c>
      <c r="AH3765" t="s">
        <v>10975</v>
      </c>
      <c r="AJ3765" t="s">
        <v>11141</v>
      </c>
      <c r="AK3765" t="s">
        <v>7225</v>
      </c>
      <c r="AM3765">
        <v>100</v>
      </c>
      <c r="AO3765">
        <v>27</v>
      </c>
      <c r="AP3765" t="s">
        <v>11155</v>
      </c>
      <c r="AS3765" t="s">
        <v>11174</v>
      </c>
      <c r="AU3765">
        <v>25</v>
      </c>
      <c r="AW3765" t="s">
        <v>11187</v>
      </c>
      <c r="AX3765" t="s">
        <v>11212</v>
      </c>
      <c r="BA3765" t="s">
        <v>11222</v>
      </c>
      <c r="BE3765" t="s">
        <v>13714</v>
      </c>
      <c r="BF3765" t="s">
        <v>14364</v>
      </c>
      <c r="BM3765" t="s">
        <v>15650</v>
      </c>
    </row>
    <row r="3766" spans="1:65">
      <c r="A3766" s="1">
        <f>HYPERLINK("https://lsnyc.legalserver.org/matter/dynamic-profile/view/1912655","19-1912655")</f>
        <v>0</v>
      </c>
      <c r="B3766" t="s">
        <v>200</v>
      </c>
      <c r="C3766" t="s">
        <v>246</v>
      </c>
      <c r="D3766" t="s">
        <v>265</v>
      </c>
      <c r="F3766" t="s">
        <v>2535</v>
      </c>
      <c r="G3766" t="s">
        <v>2956</v>
      </c>
      <c r="H3766" t="s">
        <v>5984</v>
      </c>
      <c r="I3766" t="s">
        <v>6425</v>
      </c>
      <c r="J3766" t="s">
        <v>7170</v>
      </c>
      <c r="K3766">
        <v>10472</v>
      </c>
      <c r="N3766" t="s">
        <v>7237</v>
      </c>
      <c r="O3766" t="s">
        <v>8648</v>
      </c>
      <c r="P3766">
        <v>2</v>
      </c>
      <c r="Q3766">
        <v>0</v>
      </c>
      <c r="R3766">
        <v>66.84999999999999</v>
      </c>
      <c r="U3766">
        <v>11304.7</v>
      </c>
      <c r="W3766">
        <v>1</v>
      </c>
      <c r="X3766" t="s">
        <v>265</v>
      </c>
      <c r="Y3766" t="s">
        <v>200</v>
      </c>
      <c r="AA3766" t="s">
        <v>10974</v>
      </c>
      <c r="AD3766" t="s">
        <v>11086</v>
      </c>
      <c r="AF3766" t="s">
        <v>11119</v>
      </c>
      <c r="AH3766" t="s">
        <v>10975</v>
      </c>
      <c r="AJ3766" t="s">
        <v>11141</v>
      </c>
      <c r="AK3766" t="s">
        <v>7225</v>
      </c>
      <c r="AM3766">
        <v>905.4</v>
      </c>
      <c r="AO3766">
        <v>54</v>
      </c>
      <c r="AQ3766" t="s">
        <v>11157</v>
      </c>
      <c r="AS3766" t="s">
        <v>11173</v>
      </c>
      <c r="AU3766">
        <v>26</v>
      </c>
      <c r="AW3766" t="s">
        <v>11187</v>
      </c>
      <c r="AX3766" t="s">
        <v>11212</v>
      </c>
      <c r="BA3766" t="s">
        <v>11222</v>
      </c>
      <c r="BE3766" t="s">
        <v>13715</v>
      </c>
      <c r="BF3766" t="s">
        <v>14364</v>
      </c>
      <c r="BM3766" t="s">
        <v>15650</v>
      </c>
    </row>
    <row r="3767" spans="1:65">
      <c r="A3767" s="1">
        <f>HYPERLINK("https://lsnyc.legalserver.org/matter/dynamic-profile/view/1908834","19-1908834")</f>
        <v>0</v>
      </c>
      <c r="B3767" t="s">
        <v>200</v>
      </c>
      <c r="C3767" t="s">
        <v>246</v>
      </c>
      <c r="D3767" t="s">
        <v>422</v>
      </c>
      <c r="F3767" t="s">
        <v>1476</v>
      </c>
      <c r="G3767" t="s">
        <v>2988</v>
      </c>
      <c r="H3767" t="s">
        <v>5985</v>
      </c>
      <c r="I3767" t="s">
        <v>6495</v>
      </c>
      <c r="J3767" t="s">
        <v>7170</v>
      </c>
      <c r="K3767">
        <v>10455</v>
      </c>
      <c r="N3767" t="s">
        <v>7237</v>
      </c>
      <c r="O3767" t="s">
        <v>9607</v>
      </c>
      <c r="P3767">
        <v>1</v>
      </c>
      <c r="Q3767">
        <v>0</v>
      </c>
      <c r="R3767">
        <v>17.29</v>
      </c>
      <c r="U3767">
        <v>2160</v>
      </c>
      <c r="W3767">
        <v>4.1</v>
      </c>
      <c r="X3767" t="s">
        <v>563</v>
      </c>
      <c r="Y3767" t="s">
        <v>10872</v>
      </c>
      <c r="AA3767" t="s">
        <v>10974</v>
      </c>
      <c r="AD3767" t="s">
        <v>11086</v>
      </c>
      <c r="AF3767" t="s">
        <v>11119</v>
      </c>
      <c r="AH3767" t="s">
        <v>10975</v>
      </c>
      <c r="AJ3767" t="s">
        <v>11143</v>
      </c>
      <c r="AK3767" t="s">
        <v>7225</v>
      </c>
      <c r="AM3767">
        <v>903</v>
      </c>
      <c r="AN3767" t="s">
        <v>11151</v>
      </c>
      <c r="AO3767" t="s">
        <v>11153</v>
      </c>
      <c r="AQ3767" t="s">
        <v>11161</v>
      </c>
      <c r="AS3767" t="s">
        <v>11174</v>
      </c>
      <c r="AU3767">
        <v>21</v>
      </c>
      <c r="AW3767" t="s">
        <v>11189</v>
      </c>
      <c r="AX3767" t="s">
        <v>11212</v>
      </c>
      <c r="BA3767" t="s">
        <v>11222</v>
      </c>
      <c r="BE3767" t="s">
        <v>13716</v>
      </c>
      <c r="BF3767" t="s">
        <v>14364</v>
      </c>
      <c r="BM3767" t="s">
        <v>15650</v>
      </c>
    </row>
    <row r="3768" spans="1:65">
      <c r="A3768" s="1">
        <f>HYPERLINK("https://lsnyc.legalserver.org/matter/dynamic-profile/view/1908086","19-1908086")</f>
        <v>0</v>
      </c>
      <c r="B3768" t="s">
        <v>200</v>
      </c>
      <c r="C3768" t="s">
        <v>246</v>
      </c>
      <c r="D3768" t="s">
        <v>437</v>
      </c>
      <c r="E3768" t="s">
        <v>614</v>
      </c>
      <c r="F3768" t="s">
        <v>2536</v>
      </c>
      <c r="G3768" t="s">
        <v>3165</v>
      </c>
      <c r="H3768" t="s">
        <v>5986</v>
      </c>
      <c r="I3768" t="s">
        <v>6700</v>
      </c>
      <c r="J3768" t="s">
        <v>7170</v>
      </c>
      <c r="K3768">
        <v>10459</v>
      </c>
      <c r="L3768" t="s">
        <v>7216</v>
      </c>
      <c r="N3768" t="s">
        <v>7237</v>
      </c>
      <c r="O3768" t="s">
        <v>9608</v>
      </c>
      <c r="P3768">
        <v>1</v>
      </c>
      <c r="Q3768">
        <v>0</v>
      </c>
      <c r="R3768">
        <v>74.08</v>
      </c>
      <c r="U3768">
        <v>9252</v>
      </c>
      <c r="W3768">
        <v>2.25</v>
      </c>
      <c r="X3768" t="s">
        <v>304</v>
      </c>
      <c r="Y3768" t="s">
        <v>200</v>
      </c>
      <c r="AA3768" t="s">
        <v>10974</v>
      </c>
      <c r="AC3768" t="s">
        <v>11081</v>
      </c>
      <c r="AF3768" t="s">
        <v>10384</v>
      </c>
      <c r="AH3768" t="s">
        <v>10975</v>
      </c>
      <c r="AI3768" t="s">
        <v>11126</v>
      </c>
      <c r="AK3768" t="s">
        <v>7225</v>
      </c>
      <c r="AM3768">
        <v>1200</v>
      </c>
      <c r="AN3768" t="s">
        <v>11151</v>
      </c>
      <c r="AO3768" t="s">
        <v>11153</v>
      </c>
      <c r="AP3768" t="s">
        <v>11155</v>
      </c>
      <c r="AR3768" t="s">
        <v>11172</v>
      </c>
      <c r="AU3768">
        <v>11</v>
      </c>
      <c r="AW3768" t="s">
        <v>11189</v>
      </c>
      <c r="AX3768" t="s">
        <v>11212</v>
      </c>
      <c r="BA3768" t="s">
        <v>11222</v>
      </c>
      <c r="BE3768" t="s">
        <v>13717</v>
      </c>
      <c r="BF3768" t="s">
        <v>14364</v>
      </c>
      <c r="BM3768" t="s">
        <v>15651</v>
      </c>
    </row>
    <row r="3769" spans="1:65">
      <c r="A3769" s="1">
        <f>HYPERLINK("https://lsnyc.legalserver.org/matter/dynamic-profile/view/1910837","19-1910837")</f>
        <v>0</v>
      </c>
      <c r="B3769" t="s">
        <v>200</v>
      </c>
      <c r="C3769" t="s">
        <v>246</v>
      </c>
      <c r="D3769" t="s">
        <v>554</v>
      </c>
      <c r="E3769" t="s">
        <v>614</v>
      </c>
      <c r="F3769" t="s">
        <v>1195</v>
      </c>
      <c r="G3769" t="s">
        <v>3314</v>
      </c>
      <c r="H3769" t="s">
        <v>4955</v>
      </c>
      <c r="J3769" t="s">
        <v>7170</v>
      </c>
      <c r="K3769">
        <v>10457</v>
      </c>
      <c r="L3769" t="s">
        <v>7216</v>
      </c>
      <c r="N3769" t="s">
        <v>7237</v>
      </c>
      <c r="O3769" t="s">
        <v>9609</v>
      </c>
      <c r="P3769">
        <v>2</v>
      </c>
      <c r="Q3769">
        <v>0</v>
      </c>
      <c r="R3769">
        <v>0</v>
      </c>
      <c r="U3769">
        <v>0</v>
      </c>
      <c r="W3769">
        <v>0.5</v>
      </c>
      <c r="X3769" t="s">
        <v>728</v>
      </c>
      <c r="Y3769" t="s">
        <v>200</v>
      </c>
      <c r="AA3769" t="s">
        <v>10974</v>
      </c>
      <c r="AD3769" t="s">
        <v>11086</v>
      </c>
      <c r="AF3769" t="s">
        <v>11119</v>
      </c>
      <c r="AH3769" t="s">
        <v>10975</v>
      </c>
      <c r="AJ3769" t="s">
        <v>11141</v>
      </c>
      <c r="AK3769" t="s">
        <v>7225</v>
      </c>
      <c r="AM3769">
        <v>944</v>
      </c>
      <c r="AN3769" t="s">
        <v>11151</v>
      </c>
      <c r="AO3769" t="s">
        <v>11153</v>
      </c>
      <c r="AQ3769" t="s">
        <v>11157</v>
      </c>
      <c r="AS3769" t="s">
        <v>11173</v>
      </c>
      <c r="AU3769">
        <v>24</v>
      </c>
      <c r="AW3769" t="s">
        <v>11187</v>
      </c>
      <c r="AX3769" t="s">
        <v>11212</v>
      </c>
      <c r="BA3769" t="s">
        <v>11222</v>
      </c>
      <c r="BD3769" t="s">
        <v>11667</v>
      </c>
      <c r="BF3769" t="s">
        <v>14364</v>
      </c>
      <c r="BM3769" t="s">
        <v>15651</v>
      </c>
    </row>
    <row r="3770" spans="1:65">
      <c r="A3770" s="1">
        <f>HYPERLINK("https://lsnyc.legalserver.org/matter/dynamic-profile/view/1908080","19-1908080")</f>
        <v>0</v>
      </c>
      <c r="B3770" t="s">
        <v>200</v>
      </c>
      <c r="C3770" t="s">
        <v>246</v>
      </c>
      <c r="D3770" t="s">
        <v>437</v>
      </c>
      <c r="E3770" t="s">
        <v>614</v>
      </c>
      <c r="F3770" t="s">
        <v>2443</v>
      </c>
      <c r="G3770" t="s">
        <v>4386</v>
      </c>
      <c r="H3770" t="s">
        <v>5987</v>
      </c>
      <c r="I3770" t="s">
        <v>6611</v>
      </c>
      <c r="J3770" t="s">
        <v>7170</v>
      </c>
      <c r="K3770">
        <v>10452</v>
      </c>
      <c r="L3770" t="s">
        <v>7216</v>
      </c>
      <c r="N3770" t="s">
        <v>7237</v>
      </c>
      <c r="O3770" t="s">
        <v>9610</v>
      </c>
      <c r="P3770">
        <v>2</v>
      </c>
      <c r="Q3770">
        <v>0</v>
      </c>
      <c r="R3770">
        <v>28.39</v>
      </c>
      <c r="U3770">
        <v>4800</v>
      </c>
      <c r="W3770">
        <v>3</v>
      </c>
      <c r="X3770" t="s">
        <v>598</v>
      </c>
      <c r="Y3770" t="s">
        <v>200</v>
      </c>
      <c r="AA3770" t="s">
        <v>10974</v>
      </c>
      <c r="AB3770" t="s">
        <v>341</v>
      </c>
      <c r="AD3770" t="s">
        <v>11082</v>
      </c>
      <c r="AF3770" t="s">
        <v>11119</v>
      </c>
      <c r="AH3770" t="s">
        <v>10975</v>
      </c>
      <c r="AJ3770" t="s">
        <v>11141</v>
      </c>
      <c r="AK3770" t="s">
        <v>7225</v>
      </c>
      <c r="AM3770">
        <v>687.8</v>
      </c>
      <c r="AO3770">
        <v>73</v>
      </c>
      <c r="AQ3770" t="s">
        <v>11157</v>
      </c>
      <c r="AS3770" t="s">
        <v>11173</v>
      </c>
      <c r="AU3770">
        <v>5</v>
      </c>
      <c r="AW3770" t="s">
        <v>11187</v>
      </c>
      <c r="AY3770" t="s">
        <v>11213</v>
      </c>
      <c r="BA3770" t="s">
        <v>11222</v>
      </c>
      <c r="BE3770" t="s">
        <v>13718</v>
      </c>
      <c r="BF3770" t="s">
        <v>14364</v>
      </c>
      <c r="BG3770" t="s">
        <v>11228</v>
      </c>
      <c r="BM3770" t="s">
        <v>15651</v>
      </c>
    </row>
    <row r="3771" spans="1:65">
      <c r="A3771" s="1">
        <f>HYPERLINK("https://lsnyc.legalserver.org/matter/dynamic-profile/view/1912719","19-1912719")</f>
        <v>0</v>
      </c>
      <c r="B3771" t="s">
        <v>200</v>
      </c>
      <c r="C3771" t="s">
        <v>246</v>
      </c>
      <c r="D3771" t="s">
        <v>265</v>
      </c>
      <c r="E3771" t="s">
        <v>614</v>
      </c>
      <c r="F3771" t="s">
        <v>1383</v>
      </c>
      <c r="G3771" t="s">
        <v>4387</v>
      </c>
      <c r="H3771" t="s">
        <v>5373</v>
      </c>
      <c r="J3771" t="s">
        <v>7170</v>
      </c>
      <c r="K3771">
        <v>10456</v>
      </c>
      <c r="L3771" t="s">
        <v>7216</v>
      </c>
      <c r="N3771" t="s">
        <v>7237</v>
      </c>
      <c r="O3771" t="s">
        <v>7897</v>
      </c>
      <c r="P3771">
        <v>2</v>
      </c>
      <c r="Q3771">
        <v>0</v>
      </c>
      <c r="R3771">
        <v>177.41</v>
      </c>
      <c r="U3771">
        <v>30000</v>
      </c>
      <c r="W3771">
        <v>1</v>
      </c>
      <c r="X3771" t="s">
        <v>265</v>
      </c>
      <c r="Y3771" t="s">
        <v>200</v>
      </c>
      <c r="AA3771" t="s">
        <v>10974</v>
      </c>
      <c r="AD3771" t="s">
        <v>11086</v>
      </c>
      <c r="AF3771" t="s">
        <v>11119</v>
      </c>
      <c r="AH3771" t="s">
        <v>10975</v>
      </c>
      <c r="AJ3771" t="s">
        <v>11141</v>
      </c>
      <c r="AK3771" t="s">
        <v>7225</v>
      </c>
      <c r="AM3771">
        <v>1102.5</v>
      </c>
      <c r="AN3771" t="s">
        <v>11151</v>
      </c>
      <c r="AO3771" t="s">
        <v>11153</v>
      </c>
      <c r="AQ3771" t="s">
        <v>11157</v>
      </c>
      <c r="AS3771" t="s">
        <v>11173</v>
      </c>
      <c r="AU3771">
        <v>6</v>
      </c>
      <c r="AW3771" t="s">
        <v>11189</v>
      </c>
      <c r="AX3771" t="s">
        <v>11212</v>
      </c>
      <c r="BA3771" t="s">
        <v>11222</v>
      </c>
      <c r="BE3771" t="s">
        <v>13719</v>
      </c>
      <c r="BF3771" t="s">
        <v>14364</v>
      </c>
      <c r="BM3771" t="s">
        <v>15651</v>
      </c>
    </row>
    <row r="3772" spans="1:65">
      <c r="A3772" s="1">
        <f>HYPERLINK("https://lsnyc.legalserver.org/matter/dynamic-profile/view/1906228","19-1906228")</f>
        <v>0</v>
      </c>
      <c r="B3772" t="s">
        <v>201</v>
      </c>
      <c r="C3772" t="s">
        <v>245</v>
      </c>
      <c r="D3772" t="s">
        <v>524</v>
      </c>
      <c r="F3772" t="s">
        <v>1252</v>
      </c>
      <c r="G3772" t="s">
        <v>4388</v>
      </c>
      <c r="H3772" t="s">
        <v>5988</v>
      </c>
      <c r="I3772" t="s">
        <v>6413</v>
      </c>
      <c r="J3772" t="s">
        <v>7170</v>
      </c>
      <c r="K3772">
        <v>10463</v>
      </c>
      <c r="N3772" t="s">
        <v>7237</v>
      </c>
      <c r="O3772" t="s">
        <v>9611</v>
      </c>
      <c r="P3772">
        <v>1</v>
      </c>
      <c r="Q3772">
        <v>1</v>
      </c>
      <c r="R3772">
        <v>62.73</v>
      </c>
      <c r="U3772">
        <v>10608</v>
      </c>
      <c r="V3772" t="s">
        <v>10727</v>
      </c>
      <c r="W3772">
        <v>0</v>
      </c>
      <c r="Y3772" t="s">
        <v>127</v>
      </c>
      <c r="Z3772" t="s">
        <v>10972</v>
      </c>
      <c r="AA3772" t="s">
        <v>10975</v>
      </c>
      <c r="AC3772" t="s">
        <v>11081</v>
      </c>
      <c r="AF3772" t="s">
        <v>11121</v>
      </c>
      <c r="AH3772" t="s">
        <v>10975</v>
      </c>
      <c r="AJ3772" t="s">
        <v>11130</v>
      </c>
      <c r="AK3772" t="s">
        <v>7225</v>
      </c>
      <c r="AM3772">
        <v>975.72</v>
      </c>
      <c r="AO3772">
        <v>41</v>
      </c>
      <c r="AQ3772" t="s">
        <v>11157</v>
      </c>
      <c r="AS3772" t="s">
        <v>11173</v>
      </c>
      <c r="AU3772">
        <v>21</v>
      </c>
      <c r="AW3772" t="s">
        <v>11189</v>
      </c>
      <c r="AX3772" t="s">
        <v>11212</v>
      </c>
      <c r="BA3772" t="s">
        <v>11222</v>
      </c>
      <c r="BE3772" t="s">
        <v>13720</v>
      </c>
      <c r="BF3772" t="s">
        <v>14364</v>
      </c>
      <c r="BM3772" t="s">
        <v>15650</v>
      </c>
    </row>
    <row r="3773" spans="1:65">
      <c r="A3773" s="1">
        <f>HYPERLINK("https://lsnyc.legalserver.org/matter/dynamic-profile/view/1904308","19-1904308")</f>
        <v>0</v>
      </c>
      <c r="B3773" t="s">
        <v>201</v>
      </c>
      <c r="C3773" t="s">
        <v>245</v>
      </c>
      <c r="D3773" t="s">
        <v>512</v>
      </c>
      <c r="F3773" t="s">
        <v>2537</v>
      </c>
      <c r="G3773" t="s">
        <v>2877</v>
      </c>
      <c r="H3773" t="s">
        <v>4872</v>
      </c>
      <c r="I3773" t="s">
        <v>6408</v>
      </c>
      <c r="J3773" t="s">
        <v>7169</v>
      </c>
      <c r="K3773">
        <v>10034</v>
      </c>
      <c r="N3773" t="s">
        <v>7237</v>
      </c>
      <c r="O3773" t="s">
        <v>9612</v>
      </c>
      <c r="P3773">
        <v>2</v>
      </c>
      <c r="Q3773">
        <v>0</v>
      </c>
      <c r="R3773">
        <v>354.82</v>
      </c>
      <c r="U3773">
        <v>60000</v>
      </c>
      <c r="W3773">
        <v>0</v>
      </c>
      <c r="Y3773" t="s">
        <v>127</v>
      </c>
      <c r="AA3773" t="s">
        <v>10974</v>
      </c>
      <c r="AB3773" t="s">
        <v>512</v>
      </c>
      <c r="AD3773" t="s">
        <v>11090</v>
      </c>
      <c r="AF3773" t="s">
        <v>11121</v>
      </c>
      <c r="AH3773" t="s">
        <v>10975</v>
      </c>
      <c r="AJ3773" t="s">
        <v>11130</v>
      </c>
      <c r="AK3773" t="s">
        <v>7225</v>
      </c>
      <c r="AM3773">
        <v>2100</v>
      </c>
      <c r="AO3773">
        <v>69</v>
      </c>
      <c r="AQ3773" t="s">
        <v>11157</v>
      </c>
      <c r="AS3773" t="s">
        <v>11173</v>
      </c>
      <c r="AU3773">
        <v>8</v>
      </c>
      <c r="AW3773" t="s">
        <v>11187</v>
      </c>
      <c r="BA3773" t="s">
        <v>11222</v>
      </c>
      <c r="BD3773" t="s">
        <v>11667</v>
      </c>
      <c r="BF3773" t="s">
        <v>14364</v>
      </c>
      <c r="BM3773" t="s">
        <v>15650</v>
      </c>
    </row>
    <row r="3774" spans="1:65">
      <c r="A3774" s="1">
        <f>HYPERLINK("https://lsnyc.legalserver.org/matter/dynamic-profile/view/1904599","19-1904599")</f>
        <v>0</v>
      </c>
      <c r="B3774" t="s">
        <v>201</v>
      </c>
      <c r="C3774" t="s">
        <v>245</v>
      </c>
      <c r="D3774" t="s">
        <v>380</v>
      </c>
      <c r="F3774" t="s">
        <v>1252</v>
      </c>
      <c r="G3774" t="s">
        <v>4389</v>
      </c>
      <c r="H3774" t="s">
        <v>5989</v>
      </c>
      <c r="I3774">
        <v>1</v>
      </c>
      <c r="J3774" t="s">
        <v>7169</v>
      </c>
      <c r="K3774">
        <v>10034</v>
      </c>
      <c r="N3774" t="s">
        <v>7237</v>
      </c>
      <c r="O3774" t="s">
        <v>9613</v>
      </c>
      <c r="P3774">
        <v>2</v>
      </c>
      <c r="Q3774">
        <v>0</v>
      </c>
      <c r="R3774">
        <v>110.85</v>
      </c>
      <c r="U3774">
        <v>18744</v>
      </c>
      <c r="W3774">
        <v>0.6</v>
      </c>
      <c r="X3774" t="s">
        <v>380</v>
      </c>
      <c r="Y3774" t="s">
        <v>127</v>
      </c>
      <c r="AA3774" t="s">
        <v>10974</v>
      </c>
      <c r="AB3774" t="s">
        <v>380</v>
      </c>
      <c r="AC3774" t="s">
        <v>11081</v>
      </c>
      <c r="AF3774" t="s">
        <v>11121</v>
      </c>
      <c r="AH3774" t="s">
        <v>10974</v>
      </c>
      <c r="AJ3774" t="s">
        <v>11130</v>
      </c>
      <c r="AK3774" t="s">
        <v>7225</v>
      </c>
      <c r="AM3774">
        <v>868.24</v>
      </c>
      <c r="AO3774">
        <v>25</v>
      </c>
      <c r="AQ3774" t="s">
        <v>11157</v>
      </c>
      <c r="AR3774" t="s">
        <v>11172</v>
      </c>
      <c r="AU3774">
        <v>34</v>
      </c>
      <c r="AW3774" t="s">
        <v>11187</v>
      </c>
      <c r="BA3774" t="s">
        <v>11222</v>
      </c>
      <c r="BE3774" t="s">
        <v>13721</v>
      </c>
      <c r="BF3774" t="s">
        <v>14364</v>
      </c>
      <c r="BM3774" t="s">
        <v>15650</v>
      </c>
    </row>
    <row r="3775" spans="1:65">
      <c r="A3775" s="1">
        <f>HYPERLINK("https://lsnyc.legalserver.org/matter/dynamic-profile/view/1901440","19-1901440")</f>
        <v>0</v>
      </c>
      <c r="B3775" t="s">
        <v>201</v>
      </c>
      <c r="C3775" t="s">
        <v>245</v>
      </c>
      <c r="D3775" t="s">
        <v>701</v>
      </c>
      <c r="F3775" t="s">
        <v>1280</v>
      </c>
      <c r="G3775" t="s">
        <v>4390</v>
      </c>
      <c r="H3775" t="s">
        <v>5990</v>
      </c>
      <c r="I3775" t="s">
        <v>6466</v>
      </c>
      <c r="J3775" t="s">
        <v>7169</v>
      </c>
      <c r="K3775">
        <v>10034</v>
      </c>
      <c r="N3775" t="s">
        <v>7237</v>
      </c>
      <c r="O3775" t="s">
        <v>9614</v>
      </c>
      <c r="P3775">
        <v>1</v>
      </c>
      <c r="Q3775">
        <v>0</v>
      </c>
      <c r="R3775">
        <v>153.72</v>
      </c>
      <c r="U3775">
        <v>19200</v>
      </c>
      <c r="W3775">
        <v>41.45</v>
      </c>
      <c r="X3775" t="s">
        <v>735</v>
      </c>
      <c r="Y3775" t="s">
        <v>127</v>
      </c>
      <c r="AA3775" t="s">
        <v>10974</v>
      </c>
      <c r="AB3775" t="s">
        <v>701</v>
      </c>
      <c r="AD3775" t="s">
        <v>11090</v>
      </c>
      <c r="AF3775" t="s">
        <v>11121</v>
      </c>
      <c r="AH3775" t="s">
        <v>10975</v>
      </c>
      <c r="AJ3775" t="s">
        <v>11130</v>
      </c>
      <c r="AK3775" t="s">
        <v>7225</v>
      </c>
      <c r="AM3775">
        <v>822.39</v>
      </c>
      <c r="AO3775">
        <v>43</v>
      </c>
      <c r="AQ3775" t="s">
        <v>11157</v>
      </c>
      <c r="AS3775" t="s">
        <v>11173</v>
      </c>
      <c r="AU3775">
        <v>3</v>
      </c>
      <c r="AW3775" t="s">
        <v>11189</v>
      </c>
      <c r="BA3775" t="s">
        <v>11222</v>
      </c>
      <c r="BE3775" t="s">
        <v>13722</v>
      </c>
      <c r="BF3775" t="s">
        <v>14364</v>
      </c>
      <c r="BM3775" t="s">
        <v>15650</v>
      </c>
    </row>
    <row r="3776" spans="1:65">
      <c r="A3776" s="1">
        <f>HYPERLINK("https://lsnyc.legalserver.org/matter/dynamic-profile/view/1896443","19-1896443")</f>
        <v>0</v>
      </c>
      <c r="B3776" t="s">
        <v>201</v>
      </c>
      <c r="C3776" t="s">
        <v>245</v>
      </c>
      <c r="D3776" t="s">
        <v>295</v>
      </c>
      <c r="F3776" t="s">
        <v>1641</v>
      </c>
      <c r="G3776" t="s">
        <v>1192</v>
      </c>
      <c r="H3776" t="s">
        <v>5991</v>
      </c>
      <c r="I3776">
        <v>41</v>
      </c>
      <c r="J3776" t="s">
        <v>7169</v>
      </c>
      <c r="K3776">
        <v>10034</v>
      </c>
      <c r="N3776" t="s">
        <v>7237</v>
      </c>
      <c r="O3776" t="s">
        <v>9615</v>
      </c>
      <c r="P3776">
        <v>2</v>
      </c>
      <c r="Q3776">
        <v>0</v>
      </c>
      <c r="R3776">
        <v>151.45</v>
      </c>
      <c r="U3776">
        <v>25610</v>
      </c>
      <c r="W3776">
        <v>0</v>
      </c>
      <c r="Y3776" t="s">
        <v>10893</v>
      </c>
      <c r="AA3776" t="s">
        <v>10974</v>
      </c>
      <c r="AB3776" t="s">
        <v>389</v>
      </c>
      <c r="AD3776" t="s">
        <v>11101</v>
      </c>
      <c r="AF3776" t="s">
        <v>11118</v>
      </c>
      <c r="AH3776" t="s">
        <v>10974</v>
      </c>
      <c r="AI3776" t="s">
        <v>11126</v>
      </c>
      <c r="AK3776" t="s">
        <v>7225</v>
      </c>
      <c r="AM3776">
        <v>541</v>
      </c>
      <c r="AO3776">
        <v>20</v>
      </c>
      <c r="AQ3776" t="s">
        <v>11157</v>
      </c>
      <c r="AS3776" t="s">
        <v>11173</v>
      </c>
      <c r="AU3776">
        <v>43</v>
      </c>
      <c r="AW3776" t="s">
        <v>11187</v>
      </c>
      <c r="BA3776" t="s">
        <v>11222</v>
      </c>
      <c r="BE3776" t="s">
        <v>13723</v>
      </c>
      <c r="BF3776" t="s">
        <v>14364</v>
      </c>
      <c r="BG3776" t="s">
        <v>15265</v>
      </c>
      <c r="BM3776" t="s">
        <v>15650</v>
      </c>
    </row>
    <row r="3777" spans="1:65">
      <c r="A3777" s="1">
        <f>HYPERLINK("https://lsnyc.legalserver.org/matter/dynamic-profile/view/1904333","19-1904333")</f>
        <v>0</v>
      </c>
      <c r="B3777" t="s">
        <v>201</v>
      </c>
      <c r="C3777" t="s">
        <v>245</v>
      </c>
      <c r="D3777" t="s">
        <v>512</v>
      </c>
      <c r="F3777" t="s">
        <v>1094</v>
      </c>
      <c r="G3777" t="s">
        <v>3794</v>
      </c>
      <c r="H3777" t="s">
        <v>5992</v>
      </c>
      <c r="I3777">
        <v>55</v>
      </c>
      <c r="J3777" t="s">
        <v>7169</v>
      </c>
      <c r="K3777">
        <v>10034</v>
      </c>
      <c r="N3777" t="s">
        <v>7237</v>
      </c>
      <c r="O3777" t="s">
        <v>9616</v>
      </c>
      <c r="P3777">
        <v>3</v>
      </c>
      <c r="Q3777">
        <v>0</v>
      </c>
      <c r="R3777">
        <v>154.71</v>
      </c>
      <c r="U3777">
        <v>33000</v>
      </c>
      <c r="W3777">
        <v>0</v>
      </c>
      <c r="Y3777" t="s">
        <v>127</v>
      </c>
      <c r="AA3777" t="s">
        <v>10974</v>
      </c>
      <c r="AB3777" t="s">
        <v>512</v>
      </c>
      <c r="AD3777" t="s">
        <v>11090</v>
      </c>
      <c r="AF3777" t="s">
        <v>11121</v>
      </c>
      <c r="AH3777" t="s">
        <v>10975</v>
      </c>
      <c r="AJ3777" t="s">
        <v>11130</v>
      </c>
      <c r="AK3777" t="s">
        <v>7225</v>
      </c>
      <c r="AM3777">
        <v>1408.53</v>
      </c>
      <c r="AO3777">
        <v>50</v>
      </c>
      <c r="AQ3777" t="s">
        <v>11157</v>
      </c>
      <c r="AS3777" t="s">
        <v>11173</v>
      </c>
      <c r="AU3777">
        <v>14</v>
      </c>
      <c r="AW3777" t="s">
        <v>11189</v>
      </c>
      <c r="BA3777" t="s">
        <v>11222</v>
      </c>
      <c r="BE3777" t="s">
        <v>13724</v>
      </c>
      <c r="BF3777" t="s">
        <v>14364</v>
      </c>
      <c r="BM3777" t="s">
        <v>15650</v>
      </c>
    </row>
    <row r="3778" spans="1:65">
      <c r="A3778" s="1">
        <f>HYPERLINK("https://lsnyc.legalserver.org/matter/dynamic-profile/view/1896367","19-1896367")</f>
        <v>0</v>
      </c>
      <c r="B3778" t="s">
        <v>201</v>
      </c>
      <c r="C3778" t="s">
        <v>245</v>
      </c>
      <c r="D3778" t="s">
        <v>412</v>
      </c>
      <c r="F3778" t="s">
        <v>2538</v>
      </c>
      <c r="G3778" t="s">
        <v>2885</v>
      </c>
      <c r="H3778" t="s">
        <v>4905</v>
      </c>
      <c r="I3778" t="s">
        <v>6528</v>
      </c>
      <c r="J3778" t="s">
        <v>7169</v>
      </c>
      <c r="K3778">
        <v>10034</v>
      </c>
      <c r="N3778" t="s">
        <v>7237</v>
      </c>
      <c r="O3778" t="s">
        <v>9617</v>
      </c>
      <c r="P3778">
        <v>2</v>
      </c>
      <c r="Q3778">
        <v>0</v>
      </c>
      <c r="R3778">
        <v>62.31</v>
      </c>
      <c r="U3778">
        <v>10536</v>
      </c>
      <c r="W3778">
        <v>11.85</v>
      </c>
      <c r="X3778" t="s">
        <v>429</v>
      </c>
      <c r="Y3778" t="s">
        <v>10893</v>
      </c>
      <c r="AA3778" t="s">
        <v>10974</v>
      </c>
      <c r="AB3778" t="s">
        <v>412</v>
      </c>
      <c r="AD3778" t="s">
        <v>11086</v>
      </c>
      <c r="AF3778" t="s">
        <v>11120</v>
      </c>
      <c r="AH3778" t="s">
        <v>10975</v>
      </c>
      <c r="AJ3778" t="s">
        <v>11130</v>
      </c>
      <c r="AK3778" t="s">
        <v>7225</v>
      </c>
      <c r="AM3778">
        <v>460</v>
      </c>
      <c r="AO3778">
        <v>68</v>
      </c>
      <c r="AQ3778" t="s">
        <v>11157</v>
      </c>
      <c r="AS3778" t="s">
        <v>11173</v>
      </c>
      <c r="AU3778">
        <v>4</v>
      </c>
      <c r="AW3778" t="s">
        <v>11189</v>
      </c>
      <c r="BA3778" t="s">
        <v>11222</v>
      </c>
      <c r="BE3778" t="s">
        <v>13725</v>
      </c>
      <c r="BF3778" t="s">
        <v>14364</v>
      </c>
      <c r="BM3778" t="s">
        <v>15650</v>
      </c>
    </row>
    <row r="3779" spans="1:65">
      <c r="A3779" s="1">
        <f>HYPERLINK("https://lsnyc.legalserver.org/matter/dynamic-profile/view/1896378","19-1896378")</f>
        <v>0</v>
      </c>
      <c r="B3779" t="s">
        <v>201</v>
      </c>
      <c r="C3779" t="s">
        <v>245</v>
      </c>
      <c r="D3779" t="s">
        <v>412</v>
      </c>
      <c r="F3779" t="s">
        <v>2134</v>
      </c>
      <c r="G3779" t="s">
        <v>2877</v>
      </c>
      <c r="H3779" t="s">
        <v>5597</v>
      </c>
      <c r="I3779">
        <v>42</v>
      </c>
      <c r="J3779" t="s">
        <v>7169</v>
      </c>
      <c r="K3779">
        <v>10034</v>
      </c>
      <c r="N3779" t="s">
        <v>7237</v>
      </c>
      <c r="O3779" t="s">
        <v>7602</v>
      </c>
      <c r="P3779">
        <v>1</v>
      </c>
      <c r="Q3779">
        <v>0</v>
      </c>
      <c r="R3779">
        <v>240.19</v>
      </c>
      <c r="U3779">
        <v>30000</v>
      </c>
      <c r="W3779">
        <v>20.65</v>
      </c>
      <c r="X3779" t="s">
        <v>272</v>
      </c>
      <c r="Y3779" t="s">
        <v>10893</v>
      </c>
      <c r="Z3779" t="s">
        <v>10972</v>
      </c>
      <c r="AA3779" t="s">
        <v>10976</v>
      </c>
      <c r="AD3779" t="s">
        <v>11086</v>
      </c>
      <c r="AE3779" t="s">
        <v>11117</v>
      </c>
      <c r="AG3779" t="s">
        <v>11124</v>
      </c>
      <c r="AI3779" t="s">
        <v>11126</v>
      </c>
      <c r="AK3779" t="s">
        <v>7225</v>
      </c>
      <c r="AM3779">
        <v>937</v>
      </c>
      <c r="AN3779" t="s">
        <v>11151</v>
      </c>
      <c r="AO3779" t="s">
        <v>11153</v>
      </c>
      <c r="AP3779" t="s">
        <v>11155</v>
      </c>
      <c r="AR3779" t="s">
        <v>11172</v>
      </c>
      <c r="AU3779">
        <v>45</v>
      </c>
      <c r="AW3779" t="s">
        <v>11187</v>
      </c>
      <c r="AX3779" t="s">
        <v>11212</v>
      </c>
      <c r="AZ3779" t="s">
        <v>11221</v>
      </c>
      <c r="BE3779" t="s">
        <v>13080</v>
      </c>
      <c r="BF3779" t="s">
        <v>14364</v>
      </c>
      <c r="BM3779" t="s">
        <v>15650</v>
      </c>
    </row>
    <row r="3780" spans="1:65">
      <c r="A3780" s="1">
        <f>HYPERLINK("https://lsnyc.legalserver.org/matter/dynamic-profile/view/1896355","19-1896355")</f>
        <v>0</v>
      </c>
      <c r="B3780" t="s">
        <v>201</v>
      </c>
      <c r="C3780" t="s">
        <v>245</v>
      </c>
      <c r="D3780" t="s">
        <v>412</v>
      </c>
      <c r="F3780" t="s">
        <v>2539</v>
      </c>
      <c r="G3780" t="s">
        <v>4391</v>
      </c>
      <c r="H3780" t="s">
        <v>5993</v>
      </c>
      <c r="I3780" t="s">
        <v>6405</v>
      </c>
      <c r="J3780" t="s">
        <v>7169</v>
      </c>
      <c r="K3780">
        <v>10034</v>
      </c>
      <c r="N3780" t="s">
        <v>7237</v>
      </c>
      <c r="O3780" t="s">
        <v>9618</v>
      </c>
      <c r="P3780">
        <v>2</v>
      </c>
      <c r="Q3780">
        <v>2</v>
      </c>
      <c r="R3780">
        <v>306.45</v>
      </c>
      <c r="U3780">
        <v>78910</v>
      </c>
      <c r="W3780">
        <v>1</v>
      </c>
      <c r="X3780" t="s">
        <v>664</v>
      </c>
      <c r="Y3780" t="s">
        <v>10893</v>
      </c>
      <c r="AA3780" t="s">
        <v>10974</v>
      </c>
      <c r="AB3780" t="s">
        <v>412</v>
      </c>
      <c r="AD3780" t="s">
        <v>11082</v>
      </c>
      <c r="AF3780" t="s">
        <v>11121</v>
      </c>
      <c r="AH3780" t="s">
        <v>10975</v>
      </c>
      <c r="AJ3780" t="s">
        <v>11130</v>
      </c>
      <c r="AK3780" t="s">
        <v>7225</v>
      </c>
      <c r="AM3780">
        <v>1470</v>
      </c>
      <c r="AO3780">
        <v>41</v>
      </c>
      <c r="AQ3780" t="s">
        <v>11157</v>
      </c>
      <c r="AS3780" t="s">
        <v>11173</v>
      </c>
      <c r="AU3780">
        <v>5</v>
      </c>
      <c r="AW3780" t="s">
        <v>11187</v>
      </c>
      <c r="BA3780" t="s">
        <v>11222</v>
      </c>
      <c r="BE3780" t="s">
        <v>13726</v>
      </c>
      <c r="BF3780" t="s">
        <v>14364</v>
      </c>
      <c r="BG3780">
        <v>51766</v>
      </c>
      <c r="BM3780" t="s">
        <v>15650</v>
      </c>
    </row>
    <row r="3781" spans="1:65">
      <c r="A3781" s="1">
        <f>HYPERLINK("https://lsnyc.legalserver.org/matter/dynamic-profile/view/1908234","19-1908234")</f>
        <v>0</v>
      </c>
      <c r="B3781" t="s">
        <v>201</v>
      </c>
      <c r="C3781" t="s">
        <v>245</v>
      </c>
      <c r="D3781" t="s">
        <v>578</v>
      </c>
      <c r="F3781" t="s">
        <v>1476</v>
      </c>
      <c r="G3781" t="s">
        <v>4392</v>
      </c>
      <c r="H3781" t="s">
        <v>5994</v>
      </c>
      <c r="I3781">
        <v>2</v>
      </c>
      <c r="J3781" t="s">
        <v>7169</v>
      </c>
      <c r="K3781">
        <v>10033</v>
      </c>
      <c r="N3781" t="s">
        <v>7241</v>
      </c>
      <c r="O3781" t="s">
        <v>9619</v>
      </c>
      <c r="P3781">
        <v>2</v>
      </c>
      <c r="Q3781">
        <v>0</v>
      </c>
      <c r="R3781">
        <v>14.19</v>
      </c>
      <c r="U3781">
        <v>2400</v>
      </c>
      <c r="W3781">
        <v>1</v>
      </c>
      <c r="X3781" t="s">
        <v>578</v>
      </c>
      <c r="Y3781" t="s">
        <v>10885</v>
      </c>
      <c r="AA3781" t="s">
        <v>10974</v>
      </c>
      <c r="AD3781" t="s">
        <v>11094</v>
      </c>
      <c r="AF3781" t="s">
        <v>11121</v>
      </c>
      <c r="AH3781" t="s">
        <v>10975</v>
      </c>
      <c r="AJ3781" t="s">
        <v>11130</v>
      </c>
      <c r="AK3781" t="s">
        <v>7225</v>
      </c>
      <c r="AM3781">
        <v>1225.03</v>
      </c>
      <c r="AN3781" t="s">
        <v>11151</v>
      </c>
      <c r="AO3781" t="s">
        <v>11153</v>
      </c>
      <c r="AQ3781" t="s">
        <v>11157</v>
      </c>
      <c r="AS3781" t="s">
        <v>11174</v>
      </c>
      <c r="AU3781">
        <v>20</v>
      </c>
      <c r="AW3781" t="s">
        <v>11189</v>
      </c>
      <c r="AX3781" t="s">
        <v>11212</v>
      </c>
      <c r="BA3781" t="s">
        <v>11223</v>
      </c>
      <c r="BB3781" t="s">
        <v>11224</v>
      </c>
      <c r="BC3781" t="s">
        <v>11551</v>
      </c>
      <c r="BE3781" t="s">
        <v>13727</v>
      </c>
      <c r="BF3781" t="s">
        <v>14364</v>
      </c>
      <c r="BM3781" t="s">
        <v>15650</v>
      </c>
    </row>
    <row r="3782" spans="1:65">
      <c r="A3782" s="1">
        <f>HYPERLINK("https://lsnyc.legalserver.org/matter/dynamic-profile/view/1901495","19-1901495")</f>
        <v>0</v>
      </c>
      <c r="B3782" t="s">
        <v>201</v>
      </c>
      <c r="C3782" t="s">
        <v>245</v>
      </c>
      <c r="D3782" t="s">
        <v>701</v>
      </c>
      <c r="F3782" t="s">
        <v>2540</v>
      </c>
      <c r="G3782" t="s">
        <v>3680</v>
      </c>
      <c r="H3782" t="s">
        <v>5858</v>
      </c>
      <c r="I3782">
        <v>31</v>
      </c>
      <c r="J3782" t="s">
        <v>7169</v>
      </c>
      <c r="K3782">
        <v>10033</v>
      </c>
      <c r="N3782" t="s">
        <v>7237</v>
      </c>
      <c r="O3782" t="s">
        <v>9620</v>
      </c>
      <c r="P3782">
        <v>1</v>
      </c>
      <c r="Q3782">
        <v>0</v>
      </c>
      <c r="R3782">
        <v>99.70999999999999</v>
      </c>
      <c r="U3782">
        <v>12454</v>
      </c>
      <c r="W3782">
        <v>2.3</v>
      </c>
      <c r="X3782" t="s">
        <v>276</v>
      </c>
      <c r="Y3782" t="s">
        <v>127</v>
      </c>
      <c r="AA3782" t="s">
        <v>10974</v>
      </c>
      <c r="AB3782" t="s">
        <v>701</v>
      </c>
      <c r="AD3782" t="s">
        <v>11101</v>
      </c>
      <c r="AF3782" t="s">
        <v>11118</v>
      </c>
      <c r="AH3782" t="s">
        <v>10975</v>
      </c>
      <c r="AJ3782" t="s">
        <v>11130</v>
      </c>
      <c r="AK3782" t="s">
        <v>7225</v>
      </c>
      <c r="AM3782">
        <v>1251.22</v>
      </c>
      <c r="AO3782">
        <v>20</v>
      </c>
      <c r="AQ3782" t="s">
        <v>11157</v>
      </c>
      <c r="AS3782" t="s">
        <v>11175</v>
      </c>
      <c r="AU3782">
        <v>19</v>
      </c>
      <c r="AW3782" t="s">
        <v>11189</v>
      </c>
      <c r="BA3782" t="s">
        <v>11222</v>
      </c>
      <c r="BE3782" t="s">
        <v>13728</v>
      </c>
      <c r="BF3782" t="s">
        <v>14364</v>
      </c>
      <c r="BM3782" t="s">
        <v>15650</v>
      </c>
    </row>
    <row r="3783" spans="1:65">
      <c r="A3783" s="1">
        <f>HYPERLINK("https://lsnyc.legalserver.org/matter/dynamic-profile/view/1914174","19-1914174")</f>
        <v>0</v>
      </c>
      <c r="B3783" t="s">
        <v>201</v>
      </c>
      <c r="C3783" t="s">
        <v>245</v>
      </c>
      <c r="D3783" t="s">
        <v>301</v>
      </c>
      <c r="F3783" t="s">
        <v>1207</v>
      </c>
      <c r="G3783" t="s">
        <v>4393</v>
      </c>
      <c r="H3783" t="s">
        <v>5995</v>
      </c>
      <c r="I3783" t="s">
        <v>7049</v>
      </c>
      <c r="J3783" t="s">
        <v>7169</v>
      </c>
      <c r="K3783">
        <v>10040</v>
      </c>
      <c r="N3783" t="s">
        <v>7237</v>
      </c>
      <c r="O3783" t="s">
        <v>9621</v>
      </c>
      <c r="P3783">
        <v>2</v>
      </c>
      <c r="Q3783">
        <v>0</v>
      </c>
      <c r="R3783">
        <v>184.51</v>
      </c>
      <c r="U3783">
        <v>31200</v>
      </c>
      <c r="W3783">
        <v>0.1</v>
      </c>
      <c r="X3783" t="s">
        <v>449</v>
      </c>
      <c r="Y3783" t="s">
        <v>127</v>
      </c>
      <c r="AA3783" t="s">
        <v>10974</v>
      </c>
      <c r="AB3783" t="s">
        <v>301</v>
      </c>
      <c r="AC3783" t="s">
        <v>11081</v>
      </c>
      <c r="AF3783" t="s">
        <v>11121</v>
      </c>
      <c r="AH3783" t="s">
        <v>10975</v>
      </c>
      <c r="AJ3783" t="s">
        <v>11130</v>
      </c>
      <c r="AK3783" t="s">
        <v>7225</v>
      </c>
      <c r="AM3783">
        <v>1231</v>
      </c>
      <c r="AO3783">
        <v>189</v>
      </c>
      <c r="AQ3783" t="s">
        <v>11157</v>
      </c>
      <c r="AS3783" t="s">
        <v>11173</v>
      </c>
      <c r="AU3783">
        <v>1</v>
      </c>
      <c r="AV3783" t="s">
        <v>11186</v>
      </c>
      <c r="BA3783" t="s">
        <v>11222</v>
      </c>
      <c r="BD3783" t="s">
        <v>11667</v>
      </c>
      <c r="BF3783" t="s">
        <v>14364</v>
      </c>
      <c r="BM3783" t="s">
        <v>15650</v>
      </c>
    </row>
    <row r="3784" spans="1:65">
      <c r="A3784" s="1">
        <f>HYPERLINK("https://lsnyc.legalserver.org/matter/dynamic-profile/view/1889002","19-1889002")</f>
        <v>0</v>
      </c>
      <c r="B3784" t="s">
        <v>201</v>
      </c>
      <c r="C3784" t="s">
        <v>245</v>
      </c>
      <c r="D3784" t="s">
        <v>321</v>
      </c>
      <c r="F3784" t="s">
        <v>1710</v>
      </c>
      <c r="G3784" t="s">
        <v>3012</v>
      </c>
      <c r="H3784" t="s">
        <v>5884</v>
      </c>
      <c r="I3784" t="s">
        <v>6502</v>
      </c>
      <c r="J3784" t="s">
        <v>7169</v>
      </c>
      <c r="K3784">
        <v>10040</v>
      </c>
      <c r="N3784" t="s">
        <v>7237</v>
      </c>
      <c r="O3784" t="s">
        <v>9622</v>
      </c>
      <c r="P3784">
        <v>4</v>
      </c>
      <c r="Q3784">
        <v>0</v>
      </c>
      <c r="R3784">
        <v>237.67</v>
      </c>
      <c r="U3784">
        <v>61200</v>
      </c>
      <c r="W3784">
        <v>90.84999999999999</v>
      </c>
      <c r="X3784" t="s">
        <v>441</v>
      </c>
      <c r="Y3784" t="s">
        <v>127</v>
      </c>
      <c r="AA3784" t="s">
        <v>10974</v>
      </c>
      <c r="AB3784" t="s">
        <v>321</v>
      </c>
      <c r="AD3784" t="s">
        <v>11083</v>
      </c>
      <c r="AF3784" t="s">
        <v>11118</v>
      </c>
      <c r="AH3784" t="s">
        <v>10975</v>
      </c>
      <c r="AJ3784" t="s">
        <v>11130</v>
      </c>
      <c r="AK3784" t="s">
        <v>7225</v>
      </c>
      <c r="AM3784">
        <v>887.22</v>
      </c>
      <c r="AO3784">
        <v>150</v>
      </c>
      <c r="AQ3784" t="s">
        <v>11157</v>
      </c>
      <c r="AS3784" t="s">
        <v>11173</v>
      </c>
      <c r="AU3784">
        <v>22</v>
      </c>
      <c r="AW3784" t="s">
        <v>11189</v>
      </c>
      <c r="BA3784" t="s">
        <v>11222</v>
      </c>
      <c r="BE3784" t="s">
        <v>13729</v>
      </c>
      <c r="BF3784" t="s">
        <v>14364</v>
      </c>
      <c r="BM3784" t="s">
        <v>15650</v>
      </c>
    </row>
    <row r="3785" spans="1:65">
      <c r="A3785" s="1">
        <f>HYPERLINK("https://lsnyc.legalserver.org/matter/dynamic-profile/view/1892877","19-1892877")</f>
        <v>0</v>
      </c>
      <c r="B3785" t="s">
        <v>201</v>
      </c>
      <c r="C3785" t="s">
        <v>245</v>
      </c>
      <c r="D3785" t="s">
        <v>319</v>
      </c>
      <c r="F3785" t="s">
        <v>2541</v>
      </c>
      <c r="G3785" t="s">
        <v>3816</v>
      </c>
      <c r="H3785" t="s">
        <v>4763</v>
      </c>
      <c r="I3785">
        <v>2</v>
      </c>
      <c r="J3785" t="s">
        <v>7169</v>
      </c>
      <c r="K3785">
        <v>10034</v>
      </c>
      <c r="N3785" t="s">
        <v>7237</v>
      </c>
      <c r="O3785" t="s">
        <v>7457</v>
      </c>
      <c r="P3785">
        <v>1</v>
      </c>
      <c r="Q3785">
        <v>1</v>
      </c>
      <c r="R3785">
        <v>67.63</v>
      </c>
      <c r="U3785">
        <v>11436</v>
      </c>
      <c r="W3785">
        <v>0</v>
      </c>
      <c r="Y3785" t="s">
        <v>127</v>
      </c>
      <c r="AA3785" t="s">
        <v>10974</v>
      </c>
      <c r="AB3785" t="s">
        <v>319</v>
      </c>
      <c r="AC3785" t="s">
        <v>11081</v>
      </c>
      <c r="AF3785" t="s">
        <v>11119</v>
      </c>
      <c r="AH3785" t="s">
        <v>10974</v>
      </c>
      <c r="AJ3785" t="s">
        <v>11129</v>
      </c>
      <c r="AK3785" t="s">
        <v>7225</v>
      </c>
      <c r="AM3785">
        <v>803</v>
      </c>
      <c r="AO3785">
        <v>25</v>
      </c>
      <c r="AQ3785" t="s">
        <v>11157</v>
      </c>
      <c r="AS3785" t="s">
        <v>11175</v>
      </c>
      <c r="AU3785">
        <v>14</v>
      </c>
      <c r="AW3785" t="s">
        <v>11189</v>
      </c>
      <c r="AZ3785" t="s">
        <v>11221</v>
      </c>
      <c r="BB3785" t="s">
        <v>11224</v>
      </c>
      <c r="BC3785" t="s">
        <v>11552</v>
      </c>
      <c r="BE3785" t="s">
        <v>13730</v>
      </c>
      <c r="BF3785" t="s">
        <v>14364</v>
      </c>
      <c r="BM3785" t="s">
        <v>15650</v>
      </c>
    </row>
    <row r="3786" spans="1:65">
      <c r="A3786" s="1">
        <f>HYPERLINK("https://lsnyc.legalserver.org/matter/dynamic-profile/view/1901429","19-1901429")</f>
        <v>0</v>
      </c>
      <c r="B3786" t="s">
        <v>201</v>
      </c>
      <c r="C3786" t="s">
        <v>245</v>
      </c>
      <c r="D3786" t="s">
        <v>701</v>
      </c>
      <c r="F3786" t="s">
        <v>1149</v>
      </c>
      <c r="G3786" t="s">
        <v>4394</v>
      </c>
      <c r="H3786" t="s">
        <v>5996</v>
      </c>
      <c r="I3786">
        <v>35</v>
      </c>
      <c r="J3786" t="s">
        <v>7169</v>
      </c>
      <c r="K3786">
        <v>10034</v>
      </c>
      <c r="N3786" t="s">
        <v>7237</v>
      </c>
      <c r="O3786" t="s">
        <v>9623</v>
      </c>
      <c r="P3786">
        <v>1</v>
      </c>
      <c r="Q3786">
        <v>0</v>
      </c>
      <c r="R3786">
        <v>72.06</v>
      </c>
      <c r="U3786">
        <v>9000</v>
      </c>
      <c r="W3786">
        <v>3.6</v>
      </c>
      <c r="X3786" t="s">
        <v>570</v>
      </c>
      <c r="Y3786" t="s">
        <v>127</v>
      </c>
      <c r="AA3786" t="s">
        <v>10974</v>
      </c>
      <c r="AB3786" t="s">
        <v>701</v>
      </c>
      <c r="AD3786" t="s">
        <v>11090</v>
      </c>
      <c r="AF3786" t="s">
        <v>11119</v>
      </c>
      <c r="AH3786" t="s">
        <v>10975</v>
      </c>
      <c r="AJ3786" t="s">
        <v>11130</v>
      </c>
      <c r="AK3786" t="s">
        <v>7225</v>
      </c>
      <c r="AL3786" t="s">
        <v>11150</v>
      </c>
      <c r="AM3786">
        <v>0</v>
      </c>
      <c r="AO3786">
        <v>29</v>
      </c>
      <c r="AP3786" t="s">
        <v>11155</v>
      </c>
      <c r="AS3786" t="s">
        <v>11174</v>
      </c>
      <c r="AU3786">
        <v>38</v>
      </c>
      <c r="AW3786" t="s">
        <v>11189</v>
      </c>
      <c r="BA3786" t="s">
        <v>11222</v>
      </c>
      <c r="BE3786" t="s">
        <v>13731</v>
      </c>
      <c r="BF3786" t="s">
        <v>14364</v>
      </c>
      <c r="BM3786" t="s">
        <v>15650</v>
      </c>
    </row>
    <row r="3787" spans="1:65">
      <c r="A3787" s="1">
        <f>HYPERLINK("https://lsnyc.legalserver.org/matter/dynamic-profile/view/1904693","19-1904693")</f>
        <v>0</v>
      </c>
      <c r="B3787" t="s">
        <v>201</v>
      </c>
      <c r="C3787" t="s">
        <v>245</v>
      </c>
      <c r="D3787" t="s">
        <v>373</v>
      </c>
      <c r="F3787" t="s">
        <v>1903</v>
      </c>
      <c r="G3787" t="s">
        <v>4395</v>
      </c>
      <c r="H3787" t="s">
        <v>5989</v>
      </c>
      <c r="I3787">
        <v>31</v>
      </c>
      <c r="J3787" t="s">
        <v>7169</v>
      </c>
      <c r="K3787">
        <v>10034</v>
      </c>
      <c r="N3787" t="s">
        <v>7237</v>
      </c>
      <c r="O3787" t="s">
        <v>9624</v>
      </c>
      <c r="P3787">
        <v>3</v>
      </c>
      <c r="Q3787">
        <v>2</v>
      </c>
      <c r="R3787">
        <v>77.56</v>
      </c>
      <c r="U3787">
        <v>23400</v>
      </c>
      <c r="W3787">
        <v>0</v>
      </c>
      <c r="Y3787" t="s">
        <v>127</v>
      </c>
      <c r="AA3787" t="s">
        <v>10974</v>
      </c>
      <c r="AB3787" t="s">
        <v>373</v>
      </c>
      <c r="AC3787" t="s">
        <v>11081</v>
      </c>
      <c r="AF3787" t="s">
        <v>11121</v>
      </c>
      <c r="AH3787" t="s">
        <v>10974</v>
      </c>
      <c r="AJ3787" t="s">
        <v>11130</v>
      </c>
      <c r="AK3787" t="s">
        <v>7225</v>
      </c>
      <c r="AM3787">
        <v>997</v>
      </c>
      <c r="AO3787">
        <v>25</v>
      </c>
      <c r="AQ3787" t="s">
        <v>11157</v>
      </c>
      <c r="AS3787" t="s">
        <v>11173</v>
      </c>
      <c r="AU3787">
        <v>5</v>
      </c>
      <c r="AW3787" t="s">
        <v>11189</v>
      </c>
      <c r="BA3787" t="s">
        <v>11222</v>
      </c>
      <c r="BD3787" t="s">
        <v>11667</v>
      </c>
      <c r="BF3787" t="s">
        <v>14364</v>
      </c>
      <c r="BM3787" t="s">
        <v>15650</v>
      </c>
    </row>
    <row r="3788" spans="1:65">
      <c r="A3788" s="1">
        <f>HYPERLINK("https://lsnyc.legalserver.org/matter/dynamic-profile/view/1893538","19-1893538")</f>
        <v>0</v>
      </c>
      <c r="B3788" t="s">
        <v>201</v>
      </c>
      <c r="C3788" t="s">
        <v>245</v>
      </c>
      <c r="D3788" t="s">
        <v>344</v>
      </c>
      <c r="F3788" t="s">
        <v>1354</v>
      </c>
      <c r="G3788" t="s">
        <v>3974</v>
      </c>
      <c r="H3788" t="s">
        <v>5413</v>
      </c>
      <c r="I3788" t="s">
        <v>6491</v>
      </c>
      <c r="J3788" t="s">
        <v>7169</v>
      </c>
      <c r="K3788">
        <v>10040</v>
      </c>
      <c r="N3788" t="s">
        <v>7237</v>
      </c>
      <c r="O3788" t="s">
        <v>9625</v>
      </c>
      <c r="P3788">
        <v>1</v>
      </c>
      <c r="Q3788">
        <v>0</v>
      </c>
      <c r="R3788">
        <v>82.43000000000001</v>
      </c>
      <c r="U3788">
        <v>10296</v>
      </c>
      <c r="W3788">
        <v>15</v>
      </c>
      <c r="X3788" t="s">
        <v>435</v>
      </c>
      <c r="Y3788" t="s">
        <v>127</v>
      </c>
      <c r="AA3788" t="s">
        <v>10974</v>
      </c>
      <c r="AB3788" t="s">
        <v>344</v>
      </c>
      <c r="AD3788" t="s">
        <v>11090</v>
      </c>
      <c r="AF3788" t="s">
        <v>10384</v>
      </c>
      <c r="AG3788" t="s">
        <v>11124</v>
      </c>
      <c r="AJ3788" t="s">
        <v>11130</v>
      </c>
      <c r="AK3788" t="s">
        <v>7225</v>
      </c>
      <c r="AM3788">
        <v>1095.99</v>
      </c>
      <c r="AO3788">
        <v>25</v>
      </c>
      <c r="AQ3788" t="s">
        <v>11157</v>
      </c>
      <c r="AS3788" t="s">
        <v>11173</v>
      </c>
      <c r="AU3788">
        <v>35</v>
      </c>
      <c r="AW3788" t="s">
        <v>11189</v>
      </c>
      <c r="BA3788" t="s">
        <v>11222</v>
      </c>
      <c r="BE3788" t="s">
        <v>13732</v>
      </c>
      <c r="BF3788" t="s">
        <v>14364</v>
      </c>
      <c r="BM3788" t="s">
        <v>15650</v>
      </c>
    </row>
    <row r="3789" spans="1:65">
      <c r="A3789" s="1">
        <f>HYPERLINK("https://lsnyc.legalserver.org/matter/dynamic-profile/view/1897239","19-1897239")</f>
        <v>0</v>
      </c>
      <c r="B3789" t="s">
        <v>201</v>
      </c>
      <c r="C3789" t="s">
        <v>245</v>
      </c>
      <c r="D3789" t="s">
        <v>444</v>
      </c>
      <c r="F3789" t="s">
        <v>2542</v>
      </c>
      <c r="G3789" t="s">
        <v>4213</v>
      </c>
      <c r="H3789" t="s">
        <v>5997</v>
      </c>
      <c r="I3789" t="s">
        <v>6437</v>
      </c>
      <c r="J3789" t="s">
        <v>7169</v>
      </c>
      <c r="K3789">
        <v>10034</v>
      </c>
      <c r="N3789" t="s">
        <v>7237</v>
      </c>
      <c r="O3789" t="s">
        <v>9626</v>
      </c>
      <c r="P3789">
        <v>1</v>
      </c>
      <c r="Q3789">
        <v>1</v>
      </c>
      <c r="R3789">
        <v>107.63</v>
      </c>
      <c r="U3789">
        <v>18200</v>
      </c>
      <c r="W3789">
        <v>20</v>
      </c>
      <c r="X3789" t="s">
        <v>280</v>
      </c>
      <c r="Y3789" t="s">
        <v>127</v>
      </c>
      <c r="AA3789" t="s">
        <v>10974</v>
      </c>
      <c r="AB3789" t="s">
        <v>444</v>
      </c>
      <c r="AC3789" t="s">
        <v>11081</v>
      </c>
      <c r="AF3789" t="s">
        <v>11118</v>
      </c>
      <c r="AH3789" t="s">
        <v>10975</v>
      </c>
      <c r="AI3789" t="s">
        <v>11126</v>
      </c>
      <c r="AK3789" t="s">
        <v>7225</v>
      </c>
      <c r="AM3789">
        <v>2600</v>
      </c>
      <c r="AO3789">
        <v>46</v>
      </c>
      <c r="AQ3789" t="s">
        <v>11157</v>
      </c>
      <c r="AS3789" t="s">
        <v>11173</v>
      </c>
      <c r="AU3789">
        <v>9</v>
      </c>
      <c r="AW3789" t="s">
        <v>11189</v>
      </c>
      <c r="BA3789" t="s">
        <v>11222</v>
      </c>
      <c r="BE3789" t="s">
        <v>13733</v>
      </c>
      <c r="BF3789" t="s">
        <v>14364</v>
      </c>
      <c r="BM3789" t="s">
        <v>15650</v>
      </c>
    </row>
    <row r="3790" spans="1:65">
      <c r="A3790" s="1">
        <f>HYPERLINK("https://lsnyc.legalserver.org/matter/dynamic-profile/view/1909630","19-1909630")</f>
        <v>0</v>
      </c>
      <c r="B3790" t="s">
        <v>201</v>
      </c>
      <c r="C3790" t="s">
        <v>245</v>
      </c>
      <c r="D3790" t="s">
        <v>1010</v>
      </c>
      <c r="F3790" t="s">
        <v>2543</v>
      </c>
      <c r="G3790" t="s">
        <v>3333</v>
      </c>
      <c r="H3790" t="s">
        <v>5998</v>
      </c>
      <c r="I3790">
        <v>48</v>
      </c>
      <c r="J3790" t="s">
        <v>7169</v>
      </c>
      <c r="K3790">
        <v>10032</v>
      </c>
      <c r="N3790" t="s">
        <v>7237</v>
      </c>
      <c r="O3790" t="s">
        <v>9627</v>
      </c>
      <c r="P3790">
        <v>1</v>
      </c>
      <c r="Q3790">
        <v>0</v>
      </c>
      <c r="R3790">
        <v>166.79</v>
      </c>
      <c r="U3790">
        <v>20832</v>
      </c>
      <c r="W3790">
        <v>0.5</v>
      </c>
      <c r="X3790" t="s">
        <v>728</v>
      </c>
      <c r="Y3790" t="s">
        <v>127</v>
      </c>
      <c r="AA3790" t="s">
        <v>10974</v>
      </c>
      <c r="AB3790" t="s">
        <v>1010</v>
      </c>
      <c r="AC3790" t="s">
        <v>11081</v>
      </c>
      <c r="AF3790" t="s">
        <v>11121</v>
      </c>
      <c r="AH3790" t="s">
        <v>10975</v>
      </c>
      <c r="AJ3790" t="s">
        <v>11129</v>
      </c>
      <c r="AK3790" t="s">
        <v>7225</v>
      </c>
      <c r="AM3790">
        <v>419.62</v>
      </c>
      <c r="AO3790">
        <v>70</v>
      </c>
      <c r="AQ3790" t="s">
        <v>11157</v>
      </c>
      <c r="AS3790" t="s">
        <v>11173</v>
      </c>
      <c r="AU3790">
        <v>57</v>
      </c>
      <c r="AW3790" t="s">
        <v>11187</v>
      </c>
      <c r="BA3790" t="s">
        <v>11222</v>
      </c>
      <c r="BE3790" t="s">
        <v>13734</v>
      </c>
      <c r="BF3790" t="s">
        <v>14364</v>
      </c>
      <c r="BM3790" t="s">
        <v>15650</v>
      </c>
    </row>
    <row r="3791" spans="1:65">
      <c r="A3791" s="1">
        <f>HYPERLINK("https://lsnyc.legalserver.org/matter/dynamic-profile/view/1906232","19-1906232")</f>
        <v>0</v>
      </c>
      <c r="B3791" t="s">
        <v>201</v>
      </c>
      <c r="C3791" t="s">
        <v>245</v>
      </c>
      <c r="D3791" t="s">
        <v>524</v>
      </c>
      <c r="F3791" t="s">
        <v>2544</v>
      </c>
      <c r="G3791" t="s">
        <v>4396</v>
      </c>
      <c r="H3791" t="s">
        <v>5999</v>
      </c>
      <c r="I3791" t="s">
        <v>6432</v>
      </c>
      <c r="J3791" t="s">
        <v>7169</v>
      </c>
      <c r="K3791">
        <v>10040</v>
      </c>
      <c r="N3791" t="s">
        <v>7237</v>
      </c>
      <c r="O3791" t="s">
        <v>9628</v>
      </c>
      <c r="P3791">
        <v>1</v>
      </c>
      <c r="Q3791">
        <v>0</v>
      </c>
      <c r="R3791">
        <v>72.63</v>
      </c>
      <c r="U3791">
        <v>9072</v>
      </c>
      <c r="W3791">
        <v>0.4</v>
      </c>
      <c r="X3791" t="s">
        <v>564</v>
      </c>
      <c r="Y3791" t="s">
        <v>127</v>
      </c>
      <c r="AA3791" t="s">
        <v>10974</v>
      </c>
      <c r="AB3791" t="s">
        <v>524</v>
      </c>
      <c r="AC3791" t="s">
        <v>11081</v>
      </c>
      <c r="AF3791" t="s">
        <v>11121</v>
      </c>
      <c r="AH3791" t="s">
        <v>10975</v>
      </c>
      <c r="AJ3791" t="s">
        <v>11130</v>
      </c>
      <c r="AK3791" t="s">
        <v>7225</v>
      </c>
      <c r="AM3791">
        <v>1372.65</v>
      </c>
      <c r="AO3791">
        <v>75</v>
      </c>
      <c r="AQ3791" t="s">
        <v>11157</v>
      </c>
      <c r="AS3791" t="s">
        <v>11173</v>
      </c>
      <c r="AU3791">
        <v>11</v>
      </c>
      <c r="AW3791" t="s">
        <v>11187</v>
      </c>
      <c r="BA3791" t="s">
        <v>11222</v>
      </c>
      <c r="BD3791" t="s">
        <v>11667</v>
      </c>
      <c r="BF3791" t="s">
        <v>14364</v>
      </c>
      <c r="BM3791" t="s">
        <v>15650</v>
      </c>
    </row>
    <row r="3792" spans="1:65">
      <c r="A3792" s="1">
        <f>HYPERLINK("https://lsnyc.legalserver.org/matter/dynamic-profile/view/1904712","19-1904712")</f>
        <v>0</v>
      </c>
      <c r="B3792" t="s">
        <v>201</v>
      </c>
      <c r="C3792" t="s">
        <v>245</v>
      </c>
      <c r="D3792" t="s">
        <v>373</v>
      </c>
      <c r="F3792" t="s">
        <v>1101</v>
      </c>
      <c r="G3792" t="s">
        <v>3168</v>
      </c>
      <c r="H3792" t="s">
        <v>5989</v>
      </c>
      <c r="I3792">
        <v>44</v>
      </c>
      <c r="J3792" t="s">
        <v>7169</v>
      </c>
      <c r="K3792">
        <v>10034</v>
      </c>
      <c r="N3792" t="s">
        <v>7237</v>
      </c>
      <c r="O3792" t="s">
        <v>9629</v>
      </c>
      <c r="P3792">
        <v>2</v>
      </c>
      <c r="Q3792">
        <v>3</v>
      </c>
      <c r="R3792">
        <v>96.12</v>
      </c>
      <c r="U3792">
        <v>29000</v>
      </c>
      <c r="W3792">
        <v>0</v>
      </c>
      <c r="Y3792" t="s">
        <v>127</v>
      </c>
      <c r="AA3792" t="s">
        <v>10974</v>
      </c>
      <c r="AB3792" t="s">
        <v>373</v>
      </c>
      <c r="AC3792" t="s">
        <v>11081</v>
      </c>
      <c r="AF3792" t="s">
        <v>11121</v>
      </c>
      <c r="AH3792" t="s">
        <v>10974</v>
      </c>
      <c r="AJ3792" t="s">
        <v>11130</v>
      </c>
      <c r="AK3792" t="s">
        <v>7225</v>
      </c>
      <c r="AM3792">
        <v>1180.21</v>
      </c>
      <c r="AO3792">
        <v>25</v>
      </c>
      <c r="AQ3792" t="s">
        <v>11157</v>
      </c>
      <c r="AS3792" t="s">
        <v>11173</v>
      </c>
      <c r="AU3792">
        <v>14</v>
      </c>
      <c r="AW3792" t="s">
        <v>11189</v>
      </c>
      <c r="BA3792" t="s">
        <v>11222</v>
      </c>
      <c r="BD3792" t="s">
        <v>11667</v>
      </c>
      <c r="BF3792" t="s">
        <v>14364</v>
      </c>
      <c r="BM3792" t="s">
        <v>15650</v>
      </c>
    </row>
    <row r="3793" spans="1:65">
      <c r="A3793" s="1">
        <f>HYPERLINK("https://lsnyc.legalserver.org/matter/dynamic-profile/view/1896423","19-1896423")</f>
        <v>0</v>
      </c>
      <c r="B3793" t="s">
        <v>201</v>
      </c>
      <c r="C3793" t="s">
        <v>245</v>
      </c>
      <c r="D3793" t="s">
        <v>295</v>
      </c>
      <c r="F3793" t="s">
        <v>1155</v>
      </c>
      <c r="G3793" t="s">
        <v>3845</v>
      </c>
      <c r="H3793" t="s">
        <v>5858</v>
      </c>
      <c r="I3793">
        <v>3</v>
      </c>
      <c r="J3793" t="s">
        <v>7169</v>
      </c>
      <c r="K3793">
        <v>10033</v>
      </c>
      <c r="N3793" t="s">
        <v>7237</v>
      </c>
      <c r="O3793" t="s">
        <v>9254</v>
      </c>
      <c r="P3793">
        <v>1</v>
      </c>
      <c r="Q3793">
        <v>0</v>
      </c>
      <c r="R3793">
        <v>163.23</v>
      </c>
      <c r="U3793">
        <v>20388</v>
      </c>
      <c r="W3793">
        <v>85.75</v>
      </c>
      <c r="X3793" t="s">
        <v>548</v>
      </c>
      <c r="Y3793" t="s">
        <v>10893</v>
      </c>
      <c r="AA3793" t="s">
        <v>10974</v>
      </c>
      <c r="AB3793" t="s">
        <v>295</v>
      </c>
      <c r="AD3793" t="s">
        <v>11101</v>
      </c>
      <c r="AF3793" t="s">
        <v>11118</v>
      </c>
      <c r="AH3793" t="s">
        <v>10975</v>
      </c>
      <c r="AJ3793" t="s">
        <v>11130</v>
      </c>
      <c r="AK3793" t="s">
        <v>7225</v>
      </c>
      <c r="AM3793">
        <v>649.8099999999999</v>
      </c>
      <c r="AO3793">
        <v>20</v>
      </c>
      <c r="AQ3793" t="s">
        <v>11157</v>
      </c>
      <c r="AS3793" t="s">
        <v>11173</v>
      </c>
      <c r="AU3793">
        <v>48</v>
      </c>
      <c r="AW3793" t="s">
        <v>11189</v>
      </c>
      <c r="BA3793" t="s">
        <v>11222</v>
      </c>
      <c r="BE3793" t="s">
        <v>13482</v>
      </c>
      <c r="BF3793" t="s">
        <v>14364</v>
      </c>
      <c r="BM3793" t="s">
        <v>15650</v>
      </c>
    </row>
    <row r="3794" spans="1:65">
      <c r="A3794" s="1">
        <f>HYPERLINK("https://lsnyc.legalserver.org/matter/dynamic-profile/view/1904701","19-1904701")</f>
        <v>0</v>
      </c>
      <c r="B3794" t="s">
        <v>201</v>
      </c>
      <c r="C3794" t="s">
        <v>245</v>
      </c>
      <c r="D3794" t="s">
        <v>373</v>
      </c>
      <c r="F3794" t="s">
        <v>1405</v>
      </c>
      <c r="G3794" t="s">
        <v>2877</v>
      </c>
      <c r="H3794" t="s">
        <v>5989</v>
      </c>
      <c r="I3794">
        <v>34</v>
      </c>
      <c r="J3794" t="s">
        <v>7169</v>
      </c>
      <c r="K3794">
        <v>10034</v>
      </c>
      <c r="N3794" t="s">
        <v>7237</v>
      </c>
      <c r="O3794" t="s">
        <v>9630</v>
      </c>
      <c r="P3794">
        <v>1</v>
      </c>
      <c r="Q3794">
        <v>0</v>
      </c>
      <c r="R3794">
        <v>64.05</v>
      </c>
      <c r="U3794">
        <v>8000</v>
      </c>
      <c r="W3794">
        <v>1.5</v>
      </c>
      <c r="X3794" t="s">
        <v>655</v>
      </c>
      <c r="Y3794" t="s">
        <v>127</v>
      </c>
      <c r="AA3794" t="s">
        <v>10974</v>
      </c>
      <c r="AB3794" t="s">
        <v>373</v>
      </c>
      <c r="AC3794" t="s">
        <v>11081</v>
      </c>
      <c r="AF3794" t="s">
        <v>11121</v>
      </c>
      <c r="AH3794" t="s">
        <v>10974</v>
      </c>
      <c r="AJ3794" t="s">
        <v>11130</v>
      </c>
      <c r="AK3794" t="s">
        <v>7225</v>
      </c>
      <c r="AM3794">
        <v>812.02</v>
      </c>
      <c r="AO3794">
        <v>25</v>
      </c>
      <c r="AQ3794" t="s">
        <v>11157</v>
      </c>
      <c r="AS3794" t="s">
        <v>11175</v>
      </c>
      <c r="AU3794">
        <v>38</v>
      </c>
      <c r="AW3794" t="s">
        <v>11187</v>
      </c>
      <c r="BA3794" t="s">
        <v>11222</v>
      </c>
      <c r="BE3794" t="s">
        <v>13735</v>
      </c>
      <c r="BF3794" t="s">
        <v>14364</v>
      </c>
      <c r="BM3794" t="s">
        <v>15650</v>
      </c>
    </row>
    <row r="3795" spans="1:65">
      <c r="A3795" s="1">
        <f>HYPERLINK("https://lsnyc.legalserver.org/matter/dynamic-profile/view/1893564","19-1893564")</f>
        <v>0</v>
      </c>
      <c r="B3795" t="s">
        <v>201</v>
      </c>
      <c r="C3795" t="s">
        <v>245</v>
      </c>
      <c r="D3795" t="s">
        <v>344</v>
      </c>
      <c r="F3795" t="s">
        <v>1555</v>
      </c>
      <c r="G3795" t="s">
        <v>2201</v>
      </c>
      <c r="H3795" t="s">
        <v>6000</v>
      </c>
      <c r="I3795" t="s">
        <v>6477</v>
      </c>
      <c r="J3795" t="s">
        <v>7169</v>
      </c>
      <c r="K3795">
        <v>10034</v>
      </c>
      <c r="N3795" t="s">
        <v>7237</v>
      </c>
      <c r="O3795" t="s">
        <v>9631</v>
      </c>
      <c r="P3795">
        <v>1</v>
      </c>
      <c r="Q3795">
        <v>0</v>
      </c>
      <c r="R3795">
        <v>112.27</v>
      </c>
      <c r="U3795">
        <v>14022</v>
      </c>
      <c r="W3795">
        <v>2.6</v>
      </c>
      <c r="X3795" t="s">
        <v>389</v>
      </c>
      <c r="Y3795" t="s">
        <v>10877</v>
      </c>
      <c r="Z3795" t="s">
        <v>10972</v>
      </c>
      <c r="AA3795" t="s">
        <v>10976</v>
      </c>
      <c r="AD3795" t="s">
        <v>11082</v>
      </c>
      <c r="AF3795" t="s">
        <v>11119</v>
      </c>
      <c r="AG3795" t="s">
        <v>11124</v>
      </c>
      <c r="AJ3795" t="s">
        <v>11129</v>
      </c>
      <c r="AK3795" t="s">
        <v>7225</v>
      </c>
      <c r="AM3795">
        <v>1250</v>
      </c>
      <c r="AO3795">
        <v>33</v>
      </c>
      <c r="AQ3795" t="s">
        <v>11160</v>
      </c>
      <c r="AS3795" t="s">
        <v>11174</v>
      </c>
      <c r="AU3795">
        <v>15</v>
      </c>
      <c r="AW3795" t="s">
        <v>11187</v>
      </c>
      <c r="AX3795" t="s">
        <v>11212</v>
      </c>
      <c r="AZ3795" t="s">
        <v>11221</v>
      </c>
      <c r="BE3795" t="s">
        <v>13736</v>
      </c>
      <c r="BG3795" t="s">
        <v>15266</v>
      </c>
      <c r="BM3795" t="s">
        <v>15650</v>
      </c>
    </row>
    <row r="3796" spans="1:65">
      <c r="A3796" s="1">
        <f>HYPERLINK("https://lsnyc.legalserver.org/matter/dynamic-profile/view/1906006","19-1906006")</f>
        <v>0</v>
      </c>
      <c r="B3796" t="s">
        <v>201</v>
      </c>
      <c r="C3796" t="s">
        <v>245</v>
      </c>
      <c r="D3796" t="s">
        <v>524</v>
      </c>
      <c r="F3796" t="s">
        <v>2545</v>
      </c>
      <c r="G3796" t="s">
        <v>4397</v>
      </c>
      <c r="H3796" t="s">
        <v>6001</v>
      </c>
      <c r="I3796" t="s">
        <v>6405</v>
      </c>
      <c r="J3796" t="s">
        <v>7169</v>
      </c>
      <c r="K3796">
        <v>10033</v>
      </c>
      <c r="M3796" t="s">
        <v>7234</v>
      </c>
      <c r="N3796" t="s">
        <v>7237</v>
      </c>
      <c r="O3796" t="s">
        <v>9632</v>
      </c>
      <c r="P3796">
        <v>3</v>
      </c>
      <c r="Q3796">
        <v>0</v>
      </c>
      <c r="R3796">
        <v>825.13</v>
      </c>
      <c r="U3796">
        <v>176000</v>
      </c>
      <c r="W3796">
        <v>0</v>
      </c>
      <c r="Y3796" t="s">
        <v>127</v>
      </c>
      <c r="AA3796" t="s">
        <v>10974</v>
      </c>
      <c r="AB3796" t="s">
        <v>524</v>
      </c>
      <c r="AC3796" t="s">
        <v>11081</v>
      </c>
      <c r="AF3796" t="s">
        <v>11121</v>
      </c>
      <c r="AH3796" t="s">
        <v>10975</v>
      </c>
      <c r="AJ3796" t="s">
        <v>11130</v>
      </c>
      <c r="AK3796" t="s">
        <v>7225</v>
      </c>
      <c r="AM3796">
        <v>2275</v>
      </c>
      <c r="AO3796">
        <v>49</v>
      </c>
      <c r="AQ3796" t="s">
        <v>11157</v>
      </c>
      <c r="AS3796" t="s">
        <v>11173</v>
      </c>
      <c r="AU3796">
        <v>8</v>
      </c>
      <c r="AW3796" t="s">
        <v>11187</v>
      </c>
      <c r="BA3796" t="s">
        <v>11222</v>
      </c>
      <c r="BE3796" t="s">
        <v>13737</v>
      </c>
      <c r="BF3796" t="s">
        <v>14364</v>
      </c>
      <c r="BM3796" t="s">
        <v>15650</v>
      </c>
    </row>
    <row r="3797" spans="1:65">
      <c r="A3797" s="1">
        <f>HYPERLINK("https://lsnyc.legalserver.org/matter/dynamic-profile/view/1889401","19-1889401")</f>
        <v>0</v>
      </c>
      <c r="B3797" t="s">
        <v>201</v>
      </c>
      <c r="C3797" t="s">
        <v>245</v>
      </c>
      <c r="D3797" t="s">
        <v>318</v>
      </c>
      <c r="F3797" t="s">
        <v>2546</v>
      </c>
      <c r="G3797" t="s">
        <v>4398</v>
      </c>
      <c r="H3797" t="s">
        <v>6002</v>
      </c>
      <c r="I3797" t="s">
        <v>7050</v>
      </c>
      <c r="J3797" t="s">
        <v>7169</v>
      </c>
      <c r="K3797">
        <v>10031</v>
      </c>
      <c r="N3797" t="s">
        <v>7237</v>
      </c>
      <c r="O3797" t="s">
        <v>9633</v>
      </c>
      <c r="P3797">
        <v>1</v>
      </c>
      <c r="Q3797">
        <v>1</v>
      </c>
      <c r="R3797">
        <v>136.25</v>
      </c>
      <c r="S3797" t="s">
        <v>10254</v>
      </c>
      <c r="T3797" t="s">
        <v>10275</v>
      </c>
      <c r="U3797">
        <v>23040</v>
      </c>
      <c r="W3797">
        <v>9.15</v>
      </c>
      <c r="X3797" t="s">
        <v>546</v>
      </c>
      <c r="Y3797" t="s">
        <v>127</v>
      </c>
      <c r="AA3797" t="s">
        <v>10974</v>
      </c>
      <c r="AB3797" t="s">
        <v>339</v>
      </c>
      <c r="AC3797" t="s">
        <v>11081</v>
      </c>
      <c r="AF3797" t="s">
        <v>11120</v>
      </c>
      <c r="AH3797" t="s">
        <v>10975</v>
      </c>
      <c r="AJ3797" t="s">
        <v>11133</v>
      </c>
      <c r="AK3797" t="s">
        <v>11149</v>
      </c>
      <c r="AM3797">
        <v>975</v>
      </c>
      <c r="AO3797">
        <v>118</v>
      </c>
      <c r="AQ3797" t="s">
        <v>11157</v>
      </c>
      <c r="AS3797" t="s">
        <v>11173</v>
      </c>
      <c r="AU3797">
        <v>7</v>
      </c>
      <c r="AW3797" t="s">
        <v>11189</v>
      </c>
      <c r="BA3797" t="s">
        <v>11222</v>
      </c>
      <c r="BD3797" t="s">
        <v>11667</v>
      </c>
      <c r="BF3797" t="s">
        <v>14364</v>
      </c>
      <c r="BM3797" t="s">
        <v>15650</v>
      </c>
    </row>
    <row r="3798" spans="1:65">
      <c r="A3798" s="1">
        <f>HYPERLINK("https://lsnyc.legalserver.org/matter/dynamic-profile/view/1898439","19-1898439")</f>
        <v>0</v>
      </c>
      <c r="B3798" t="s">
        <v>201</v>
      </c>
      <c r="C3798" t="s">
        <v>245</v>
      </c>
      <c r="D3798" t="s">
        <v>519</v>
      </c>
      <c r="F3798" t="s">
        <v>1316</v>
      </c>
      <c r="G3798" t="s">
        <v>4399</v>
      </c>
      <c r="H3798" t="s">
        <v>6003</v>
      </c>
      <c r="I3798" t="s">
        <v>6436</v>
      </c>
      <c r="J3798" t="s">
        <v>7169</v>
      </c>
      <c r="K3798">
        <v>10031</v>
      </c>
      <c r="N3798" t="s">
        <v>7237</v>
      </c>
      <c r="O3798" t="s">
        <v>9634</v>
      </c>
      <c r="P3798">
        <v>1</v>
      </c>
      <c r="Q3798">
        <v>0</v>
      </c>
      <c r="R3798">
        <v>0</v>
      </c>
      <c r="U3798">
        <v>0</v>
      </c>
      <c r="W3798">
        <v>1.5</v>
      </c>
      <c r="X3798" t="s">
        <v>1030</v>
      </c>
      <c r="Y3798" t="s">
        <v>127</v>
      </c>
      <c r="AA3798" t="s">
        <v>10974</v>
      </c>
      <c r="AB3798" t="s">
        <v>519</v>
      </c>
      <c r="AC3798" t="s">
        <v>11081</v>
      </c>
      <c r="AF3798" t="s">
        <v>11119</v>
      </c>
      <c r="AH3798" t="s">
        <v>10975</v>
      </c>
      <c r="AJ3798" t="s">
        <v>11138</v>
      </c>
      <c r="AK3798" t="s">
        <v>7225</v>
      </c>
      <c r="AM3798">
        <v>995</v>
      </c>
      <c r="AN3798" t="s">
        <v>11151</v>
      </c>
      <c r="AO3798" t="s">
        <v>11153</v>
      </c>
      <c r="AQ3798" t="s">
        <v>11157</v>
      </c>
      <c r="AS3798" t="s">
        <v>11173</v>
      </c>
      <c r="AU3798">
        <v>25</v>
      </c>
      <c r="AW3798" t="s">
        <v>11187</v>
      </c>
      <c r="AZ3798" t="s">
        <v>11221</v>
      </c>
      <c r="BE3798" t="s">
        <v>13738</v>
      </c>
      <c r="BF3798" t="s">
        <v>14364</v>
      </c>
      <c r="BM3798" t="s">
        <v>15650</v>
      </c>
    </row>
    <row r="3799" spans="1:65">
      <c r="A3799" s="1">
        <f>HYPERLINK("https://lsnyc.legalserver.org/matter/dynamic-profile/view/1892846","19-1892846")</f>
        <v>0</v>
      </c>
      <c r="B3799" t="s">
        <v>201</v>
      </c>
      <c r="C3799" t="s">
        <v>245</v>
      </c>
      <c r="D3799" t="s">
        <v>319</v>
      </c>
      <c r="F3799" t="s">
        <v>2138</v>
      </c>
      <c r="G3799" t="s">
        <v>4245</v>
      </c>
      <c r="H3799" t="s">
        <v>4763</v>
      </c>
      <c r="I3799">
        <v>52</v>
      </c>
      <c r="J3799" t="s">
        <v>7169</v>
      </c>
      <c r="K3799">
        <v>10034</v>
      </c>
      <c r="N3799" t="s">
        <v>7237</v>
      </c>
      <c r="O3799" t="s">
        <v>9635</v>
      </c>
      <c r="P3799">
        <v>1</v>
      </c>
      <c r="Q3799">
        <v>0</v>
      </c>
      <c r="R3799">
        <v>76</v>
      </c>
      <c r="U3799">
        <v>9492</v>
      </c>
      <c r="W3799">
        <v>0.6</v>
      </c>
      <c r="X3799" t="s">
        <v>561</v>
      </c>
      <c r="Y3799" t="s">
        <v>127</v>
      </c>
      <c r="AA3799" t="s">
        <v>10974</v>
      </c>
      <c r="AB3799" t="s">
        <v>319</v>
      </c>
      <c r="AC3799" t="s">
        <v>11081</v>
      </c>
      <c r="AF3799" t="s">
        <v>11119</v>
      </c>
      <c r="AH3799" t="s">
        <v>10974</v>
      </c>
      <c r="AJ3799" t="s">
        <v>11130</v>
      </c>
      <c r="AK3799" t="s">
        <v>7225</v>
      </c>
      <c r="AM3799">
        <v>900</v>
      </c>
      <c r="AO3799">
        <v>25</v>
      </c>
      <c r="AQ3799" t="s">
        <v>11157</v>
      </c>
      <c r="AS3799" t="s">
        <v>11173</v>
      </c>
      <c r="AU3799">
        <v>35</v>
      </c>
      <c r="AW3799" t="s">
        <v>11189</v>
      </c>
      <c r="AZ3799" t="s">
        <v>11221</v>
      </c>
      <c r="BC3799" t="s">
        <v>11553</v>
      </c>
      <c r="BE3799" t="s">
        <v>13739</v>
      </c>
      <c r="BF3799" t="s">
        <v>14364</v>
      </c>
      <c r="BM3799" t="s">
        <v>15650</v>
      </c>
    </row>
    <row r="3800" spans="1:65">
      <c r="A3800" s="1">
        <f>HYPERLINK("https://lsnyc.legalserver.org/matter/dynamic-profile/view/1898442","19-1898442")</f>
        <v>0</v>
      </c>
      <c r="B3800" t="s">
        <v>201</v>
      </c>
      <c r="C3800" t="s">
        <v>245</v>
      </c>
      <c r="D3800" t="s">
        <v>519</v>
      </c>
      <c r="F3800" t="s">
        <v>1144</v>
      </c>
      <c r="G3800" t="s">
        <v>4400</v>
      </c>
      <c r="H3800" t="s">
        <v>6004</v>
      </c>
      <c r="I3800" t="s">
        <v>6534</v>
      </c>
      <c r="J3800" t="s">
        <v>7169</v>
      </c>
      <c r="K3800">
        <v>10040</v>
      </c>
      <c r="N3800" t="s">
        <v>7237</v>
      </c>
      <c r="O3800" t="s">
        <v>9636</v>
      </c>
      <c r="P3800">
        <v>1</v>
      </c>
      <c r="Q3800">
        <v>0</v>
      </c>
      <c r="R3800">
        <v>93.48</v>
      </c>
      <c r="U3800">
        <v>11676</v>
      </c>
      <c r="W3800">
        <v>5</v>
      </c>
      <c r="X3800" t="s">
        <v>1030</v>
      </c>
      <c r="Y3800" t="s">
        <v>127</v>
      </c>
      <c r="AA3800" t="s">
        <v>10974</v>
      </c>
      <c r="AB3800" t="s">
        <v>519</v>
      </c>
      <c r="AC3800" t="s">
        <v>11081</v>
      </c>
      <c r="AF3800" t="s">
        <v>11119</v>
      </c>
      <c r="AH3800" t="s">
        <v>10975</v>
      </c>
      <c r="AJ3800" t="s">
        <v>11130</v>
      </c>
      <c r="AK3800" t="s">
        <v>7225</v>
      </c>
      <c r="AM3800">
        <v>1153.74</v>
      </c>
      <c r="AO3800">
        <v>112</v>
      </c>
      <c r="AQ3800" t="s">
        <v>11157</v>
      </c>
      <c r="AS3800" t="s">
        <v>11173</v>
      </c>
      <c r="AU3800">
        <v>43</v>
      </c>
      <c r="AW3800" t="s">
        <v>11187</v>
      </c>
      <c r="BA3800" t="s">
        <v>11222</v>
      </c>
      <c r="BE3800" t="s">
        <v>13740</v>
      </c>
      <c r="BF3800" t="s">
        <v>14364</v>
      </c>
      <c r="BM3800" t="s">
        <v>15650</v>
      </c>
    </row>
    <row r="3801" spans="1:65">
      <c r="A3801" s="1">
        <f>HYPERLINK("https://lsnyc.legalserver.org/matter/dynamic-profile/view/1909614","19-1909614")</f>
        <v>0</v>
      </c>
      <c r="B3801" t="s">
        <v>201</v>
      </c>
      <c r="C3801" t="s">
        <v>245</v>
      </c>
      <c r="D3801" t="s">
        <v>1010</v>
      </c>
      <c r="F3801" t="s">
        <v>1414</v>
      </c>
      <c r="G3801" t="s">
        <v>4401</v>
      </c>
      <c r="H3801" t="s">
        <v>6005</v>
      </c>
      <c r="J3801" t="s">
        <v>7169</v>
      </c>
      <c r="K3801">
        <v>10033</v>
      </c>
      <c r="N3801" t="s">
        <v>7237</v>
      </c>
      <c r="O3801" t="s">
        <v>9637</v>
      </c>
      <c r="P3801">
        <v>4</v>
      </c>
      <c r="Q3801">
        <v>0</v>
      </c>
      <c r="R3801">
        <v>93.2</v>
      </c>
      <c r="U3801">
        <v>23998</v>
      </c>
      <c r="W3801">
        <v>0</v>
      </c>
      <c r="Y3801" t="s">
        <v>127</v>
      </c>
      <c r="AA3801" t="s">
        <v>10974</v>
      </c>
      <c r="AB3801" t="s">
        <v>1010</v>
      </c>
      <c r="AC3801" t="s">
        <v>11081</v>
      </c>
      <c r="AF3801" t="s">
        <v>11121</v>
      </c>
      <c r="AH3801" t="s">
        <v>10975</v>
      </c>
      <c r="AJ3801" t="s">
        <v>11130</v>
      </c>
      <c r="AK3801" t="s">
        <v>7225</v>
      </c>
      <c r="AM3801">
        <v>370</v>
      </c>
      <c r="AO3801">
        <v>43</v>
      </c>
      <c r="AQ3801" t="s">
        <v>11160</v>
      </c>
      <c r="AS3801" t="s">
        <v>11173</v>
      </c>
      <c r="AU3801">
        <v>30</v>
      </c>
      <c r="AW3801" t="s">
        <v>11189</v>
      </c>
      <c r="BA3801" t="s">
        <v>11222</v>
      </c>
      <c r="BE3801" t="s">
        <v>13741</v>
      </c>
      <c r="BF3801" t="s">
        <v>14364</v>
      </c>
      <c r="BM3801" t="s">
        <v>15650</v>
      </c>
    </row>
    <row r="3802" spans="1:65">
      <c r="A3802" s="1">
        <f>HYPERLINK("https://lsnyc.legalserver.org/matter/dynamic-profile/view/1903566","19-1903566")</f>
        <v>0</v>
      </c>
      <c r="B3802" t="s">
        <v>201</v>
      </c>
      <c r="C3802" t="s">
        <v>245</v>
      </c>
      <c r="D3802" t="s">
        <v>267</v>
      </c>
      <c r="F3802" t="s">
        <v>1195</v>
      </c>
      <c r="G3802" t="s">
        <v>3132</v>
      </c>
      <c r="H3802" t="s">
        <v>6006</v>
      </c>
      <c r="I3802">
        <v>21</v>
      </c>
      <c r="J3802" t="s">
        <v>7169</v>
      </c>
      <c r="K3802">
        <v>10034</v>
      </c>
      <c r="N3802" t="s">
        <v>7237</v>
      </c>
      <c r="O3802" t="s">
        <v>9638</v>
      </c>
      <c r="P3802">
        <v>2</v>
      </c>
      <c r="Q3802">
        <v>2</v>
      </c>
      <c r="R3802">
        <v>116.5</v>
      </c>
      <c r="U3802">
        <v>30000</v>
      </c>
      <c r="W3802">
        <v>0</v>
      </c>
      <c r="Y3802" t="s">
        <v>127</v>
      </c>
      <c r="AA3802" t="s">
        <v>10974</v>
      </c>
      <c r="AB3802" t="s">
        <v>267</v>
      </c>
      <c r="AD3802" t="s">
        <v>11101</v>
      </c>
      <c r="AF3802" t="s">
        <v>11118</v>
      </c>
      <c r="AH3802" t="s">
        <v>10974</v>
      </c>
      <c r="AJ3802" t="s">
        <v>11129</v>
      </c>
      <c r="AK3802" t="s">
        <v>7225</v>
      </c>
      <c r="AM3802">
        <v>1540</v>
      </c>
      <c r="AO3802">
        <v>20</v>
      </c>
      <c r="AQ3802" t="s">
        <v>11157</v>
      </c>
      <c r="AS3802" t="s">
        <v>11173</v>
      </c>
      <c r="AU3802">
        <v>23</v>
      </c>
      <c r="AW3802" t="s">
        <v>11189</v>
      </c>
      <c r="BA3802" t="s">
        <v>11222</v>
      </c>
      <c r="BE3802" t="s">
        <v>13742</v>
      </c>
      <c r="BF3802" t="s">
        <v>14364</v>
      </c>
      <c r="BG3802" t="s">
        <v>15265</v>
      </c>
      <c r="BM3802" t="s">
        <v>15650</v>
      </c>
    </row>
    <row r="3803" spans="1:65">
      <c r="A3803" s="1">
        <f>HYPERLINK("https://lsnyc.legalserver.org/matter/dynamic-profile/view/1904691","19-1904691")</f>
        <v>0</v>
      </c>
      <c r="B3803" t="s">
        <v>201</v>
      </c>
      <c r="C3803" t="s">
        <v>245</v>
      </c>
      <c r="D3803" t="s">
        <v>373</v>
      </c>
      <c r="F3803" t="s">
        <v>2547</v>
      </c>
      <c r="G3803" t="s">
        <v>3162</v>
      </c>
      <c r="H3803" t="s">
        <v>5989</v>
      </c>
      <c r="I3803">
        <v>5</v>
      </c>
      <c r="J3803" t="s">
        <v>7169</v>
      </c>
      <c r="K3803">
        <v>10034</v>
      </c>
      <c r="N3803" t="s">
        <v>7237</v>
      </c>
      <c r="O3803" t="s">
        <v>7855</v>
      </c>
      <c r="P3803">
        <v>1</v>
      </c>
      <c r="Q3803">
        <v>0</v>
      </c>
      <c r="R3803">
        <v>0</v>
      </c>
      <c r="U3803">
        <v>0</v>
      </c>
      <c r="W3803">
        <v>0</v>
      </c>
      <c r="Y3803" t="s">
        <v>127</v>
      </c>
      <c r="AA3803" t="s">
        <v>10974</v>
      </c>
      <c r="AB3803" t="s">
        <v>373</v>
      </c>
      <c r="AC3803" t="s">
        <v>11081</v>
      </c>
      <c r="AF3803" t="s">
        <v>11121</v>
      </c>
      <c r="AH3803" t="s">
        <v>10974</v>
      </c>
      <c r="AJ3803" t="s">
        <v>11130</v>
      </c>
      <c r="AK3803" t="s">
        <v>7225</v>
      </c>
      <c r="AM3803">
        <v>961.8200000000001</v>
      </c>
      <c r="AO3803">
        <v>25</v>
      </c>
      <c r="AQ3803" t="s">
        <v>11157</v>
      </c>
      <c r="AS3803" t="s">
        <v>11173</v>
      </c>
      <c r="AU3803">
        <v>30</v>
      </c>
      <c r="AW3803" t="s">
        <v>11187</v>
      </c>
      <c r="BA3803" t="s">
        <v>11222</v>
      </c>
      <c r="BD3803" t="s">
        <v>11667</v>
      </c>
      <c r="BF3803" t="s">
        <v>14364</v>
      </c>
      <c r="BM3803" t="s">
        <v>15650</v>
      </c>
    </row>
    <row r="3804" spans="1:65">
      <c r="A3804" s="1">
        <f>HYPERLINK("https://lsnyc.legalserver.org/matter/dynamic-profile/view/1892836","19-1892836")</f>
        <v>0</v>
      </c>
      <c r="B3804" t="s">
        <v>201</v>
      </c>
      <c r="C3804" t="s">
        <v>245</v>
      </c>
      <c r="D3804" t="s">
        <v>319</v>
      </c>
      <c r="F3804" t="s">
        <v>1097</v>
      </c>
      <c r="G3804" t="s">
        <v>2889</v>
      </c>
      <c r="H3804" t="s">
        <v>4763</v>
      </c>
      <c r="I3804">
        <v>5</v>
      </c>
      <c r="J3804" t="s">
        <v>7169</v>
      </c>
      <c r="K3804">
        <v>10034</v>
      </c>
      <c r="N3804" t="s">
        <v>7237</v>
      </c>
      <c r="O3804" t="s">
        <v>7266</v>
      </c>
      <c r="P3804">
        <v>2</v>
      </c>
      <c r="Q3804">
        <v>0</v>
      </c>
      <c r="R3804">
        <v>123.62</v>
      </c>
      <c r="U3804">
        <v>20904</v>
      </c>
      <c r="W3804">
        <v>6.2</v>
      </c>
      <c r="X3804" t="s">
        <v>274</v>
      </c>
      <c r="Y3804" t="s">
        <v>127</v>
      </c>
      <c r="AA3804" t="s">
        <v>10974</v>
      </c>
      <c r="AB3804" t="s">
        <v>319</v>
      </c>
      <c r="AC3804" t="s">
        <v>11081</v>
      </c>
      <c r="AF3804" t="s">
        <v>11119</v>
      </c>
      <c r="AH3804" t="s">
        <v>10974</v>
      </c>
      <c r="AJ3804" t="s">
        <v>11129</v>
      </c>
      <c r="AK3804" t="s">
        <v>7225</v>
      </c>
      <c r="AM3804">
        <v>694.11</v>
      </c>
      <c r="AO3804">
        <v>25</v>
      </c>
      <c r="AQ3804" t="s">
        <v>11157</v>
      </c>
      <c r="AS3804" t="s">
        <v>11175</v>
      </c>
      <c r="AU3804">
        <v>47</v>
      </c>
      <c r="AW3804" t="s">
        <v>11187</v>
      </c>
      <c r="BA3804" t="s">
        <v>11222</v>
      </c>
      <c r="BE3804" t="s">
        <v>11681</v>
      </c>
      <c r="BF3804" t="s">
        <v>14364</v>
      </c>
      <c r="BM3804" t="s">
        <v>15650</v>
      </c>
    </row>
    <row r="3805" spans="1:65">
      <c r="A3805" s="1">
        <f>HYPERLINK("https://lsnyc.legalserver.org/matter/dynamic-profile/view/1904716","19-1904716")</f>
        <v>0</v>
      </c>
      <c r="B3805" t="s">
        <v>201</v>
      </c>
      <c r="C3805" t="s">
        <v>245</v>
      </c>
      <c r="D3805" t="s">
        <v>373</v>
      </c>
      <c r="F3805" t="s">
        <v>2181</v>
      </c>
      <c r="G3805" t="s">
        <v>4402</v>
      </c>
      <c r="H3805" t="s">
        <v>5989</v>
      </c>
      <c r="I3805">
        <v>41</v>
      </c>
      <c r="J3805" t="s">
        <v>7169</v>
      </c>
      <c r="K3805">
        <v>10034</v>
      </c>
      <c r="N3805" t="s">
        <v>7237</v>
      </c>
      <c r="O3805" t="s">
        <v>9639</v>
      </c>
      <c r="P3805">
        <v>6</v>
      </c>
      <c r="Q3805">
        <v>0</v>
      </c>
      <c r="R3805">
        <v>0</v>
      </c>
      <c r="U3805">
        <v>0</v>
      </c>
      <c r="W3805">
        <v>0</v>
      </c>
      <c r="Y3805" t="s">
        <v>127</v>
      </c>
      <c r="AA3805" t="s">
        <v>10974</v>
      </c>
      <c r="AB3805" t="s">
        <v>373</v>
      </c>
      <c r="AC3805" t="s">
        <v>11081</v>
      </c>
      <c r="AF3805" t="s">
        <v>11121</v>
      </c>
      <c r="AH3805" t="s">
        <v>10974</v>
      </c>
      <c r="AJ3805" t="s">
        <v>11130</v>
      </c>
      <c r="AK3805" t="s">
        <v>7225</v>
      </c>
      <c r="AM3805">
        <v>910</v>
      </c>
      <c r="AO3805">
        <v>25</v>
      </c>
      <c r="AQ3805" t="s">
        <v>11157</v>
      </c>
      <c r="AS3805" t="s">
        <v>11176</v>
      </c>
      <c r="AU3805">
        <v>40</v>
      </c>
      <c r="AW3805" t="s">
        <v>11187</v>
      </c>
      <c r="BA3805" t="s">
        <v>11222</v>
      </c>
      <c r="BD3805" t="s">
        <v>11667</v>
      </c>
      <c r="BF3805" t="s">
        <v>14364</v>
      </c>
      <c r="BM3805" t="s">
        <v>15650</v>
      </c>
    </row>
    <row r="3806" spans="1:65">
      <c r="A3806" s="1">
        <f>HYPERLINK("https://lsnyc.legalserver.org/matter/dynamic-profile/view/1896439","19-1896439")</f>
        <v>0</v>
      </c>
      <c r="B3806" t="s">
        <v>201</v>
      </c>
      <c r="C3806" t="s">
        <v>245</v>
      </c>
      <c r="D3806" t="s">
        <v>412</v>
      </c>
      <c r="F3806" t="s">
        <v>1240</v>
      </c>
      <c r="G3806" t="s">
        <v>4403</v>
      </c>
      <c r="H3806" t="s">
        <v>5991</v>
      </c>
      <c r="I3806">
        <v>33</v>
      </c>
      <c r="J3806" t="s">
        <v>7169</v>
      </c>
      <c r="K3806">
        <v>10034</v>
      </c>
      <c r="N3806" t="s">
        <v>7237</v>
      </c>
      <c r="O3806" t="s">
        <v>9640</v>
      </c>
      <c r="P3806">
        <v>3</v>
      </c>
      <c r="Q3806">
        <v>0</v>
      </c>
      <c r="R3806">
        <v>270.04</v>
      </c>
      <c r="S3806" t="s">
        <v>10254</v>
      </c>
      <c r="T3806" t="s">
        <v>10275</v>
      </c>
      <c r="U3806">
        <v>57600</v>
      </c>
      <c r="W3806">
        <v>0</v>
      </c>
      <c r="Y3806" t="s">
        <v>10893</v>
      </c>
      <c r="AA3806" t="s">
        <v>10974</v>
      </c>
      <c r="AB3806" t="s">
        <v>872</v>
      </c>
      <c r="AD3806" t="s">
        <v>11101</v>
      </c>
      <c r="AF3806" t="s">
        <v>11118</v>
      </c>
      <c r="AH3806" t="s">
        <v>10974</v>
      </c>
      <c r="AJ3806" t="s">
        <v>11134</v>
      </c>
      <c r="AK3806" t="s">
        <v>7225</v>
      </c>
      <c r="AM3806">
        <v>905.47</v>
      </c>
      <c r="AO3806">
        <v>20</v>
      </c>
      <c r="AQ3806" t="s">
        <v>11157</v>
      </c>
      <c r="AS3806" t="s">
        <v>11173</v>
      </c>
      <c r="AU3806">
        <v>48</v>
      </c>
      <c r="AW3806" t="s">
        <v>11187</v>
      </c>
      <c r="BA3806" t="s">
        <v>11222</v>
      </c>
      <c r="BE3806" t="s">
        <v>13743</v>
      </c>
      <c r="BF3806" t="s">
        <v>14364</v>
      </c>
      <c r="BG3806" t="s">
        <v>15265</v>
      </c>
      <c r="BM3806" t="s">
        <v>15650</v>
      </c>
    </row>
    <row r="3807" spans="1:65">
      <c r="A3807" s="1">
        <f>HYPERLINK("https://lsnyc.legalserver.org/matter/dynamic-profile/view/1896410","19-1896410")</f>
        <v>0</v>
      </c>
      <c r="B3807" t="s">
        <v>201</v>
      </c>
      <c r="C3807" t="s">
        <v>245</v>
      </c>
      <c r="D3807" t="s">
        <v>295</v>
      </c>
      <c r="F3807" t="s">
        <v>1144</v>
      </c>
      <c r="G3807" t="s">
        <v>4404</v>
      </c>
      <c r="H3807" t="s">
        <v>5462</v>
      </c>
      <c r="I3807" t="s">
        <v>7051</v>
      </c>
      <c r="J3807" t="s">
        <v>7169</v>
      </c>
      <c r="K3807">
        <v>10034</v>
      </c>
      <c r="N3807" t="s">
        <v>7237</v>
      </c>
      <c r="O3807" t="s">
        <v>9641</v>
      </c>
      <c r="P3807">
        <v>2</v>
      </c>
      <c r="Q3807">
        <v>1</v>
      </c>
      <c r="R3807">
        <v>0</v>
      </c>
      <c r="U3807">
        <v>0</v>
      </c>
      <c r="W3807">
        <v>1.2</v>
      </c>
      <c r="X3807" t="s">
        <v>664</v>
      </c>
      <c r="Y3807" t="s">
        <v>10893</v>
      </c>
      <c r="AA3807" t="s">
        <v>10974</v>
      </c>
      <c r="AB3807" t="s">
        <v>664</v>
      </c>
      <c r="AD3807" t="s">
        <v>11083</v>
      </c>
      <c r="AF3807" t="s">
        <v>11121</v>
      </c>
      <c r="AH3807" t="s">
        <v>10975</v>
      </c>
      <c r="AJ3807" t="s">
        <v>11130</v>
      </c>
      <c r="AK3807" t="s">
        <v>7225</v>
      </c>
      <c r="AL3807" t="s">
        <v>11150</v>
      </c>
      <c r="AM3807">
        <v>0</v>
      </c>
      <c r="AO3807">
        <v>60</v>
      </c>
      <c r="AQ3807" t="s">
        <v>11157</v>
      </c>
      <c r="AS3807" t="s">
        <v>11173</v>
      </c>
      <c r="AU3807">
        <v>4</v>
      </c>
      <c r="AW3807" t="s">
        <v>11189</v>
      </c>
      <c r="BA3807" t="s">
        <v>11222</v>
      </c>
      <c r="BE3807" t="s">
        <v>13744</v>
      </c>
      <c r="BG3807" t="s">
        <v>15267</v>
      </c>
      <c r="BM3807" t="s">
        <v>15650</v>
      </c>
    </row>
    <row r="3808" spans="1:65">
      <c r="A3808" s="1">
        <f>HYPERLINK("https://lsnyc.legalserver.org/matter/dynamic-profile/view/1906208","19-1906208")</f>
        <v>0</v>
      </c>
      <c r="B3808" t="s">
        <v>201</v>
      </c>
      <c r="C3808" t="s">
        <v>245</v>
      </c>
      <c r="D3808" t="s">
        <v>524</v>
      </c>
      <c r="F3808" t="s">
        <v>1641</v>
      </c>
      <c r="G3808" t="s">
        <v>4405</v>
      </c>
      <c r="H3808" t="s">
        <v>6007</v>
      </c>
      <c r="I3808" t="s">
        <v>6930</v>
      </c>
      <c r="J3808" t="s">
        <v>7169</v>
      </c>
      <c r="K3808">
        <v>10024</v>
      </c>
      <c r="M3808" t="s">
        <v>7234</v>
      </c>
      <c r="N3808" t="s">
        <v>7237</v>
      </c>
      <c r="O3808" t="s">
        <v>9642</v>
      </c>
      <c r="P3808">
        <v>3</v>
      </c>
      <c r="Q3808">
        <v>0</v>
      </c>
      <c r="R3808">
        <v>482.89</v>
      </c>
      <c r="U3808">
        <v>103000</v>
      </c>
      <c r="W3808">
        <v>3.5</v>
      </c>
      <c r="X3808" t="s">
        <v>598</v>
      </c>
      <c r="Y3808" t="s">
        <v>127</v>
      </c>
      <c r="AA3808" t="s">
        <v>10974</v>
      </c>
      <c r="AB3808" t="s">
        <v>524</v>
      </c>
      <c r="AC3808" t="s">
        <v>11081</v>
      </c>
      <c r="AF3808" t="s">
        <v>11119</v>
      </c>
      <c r="AH3808" t="s">
        <v>10975</v>
      </c>
      <c r="AJ3808" t="s">
        <v>11130</v>
      </c>
      <c r="AK3808" t="s">
        <v>7225</v>
      </c>
      <c r="AM3808">
        <v>3039.5</v>
      </c>
      <c r="AO3808">
        <v>249</v>
      </c>
      <c r="AQ3808" t="s">
        <v>11157</v>
      </c>
      <c r="AS3808" t="s">
        <v>11173</v>
      </c>
      <c r="AU3808">
        <v>20</v>
      </c>
      <c r="AW3808" t="s">
        <v>11187</v>
      </c>
      <c r="BA3808" t="s">
        <v>11222</v>
      </c>
      <c r="BE3808" t="s">
        <v>13745</v>
      </c>
      <c r="BF3808" t="s">
        <v>14364</v>
      </c>
      <c r="BM3808" t="s">
        <v>15650</v>
      </c>
    </row>
    <row r="3809" spans="1:65">
      <c r="A3809" s="1">
        <f>HYPERLINK("https://lsnyc.legalserver.org/matter/dynamic-profile/view/1906222","19-1906222")</f>
        <v>0</v>
      </c>
      <c r="B3809" t="s">
        <v>201</v>
      </c>
      <c r="C3809" t="s">
        <v>245</v>
      </c>
      <c r="D3809" t="s">
        <v>524</v>
      </c>
      <c r="F3809" t="s">
        <v>2548</v>
      </c>
      <c r="G3809" t="s">
        <v>4406</v>
      </c>
      <c r="H3809" t="s">
        <v>6008</v>
      </c>
      <c r="I3809" t="s">
        <v>7052</v>
      </c>
      <c r="J3809" t="s">
        <v>7169</v>
      </c>
      <c r="K3809">
        <v>10040</v>
      </c>
      <c r="N3809" t="s">
        <v>7237</v>
      </c>
      <c r="O3809" t="s">
        <v>9643</v>
      </c>
      <c r="P3809">
        <v>1</v>
      </c>
      <c r="Q3809">
        <v>0</v>
      </c>
      <c r="R3809">
        <v>115.29</v>
      </c>
      <c r="U3809">
        <v>14400</v>
      </c>
      <c r="W3809">
        <v>1</v>
      </c>
      <c r="X3809" t="s">
        <v>660</v>
      </c>
      <c r="Y3809" t="s">
        <v>127</v>
      </c>
      <c r="AA3809" t="s">
        <v>10974</v>
      </c>
      <c r="AB3809" t="s">
        <v>524</v>
      </c>
      <c r="AC3809" t="s">
        <v>11081</v>
      </c>
      <c r="AF3809" t="s">
        <v>11121</v>
      </c>
      <c r="AH3809" t="s">
        <v>10975</v>
      </c>
      <c r="AJ3809" t="s">
        <v>11130</v>
      </c>
      <c r="AK3809" t="s">
        <v>7225</v>
      </c>
      <c r="AM3809">
        <v>1197</v>
      </c>
      <c r="AO3809">
        <v>73</v>
      </c>
      <c r="AQ3809" t="s">
        <v>11157</v>
      </c>
      <c r="AS3809" t="s">
        <v>11173</v>
      </c>
      <c r="AU3809">
        <v>40</v>
      </c>
      <c r="AW3809" t="s">
        <v>11187</v>
      </c>
      <c r="BA3809" t="s">
        <v>11222</v>
      </c>
      <c r="BE3809" t="s">
        <v>13746</v>
      </c>
      <c r="BF3809" t="s">
        <v>14364</v>
      </c>
      <c r="BM3809" t="s">
        <v>15650</v>
      </c>
    </row>
    <row r="3810" spans="1:65">
      <c r="A3810" s="1">
        <f>HYPERLINK("https://lsnyc.legalserver.org/matter/dynamic-profile/view/1906999","19-1906999")</f>
        <v>0</v>
      </c>
      <c r="B3810" t="s">
        <v>201</v>
      </c>
      <c r="C3810" t="s">
        <v>245</v>
      </c>
      <c r="D3810" t="s">
        <v>653</v>
      </c>
      <c r="F3810" t="s">
        <v>2549</v>
      </c>
      <c r="G3810" t="s">
        <v>4407</v>
      </c>
      <c r="H3810" t="s">
        <v>6009</v>
      </c>
      <c r="I3810">
        <v>25</v>
      </c>
      <c r="J3810" t="s">
        <v>7169</v>
      </c>
      <c r="K3810">
        <v>10034</v>
      </c>
      <c r="N3810" t="s">
        <v>7237</v>
      </c>
      <c r="O3810" t="s">
        <v>9644</v>
      </c>
      <c r="P3810">
        <v>1</v>
      </c>
      <c r="Q3810">
        <v>0</v>
      </c>
      <c r="R3810">
        <v>0</v>
      </c>
      <c r="U3810">
        <v>0</v>
      </c>
      <c r="W3810">
        <v>2.9</v>
      </c>
      <c r="X3810" t="s">
        <v>627</v>
      </c>
      <c r="Y3810" t="s">
        <v>127</v>
      </c>
      <c r="AA3810" t="s">
        <v>10974</v>
      </c>
      <c r="AB3810" t="s">
        <v>653</v>
      </c>
      <c r="AC3810" t="s">
        <v>11081</v>
      </c>
      <c r="AF3810" t="s">
        <v>11121</v>
      </c>
      <c r="AH3810" t="s">
        <v>10975</v>
      </c>
      <c r="AJ3810" t="s">
        <v>11130</v>
      </c>
      <c r="AK3810" t="s">
        <v>7225</v>
      </c>
      <c r="AM3810">
        <v>1138</v>
      </c>
      <c r="AO3810">
        <v>26</v>
      </c>
      <c r="AQ3810" t="s">
        <v>11157</v>
      </c>
      <c r="AS3810" t="s">
        <v>11173</v>
      </c>
      <c r="AU3810">
        <v>45</v>
      </c>
      <c r="AW3810" t="s">
        <v>11187</v>
      </c>
      <c r="BA3810" t="s">
        <v>11222</v>
      </c>
      <c r="BE3810" t="s">
        <v>13747</v>
      </c>
      <c r="BF3810" t="s">
        <v>14364</v>
      </c>
      <c r="BM3810" t="s">
        <v>15650</v>
      </c>
    </row>
    <row r="3811" spans="1:65">
      <c r="A3811" s="1">
        <f>HYPERLINK("https://lsnyc.legalserver.org/matter/dynamic-profile/view/1896374","19-1896374")</f>
        <v>0</v>
      </c>
      <c r="B3811" t="s">
        <v>201</v>
      </c>
      <c r="C3811" t="s">
        <v>245</v>
      </c>
      <c r="D3811" t="s">
        <v>295</v>
      </c>
      <c r="F3811" t="s">
        <v>2550</v>
      </c>
      <c r="G3811" t="s">
        <v>3824</v>
      </c>
      <c r="H3811" t="s">
        <v>6010</v>
      </c>
      <c r="I3811" t="s">
        <v>6404</v>
      </c>
      <c r="J3811" t="s">
        <v>7169</v>
      </c>
      <c r="K3811">
        <v>10033</v>
      </c>
      <c r="N3811" t="s">
        <v>7237</v>
      </c>
      <c r="O3811" t="s">
        <v>9645</v>
      </c>
      <c r="P3811">
        <v>1</v>
      </c>
      <c r="Q3811">
        <v>0</v>
      </c>
      <c r="R3811">
        <v>144.12</v>
      </c>
      <c r="U3811">
        <v>18000</v>
      </c>
      <c r="W3811">
        <v>0</v>
      </c>
      <c r="Y3811" t="s">
        <v>10893</v>
      </c>
      <c r="AA3811" t="s">
        <v>10974</v>
      </c>
      <c r="AB3811" t="s">
        <v>295</v>
      </c>
      <c r="AD3811" t="s">
        <v>11086</v>
      </c>
      <c r="AF3811" t="s">
        <v>11119</v>
      </c>
      <c r="AH3811" t="s">
        <v>10975</v>
      </c>
      <c r="AJ3811" t="s">
        <v>11130</v>
      </c>
      <c r="AK3811" t="s">
        <v>7225</v>
      </c>
      <c r="AM3811">
        <v>1300</v>
      </c>
      <c r="AO3811">
        <v>84</v>
      </c>
      <c r="AQ3811" t="s">
        <v>11157</v>
      </c>
      <c r="AS3811" t="s">
        <v>11173</v>
      </c>
      <c r="AU3811">
        <v>40</v>
      </c>
      <c r="AW3811" t="s">
        <v>11189</v>
      </c>
      <c r="BA3811" t="s">
        <v>11222</v>
      </c>
      <c r="BE3811" t="s">
        <v>13748</v>
      </c>
      <c r="BF3811" t="s">
        <v>14364</v>
      </c>
      <c r="BM3811" t="s">
        <v>15650</v>
      </c>
    </row>
    <row r="3812" spans="1:65">
      <c r="A3812" s="1">
        <f>HYPERLINK("https://lsnyc.legalserver.org/matter/dynamic-profile/view/1896419","19-1896419")</f>
        <v>0</v>
      </c>
      <c r="B3812" t="s">
        <v>201</v>
      </c>
      <c r="C3812" t="s">
        <v>245</v>
      </c>
      <c r="D3812" t="s">
        <v>412</v>
      </c>
      <c r="F3812" t="s">
        <v>1266</v>
      </c>
      <c r="G3812" t="s">
        <v>4408</v>
      </c>
      <c r="H3812" t="s">
        <v>4770</v>
      </c>
      <c r="I3812" t="s">
        <v>7053</v>
      </c>
      <c r="J3812" t="s">
        <v>7169</v>
      </c>
      <c r="K3812">
        <v>10033</v>
      </c>
      <c r="N3812" t="s">
        <v>7237</v>
      </c>
      <c r="O3812" t="s">
        <v>7464</v>
      </c>
      <c r="P3812">
        <v>1</v>
      </c>
      <c r="Q3812">
        <v>0</v>
      </c>
      <c r="R3812">
        <v>92.06999999999999</v>
      </c>
      <c r="U3812">
        <v>11500</v>
      </c>
      <c r="W3812">
        <v>3.2</v>
      </c>
      <c r="X3812" t="s">
        <v>675</v>
      </c>
      <c r="Y3812" t="s">
        <v>10893</v>
      </c>
      <c r="Z3812" t="s">
        <v>10972</v>
      </c>
      <c r="AA3812" t="s">
        <v>10975</v>
      </c>
      <c r="AD3812" t="s">
        <v>11086</v>
      </c>
      <c r="AE3812" t="s">
        <v>11117</v>
      </c>
      <c r="AG3812" t="s">
        <v>11124</v>
      </c>
      <c r="AI3812" t="s">
        <v>11126</v>
      </c>
      <c r="AK3812" t="s">
        <v>7225</v>
      </c>
      <c r="AM3812">
        <v>3300</v>
      </c>
      <c r="AN3812" t="s">
        <v>11151</v>
      </c>
      <c r="AO3812" t="s">
        <v>11153</v>
      </c>
      <c r="AQ3812" t="s">
        <v>11157</v>
      </c>
      <c r="AR3812" t="s">
        <v>11172</v>
      </c>
      <c r="AU3812">
        <v>1</v>
      </c>
      <c r="AW3812" t="s">
        <v>11187</v>
      </c>
      <c r="AX3812" t="s">
        <v>11212</v>
      </c>
      <c r="BA3812" t="s">
        <v>11222</v>
      </c>
      <c r="BE3812" t="s">
        <v>11854</v>
      </c>
      <c r="BF3812" t="s">
        <v>14364</v>
      </c>
      <c r="BM3812" t="s">
        <v>15650</v>
      </c>
    </row>
    <row r="3813" spans="1:65">
      <c r="A3813" s="1">
        <f>HYPERLINK("https://lsnyc.legalserver.org/matter/dynamic-profile/view/1893217","19-1893217")</f>
        <v>0</v>
      </c>
      <c r="B3813" t="s">
        <v>201</v>
      </c>
      <c r="C3813" t="s">
        <v>245</v>
      </c>
      <c r="D3813" t="s">
        <v>696</v>
      </c>
      <c r="F3813" t="s">
        <v>1712</v>
      </c>
      <c r="G3813" t="s">
        <v>4409</v>
      </c>
      <c r="H3813" t="s">
        <v>6010</v>
      </c>
      <c r="I3813" t="s">
        <v>6424</v>
      </c>
      <c r="J3813" t="s">
        <v>7169</v>
      </c>
      <c r="K3813">
        <v>10033</v>
      </c>
      <c r="N3813" t="s">
        <v>7237</v>
      </c>
      <c r="O3813" t="s">
        <v>9646</v>
      </c>
      <c r="P3813">
        <v>1</v>
      </c>
      <c r="Q3813">
        <v>0</v>
      </c>
      <c r="R3813">
        <v>44.76</v>
      </c>
      <c r="U3813">
        <v>5590</v>
      </c>
      <c r="W3813">
        <v>72.25</v>
      </c>
      <c r="X3813" t="s">
        <v>528</v>
      </c>
      <c r="Y3813" t="s">
        <v>127</v>
      </c>
      <c r="AA3813" t="s">
        <v>10974</v>
      </c>
      <c r="AB3813" t="s">
        <v>696</v>
      </c>
      <c r="AC3813" t="s">
        <v>11081</v>
      </c>
      <c r="AF3813" t="s">
        <v>11118</v>
      </c>
      <c r="AH3813" t="s">
        <v>10975</v>
      </c>
      <c r="AJ3813" t="s">
        <v>11130</v>
      </c>
      <c r="AK3813" t="s">
        <v>7225</v>
      </c>
      <c r="AM3813">
        <v>990</v>
      </c>
      <c r="AO3813">
        <v>47</v>
      </c>
      <c r="AQ3813" t="s">
        <v>11157</v>
      </c>
      <c r="AS3813" t="s">
        <v>11173</v>
      </c>
      <c r="AU3813">
        <v>40</v>
      </c>
      <c r="AW3813" t="s">
        <v>11187</v>
      </c>
      <c r="BA3813" t="s">
        <v>11222</v>
      </c>
      <c r="BE3813" t="s">
        <v>13749</v>
      </c>
      <c r="BF3813" t="s">
        <v>14364</v>
      </c>
      <c r="BM3813" t="s">
        <v>15650</v>
      </c>
    </row>
    <row r="3814" spans="1:65">
      <c r="A3814" s="1">
        <f>HYPERLINK("https://lsnyc.legalserver.org/matter/dynamic-profile/view/1896429","19-1896429")</f>
        <v>0</v>
      </c>
      <c r="B3814" t="s">
        <v>201</v>
      </c>
      <c r="C3814" t="s">
        <v>245</v>
      </c>
      <c r="D3814" t="s">
        <v>412</v>
      </c>
      <c r="F3814" t="s">
        <v>1796</v>
      </c>
      <c r="G3814" t="s">
        <v>1412</v>
      </c>
      <c r="H3814" t="s">
        <v>4901</v>
      </c>
      <c r="I3814" t="s">
        <v>6440</v>
      </c>
      <c r="J3814" t="s">
        <v>7169</v>
      </c>
      <c r="K3814">
        <v>10034</v>
      </c>
      <c r="N3814" t="s">
        <v>7237</v>
      </c>
      <c r="O3814" t="s">
        <v>9647</v>
      </c>
      <c r="P3814">
        <v>1</v>
      </c>
      <c r="Q3814">
        <v>0</v>
      </c>
      <c r="R3814">
        <v>144.12</v>
      </c>
      <c r="U3814">
        <v>18000</v>
      </c>
      <c r="W3814">
        <v>19</v>
      </c>
      <c r="X3814" t="s">
        <v>594</v>
      </c>
      <c r="Y3814" t="s">
        <v>10893</v>
      </c>
      <c r="AA3814" t="s">
        <v>10974</v>
      </c>
      <c r="AB3814" t="s">
        <v>594</v>
      </c>
      <c r="AD3814" t="s">
        <v>11086</v>
      </c>
      <c r="AF3814" t="s">
        <v>11121</v>
      </c>
      <c r="AH3814" t="s">
        <v>10975</v>
      </c>
      <c r="AJ3814" t="s">
        <v>11130</v>
      </c>
      <c r="AK3814" t="s">
        <v>7225</v>
      </c>
      <c r="AL3814" t="s">
        <v>11150</v>
      </c>
      <c r="AM3814">
        <v>0</v>
      </c>
      <c r="AO3814">
        <v>48</v>
      </c>
      <c r="AQ3814" t="s">
        <v>11157</v>
      </c>
      <c r="AS3814" t="s">
        <v>11173</v>
      </c>
      <c r="AU3814">
        <v>43</v>
      </c>
      <c r="AW3814" t="s">
        <v>11189</v>
      </c>
      <c r="BA3814" t="s">
        <v>11222</v>
      </c>
      <c r="BE3814" t="s">
        <v>13750</v>
      </c>
      <c r="BF3814" t="s">
        <v>14364</v>
      </c>
      <c r="BM3814" t="s">
        <v>15650</v>
      </c>
    </row>
    <row r="3815" spans="1:65">
      <c r="A3815" s="1">
        <f>HYPERLINK("https://lsnyc.legalserver.org/matter/dynamic-profile/view/1904601","19-1904601")</f>
        <v>0</v>
      </c>
      <c r="B3815" t="s">
        <v>201</v>
      </c>
      <c r="C3815" t="s">
        <v>245</v>
      </c>
      <c r="D3815" t="s">
        <v>380</v>
      </c>
      <c r="F3815" t="s">
        <v>1122</v>
      </c>
      <c r="G3815" t="s">
        <v>1149</v>
      </c>
      <c r="H3815" t="s">
        <v>5989</v>
      </c>
      <c r="I3815">
        <v>4</v>
      </c>
      <c r="J3815" t="s">
        <v>7169</v>
      </c>
      <c r="K3815">
        <v>10034</v>
      </c>
      <c r="N3815" t="s">
        <v>7237</v>
      </c>
      <c r="O3815" t="s">
        <v>8450</v>
      </c>
      <c r="P3815">
        <v>1</v>
      </c>
      <c r="Q3815">
        <v>0</v>
      </c>
      <c r="R3815">
        <v>352.28</v>
      </c>
      <c r="U3815">
        <v>44000</v>
      </c>
      <c r="W3815">
        <v>37.7</v>
      </c>
      <c r="X3815" t="s">
        <v>528</v>
      </c>
      <c r="Y3815" t="s">
        <v>127</v>
      </c>
      <c r="AA3815" t="s">
        <v>10974</v>
      </c>
      <c r="AB3815" t="s">
        <v>380</v>
      </c>
      <c r="AC3815" t="s">
        <v>11081</v>
      </c>
      <c r="AF3815" t="s">
        <v>11121</v>
      </c>
      <c r="AH3815" t="s">
        <v>10974</v>
      </c>
      <c r="AJ3815" t="s">
        <v>11130</v>
      </c>
      <c r="AK3815" t="s">
        <v>7225</v>
      </c>
      <c r="AM3815">
        <v>893</v>
      </c>
      <c r="AO3815">
        <v>25</v>
      </c>
      <c r="AQ3815" t="s">
        <v>11157</v>
      </c>
      <c r="AS3815" t="s">
        <v>11173</v>
      </c>
      <c r="AU3815">
        <v>38</v>
      </c>
      <c r="AW3815" t="s">
        <v>11189</v>
      </c>
      <c r="BA3815" t="s">
        <v>11222</v>
      </c>
      <c r="BE3815" t="s">
        <v>13751</v>
      </c>
      <c r="BF3815" t="s">
        <v>14364</v>
      </c>
      <c r="BM3815" t="s">
        <v>15650</v>
      </c>
    </row>
    <row r="3816" spans="1:65">
      <c r="A3816" s="1">
        <f>HYPERLINK("https://lsnyc.legalserver.org/matter/dynamic-profile/view/1898606","19-1898606")</f>
        <v>0</v>
      </c>
      <c r="B3816" t="s">
        <v>201</v>
      </c>
      <c r="C3816" t="s">
        <v>245</v>
      </c>
      <c r="D3816" t="s">
        <v>800</v>
      </c>
      <c r="F3816" t="s">
        <v>2373</v>
      </c>
      <c r="G3816" t="s">
        <v>4410</v>
      </c>
      <c r="H3816" t="s">
        <v>5997</v>
      </c>
      <c r="I3816" t="s">
        <v>6451</v>
      </c>
      <c r="J3816" t="s">
        <v>7169</v>
      </c>
      <c r="K3816">
        <v>10034</v>
      </c>
      <c r="N3816" t="s">
        <v>7237</v>
      </c>
      <c r="O3816" t="s">
        <v>9648</v>
      </c>
      <c r="P3816">
        <v>1</v>
      </c>
      <c r="Q3816">
        <v>3</v>
      </c>
      <c r="R3816">
        <v>271.84</v>
      </c>
      <c r="U3816">
        <v>70000</v>
      </c>
      <c r="W3816">
        <v>2.65</v>
      </c>
      <c r="X3816" t="s">
        <v>314</v>
      </c>
      <c r="Y3816" t="s">
        <v>127</v>
      </c>
      <c r="AA3816" t="s">
        <v>10974</v>
      </c>
      <c r="AB3816" t="s">
        <v>800</v>
      </c>
      <c r="AC3816" t="s">
        <v>11081</v>
      </c>
      <c r="AF3816" t="s">
        <v>11119</v>
      </c>
      <c r="AH3816" t="s">
        <v>10975</v>
      </c>
      <c r="AJ3816" t="s">
        <v>11130</v>
      </c>
      <c r="AK3816" t="s">
        <v>7225</v>
      </c>
      <c r="AM3816">
        <v>4200</v>
      </c>
      <c r="AN3816" t="s">
        <v>11151</v>
      </c>
      <c r="AO3816" t="s">
        <v>11153</v>
      </c>
      <c r="AQ3816" t="s">
        <v>11157</v>
      </c>
      <c r="AS3816" t="s">
        <v>11173</v>
      </c>
      <c r="AU3816">
        <v>1</v>
      </c>
      <c r="AW3816" t="s">
        <v>11187</v>
      </c>
      <c r="AZ3816" t="s">
        <v>11221</v>
      </c>
      <c r="BE3816" t="s">
        <v>13752</v>
      </c>
      <c r="BF3816" t="s">
        <v>14364</v>
      </c>
      <c r="BM3816" t="s">
        <v>15650</v>
      </c>
    </row>
    <row r="3817" spans="1:65">
      <c r="A3817" s="1">
        <f>HYPERLINK("https://lsnyc.legalserver.org/matter/dynamic-profile/view/1892699","19-1892699")</f>
        <v>0</v>
      </c>
      <c r="B3817" t="s">
        <v>201</v>
      </c>
      <c r="C3817" t="s">
        <v>245</v>
      </c>
      <c r="D3817" t="s">
        <v>729</v>
      </c>
      <c r="F3817" t="s">
        <v>2551</v>
      </c>
      <c r="G3817" t="s">
        <v>4411</v>
      </c>
      <c r="H3817" t="s">
        <v>6011</v>
      </c>
      <c r="I3817" t="s">
        <v>6766</v>
      </c>
      <c r="J3817" t="s">
        <v>7169</v>
      </c>
      <c r="K3817">
        <v>10034</v>
      </c>
      <c r="N3817" t="s">
        <v>7237</v>
      </c>
      <c r="O3817" t="s">
        <v>9649</v>
      </c>
      <c r="P3817">
        <v>2</v>
      </c>
      <c r="Q3817">
        <v>1</v>
      </c>
      <c r="R3817">
        <v>86.58</v>
      </c>
      <c r="U3817">
        <v>18468</v>
      </c>
      <c r="W3817">
        <v>2.05</v>
      </c>
      <c r="X3817" t="s">
        <v>449</v>
      </c>
      <c r="Y3817" t="s">
        <v>10873</v>
      </c>
      <c r="AA3817" t="s">
        <v>10974</v>
      </c>
      <c r="AB3817" t="s">
        <v>863</v>
      </c>
      <c r="AD3817" t="s">
        <v>11098</v>
      </c>
      <c r="AF3817" t="s">
        <v>11119</v>
      </c>
      <c r="AH3817" t="s">
        <v>10975</v>
      </c>
      <c r="AJ3817" t="s">
        <v>11130</v>
      </c>
      <c r="AK3817" t="s">
        <v>7225</v>
      </c>
      <c r="AM3817">
        <v>1912</v>
      </c>
      <c r="AO3817">
        <v>60</v>
      </c>
      <c r="AQ3817" t="s">
        <v>11157</v>
      </c>
      <c r="AS3817" t="s">
        <v>11173</v>
      </c>
      <c r="AU3817">
        <v>18</v>
      </c>
      <c r="AW3817" t="s">
        <v>11187</v>
      </c>
      <c r="BA3817" t="s">
        <v>11222</v>
      </c>
      <c r="BC3817" t="s">
        <v>11554</v>
      </c>
      <c r="BD3817" t="s">
        <v>11667</v>
      </c>
      <c r="BF3817" t="s">
        <v>14364</v>
      </c>
      <c r="BM3817" t="s">
        <v>15650</v>
      </c>
    </row>
    <row r="3818" spans="1:65">
      <c r="A3818" s="1">
        <f>HYPERLINK("https://lsnyc.legalserver.org/matter/dynamic-profile/view/1914154","19-1914154")</f>
        <v>0</v>
      </c>
      <c r="B3818" t="s">
        <v>201</v>
      </c>
      <c r="C3818" t="s">
        <v>245</v>
      </c>
      <c r="D3818" t="s">
        <v>301</v>
      </c>
      <c r="F3818" t="s">
        <v>2552</v>
      </c>
      <c r="G3818" t="s">
        <v>2985</v>
      </c>
      <c r="H3818" t="s">
        <v>6012</v>
      </c>
      <c r="I3818" t="s">
        <v>6451</v>
      </c>
      <c r="J3818" t="s">
        <v>7169</v>
      </c>
      <c r="K3818">
        <v>10034</v>
      </c>
      <c r="N3818" t="s">
        <v>7237</v>
      </c>
      <c r="O3818" t="s">
        <v>9650</v>
      </c>
      <c r="P3818">
        <v>1</v>
      </c>
      <c r="Q3818">
        <v>1</v>
      </c>
      <c r="R3818">
        <v>92.25</v>
      </c>
      <c r="U3818">
        <v>15600</v>
      </c>
      <c r="W3818">
        <v>0</v>
      </c>
      <c r="Y3818" t="s">
        <v>127</v>
      </c>
      <c r="AA3818" t="s">
        <v>10974</v>
      </c>
      <c r="AB3818" t="s">
        <v>301</v>
      </c>
      <c r="AC3818" t="s">
        <v>11081</v>
      </c>
      <c r="AF3818" t="s">
        <v>11121</v>
      </c>
      <c r="AH3818" t="s">
        <v>10975</v>
      </c>
      <c r="AJ3818" t="s">
        <v>11130</v>
      </c>
      <c r="AK3818" t="s">
        <v>7225</v>
      </c>
      <c r="AM3818">
        <v>1670</v>
      </c>
      <c r="AO3818">
        <v>61</v>
      </c>
      <c r="AQ3818" t="s">
        <v>11157</v>
      </c>
      <c r="AS3818" t="s">
        <v>11173</v>
      </c>
      <c r="AU3818">
        <v>5</v>
      </c>
      <c r="AW3818" t="s">
        <v>11187</v>
      </c>
      <c r="BA3818" t="s">
        <v>11222</v>
      </c>
      <c r="BD3818" t="s">
        <v>11667</v>
      </c>
      <c r="BF3818" t="s">
        <v>14364</v>
      </c>
      <c r="BM3818" t="s">
        <v>15650</v>
      </c>
    </row>
    <row r="3819" spans="1:65">
      <c r="A3819" s="1">
        <f>HYPERLINK("https://lsnyc.legalserver.org/matter/dynamic-profile/view/1909594","19-1909594")</f>
        <v>0</v>
      </c>
      <c r="B3819" t="s">
        <v>201</v>
      </c>
      <c r="C3819" t="s">
        <v>245</v>
      </c>
      <c r="D3819" t="s">
        <v>1010</v>
      </c>
      <c r="F3819" t="s">
        <v>2553</v>
      </c>
      <c r="G3819" t="s">
        <v>4412</v>
      </c>
      <c r="H3819" t="s">
        <v>6013</v>
      </c>
      <c r="J3819" t="s">
        <v>7169</v>
      </c>
      <c r="K3819">
        <v>10032</v>
      </c>
      <c r="N3819" t="s">
        <v>7237</v>
      </c>
      <c r="O3819" t="s">
        <v>9651</v>
      </c>
      <c r="P3819">
        <v>2</v>
      </c>
      <c r="Q3819">
        <v>0</v>
      </c>
      <c r="R3819">
        <v>199.27</v>
      </c>
      <c r="U3819">
        <v>33696</v>
      </c>
      <c r="W3819">
        <v>0.3</v>
      </c>
      <c r="X3819" t="s">
        <v>728</v>
      </c>
      <c r="Y3819" t="s">
        <v>127</v>
      </c>
      <c r="AA3819" t="s">
        <v>10974</v>
      </c>
      <c r="AB3819" t="s">
        <v>1010</v>
      </c>
      <c r="AD3819" t="s">
        <v>11090</v>
      </c>
      <c r="AF3819" t="s">
        <v>11121</v>
      </c>
      <c r="AH3819" t="s">
        <v>10975</v>
      </c>
      <c r="AJ3819" t="s">
        <v>11132</v>
      </c>
      <c r="AK3819" t="s">
        <v>7225</v>
      </c>
      <c r="AM3819">
        <v>1285</v>
      </c>
      <c r="AO3819">
        <v>4</v>
      </c>
      <c r="AQ3819" t="s">
        <v>11157</v>
      </c>
      <c r="AS3819" t="s">
        <v>11174</v>
      </c>
      <c r="AU3819">
        <v>3</v>
      </c>
      <c r="AW3819" t="s">
        <v>11189</v>
      </c>
      <c r="BA3819" t="s">
        <v>11222</v>
      </c>
      <c r="BE3819" t="s">
        <v>13753</v>
      </c>
      <c r="BF3819" t="s">
        <v>14364</v>
      </c>
      <c r="BM3819" t="s">
        <v>15650</v>
      </c>
    </row>
    <row r="3820" spans="1:65">
      <c r="A3820" s="1">
        <f>HYPERLINK("https://lsnyc.legalserver.org/matter/dynamic-profile/view/1914157","19-1914157")</f>
        <v>0</v>
      </c>
      <c r="B3820" t="s">
        <v>201</v>
      </c>
      <c r="C3820" t="s">
        <v>245</v>
      </c>
      <c r="D3820" t="s">
        <v>301</v>
      </c>
      <c r="F3820" t="s">
        <v>1122</v>
      </c>
      <c r="G3820" t="s">
        <v>4413</v>
      </c>
      <c r="H3820" t="s">
        <v>4769</v>
      </c>
      <c r="I3820" t="s">
        <v>7054</v>
      </c>
      <c r="J3820" t="s">
        <v>7169</v>
      </c>
      <c r="K3820">
        <v>10034</v>
      </c>
      <c r="N3820" t="s">
        <v>7237</v>
      </c>
      <c r="O3820" t="s">
        <v>9652</v>
      </c>
      <c r="P3820">
        <v>1</v>
      </c>
      <c r="Q3820">
        <v>0</v>
      </c>
      <c r="R3820">
        <v>0</v>
      </c>
      <c r="U3820">
        <v>0</v>
      </c>
      <c r="W3820">
        <v>0</v>
      </c>
      <c r="Y3820" t="s">
        <v>127</v>
      </c>
      <c r="Z3820" t="s">
        <v>10972</v>
      </c>
      <c r="AA3820" t="s">
        <v>10976</v>
      </c>
      <c r="AC3820" t="s">
        <v>11081</v>
      </c>
      <c r="AF3820" t="s">
        <v>11121</v>
      </c>
      <c r="AH3820" t="s">
        <v>10975</v>
      </c>
      <c r="AI3820" t="s">
        <v>11126</v>
      </c>
      <c r="AK3820" t="s">
        <v>7225</v>
      </c>
      <c r="AL3820" t="s">
        <v>11150</v>
      </c>
      <c r="AM3820">
        <v>0</v>
      </c>
      <c r="AN3820" t="s">
        <v>11151</v>
      </c>
      <c r="AO3820" t="s">
        <v>11153</v>
      </c>
      <c r="AQ3820" t="s">
        <v>11157</v>
      </c>
      <c r="AR3820" t="s">
        <v>11172</v>
      </c>
      <c r="AT3820" t="s">
        <v>11184</v>
      </c>
      <c r="AU3820">
        <v>0</v>
      </c>
      <c r="AW3820" t="s">
        <v>11189</v>
      </c>
      <c r="AX3820" t="s">
        <v>11212</v>
      </c>
      <c r="AZ3820" t="s">
        <v>11221</v>
      </c>
      <c r="BE3820" t="s">
        <v>13754</v>
      </c>
      <c r="BF3820" t="s">
        <v>14364</v>
      </c>
      <c r="BM3820" t="s">
        <v>15650</v>
      </c>
    </row>
    <row r="3821" spans="1:65">
      <c r="A3821" s="1">
        <f>HYPERLINK("https://lsnyc.legalserver.org/matter/dynamic-profile/view/1896334","19-1896334")</f>
        <v>0</v>
      </c>
      <c r="B3821" t="s">
        <v>201</v>
      </c>
      <c r="C3821" t="s">
        <v>245</v>
      </c>
      <c r="D3821" t="s">
        <v>295</v>
      </c>
      <c r="F3821" t="s">
        <v>2416</v>
      </c>
      <c r="G3821" t="s">
        <v>4414</v>
      </c>
      <c r="H3821" t="s">
        <v>6014</v>
      </c>
      <c r="I3821" t="s">
        <v>7052</v>
      </c>
      <c r="J3821" t="s">
        <v>7169</v>
      </c>
      <c r="K3821">
        <v>10034</v>
      </c>
      <c r="N3821" t="s">
        <v>7237</v>
      </c>
      <c r="O3821" t="s">
        <v>9653</v>
      </c>
      <c r="P3821">
        <v>1</v>
      </c>
      <c r="Q3821">
        <v>0</v>
      </c>
      <c r="R3821">
        <v>0</v>
      </c>
      <c r="U3821">
        <v>0</v>
      </c>
      <c r="W3821">
        <v>1</v>
      </c>
      <c r="X3821" t="s">
        <v>664</v>
      </c>
      <c r="Y3821" t="s">
        <v>10893</v>
      </c>
      <c r="Z3821" t="s">
        <v>10972</v>
      </c>
      <c r="AA3821" t="s">
        <v>10976</v>
      </c>
      <c r="AD3821" t="s">
        <v>11082</v>
      </c>
      <c r="AF3821" t="s">
        <v>11121</v>
      </c>
      <c r="AH3821" t="s">
        <v>10975</v>
      </c>
      <c r="AJ3821" t="s">
        <v>11130</v>
      </c>
      <c r="AK3821" t="s">
        <v>7225</v>
      </c>
      <c r="AM3821">
        <v>1250</v>
      </c>
      <c r="AN3821" t="s">
        <v>11151</v>
      </c>
      <c r="AO3821" t="s">
        <v>11153</v>
      </c>
      <c r="AQ3821" t="s">
        <v>11157</v>
      </c>
      <c r="AS3821" t="s">
        <v>11173</v>
      </c>
      <c r="AU3821">
        <v>13</v>
      </c>
      <c r="AW3821" t="s">
        <v>11189</v>
      </c>
      <c r="AX3821" t="s">
        <v>11212</v>
      </c>
      <c r="AZ3821" t="s">
        <v>11221</v>
      </c>
      <c r="BD3821" t="s">
        <v>11667</v>
      </c>
      <c r="BG3821" t="s">
        <v>15268</v>
      </c>
      <c r="BM3821" t="s">
        <v>15650</v>
      </c>
    </row>
    <row r="3822" spans="1:65">
      <c r="A3822" s="1">
        <f>HYPERLINK("https://lsnyc.legalserver.org/matter/dynamic-profile/view/1888147","19-1888147")</f>
        <v>0</v>
      </c>
      <c r="B3822" t="s">
        <v>202</v>
      </c>
      <c r="C3822" t="s">
        <v>247</v>
      </c>
      <c r="D3822" t="s">
        <v>681</v>
      </c>
      <c r="F3822" t="s">
        <v>2554</v>
      </c>
      <c r="G3822" t="s">
        <v>3520</v>
      </c>
      <c r="H3822" t="s">
        <v>6015</v>
      </c>
      <c r="I3822" t="s">
        <v>6642</v>
      </c>
      <c r="J3822" t="s">
        <v>7175</v>
      </c>
      <c r="K3822">
        <v>11423</v>
      </c>
      <c r="N3822" t="s">
        <v>7238</v>
      </c>
      <c r="O3822" t="s">
        <v>9654</v>
      </c>
      <c r="P3822">
        <v>1</v>
      </c>
      <c r="Q3822">
        <v>0</v>
      </c>
      <c r="R3822">
        <v>167.05</v>
      </c>
      <c r="U3822">
        <v>20280</v>
      </c>
      <c r="W3822">
        <v>0</v>
      </c>
      <c r="Y3822" t="s">
        <v>202</v>
      </c>
      <c r="AA3822" t="s">
        <v>10974</v>
      </c>
      <c r="AB3822" t="s">
        <v>480</v>
      </c>
      <c r="AD3822" t="s">
        <v>11101</v>
      </c>
      <c r="AF3822" t="s">
        <v>11119</v>
      </c>
      <c r="AG3822" t="s">
        <v>11124</v>
      </c>
      <c r="AJ3822" t="s">
        <v>11133</v>
      </c>
      <c r="AK3822" t="s">
        <v>7225</v>
      </c>
      <c r="AM3822">
        <v>1140</v>
      </c>
      <c r="AO3822">
        <v>16</v>
      </c>
      <c r="AQ3822" t="s">
        <v>11157</v>
      </c>
      <c r="AS3822" t="s">
        <v>11173</v>
      </c>
      <c r="AU3822">
        <v>3</v>
      </c>
      <c r="AV3822" t="s">
        <v>11186</v>
      </c>
      <c r="AY3822" t="s">
        <v>11213</v>
      </c>
      <c r="BA3822" t="s">
        <v>11222</v>
      </c>
      <c r="BB3822" t="s">
        <v>11224</v>
      </c>
      <c r="BC3822" t="s">
        <v>11236</v>
      </c>
      <c r="BE3822" t="s">
        <v>13755</v>
      </c>
      <c r="BF3822" t="s">
        <v>14364</v>
      </c>
      <c r="BG3822" t="s">
        <v>14410</v>
      </c>
      <c r="BM3822" t="s">
        <v>15650</v>
      </c>
    </row>
    <row r="3823" spans="1:65">
      <c r="A3823" s="1">
        <f>HYPERLINK("https://lsnyc.legalserver.org/matter/dynamic-profile/view/1852394","17-1852394")</f>
        <v>0</v>
      </c>
      <c r="B3823" t="s">
        <v>202</v>
      </c>
      <c r="C3823" t="s">
        <v>247</v>
      </c>
      <c r="D3823" t="s">
        <v>374</v>
      </c>
      <c r="F3823" t="s">
        <v>2392</v>
      </c>
      <c r="G3823" t="s">
        <v>4415</v>
      </c>
      <c r="H3823" t="s">
        <v>6016</v>
      </c>
      <c r="J3823" t="s">
        <v>7173</v>
      </c>
      <c r="K3823">
        <v>11355</v>
      </c>
      <c r="N3823" t="s">
        <v>7237</v>
      </c>
      <c r="O3823" t="s">
        <v>9655</v>
      </c>
      <c r="P3823">
        <v>2</v>
      </c>
      <c r="Q3823">
        <v>0</v>
      </c>
      <c r="R3823">
        <v>49.26</v>
      </c>
      <c r="U3823">
        <v>8000</v>
      </c>
      <c r="W3823">
        <v>1.85</v>
      </c>
      <c r="X3823" t="s">
        <v>873</v>
      </c>
      <c r="Y3823" t="s">
        <v>10961</v>
      </c>
      <c r="AA3823" t="s">
        <v>10974</v>
      </c>
      <c r="AB3823" t="s">
        <v>374</v>
      </c>
      <c r="AD3823" t="s">
        <v>11104</v>
      </c>
      <c r="AF3823" t="s">
        <v>11119</v>
      </c>
      <c r="AH3823" t="s">
        <v>10975</v>
      </c>
      <c r="AJ3823" t="s">
        <v>11139</v>
      </c>
      <c r="AK3823" t="s">
        <v>7225</v>
      </c>
      <c r="AM3823">
        <v>2100</v>
      </c>
      <c r="AO3823">
        <v>1</v>
      </c>
      <c r="AQ3823" t="s">
        <v>11156</v>
      </c>
      <c r="AS3823" t="s">
        <v>11173</v>
      </c>
      <c r="AU3823">
        <v>7</v>
      </c>
      <c r="AW3823" t="s">
        <v>11190</v>
      </c>
      <c r="AZ3823" t="s">
        <v>11221</v>
      </c>
      <c r="BE3823" t="s">
        <v>13756</v>
      </c>
      <c r="BF3823" t="s">
        <v>14364</v>
      </c>
      <c r="BG3823" t="s">
        <v>11228</v>
      </c>
      <c r="BM3823" t="s">
        <v>15650</v>
      </c>
    </row>
    <row r="3824" spans="1:65">
      <c r="A3824" s="1">
        <f>HYPERLINK("https://lsnyc.legalserver.org/matter/dynamic-profile/view/1874522","18-1874522")</f>
        <v>0</v>
      </c>
      <c r="B3824" t="s">
        <v>202</v>
      </c>
      <c r="C3824" t="s">
        <v>247</v>
      </c>
      <c r="D3824" t="s">
        <v>878</v>
      </c>
      <c r="F3824" t="s">
        <v>2555</v>
      </c>
      <c r="G3824" t="s">
        <v>4416</v>
      </c>
      <c r="H3824" t="s">
        <v>6017</v>
      </c>
      <c r="I3824" t="s">
        <v>6468</v>
      </c>
      <c r="J3824" t="s">
        <v>7195</v>
      </c>
      <c r="K3824">
        <v>11106</v>
      </c>
      <c r="N3824" t="s">
        <v>7237</v>
      </c>
      <c r="O3824" t="s">
        <v>9656</v>
      </c>
      <c r="P3824">
        <v>6</v>
      </c>
      <c r="Q3824">
        <v>4</v>
      </c>
      <c r="R3824">
        <v>16.11</v>
      </c>
      <c r="S3824" t="s">
        <v>10254</v>
      </c>
      <c r="T3824" t="s">
        <v>10275</v>
      </c>
      <c r="U3824">
        <v>8220</v>
      </c>
      <c r="W3824">
        <v>15.65</v>
      </c>
      <c r="X3824" t="s">
        <v>497</v>
      </c>
      <c r="Y3824" t="s">
        <v>10870</v>
      </c>
      <c r="AA3824" t="s">
        <v>10974</v>
      </c>
      <c r="AB3824" t="s">
        <v>878</v>
      </c>
      <c r="AD3824" t="s">
        <v>11098</v>
      </c>
      <c r="AF3824" t="s">
        <v>11122</v>
      </c>
      <c r="AH3824" t="s">
        <v>10975</v>
      </c>
      <c r="AJ3824" t="s">
        <v>11133</v>
      </c>
      <c r="AK3824" t="s">
        <v>11149</v>
      </c>
      <c r="AM3824">
        <v>1100</v>
      </c>
      <c r="AO3824">
        <v>40</v>
      </c>
      <c r="AQ3824" t="s">
        <v>11157</v>
      </c>
      <c r="AS3824" t="s">
        <v>11173</v>
      </c>
      <c r="AU3824">
        <v>25</v>
      </c>
      <c r="AW3824" t="s">
        <v>11196</v>
      </c>
      <c r="AY3824" t="s">
        <v>11213</v>
      </c>
      <c r="AZ3824" t="s">
        <v>11221</v>
      </c>
      <c r="BE3824" t="s">
        <v>13757</v>
      </c>
      <c r="BG3824" t="s">
        <v>15269</v>
      </c>
      <c r="BM3824" t="s">
        <v>15650</v>
      </c>
    </row>
    <row r="3825" spans="1:67">
      <c r="A3825" s="1">
        <f>HYPERLINK("https://lsnyc.legalserver.org/matter/dynamic-profile/view/1897714","19-1897714")</f>
        <v>0</v>
      </c>
      <c r="B3825" t="s">
        <v>202</v>
      </c>
      <c r="C3825" t="s">
        <v>247</v>
      </c>
      <c r="D3825" t="s">
        <v>633</v>
      </c>
      <c r="E3825" t="s">
        <v>436</v>
      </c>
      <c r="F3825" t="s">
        <v>2556</v>
      </c>
      <c r="G3825" t="s">
        <v>4214</v>
      </c>
      <c r="J3825" t="s">
        <v>7177</v>
      </c>
      <c r="K3825">
        <v>11434</v>
      </c>
      <c r="L3825" t="s">
        <v>7216</v>
      </c>
      <c r="N3825" t="s">
        <v>7237</v>
      </c>
      <c r="O3825" t="s">
        <v>7523</v>
      </c>
      <c r="P3825">
        <v>2</v>
      </c>
      <c r="Q3825">
        <v>1</v>
      </c>
      <c r="R3825">
        <v>15</v>
      </c>
      <c r="U3825">
        <v>3200</v>
      </c>
      <c r="V3825" t="s">
        <v>10728</v>
      </c>
      <c r="W3825">
        <v>1</v>
      </c>
      <c r="X3825" t="s">
        <v>436</v>
      </c>
      <c r="Y3825" t="s">
        <v>202</v>
      </c>
      <c r="AA3825" t="s">
        <v>10974</v>
      </c>
      <c r="AB3825" t="s">
        <v>633</v>
      </c>
      <c r="AD3825" t="s">
        <v>11101</v>
      </c>
      <c r="AF3825" t="s">
        <v>11119</v>
      </c>
      <c r="AH3825" t="s">
        <v>10975</v>
      </c>
      <c r="AJ3825" t="s">
        <v>11138</v>
      </c>
      <c r="AK3825" t="s">
        <v>7225</v>
      </c>
      <c r="AM3825">
        <v>2100</v>
      </c>
      <c r="AO3825">
        <v>2</v>
      </c>
      <c r="AQ3825" t="s">
        <v>11164</v>
      </c>
      <c r="AS3825" t="s">
        <v>11173</v>
      </c>
      <c r="AU3825">
        <v>2</v>
      </c>
      <c r="AW3825" t="s">
        <v>11187</v>
      </c>
      <c r="AZ3825" t="s">
        <v>11221</v>
      </c>
      <c r="BE3825" t="s">
        <v>13758</v>
      </c>
      <c r="BG3825" t="s">
        <v>15270</v>
      </c>
      <c r="BM3825" t="s">
        <v>15651</v>
      </c>
    </row>
    <row r="3826" spans="1:67">
      <c r="A3826" s="1">
        <f>HYPERLINK("https://lsnyc.legalserver.org/matter/dynamic-profile/view/1847819","17-1847819")</f>
        <v>0</v>
      </c>
      <c r="B3826" t="s">
        <v>202</v>
      </c>
      <c r="C3826" t="s">
        <v>247</v>
      </c>
      <c r="D3826" t="s">
        <v>1011</v>
      </c>
      <c r="F3826" t="s">
        <v>2392</v>
      </c>
      <c r="G3826" t="s">
        <v>4196</v>
      </c>
      <c r="H3826" t="s">
        <v>5889</v>
      </c>
      <c r="I3826" t="s">
        <v>6957</v>
      </c>
      <c r="J3826" t="s">
        <v>7173</v>
      </c>
      <c r="K3826">
        <v>11355</v>
      </c>
      <c r="N3826" t="s">
        <v>7237</v>
      </c>
      <c r="O3826" t="s">
        <v>9305</v>
      </c>
      <c r="P3826">
        <v>1</v>
      </c>
      <c r="Q3826">
        <v>0</v>
      </c>
      <c r="R3826">
        <v>60.36</v>
      </c>
      <c r="S3826" t="s">
        <v>277</v>
      </c>
      <c r="U3826">
        <v>7280</v>
      </c>
      <c r="W3826">
        <v>6.1</v>
      </c>
      <c r="X3826" t="s">
        <v>800</v>
      </c>
      <c r="Y3826" t="s">
        <v>202</v>
      </c>
      <c r="AA3826" t="s">
        <v>10974</v>
      </c>
      <c r="AB3826" t="s">
        <v>1011</v>
      </c>
      <c r="AD3826" t="s">
        <v>11090</v>
      </c>
      <c r="AF3826" t="s">
        <v>11120</v>
      </c>
      <c r="AH3826" t="s">
        <v>10975</v>
      </c>
      <c r="AJ3826" t="s">
        <v>11129</v>
      </c>
      <c r="AK3826" t="s">
        <v>7225</v>
      </c>
      <c r="AM3826">
        <v>1262.63</v>
      </c>
      <c r="AO3826">
        <v>53</v>
      </c>
      <c r="AQ3826" t="s">
        <v>11157</v>
      </c>
      <c r="AS3826" t="s">
        <v>11173</v>
      </c>
      <c r="AU3826">
        <v>7</v>
      </c>
      <c r="AW3826" t="s">
        <v>11192</v>
      </c>
      <c r="AZ3826" t="s">
        <v>11221</v>
      </c>
      <c r="BC3826" t="s">
        <v>11228</v>
      </c>
      <c r="BE3826" t="s">
        <v>13528</v>
      </c>
      <c r="BF3826" t="s">
        <v>14364</v>
      </c>
      <c r="BG3826" t="s">
        <v>11228</v>
      </c>
      <c r="BM3826" t="s">
        <v>15650</v>
      </c>
    </row>
    <row r="3827" spans="1:67">
      <c r="A3827" s="1">
        <f>HYPERLINK("https://lsnyc.legalserver.org/matter/dynamic-profile/view/1863649","18-1863649")</f>
        <v>0</v>
      </c>
      <c r="B3827" t="s">
        <v>203</v>
      </c>
      <c r="C3827" t="s">
        <v>249</v>
      </c>
      <c r="D3827" t="s">
        <v>726</v>
      </c>
      <c r="F3827" t="s">
        <v>1937</v>
      </c>
      <c r="G3827" t="s">
        <v>2968</v>
      </c>
      <c r="H3827" t="s">
        <v>6018</v>
      </c>
      <c r="I3827" t="s">
        <v>6433</v>
      </c>
      <c r="J3827" t="s">
        <v>7179</v>
      </c>
      <c r="K3827">
        <v>10301</v>
      </c>
      <c r="N3827" t="s">
        <v>7237</v>
      </c>
      <c r="O3827" t="s">
        <v>9657</v>
      </c>
      <c r="P3827">
        <v>4</v>
      </c>
      <c r="Q3827">
        <v>3</v>
      </c>
      <c r="R3827">
        <v>106.51</v>
      </c>
      <c r="U3827">
        <v>40537.32</v>
      </c>
      <c r="W3827">
        <v>6.5</v>
      </c>
      <c r="X3827" t="s">
        <v>305</v>
      </c>
      <c r="Y3827" t="s">
        <v>10895</v>
      </c>
      <c r="AA3827" t="s">
        <v>10974</v>
      </c>
      <c r="AB3827" t="s">
        <v>947</v>
      </c>
      <c r="AD3827" t="s">
        <v>11086</v>
      </c>
      <c r="AF3827" t="s">
        <v>11121</v>
      </c>
      <c r="AH3827" t="s">
        <v>10975</v>
      </c>
      <c r="AJ3827" t="s">
        <v>11134</v>
      </c>
      <c r="AK3827" t="s">
        <v>7225</v>
      </c>
      <c r="AM3827">
        <v>1170</v>
      </c>
      <c r="AO3827">
        <v>21</v>
      </c>
      <c r="AQ3827" t="s">
        <v>11164</v>
      </c>
      <c r="AS3827" t="s">
        <v>11173</v>
      </c>
      <c r="AU3827">
        <v>10</v>
      </c>
      <c r="AW3827" t="s">
        <v>11187</v>
      </c>
      <c r="AY3827" t="s">
        <v>11213</v>
      </c>
      <c r="BA3827" t="s">
        <v>11222</v>
      </c>
      <c r="BC3827" t="s">
        <v>11173</v>
      </c>
      <c r="BE3827" t="s">
        <v>13759</v>
      </c>
      <c r="BF3827" t="s">
        <v>14364</v>
      </c>
      <c r="BG3827" t="s">
        <v>11173</v>
      </c>
      <c r="BM3827" t="s">
        <v>15650</v>
      </c>
    </row>
    <row r="3828" spans="1:67">
      <c r="A3828" s="1">
        <f>HYPERLINK("https://lsnyc.legalserver.org/matter/dynamic-profile/view/1858122","18-1858122")</f>
        <v>0</v>
      </c>
      <c r="B3828" t="s">
        <v>203</v>
      </c>
      <c r="C3828" t="s">
        <v>249</v>
      </c>
      <c r="D3828" t="s">
        <v>723</v>
      </c>
      <c r="F3828" t="s">
        <v>2557</v>
      </c>
      <c r="G3828" t="s">
        <v>3258</v>
      </c>
      <c r="H3828" t="s">
        <v>5520</v>
      </c>
      <c r="I3828" t="s">
        <v>7055</v>
      </c>
      <c r="J3828" t="s">
        <v>7179</v>
      </c>
      <c r="K3828">
        <v>10304</v>
      </c>
      <c r="N3828" t="s">
        <v>7237</v>
      </c>
      <c r="O3828" t="s">
        <v>9658</v>
      </c>
      <c r="P3828">
        <v>2</v>
      </c>
      <c r="Q3828">
        <v>1</v>
      </c>
      <c r="R3828">
        <v>17.63</v>
      </c>
      <c r="U3828">
        <v>12276</v>
      </c>
      <c r="W3828">
        <v>7.1</v>
      </c>
      <c r="X3828" t="s">
        <v>566</v>
      </c>
      <c r="Y3828" t="s">
        <v>10895</v>
      </c>
      <c r="AA3828" t="s">
        <v>10974</v>
      </c>
      <c r="AB3828" t="s">
        <v>723</v>
      </c>
      <c r="AD3828" t="s">
        <v>11082</v>
      </c>
      <c r="AF3828" t="s">
        <v>11118</v>
      </c>
      <c r="AH3828" t="s">
        <v>10975</v>
      </c>
      <c r="AJ3828" t="s">
        <v>11129</v>
      </c>
      <c r="AK3828" t="s">
        <v>7225</v>
      </c>
      <c r="AM3828">
        <v>1106</v>
      </c>
      <c r="AO3828">
        <v>305</v>
      </c>
      <c r="AQ3828" t="s">
        <v>11161</v>
      </c>
      <c r="AS3828" t="s">
        <v>11174</v>
      </c>
      <c r="AU3828">
        <v>16</v>
      </c>
      <c r="AW3828" t="s">
        <v>11187</v>
      </c>
      <c r="AY3828" t="s">
        <v>11213</v>
      </c>
      <c r="AZ3828" t="s">
        <v>11221</v>
      </c>
      <c r="BE3828" t="s">
        <v>13760</v>
      </c>
      <c r="BG3828" t="s">
        <v>15271</v>
      </c>
      <c r="BM3828" t="s">
        <v>15650</v>
      </c>
    </row>
    <row r="3829" spans="1:67">
      <c r="A3829" s="1">
        <f>HYPERLINK("https://lsnyc.legalserver.org/matter/dynamic-profile/view/1903672","19-1903672")</f>
        <v>0</v>
      </c>
      <c r="B3829" t="s">
        <v>203</v>
      </c>
      <c r="C3829" t="s">
        <v>249</v>
      </c>
      <c r="D3829" t="s">
        <v>651</v>
      </c>
      <c r="F3829" t="s">
        <v>1177</v>
      </c>
      <c r="G3829" t="s">
        <v>2967</v>
      </c>
      <c r="H3829" t="s">
        <v>4835</v>
      </c>
      <c r="I3829" t="s">
        <v>6461</v>
      </c>
      <c r="J3829" t="s">
        <v>7179</v>
      </c>
      <c r="K3829">
        <v>10314</v>
      </c>
      <c r="N3829" t="s">
        <v>7237</v>
      </c>
      <c r="O3829" t="s">
        <v>7351</v>
      </c>
      <c r="P3829">
        <v>1</v>
      </c>
      <c r="Q3829">
        <v>0</v>
      </c>
      <c r="R3829">
        <v>236.89</v>
      </c>
      <c r="U3829">
        <v>29587.92</v>
      </c>
      <c r="W3829">
        <v>5.9</v>
      </c>
      <c r="X3829" t="s">
        <v>528</v>
      </c>
      <c r="Y3829" t="s">
        <v>10881</v>
      </c>
      <c r="AA3829" t="s">
        <v>10974</v>
      </c>
      <c r="AD3829" t="s">
        <v>11098</v>
      </c>
      <c r="AE3829" t="s">
        <v>11117</v>
      </c>
      <c r="AH3829" t="s">
        <v>10974</v>
      </c>
      <c r="AJ3829" t="s">
        <v>11129</v>
      </c>
      <c r="AK3829" t="s">
        <v>7225</v>
      </c>
      <c r="AM3829">
        <v>967</v>
      </c>
      <c r="AO3829">
        <v>96</v>
      </c>
      <c r="AP3829" t="s">
        <v>11155</v>
      </c>
      <c r="AS3829" t="s">
        <v>11175</v>
      </c>
      <c r="AU3829">
        <v>8</v>
      </c>
      <c r="AW3829" t="s">
        <v>11187</v>
      </c>
      <c r="AX3829" t="s">
        <v>11212</v>
      </c>
      <c r="BA3829" t="s">
        <v>11222</v>
      </c>
      <c r="BE3829" t="s">
        <v>11753</v>
      </c>
      <c r="BF3829" t="s">
        <v>14364</v>
      </c>
      <c r="BM3829" t="s">
        <v>15650</v>
      </c>
    </row>
    <row r="3830" spans="1:67">
      <c r="A3830" s="1">
        <f>HYPERLINK("https://lsnyc.legalserver.org/matter/dynamic-profile/view/1901897","19-1901897")</f>
        <v>0</v>
      </c>
      <c r="B3830" t="s">
        <v>203</v>
      </c>
      <c r="C3830" t="s">
        <v>249</v>
      </c>
      <c r="D3830" t="s">
        <v>430</v>
      </c>
      <c r="F3830" t="s">
        <v>2558</v>
      </c>
      <c r="G3830" t="s">
        <v>4417</v>
      </c>
      <c r="H3830" t="s">
        <v>4835</v>
      </c>
      <c r="I3830" t="s">
        <v>7056</v>
      </c>
      <c r="J3830" t="s">
        <v>7179</v>
      </c>
      <c r="K3830">
        <v>10314</v>
      </c>
      <c r="N3830" t="s">
        <v>7237</v>
      </c>
      <c r="O3830" t="s">
        <v>9659</v>
      </c>
      <c r="P3830">
        <v>1</v>
      </c>
      <c r="Q3830">
        <v>0</v>
      </c>
      <c r="R3830">
        <v>138.34</v>
      </c>
      <c r="U3830">
        <v>17278.8</v>
      </c>
      <c r="W3830">
        <v>0.85</v>
      </c>
      <c r="X3830" t="s">
        <v>528</v>
      </c>
      <c r="Y3830" t="s">
        <v>10881</v>
      </c>
      <c r="AA3830" t="s">
        <v>10974</v>
      </c>
      <c r="AD3830" t="s">
        <v>11098</v>
      </c>
      <c r="AF3830" t="s">
        <v>11122</v>
      </c>
      <c r="AH3830" t="s">
        <v>10974</v>
      </c>
      <c r="AJ3830" t="s">
        <v>11129</v>
      </c>
      <c r="AK3830" t="s">
        <v>7225</v>
      </c>
      <c r="AL3830" t="s">
        <v>11150</v>
      </c>
      <c r="AM3830">
        <v>0</v>
      </c>
      <c r="AO3830">
        <v>96</v>
      </c>
      <c r="AQ3830" t="s">
        <v>11157</v>
      </c>
      <c r="AS3830" t="s">
        <v>11175</v>
      </c>
      <c r="AU3830">
        <v>8</v>
      </c>
      <c r="AW3830" t="s">
        <v>11187</v>
      </c>
      <c r="AY3830" t="s">
        <v>11213</v>
      </c>
      <c r="BA3830" t="s">
        <v>11222</v>
      </c>
      <c r="BE3830" t="s">
        <v>13761</v>
      </c>
      <c r="BG3830" t="s">
        <v>15272</v>
      </c>
      <c r="BI3830" t="s">
        <v>15611</v>
      </c>
      <c r="BK3830" t="s">
        <v>15645</v>
      </c>
      <c r="BM3830" t="s">
        <v>15650</v>
      </c>
      <c r="BN3830" t="s">
        <v>15652</v>
      </c>
      <c r="BO3830" t="s">
        <v>15714</v>
      </c>
    </row>
    <row r="3831" spans="1:67">
      <c r="A3831" s="1">
        <f>HYPERLINK("https://lsnyc.legalserver.org/matter/dynamic-profile/view/1875911","18-1875911")</f>
        <v>0</v>
      </c>
      <c r="B3831" t="s">
        <v>203</v>
      </c>
      <c r="C3831" t="s">
        <v>249</v>
      </c>
      <c r="D3831" t="s">
        <v>469</v>
      </c>
      <c r="F3831" t="s">
        <v>2035</v>
      </c>
      <c r="G3831" t="s">
        <v>3536</v>
      </c>
      <c r="H3831" t="s">
        <v>6019</v>
      </c>
      <c r="J3831" t="s">
        <v>7179</v>
      </c>
      <c r="K3831">
        <v>10304</v>
      </c>
      <c r="N3831" t="s">
        <v>7237</v>
      </c>
      <c r="O3831" t="s">
        <v>9660</v>
      </c>
      <c r="P3831">
        <v>1</v>
      </c>
      <c r="Q3831">
        <v>2</v>
      </c>
      <c r="R3831">
        <v>91.43000000000001</v>
      </c>
      <c r="U3831">
        <v>19000</v>
      </c>
      <c r="W3831">
        <v>2.2</v>
      </c>
      <c r="X3831" t="s">
        <v>658</v>
      </c>
      <c r="Y3831" t="s">
        <v>10929</v>
      </c>
      <c r="AA3831" t="s">
        <v>10974</v>
      </c>
      <c r="AD3831" t="s">
        <v>11100</v>
      </c>
      <c r="AF3831" t="s">
        <v>11120</v>
      </c>
      <c r="AH3831" t="s">
        <v>10975</v>
      </c>
      <c r="AJ3831" t="s">
        <v>11129</v>
      </c>
      <c r="AK3831" t="s">
        <v>7225</v>
      </c>
      <c r="AM3831">
        <v>1295</v>
      </c>
      <c r="AO3831">
        <v>12</v>
      </c>
      <c r="AQ3831" t="s">
        <v>11157</v>
      </c>
      <c r="AS3831" t="s">
        <v>11174</v>
      </c>
      <c r="AU3831">
        <v>7</v>
      </c>
      <c r="AW3831" t="s">
        <v>11187</v>
      </c>
      <c r="AX3831" t="s">
        <v>11212</v>
      </c>
      <c r="AZ3831" t="s">
        <v>11221</v>
      </c>
      <c r="BE3831" t="s">
        <v>13762</v>
      </c>
      <c r="BF3831" t="s">
        <v>14364</v>
      </c>
      <c r="BG3831" t="s">
        <v>11173</v>
      </c>
      <c r="BM3831" t="s">
        <v>15650</v>
      </c>
    </row>
    <row r="3832" spans="1:67">
      <c r="A3832" s="1">
        <f>HYPERLINK("https://lsnyc.legalserver.org/matter/dynamic-profile/view/1909766","19-1909766")</f>
        <v>0</v>
      </c>
      <c r="B3832" t="s">
        <v>203</v>
      </c>
      <c r="C3832" t="s">
        <v>249</v>
      </c>
      <c r="D3832" t="s">
        <v>624</v>
      </c>
      <c r="F3832" t="s">
        <v>2559</v>
      </c>
      <c r="G3832" t="s">
        <v>3621</v>
      </c>
      <c r="H3832" t="s">
        <v>5520</v>
      </c>
      <c r="I3832" t="s">
        <v>7057</v>
      </c>
      <c r="J3832" t="s">
        <v>7179</v>
      </c>
      <c r="K3832">
        <v>10304</v>
      </c>
      <c r="N3832" t="s">
        <v>7237</v>
      </c>
      <c r="O3832" t="s">
        <v>9661</v>
      </c>
      <c r="P3832">
        <v>1</v>
      </c>
      <c r="Q3832">
        <v>0</v>
      </c>
      <c r="R3832">
        <v>172.55</v>
      </c>
      <c r="U3832">
        <v>21552</v>
      </c>
      <c r="W3832">
        <v>1.8</v>
      </c>
      <c r="X3832" t="s">
        <v>262</v>
      </c>
      <c r="Y3832" t="s">
        <v>10881</v>
      </c>
      <c r="AA3832" t="s">
        <v>10974</v>
      </c>
      <c r="AB3832" t="s">
        <v>624</v>
      </c>
      <c r="AD3832" t="s">
        <v>11086</v>
      </c>
      <c r="AF3832" t="s">
        <v>11119</v>
      </c>
      <c r="AH3832" t="s">
        <v>10975</v>
      </c>
      <c r="AJ3832" t="s">
        <v>11140</v>
      </c>
      <c r="AK3832" t="s">
        <v>7225</v>
      </c>
      <c r="AM3832">
        <v>694</v>
      </c>
      <c r="AO3832">
        <v>150</v>
      </c>
      <c r="AQ3832" t="s">
        <v>11161</v>
      </c>
      <c r="AS3832" t="s">
        <v>11174</v>
      </c>
      <c r="AU3832">
        <v>4</v>
      </c>
      <c r="AW3832" t="s">
        <v>11187</v>
      </c>
      <c r="AY3832" t="s">
        <v>11213</v>
      </c>
      <c r="BA3832" t="s">
        <v>11222</v>
      </c>
      <c r="BE3832" t="s">
        <v>13763</v>
      </c>
      <c r="BF3832" t="s">
        <v>14364</v>
      </c>
      <c r="BG3832" t="s">
        <v>14411</v>
      </c>
      <c r="BM3832" t="s">
        <v>15650</v>
      </c>
    </row>
    <row r="3833" spans="1:67">
      <c r="A3833" s="1">
        <f>HYPERLINK("https://lsnyc.legalserver.org/matter/dynamic-profile/view/1915189","19-1915189")</f>
        <v>0</v>
      </c>
      <c r="B3833" t="s">
        <v>203</v>
      </c>
      <c r="C3833" t="s">
        <v>249</v>
      </c>
      <c r="D3833" t="s">
        <v>548</v>
      </c>
      <c r="F3833" t="s">
        <v>2560</v>
      </c>
      <c r="G3833" t="s">
        <v>4160</v>
      </c>
      <c r="H3833" t="s">
        <v>6020</v>
      </c>
      <c r="I3833" t="s">
        <v>7058</v>
      </c>
      <c r="J3833" t="s">
        <v>7179</v>
      </c>
      <c r="K3833">
        <v>10301</v>
      </c>
      <c r="N3833" t="s">
        <v>7237</v>
      </c>
      <c r="O3833" t="s">
        <v>9662</v>
      </c>
      <c r="P3833">
        <v>2</v>
      </c>
      <c r="Q3833">
        <v>1</v>
      </c>
      <c r="R3833">
        <v>295.36</v>
      </c>
      <c r="U3833">
        <v>63000</v>
      </c>
      <c r="W3833">
        <v>1.6</v>
      </c>
      <c r="X3833" t="s">
        <v>638</v>
      </c>
      <c r="Y3833" t="s">
        <v>10924</v>
      </c>
      <c r="Z3833" t="s">
        <v>10972</v>
      </c>
      <c r="AA3833" t="s">
        <v>10976</v>
      </c>
      <c r="AD3833" t="s">
        <v>11083</v>
      </c>
      <c r="AF3833" t="s">
        <v>11121</v>
      </c>
      <c r="AG3833" t="s">
        <v>11124</v>
      </c>
      <c r="AI3833" t="s">
        <v>11126</v>
      </c>
      <c r="AK3833" t="s">
        <v>7225</v>
      </c>
      <c r="AM3833">
        <v>1770</v>
      </c>
      <c r="AO3833">
        <v>2</v>
      </c>
      <c r="AQ3833" t="s">
        <v>11156</v>
      </c>
      <c r="AS3833" t="s">
        <v>11173</v>
      </c>
      <c r="AU3833">
        <v>2</v>
      </c>
      <c r="AW3833" t="s">
        <v>11187</v>
      </c>
      <c r="AY3833" t="s">
        <v>11213</v>
      </c>
      <c r="AZ3833" t="s">
        <v>11221</v>
      </c>
      <c r="BE3833" t="s">
        <v>13764</v>
      </c>
      <c r="BF3833" t="s">
        <v>14364</v>
      </c>
      <c r="BG3833" t="s">
        <v>15273</v>
      </c>
      <c r="BM3833" t="s">
        <v>15650</v>
      </c>
    </row>
    <row r="3834" spans="1:67">
      <c r="A3834" s="1">
        <f>HYPERLINK("https://lsnyc.legalserver.org/matter/dynamic-profile/view/1850609","17-1850609")</f>
        <v>0</v>
      </c>
      <c r="B3834" t="s">
        <v>203</v>
      </c>
      <c r="C3834" t="s">
        <v>249</v>
      </c>
      <c r="D3834" t="s">
        <v>391</v>
      </c>
      <c r="F3834" t="s">
        <v>1262</v>
      </c>
      <c r="G3834" t="s">
        <v>4418</v>
      </c>
      <c r="H3834" t="s">
        <v>4835</v>
      </c>
      <c r="I3834" t="s">
        <v>7059</v>
      </c>
      <c r="J3834" t="s">
        <v>7179</v>
      </c>
      <c r="K3834">
        <v>10314</v>
      </c>
      <c r="N3834" t="s">
        <v>7237</v>
      </c>
      <c r="O3834" t="s">
        <v>9663</v>
      </c>
      <c r="P3834">
        <v>2</v>
      </c>
      <c r="Q3834">
        <v>0</v>
      </c>
      <c r="R3834">
        <v>184.73</v>
      </c>
      <c r="S3834" t="s">
        <v>10273</v>
      </c>
      <c r="U3834">
        <v>38365</v>
      </c>
      <c r="W3834">
        <v>4.55</v>
      </c>
      <c r="X3834" t="s">
        <v>470</v>
      </c>
      <c r="Y3834" t="s">
        <v>10932</v>
      </c>
      <c r="AA3834" t="s">
        <v>10974</v>
      </c>
      <c r="AB3834" t="s">
        <v>391</v>
      </c>
      <c r="AD3834" t="s">
        <v>11096</v>
      </c>
      <c r="AF3834" t="s">
        <v>11122</v>
      </c>
      <c r="AH3834" t="s">
        <v>10975</v>
      </c>
      <c r="AJ3834" t="s">
        <v>11129</v>
      </c>
      <c r="AK3834" t="s">
        <v>7225</v>
      </c>
      <c r="AM3834">
        <v>1120</v>
      </c>
      <c r="AO3834">
        <v>96</v>
      </c>
      <c r="AQ3834" t="s">
        <v>11157</v>
      </c>
      <c r="AS3834" t="s">
        <v>11173</v>
      </c>
      <c r="AU3834">
        <v>8</v>
      </c>
      <c r="AW3834" t="s">
        <v>11187</v>
      </c>
      <c r="AY3834" t="s">
        <v>11213</v>
      </c>
      <c r="BA3834" t="s">
        <v>11222</v>
      </c>
      <c r="BE3834" t="s">
        <v>13765</v>
      </c>
      <c r="BF3834" t="s">
        <v>14364</v>
      </c>
      <c r="BG3834" t="s">
        <v>15274</v>
      </c>
      <c r="BI3834" t="s">
        <v>15611</v>
      </c>
      <c r="BK3834" t="s">
        <v>15645</v>
      </c>
      <c r="BM3834" t="s">
        <v>15650</v>
      </c>
      <c r="BN3834" t="s">
        <v>15652</v>
      </c>
      <c r="BO3834" t="s">
        <v>15731</v>
      </c>
    </row>
    <row r="3835" spans="1:67">
      <c r="A3835" s="1">
        <f>HYPERLINK("https://lsnyc.legalserver.org/matter/dynamic-profile/view/1863899","18-1863899")</f>
        <v>0</v>
      </c>
      <c r="B3835" t="s">
        <v>203</v>
      </c>
      <c r="C3835" t="s">
        <v>249</v>
      </c>
      <c r="D3835" t="s">
        <v>261</v>
      </c>
      <c r="F3835" t="s">
        <v>2561</v>
      </c>
      <c r="G3835" t="s">
        <v>4419</v>
      </c>
      <c r="H3835" t="s">
        <v>5518</v>
      </c>
      <c r="I3835" t="s">
        <v>6618</v>
      </c>
      <c r="J3835" t="s">
        <v>7179</v>
      </c>
      <c r="K3835">
        <v>10301</v>
      </c>
      <c r="N3835" t="s">
        <v>7237</v>
      </c>
      <c r="O3835" t="s">
        <v>9664</v>
      </c>
      <c r="P3835">
        <v>1</v>
      </c>
      <c r="Q3835">
        <v>0</v>
      </c>
      <c r="R3835">
        <v>105.96</v>
      </c>
      <c r="U3835">
        <v>12864</v>
      </c>
      <c r="W3835">
        <v>93.40000000000001</v>
      </c>
      <c r="X3835" t="s">
        <v>638</v>
      </c>
      <c r="Y3835" t="s">
        <v>10930</v>
      </c>
      <c r="AA3835" t="s">
        <v>10974</v>
      </c>
      <c r="AB3835" t="s">
        <v>350</v>
      </c>
      <c r="AD3835" t="s">
        <v>11082</v>
      </c>
      <c r="AF3835" t="s">
        <v>11118</v>
      </c>
      <c r="AH3835" t="s">
        <v>10975</v>
      </c>
      <c r="AJ3835" t="s">
        <v>11138</v>
      </c>
      <c r="AK3835" t="s">
        <v>7225</v>
      </c>
      <c r="AM3835">
        <v>409</v>
      </c>
      <c r="AO3835">
        <v>454</v>
      </c>
      <c r="AQ3835" t="s">
        <v>11159</v>
      </c>
      <c r="AS3835" t="s">
        <v>11174</v>
      </c>
      <c r="AU3835">
        <v>2</v>
      </c>
      <c r="AW3835" t="s">
        <v>11187</v>
      </c>
      <c r="AY3835" t="s">
        <v>11213</v>
      </c>
      <c r="BA3835" t="s">
        <v>11222</v>
      </c>
      <c r="BB3835" t="s">
        <v>11224</v>
      </c>
      <c r="BC3835" t="s">
        <v>11555</v>
      </c>
      <c r="BE3835" t="s">
        <v>13766</v>
      </c>
      <c r="BG3835" t="s">
        <v>15275</v>
      </c>
      <c r="BM3835" t="s">
        <v>15650</v>
      </c>
    </row>
    <row r="3836" spans="1:67">
      <c r="A3836" s="1">
        <f>HYPERLINK("https://lsnyc.legalserver.org/matter/dynamic-profile/view/1911337","19-1911337")</f>
        <v>0</v>
      </c>
      <c r="B3836" t="s">
        <v>203</v>
      </c>
      <c r="C3836" t="s">
        <v>249</v>
      </c>
      <c r="D3836" t="s">
        <v>601</v>
      </c>
      <c r="F3836" t="s">
        <v>1875</v>
      </c>
      <c r="G3836" t="s">
        <v>4420</v>
      </c>
      <c r="H3836" t="s">
        <v>6021</v>
      </c>
      <c r="I3836" t="s">
        <v>7060</v>
      </c>
      <c r="J3836" t="s">
        <v>7179</v>
      </c>
      <c r="K3836">
        <v>10304</v>
      </c>
      <c r="N3836" t="s">
        <v>7237</v>
      </c>
      <c r="O3836" t="s">
        <v>9665</v>
      </c>
      <c r="P3836">
        <v>2</v>
      </c>
      <c r="Q3836">
        <v>1</v>
      </c>
      <c r="R3836">
        <v>102.39</v>
      </c>
      <c r="U3836">
        <v>21840</v>
      </c>
      <c r="W3836">
        <v>1.6</v>
      </c>
      <c r="X3836" t="s">
        <v>548</v>
      </c>
      <c r="Y3836" t="s">
        <v>203</v>
      </c>
      <c r="AA3836" t="s">
        <v>10974</v>
      </c>
      <c r="AB3836" t="s">
        <v>601</v>
      </c>
      <c r="AD3836" t="s">
        <v>11082</v>
      </c>
      <c r="AF3836" t="s">
        <v>10384</v>
      </c>
      <c r="AH3836" t="s">
        <v>10975</v>
      </c>
      <c r="AJ3836" t="s">
        <v>11129</v>
      </c>
      <c r="AK3836" t="s">
        <v>7225</v>
      </c>
      <c r="AL3836" t="s">
        <v>11150</v>
      </c>
      <c r="AM3836">
        <v>0</v>
      </c>
      <c r="AO3836">
        <v>2</v>
      </c>
      <c r="AQ3836" t="s">
        <v>11156</v>
      </c>
      <c r="AS3836" t="s">
        <v>11173</v>
      </c>
      <c r="AU3836">
        <v>-1</v>
      </c>
      <c r="AW3836" t="s">
        <v>11187</v>
      </c>
      <c r="BA3836" t="s">
        <v>11222</v>
      </c>
      <c r="BE3836" t="s">
        <v>13767</v>
      </c>
      <c r="BG3836" t="s">
        <v>15276</v>
      </c>
      <c r="BM3836" t="s">
        <v>15650</v>
      </c>
    </row>
    <row r="3837" spans="1:67">
      <c r="A3837" s="1">
        <f>HYPERLINK("https://lsnyc.legalserver.org/matter/dynamic-profile/view/1904433","19-1904433")</f>
        <v>0</v>
      </c>
      <c r="B3837" t="s">
        <v>203</v>
      </c>
      <c r="C3837" t="s">
        <v>249</v>
      </c>
      <c r="D3837" t="s">
        <v>525</v>
      </c>
      <c r="F3837" t="s">
        <v>2562</v>
      </c>
      <c r="G3837" t="s">
        <v>4421</v>
      </c>
      <c r="H3837" t="s">
        <v>6022</v>
      </c>
      <c r="J3837" t="s">
        <v>7179</v>
      </c>
      <c r="K3837">
        <v>10306</v>
      </c>
      <c r="N3837" t="s">
        <v>7237</v>
      </c>
      <c r="O3837" t="s">
        <v>9666</v>
      </c>
      <c r="P3837">
        <v>3</v>
      </c>
      <c r="Q3837">
        <v>0</v>
      </c>
      <c r="R3837">
        <v>148.86</v>
      </c>
      <c r="U3837">
        <v>31752</v>
      </c>
      <c r="W3837">
        <v>13.65</v>
      </c>
      <c r="X3837" t="s">
        <v>539</v>
      </c>
      <c r="Y3837" t="s">
        <v>80</v>
      </c>
      <c r="AA3837" t="s">
        <v>10974</v>
      </c>
      <c r="AB3837" t="s">
        <v>328</v>
      </c>
      <c r="AD3837" t="s">
        <v>11083</v>
      </c>
      <c r="AF3837" t="s">
        <v>11118</v>
      </c>
      <c r="AH3837" t="s">
        <v>10975</v>
      </c>
      <c r="AJ3837" t="s">
        <v>11130</v>
      </c>
      <c r="AK3837" t="s">
        <v>7225</v>
      </c>
      <c r="AL3837" t="s">
        <v>11150</v>
      </c>
      <c r="AM3837">
        <v>0</v>
      </c>
      <c r="AO3837">
        <v>1</v>
      </c>
      <c r="AQ3837" t="s">
        <v>11156</v>
      </c>
      <c r="AR3837" t="s">
        <v>11172</v>
      </c>
      <c r="AU3837">
        <v>15</v>
      </c>
      <c r="AW3837" t="s">
        <v>11187</v>
      </c>
      <c r="AY3837" t="s">
        <v>11213</v>
      </c>
      <c r="BA3837" t="s">
        <v>11222</v>
      </c>
      <c r="BE3837" t="s">
        <v>13768</v>
      </c>
      <c r="BG3837" t="s">
        <v>15277</v>
      </c>
      <c r="BM3837" t="s">
        <v>15650</v>
      </c>
    </row>
    <row r="3838" spans="1:67">
      <c r="A3838" s="1">
        <f>HYPERLINK("https://lsnyc.legalserver.org/matter/dynamic-profile/view/1847006","17-1847006")</f>
        <v>0</v>
      </c>
      <c r="B3838" t="s">
        <v>203</v>
      </c>
      <c r="C3838" t="s">
        <v>249</v>
      </c>
      <c r="D3838" t="s">
        <v>630</v>
      </c>
      <c r="F3838" t="s">
        <v>1235</v>
      </c>
      <c r="G3838" t="s">
        <v>3782</v>
      </c>
      <c r="H3838" t="s">
        <v>5359</v>
      </c>
      <c r="I3838" t="s">
        <v>6491</v>
      </c>
      <c r="J3838" t="s">
        <v>7179</v>
      </c>
      <c r="K3838">
        <v>10301</v>
      </c>
      <c r="N3838" t="s">
        <v>7237</v>
      </c>
      <c r="O3838" t="s">
        <v>9667</v>
      </c>
      <c r="P3838">
        <v>2</v>
      </c>
      <c r="Q3838">
        <v>1</v>
      </c>
      <c r="R3838">
        <v>342.8</v>
      </c>
      <c r="S3838" t="s">
        <v>851</v>
      </c>
      <c r="T3838" t="s">
        <v>10276</v>
      </c>
      <c r="U3838">
        <v>70000</v>
      </c>
      <c r="W3838">
        <v>2.2</v>
      </c>
      <c r="X3838" t="s">
        <v>442</v>
      </c>
      <c r="Y3838" t="s">
        <v>124</v>
      </c>
      <c r="AA3838" t="s">
        <v>10974</v>
      </c>
      <c r="AB3838" t="s">
        <v>600</v>
      </c>
      <c r="AD3838" t="s">
        <v>11100</v>
      </c>
      <c r="AF3838" t="s">
        <v>11120</v>
      </c>
      <c r="AH3838" t="s">
        <v>10974</v>
      </c>
      <c r="AJ3838" t="s">
        <v>11129</v>
      </c>
      <c r="AK3838" t="s">
        <v>7225</v>
      </c>
      <c r="AL3838" t="s">
        <v>11150</v>
      </c>
      <c r="AM3838">
        <v>0</v>
      </c>
      <c r="AO3838">
        <v>100</v>
      </c>
      <c r="AQ3838" t="s">
        <v>11157</v>
      </c>
      <c r="AS3838" t="s">
        <v>11173</v>
      </c>
      <c r="AU3838">
        <v>3</v>
      </c>
      <c r="AW3838" t="s">
        <v>11187</v>
      </c>
      <c r="AY3838" t="s">
        <v>11213</v>
      </c>
      <c r="AZ3838" t="s">
        <v>11221</v>
      </c>
      <c r="BE3838" t="s">
        <v>13769</v>
      </c>
      <c r="BF3838" t="s">
        <v>14364</v>
      </c>
      <c r="BG3838" t="s">
        <v>14410</v>
      </c>
      <c r="BM3838" t="s">
        <v>15650</v>
      </c>
    </row>
    <row r="3839" spans="1:67">
      <c r="A3839" s="1">
        <f>HYPERLINK("https://lsnyc.legalserver.org/matter/dynamic-profile/view/1910651","19-1910651")</f>
        <v>0</v>
      </c>
      <c r="B3839" t="s">
        <v>203</v>
      </c>
      <c r="C3839" t="s">
        <v>249</v>
      </c>
      <c r="D3839" t="s">
        <v>564</v>
      </c>
      <c r="F3839" t="s">
        <v>1356</v>
      </c>
      <c r="G3839" t="s">
        <v>4422</v>
      </c>
      <c r="H3839" t="s">
        <v>6023</v>
      </c>
      <c r="J3839" t="s">
        <v>7179</v>
      </c>
      <c r="K3839">
        <v>10304</v>
      </c>
      <c r="N3839" t="s">
        <v>7237</v>
      </c>
      <c r="O3839" t="s">
        <v>9668</v>
      </c>
      <c r="P3839">
        <v>1</v>
      </c>
      <c r="Q3839">
        <v>1</v>
      </c>
      <c r="R3839">
        <v>113.54</v>
      </c>
      <c r="U3839">
        <v>19200</v>
      </c>
      <c r="W3839">
        <v>2.95</v>
      </c>
      <c r="X3839" t="s">
        <v>528</v>
      </c>
      <c r="Y3839" t="s">
        <v>10896</v>
      </c>
      <c r="AA3839" t="s">
        <v>10974</v>
      </c>
      <c r="AB3839" t="s">
        <v>564</v>
      </c>
      <c r="AD3839" t="s">
        <v>11083</v>
      </c>
      <c r="AF3839" t="s">
        <v>11119</v>
      </c>
      <c r="AH3839" t="s">
        <v>10975</v>
      </c>
      <c r="AJ3839" t="s">
        <v>11129</v>
      </c>
      <c r="AK3839" t="s">
        <v>7225</v>
      </c>
      <c r="AL3839" t="s">
        <v>11150</v>
      </c>
      <c r="AM3839">
        <v>0</v>
      </c>
      <c r="AO3839">
        <v>1</v>
      </c>
      <c r="AQ3839" t="s">
        <v>11156</v>
      </c>
      <c r="AS3839" t="s">
        <v>11173</v>
      </c>
      <c r="AU3839">
        <v>23</v>
      </c>
      <c r="AW3839" t="s">
        <v>11187</v>
      </c>
      <c r="AY3839" t="s">
        <v>11213</v>
      </c>
      <c r="BA3839" t="s">
        <v>11222</v>
      </c>
      <c r="BE3839" t="s">
        <v>13770</v>
      </c>
      <c r="BG3839" t="s">
        <v>15278</v>
      </c>
      <c r="BM3839" t="s">
        <v>15650</v>
      </c>
      <c r="BN3839" t="s">
        <v>15653</v>
      </c>
      <c r="BO3839" t="s">
        <v>15732</v>
      </c>
    </row>
    <row r="3840" spans="1:67">
      <c r="A3840" s="1">
        <f>HYPERLINK("https://lsnyc.legalserver.org/matter/dynamic-profile/view/1909659","19-1909659")</f>
        <v>0</v>
      </c>
      <c r="B3840" t="s">
        <v>203</v>
      </c>
      <c r="C3840" t="s">
        <v>249</v>
      </c>
      <c r="D3840" t="s">
        <v>627</v>
      </c>
      <c r="F3840" t="s">
        <v>1392</v>
      </c>
      <c r="G3840" t="s">
        <v>4423</v>
      </c>
      <c r="H3840" t="s">
        <v>6024</v>
      </c>
      <c r="J3840" t="s">
        <v>7179</v>
      </c>
      <c r="K3840">
        <v>10301</v>
      </c>
      <c r="N3840" t="s">
        <v>7237</v>
      </c>
      <c r="O3840" t="s">
        <v>9669</v>
      </c>
      <c r="P3840">
        <v>1</v>
      </c>
      <c r="Q3840">
        <v>1</v>
      </c>
      <c r="R3840">
        <v>85.16</v>
      </c>
      <c r="U3840">
        <v>14400</v>
      </c>
      <c r="W3840">
        <v>3.95</v>
      </c>
      <c r="X3840" t="s">
        <v>548</v>
      </c>
      <c r="Y3840" t="s">
        <v>10881</v>
      </c>
      <c r="AA3840" t="s">
        <v>10974</v>
      </c>
      <c r="AB3840" t="s">
        <v>627</v>
      </c>
      <c r="AC3840" t="s">
        <v>11081</v>
      </c>
      <c r="AF3840" t="s">
        <v>11118</v>
      </c>
      <c r="AH3840" t="s">
        <v>10975</v>
      </c>
      <c r="AJ3840" t="s">
        <v>11148</v>
      </c>
      <c r="AK3840" t="s">
        <v>7225</v>
      </c>
      <c r="AM3840">
        <v>1200</v>
      </c>
      <c r="AO3840">
        <v>2</v>
      </c>
      <c r="AQ3840" t="s">
        <v>11156</v>
      </c>
      <c r="AS3840" t="s">
        <v>11173</v>
      </c>
      <c r="AU3840">
        <v>23</v>
      </c>
      <c r="AW3840" t="s">
        <v>11187</v>
      </c>
      <c r="AY3840" t="s">
        <v>11213</v>
      </c>
      <c r="BA3840" t="s">
        <v>11222</v>
      </c>
      <c r="BE3840" t="s">
        <v>13771</v>
      </c>
      <c r="BG3840" t="s">
        <v>15279</v>
      </c>
      <c r="BM3840" t="s">
        <v>15650</v>
      </c>
    </row>
    <row r="3841" spans="1:67">
      <c r="A3841" s="1">
        <f>HYPERLINK("https://lsnyc.legalserver.org/matter/dynamic-profile/view/1898133","19-1898133")</f>
        <v>0</v>
      </c>
      <c r="B3841" t="s">
        <v>203</v>
      </c>
      <c r="C3841" t="s">
        <v>249</v>
      </c>
      <c r="D3841" t="s">
        <v>529</v>
      </c>
      <c r="F3841" t="s">
        <v>1262</v>
      </c>
      <c r="G3841" t="s">
        <v>4424</v>
      </c>
      <c r="H3841" t="s">
        <v>5853</v>
      </c>
      <c r="I3841">
        <v>1059</v>
      </c>
      <c r="J3841" t="s">
        <v>7179</v>
      </c>
      <c r="K3841">
        <v>10304</v>
      </c>
      <c r="N3841" t="s">
        <v>7237</v>
      </c>
      <c r="O3841" t="s">
        <v>9670</v>
      </c>
      <c r="P3841">
        <v>1</v>
      </c>
      <c r="Q3841">
        <v>0</v>
      </c>
      <c r="R3841">
        <v>0</v>
      </c>
      <c r="U3841">
        <v>0</v>
      </c>
      <c r="W3841">
        <v>39.5</v>
      </c>
      <c r="X3841" t="s">
        <v>426</v>
      </c>
      <c r="Y3841" t="s">
        <v>203</v>
      </c>
      <c r="AA3841" t="s">
        <v>10974</v>
      </c>
      <c r="AB3841" t="s">
        <v>529</v>
      </c>
      <c r="AD3841" t="s">
        <v>11083</v>
      </c>
      <c r="AF3841" t="s">
        <v>11118</v>
      </c>
      <c r="AH3841" t="s">
        <v>10975</v>
      </c>
      <c r="AJ3841" t="s">
        <v>11129</v>
      </c>
      <c r="AK3841" t="s">
        <v>7225</v>
      </c>
      <c r="AM3841">
        <v>1500</v>
      </c>
      <c r="AO3841">
        <v>468</v>
      </c>
      <c r="AQ3841" t="s">
        <v>11157</v>
      </c>
      <c r="AS3841" t="s">
        <v>11177</v>
      </c>
      <c r="AT3841" t="s">
        <v>11184</v>
      </c>
      <c r="AU3841">
        <v>0</v>
      </c>
      <c r="AW3841" t="s">
        <v>11187</v>
      </c>
      <c r="AY3841" t="s">
        <v>11213</v>
      </c>
      <c r="BA3841" t="s">
        <v>11222</v>
      </c>
      <c r="BE3841" t="s">
        <v>13772</v>
      </c>
      <c r="BG3841" t="s">
        <v>15280</v>
      </c>
      <c r="BM3841" t="s">
        <v>15650</v>
      </c>
    </row>
    <row r="3842" spans="1:67">
      <c r="A3842" s="1">
        <f>HYPERLINK("https://lsnyc.legalserver.org/matter/dynamic-profile/view/1850426","17-1850426")</f>
        <v>0</v>
      </c>
      <c r="B3842" t="s">
        <v>203</v>
      </c>
      <c r="C3842" t="s">
        <v>249</v>
      </c>
      <c r="D3842" t="s">
        <v>485</v>
      </c>
      <c r="F3842" t="s">
        <v>1208</v>
      </c>
      <c r="G3842" t="s">
        <v>4425</v>
      </c>
      <c r="H3842" t="s">
        <v>5364</v>
      </c>
      <c r="I3842" t="s">
        <v>7061</v>
      </c>
      <c r="J3842" t="s">
        <v>7179</v>
      </c>
      <c r="K3842">
        <v>10304</v>
      </c>
      <c r="N3842" t="s">
        <v>7237</v>
      </c>
      <c r="O3842" t="s">
        <v>9671</v>
      </c>
      <c r="P3842">
        <v>1</v>
      </c>
      <c r="Q3842">
        <v>2</v>
      </c>
      <c r="R3842">
        <v>127.33</v>
      </c>
      <c r="U3842">
        <v>26000</v>
      </c>
      <c r="W3842">
        <v>7.9</v>
      </c>
      <c r="X3842" t="s">
        <v>362</v>
      </c>
      <c r="Y3842" t="s">
        <v>10895</v>
      </c>
      <c r="AA3842" t="s">
        <v>10974</v>
      </c>
      <c r="AB3842" t="s">
        <v>485</v>
      </c>
      <c r="AD3842" t="s">
        <v>11082</v>
      </c>
      <c r="AF3842" t="s">
        <v>11118</v>
      </c>
      <c r="AH3842" t="s">
        <v>10975</v>
      </c>
      <c r="AJ3842" t="s">
        <v>11136</v>
      </c>
      <c r="AK3842" t="s">
        <v>7225</v>
      </c>
      <c r="AM3842">
        <v>839</v>
      </c>
      <c r="AO3842">
        <v>350</v>
      </c>
      <c r="AQ3842" t="s">
        <v>11161</v>
      </c>
      <c r="AS3842" t="s">
        <v>11174</v>
      </c>
      <c r="AU3842">
        <v>3</v>
      </c>
      <c r="AW3842" t="s">
        <v>11187</v>
      </c>
      <c r="AZ3842" t="s">
        <v>11221</v>
      </c>
      <c r="BE3842" t="s">
        <v>13773</v>
      </c>
      <c r="BG3842" t="s">
        <v>15281</v>
      </c>
      <c r="BM3842" t="s">
        <v>15650</v>
      </c>
    </row>
    <row r="3843" spans="1:67">
      <c r="A3843" s="1">
        <f>HYPERLINK("https://lsnyc.legalserver.org/matter/dynamic-profile/view/1893930","19-1893930")</f>
        <v>0</v>
      </c>
      <c r="B3843" t="s">
        <v>204</v>
      </c>
      <c r="C3843" t="s">
        <v>249</v>
      </c>
      <c r="D3843" t="s">
        <v>299</v>
      </c>
      <c r="F3843" t="s">
        <v>2563</v>
      </c>
      <c r="G3843" t="s">
        <v>2877</v>
      </c>
      <c r="H3843" t="s">
        <v>6025</v>
      </c>
      <c r="I3843" t="s">
        <v>6646</v>
      </c>
      <c r="J3843" t="s">
        <v>7179</v>
      </c>
      <c r="K3843">
        <v>10304</v>
      </c>
      <c r="N3843" t="s">
        <v>7237</v>
      </c>
      <c r="O3843" t="s">
        <v>9373</v>
      </c>
      <c r="P3843">
        <v>2</v>
      </c>
      <c r="Q3843">
        <v>0</v>
      </c>
      <c r="R3843">
        <v>13.22</v>
      </c>
      <c r="U3843">
        <v>2236</v>
      </c>
      <c r="W3843">
        <v>8.800000000000001</v>
      </c>
      <c r="X3843" t="s">
        <v>638</v>
      </c>
      <c r="Y3843" t="s">
        <v>10881</v>
      </c>
      <c r="Z3843" t="s">
        <v>10972</v>
      </c>
      <c r="AA3843" t="s">
        <v>10976</v>
      </c>
      <c r="AD3843" t="s">
        <v>11082</v>
      </c>
      <c r="AF3843" t="s">
        <v>11118</v>
      </c>
      <c r="AH3843" t="s">
        <v>10975</v>
      </c>
      <c r="AJ3843" t="s">
        <v>11135</v>
      </c>
      <c r="AK3843" t="s">
        <v>7225</v>
      </c>
      <c r="AM3843">
        <v>1956</v>
      </c>
      <c r="AO3843">
        <v>2</v>
      </c>
      <c r="AP3843" t="s">
        <v>11155</v>
      </c>
      <c r="AS3843" t="s">
        <v>11180</v>
      </c>
      <c r="AU3843">
        <v>2</v>
      </c>
      <c r="AW3843" t="s">
        <v>11187</v>
      </c>
      <c r="AY3843" t="s">
        <v>11213</v>
      </c>
      <c r="AZ3843" t="s">
        <v>11221</v>
      </c>
      <c r="BB3843" t="s">
        <v>11224</v>
      </c>
      <c r="BC3843">
        <v>5620117</v>
      </c>
      <c r="BE3843" t="s">
        <v>13774</v>
      </c>
      <c r="BG3843" t="s">
        <v>15282</v>
      </c>
      <c r="BM3843" t="s">
        <v>15650</v>
      </c>
    </row>
    <row r="3844" spans="1:67">
      <c r="A3844" s="1">
        <f>HYPERLINK("https://lsnyc.legalserver.org/matter/dynamic-profile/view/1899801","19-1899801")</f>
        <v>0</v>
      </c>
      <c r="B3844" t="s">
        <v>204</v>
      </c>
      <c r="C3844" t="s">
        <v>249</v>
      </c>
      <c r="D3844" t="s">
        <v>382</v>
      </c>
      <c r="F3844" t="s">
        <v>2564</v>
      </c>
      <c r="G3844" t="s">
        <v>4426</v>
      </c>
      <c r="H3844" t="s">
        <v>6026</v>
      </c>
      <c r="J3844" t="s">
        <v>7179</v>
      </c>
      <c r="K3844">
        <v>10303</v>
      </c>
      <c r="N3844" t="s">
        <v>7238</v>
      </c>
      <c r="O3844" t="s">
        <v>9672</v>
      </c>
      <c r="P3844">
        <v>4</v>
      </c>
      <c r="Q3844">
        <v>3</v>
      </c>
      <c r="R3844">
        <v>113.82</v>
      </c>
      <c r="S3844" t="s">
        <v>10254</v>
      </c>
      <c r="T3844" t="s">
        <v>10275</v>
      </c>
      <c r="U3844">
        <v>44400</v>
      </c>
      <c r="W3844">
        <v>27.6</v>
      </c>
      <c r="X3844" t="s">
        <v>599</v>
      </c>
      <c r="Y3844" t="s">
        <v>204</v>
      </c>
      <c r="Z3844" t="s">
        <v>10972</v>
      </c>
      <c r="AA3844" t="s">
        <v>10976</v>
      </c>
      <c r="AC3844" t="s">
        <v>11081</v>
      </c>
      <c r="AF3844" t="s">
        <v>11118</v>
      </c>
      <c r="AG3844" t="s">
        <v>11124</v>
      </c>
      <c r="AI3844" t="s">
        <v>11126</v>
      </c>
      <c r="AK3844" t="s">
        <v>11149</v>
      </c>
      <c r="AL3844" t="s">
        <v>11150</v>
      </c>
      <c r="AM3844">
        <v>0</v>
      </c>
      <c r="AN3844" t="s">
        <v>11151</v>
      </c>
      <c r="AO3844" t="s">
        <v>11153</v>
      </c>
      <c r="AP3844" t="s">
        <v>11155</v>
      </c>
      <c r="AR3844" t="s">
        <v>11172</v>
      </c>
      <c r="AT3844" t="s">
        <v>11184</v>
      </c>
      <c r="AU3844">
        <v>0</v>
      </c>
      <c r="AW3844" t="s">
        <v>11187</v>
      </c>
      <c r="AX3844" t="s">
        <v>11212</v>
      </c>
      <c r="BA3844" t="s">
        <v>11222</v>
      </c>
      <c r="BD3844" t="s">
        <v>11667</v>
      </c>
      <c r="BG3844" t="s">
        <v>15283</v>
      </c>
      <c r="BM3844" t="s">
        <v>15650</v>
      </c>
    </row>
    <row r="3845" spans="1:67">
      <c r="A3845" s="1">
        <f>HYPERLINK("https://lsnyc.legalserver.org/matter/dynamic-profile/view/1893344","19-1893344")</f>
        <v>0</v>
      </c>
      <c r="B3845" t="s">
        <v>204</v>
      </c>
      <c r="C3845" t="s">
        <v>249</v>
      </c>
      <c r="D3845" t="s">
        <v>334</v>
      </c>
      <c r="F3845" t="s">
        <v>2565</v>
      </c>
      <c r="G3845" t="s">
        <v>3040</v>
      </c>
      <c r="H3845" t="s">
        <v>6027</v>
      </c>
      <c r="I3845" t="s">
        <v>6433</v>
      </c>
      <c r="J3845" t="s">
        <v>7179</v>
      </c>
      <c r="K3845">
        <v>10301</v>
      </c>
      <c r="N3845" t="s">
        <v>7237</v>
      </c>
      <c r="O3845" t="s">
        <v>7912</v>
      </c>
      <c r="P3845">
        <v>2</v>
      </c>
      <c r="Q3845">
        <v>0</v>
      </c>
      <c r="R3845">
        <v>60.89</v>
      </c>
      <c r="U3845">
        <v>10296</v>
      </c>
      <c r="W3845">
        <v>33.6</v>
      </c>
      <c r="X3845" t="s">
        <v>638</v>
      </c>
      <c r="Y3845" t="s">
        <v>10895</v>
      </c>
      <c r="AA3845" t="s">
        <v>10974</v>
      </c>
      <c r="AD3845" t="s">
        <v>11082</v>
      </c>
      <c r="AF3845" t="s">
        <v>11118</v>
      </c>
      <c r="AH3845" t="s">
        <v>10975</v>
      </c>
      <c r="AI3845" t="s">
        <v>11126</v>
      </c>
      <c r="AK3845" t="s">
        <v>7225</v>
      </c>
      <c r="AM3845">
        <v>600</v>
      </c>
      <c r="AO3845">
        <v>15</v>
      </c>
      <c r="AQ3845" t="s">
        <v>11157</v>
      </c>
      <c r="AS3845" t="s">
        <v>11173</v>
      </c>
      <c r="AT3845" t="s">
        <v>11184</v>
      </c>
      <c r="AU3845">
        <v>0</v>
      </c>
      <c r="AW3845" t="s">
        <v>11187</v>
      </c>
      <c r="AY3845" t="s">
        <v>11216</v>
      </c>
      <c r="AZ3845" t="s">
        <v>11221</v>
      </c>
      <c r="BE3845" t="s">
        <v>13775</v>
      </c>
      <c r="BF3845" t="s">
        <v>14364</v>
      </c>
      <c r="BG3845" t="s">
        <v>15284</v>
      </c>
      <c r="BM3845" t="s">
        <v>15650</v>
      </c>
    </row>
    <row r="3846" spans="1:67">
      <c r="A3846" s="1">
        <f>HYPERLINK("https://lsnyc.legalserver.org/matter/dynamic-profile/view/1896178","19-1896178")</f>
        <v>0</v>
      </c>
      <c r="B3846" t="s">
        <v>204</v>
      </c>
      <c r="C3846" t="s">
        <v>249</v>
      </c>
      <c r="D3846" t="s">
        <v>583</v>
      </c>
      <c r="F3846" t="s">
        <v>2566</v>
      </c>
      <c r="G3846" t="s">
        <v>4427</v>
      </c>
      <c r="H3846" t="s">
        <v>5516</v>
      </c>
      <c r="I3846" t="s">
        <v>6564</v>
      </c>
      <c r="J3846" t="s">
        <v>7179</v>
      </c>
      <c r="K3846">
        <v>10304</v>
      </c>
      <c r="N3846" t="s">
        <v>7237</v>
      </c>
      <c r="O3846" t="s">
        <v>9673</v>
      </c>
      <c r="P3846">
        <v>1</v>
      </c>
      <c r="Q3846">
        <v>1</v>
      </c>
      <c r="R3846">
        <v>138.38</v>
      </c>
      <c r="U3846">
        <v>23400</v>
      </c>
      <c r="W3846">
        <v>39.7</v>
      </c>
      <c r="X3846" t="s">
        <v>669</v>
      </c>
      <c r="Y3846" t="s">
        <v>10881</v>
      </c>
      <c r="AA3846" t="s">
        <v>10974</v>
      </c>
      <c r="AD3846" t="s">
        <v>11083</v>
      </c>
      <c r="AF3846" t="s">
        <v>11118</v>
      </c>
      <c r="AH3846" t="s">
        <v>10975</v>
      </c>
      <c r="AJ3846" t="s">
        <v>11131</v>
      </c>
      <c r="AK3846" t="s">
        <v>7225</v>
      </c>
      <c r="AM3846">
        <v>225</v>
      </c>
      <c r="AO3846">
        <v>132</v>
      </c>
      <c r="AQ3846" t="s">
        <v>11161</v>
      </c>
      <c r="AS3846" t="s">
        <v>11173</v>
      </c>
      <c r="AT3846" t="s">
        <v>11184</v>
      </c>
      <c r="AU3846">
        <v>0</v>
      </c>
      <c r="AW3846" t="s">
        <v>11187</v>
      </c>
      <c r="AY3846" t="s">
        <v>11213</v>
      </c>
      <c r="AZ3846" t="s">
        <v>11221</v>
      </c>
      <c r="BE3846" t="s">
        <v>13776</v>
      </c>
      <c r="BG3846" t="s">
        <v>15285</v>
      </c>
      <c r="BM3846" t="s">
        <v>15650</v>
      </c>
    </row>
    <row r="3847" spans="1:67">
      <c r="A3847" s="1">
        <f>HYPERLINK("https://lsnyc.legalserver.org/matter/dynamic-profile/view/1911194","19-1911194")</f>
        <v>0</v>
      </c>
      <c r="B3847" t="s">
        <v>204</v>
      </c>
      <c r="C3847" t="s">
        <v>249</v>
      </c>
      <c r="D3847" t="s">
        <v>345</v>
      </c>
      <c r="F3847" t="s">
        <v>2567</v>
      </c>
      <c r="G3847" t="s">
        <v>4428</v>
      </c>
      <c r="H3847" t="s">
        <v>6028</v>
      </c>
      <c r="I3847" t="s">
        <v>6516</v>
      </c>
      <c r="J3847" t="s">
        <v>7179</v>
      </c>
      <c r="K3847">
        <v>10301</v>
      </c>
      <c r="N3847" t="s">
        <v>7237</v>
      </c>
      <c r="O3847" t="s">
        <v>9674</v>
      </c>
      <c r="P3847">
        <v>2</v>
      </c>
      <c r="Q3847">
        <v>2</v>
      </c>
      <c r="R3847">
        <v>218.7</v>
      </c>
      <c r="U3847">
        <v>56316</v>
      </c>
      <c r="W3847">
        <v>5</v>
      </c>
      <c r="X3847" t="s">
        <v>548</v>
      </c>
      <c r="Y3847" t="s">
        <v>10881</v>
      </c>
      <c r="Z3847" t="s">
        <v>10972</v>
      </c>
      <c r="AA3847" t="s">
        <v>10976</v>
      </c>
      <c r="AD3847" t="s">
        <v>11083</v>
      </c>
      <c r="AF3847" t="s">
        <v>11118</v>
      </c>
      <c r="AH3847" t="s">
        <v>10975</v>
      </c>
      <c r="AJ3847" t="s">
        <v>11131</v>
      </c>
      <c r="AK3847" t="s">
        <v>7225</v>
      </c>
      <c r="AM3847">
        <v>1975</v>
      </c>
      <c r="AO3847">
        <v>2</v>
      </c>
      <c r="AQ3847" t="s">
        <v>11156</v>
      </c>
      <c r="AS3847" t="s">
        <v>11173</v>
      </c>
      <c r="AU3847">
        <v>4</v>
      </c>
      <c r="AW3847" t="s">
        <v>11187</v>
      </c>
      <c r="AY3847" t="s">
        <v>11213</v>
      </c>
      <c r="AZ3847" t="s">
        <v>11221</v>
      </c>
      <c r="BE3847" t="s">
        <v>13777</v>
      </c>
      <c r="BG3847" t="s">
        <v>15286</v>
      </c>
      <c r="BM3847" t="s">
        <v>15650</v>
      </c>
    </row>
    <row r="3848" spans="1:67">
      <c r="A3848" s="1">
        <f>HYPERLINK("https://lsnyc.legalserver.org/matter/dynamic-profile/view/1905159","19-1905159")</f>
        <v>0</v>
      </c>
      <c r="B3848" t="s">
        <v>204</v>
      </c>
      <c r="C3848" t="s">
        <v>249</v>
      </c>
      <c r="D3848" t="s">
        <v>731</v>
      </c>
      <c r="F3848" t="s">
        <v>2568</v>
      </c>
      <c r="G3848" t="s">
        <v>4429</v>
      </c>
      <c r="H3848" t="s">
        <v>6029</v>
      </c>
      <c r="I3848" t="s">
        <v>7062</v>
      </c>
      <c r="J3848" t="s">
        <v>7179</v>
      </c>
      <c r="K3848">
        <v>10303</v>
      </c>
      <c r="N3848" t="s">
        <v>7238</v>
      </c>
      <c r="O3848" t="s">
        <v>9675</v>
      </c>
      <c r="P3848">
        <v>1</v>
      </c>
      <c r="Q3848">
        <v>2</v>
      </c>
      <c r="R3848">
        <v>247.54</v>
      </c>
      <c r="S3848" t="s">
        <v>10254</v>
      </c>
      <c r="T3848" t="s">
        <v>10275</v>
      </c>
      <c r="U3848">
        <v>52800</v>
      </c>
      <c r="W3848">
        <v>8.15</v>
      </c>
      <c r="X3848" t="s">
        <v>426</v>
      </c>
      <c r="Y3848" t="s">
        <v>124</v>
      </c>
      <c r="AA3848" t="s">
        <v>10974</v>
      </c>
      <c r="AB3848" t="s">
        <v>511</v>
      </c>
      <c r="AD3848" t="s">
        <v>11116</v>
      </c>
      <c r="AF3848" t="s">
        <v>11118</v>
      </c>
      <c r="AH3848" t="s">
        <v>10975</v>
      </c>
      <c r="AJ3848" t="s">
        <v>11133</v>
      </c>
      <c r="AK3848" t="s">
        <v>11149</v>
      </c>
      <c r="AL3848" t="s">
        <v>11150</v>
      </c>
      <c r="AM3848">
        <v>0</v>
      </c>
      <c r="AO3848">
        <v>6</v>
      </c>
      <c r="AQ3848" t="s">
        <v>11156</v>
      </c>
      <c r="AS3848" t="s">
        <v>11173</v>
      </c>
      <c r="AU3848">
        <v>3</v>
      </c>
      <c r="AW3848" t="s">
        <v>11187</v>
      </c>
      <c r="AY3848" t="s">
        <v>11213</v>
      </c>
      <c r="BA3848" t="s">
        <v>11222</v>
      </c>
      <c r="BE3848" t="s">
        <v>13778</v>
      </c>
      <c r="BG3848" t="s">
        <v>15287</v>
      </c>
      <c r="BM3848" t="s">
        <v>15650</v>
      </c>
    </row>
    <row r="3849" spans="1:67">
      <c r="A3849" s="1">
        <f>HYPERLINK("https://lsnyc.legalserver.org/matter/dynamic-profile/view/1913401","19-1913401")</f>
        <v>0</v>
      </c>
      <c r="B3849" t="s">
        <v>204</v>
      </c>
      <c r="C3849" t="s">
        <v>249</v>
      </c>
      <c r="D3849" t="s">
        <v>1012</v>
      </c>
      <c r="F3849" t="s">
        <v>2569</v>
      </c>
      <c r="G3849" t="s">
        <v>2308</v>
      </c>
      <c r="H3849" t="s">
        <v>6030</v>
      </c>
      <c r="I3849" t="s">
        <v>7063</v>
      </c>
      <c r="J3849" t="s">
        <v>7179</v>
      </c>
      <c r="K3849">
        <v>10301</v>
      </c>
      <c r="N3849" t="s">
        <v>7237</v>
      </c>
      <c r="O3849" t="s">
        <v>9567</v>
      </c>
      <c r="P3849">
        <v>1</v>
      </c>
      <c r="Q3849">
        <v>4</v>
      </c>
      <c r="R3849">
        <v>44.27</v>
      </c>
      <c r="U3849">
        <v>13356</v>
      </c>
      <c r="W3849">
        <v>1.7</v>
      </c>
      <c r="X3849" t="s">
        <v>548</v>
      </c>
      <c r="Y3849" t="s">
        <v>10881</v>
      </c>
      <c r="Z3849" t="s">
        <v>10972</v>
      </c>
      <c r="AA3849" t="s">
        <v>10976</v>
      </c>
      <c r="AD3849" t="s">
        <v>11086</v>
      </c>
      <c r="AE3849" t="s">
        <v>11117</v>
      </c>
      <c r="AH3849" t="s">
        <v>10975</v>
      </c>
      <c r="AJ3849" t="s">
        <v>11129</v>
      </c>
      <c r="AK3849" t="s">
        <v>7225</v>
      </c>
      <c r="AM3849">
        <v>1350</v>
      </c>
      <c r="AO3849">
        <v>4</v>
      </c>
      <c r="AQ3849" t="s">
        <v>11156</v>
      </c>
      <c r="AS3849" t="s">
        <v>11180</v>
      </c>
      <c r="AU3849">
        <v>5</v>
      </c>
      <c r="AW3849" t="s">
        <v>11189</v>
      </c>
      <c r="AX3849" t="s">
        <v>11212</v>
      </c>
      <c r="AZ3849" t="s">
        <v>11221</v>
      </c>
      <c r="BE3849" t="s">
        <v>13779</v>
      </c>
      <c r="BF3849" t="s">
        <v>14364</v>
      </c>
      <c r="BG3849" t="s">
        <v>14411</v>
      </c>
      <c r="BM3849" t="s">
        <v>15650</v>
      </c>
    </row>
    <row r="3850" spans="1:67">
      <c r="A3850" s="1">
        <f>HYPERLINK("https://lsnyc.legalserver.org/matter/dynamic-profile/view/1914711","19-1914711")</f>
        <v>0</v>
      </c>
      <c r="B3850" t="s">
        <v>204</v>
      </c>
      <c r="C3850" t="s">
        <v>249</v>
      </c>
      <c r="D3850" t="s">
        <v>614</v>
      </c>
      <c r="F3850" t="s">
        <v>2570</v>
      </c>
      <c r="G3850" t="s">
        <v>4430</v>
      </c>
      <c r="H3850" t="s">
        <v>6031</v>
      </c>
      <c r="I3850" t="s">
        <v>6809</v>
      </c>
      <c r="J3850" t="s">
        <v>7179</v>
      </c>
      <c r="K3850">
        <v>10301</v>
      </c>
      <c r="N3850" t="s">
        <v>7237</v>
      </c>
      <c r="O3850" t="s">
        <v>9676</v>
      </c>
      <c r="P3850">
        <v>1</v>
      </c>
      <c r="Q3850">
        <v>2</v>
      </c>
      <c r="R3850">
        <v>257.85</v>
      </c>
      <c r="T3850" t="s">
        <v>10276</v>
      </c>
      <c r="U3850">
        <v>55000</v>
      </c>
      <c r="W3850">
        <v>5</v>
      </c>
      <c r="X3850" t="s">
        <v>548</v>
      </c>
      <c r="Y3850" t="s">
        <v>204</v>
      </c>
      <c r="Z3850" t="s">
        <v>10972</v>
      </c>
      <c r="AA3850" t="s">
        <v>10976</v>
      </c>
      <c r="AD3850" t="s">
        <v>11083</v>
      </c>
      <c r="AF3850" t="s">
        <v>11118</v>
      </c>
      <c r="AH3850" t="s">
        <v>10975</v>
      </c>
      <c r="AI3850" t="s">
        <v>11126</v>
      </c>
      <c r="AK3850" t="s">
        <v>7225</v>
      </c>
      <c r="AL3850" t="s">
        <v>11150</v>
      </c>
      <c r="AM3850">
        <v>0</v>
      </c>
      <c r="AN3850" t="s">
        <v>11151</v>
      </c>
      <c r="AO3850" t="s">
        <v>11153</v>
      </c>
      <c r="AP3850" t="s">
        <v>11155</v>
      </c>
      <c r="AR3850" t="s">
        <v>11172</v>
      </c>
      <c r="AT3850" t="s">
        <v>11184</v>
      </c>
      <c r="AU3850">
        <v>0</v>
      </c>
      <c r="AV3850" t="s">
        <v>11186</v>
      </c>
      <c r="AY3850" t="s">
        <v>11213</v>
      </c>
      <c r="AZ3850" t="s">
        <v>11221</v>
      </c>
      <c r="BE3850" t="s">
        <v>13780</v>
      </c>
      <c r="BG3850" t="s">
        <v>15288</v>
      </c>
      <c r="BM3850" t="s">
        <v>15650</v>
      </c>
    </row>
    <row r="3851" spans="1:67">
      <c r="A3851" s="1">
        <f>HYPERLINK("https://lsnyc.legalserver.org/matter/dynamic-profile/view/1839710","17-1839710")</f>
        <v>0</v>
      </c>
      <c r="B3851" t="s">
        <v>204</v>
      </c>
      <c r="C3851" t="s">
        <v>249</v>
      </c>
      <c r="D3851" t="s">
        <v>847</v>
      </c>
      <c r="F3851" t="s">
        <v>2571</v>
      </c>
      <c r="G3851" t="s">
        <v>4431</v>
      </c>
      <c r="H3851" t="s">
        <v>5521</v>
      </c>
      <c r="I3851" t="s">
        <v>7064</v>
      </c>
      <c r="J3851" t="s">
        <v>7179</v>
      </c>
      <c r="K3851">
        <v>10301</v>
      </c>
      <c r="N3851" t="s">
        <v>7237</v>
      </c>
      <c r="O3851" t="s">
        <v>9677</v>
      </c>
      <c r="P3851">
        <v>2</v>
      </c>
      <c r="Q3851">
        <v>0</v>
      </c>
      <c r="R3851">
        <v>238.52</v>
      </c>
      <c r="S3851" t="s">
        <v>769</v>
      </c>
      <c r="T3851" t="s">
        <v>10276</v>
      </c>
      <c r="U3851">
        <v>53988</v>
      </c>
      <c r="V3851" t="s">
        <v>10729</v>
      </c>
      <c r="W3851">
        <v>2.6</v>
      </c>
      <c r="X3851" t="s">
        <v>578</v>
      </c>
      <c r="Y3851" t="s">
        <v>10895</v>
      </c>
      <c r="AA3851" t="s">
        <v>10974</v>
      </c>
      <c r="AB3851" t="s">
        <v>667</v>
      </c>
      <c r="AD3851" t="s">
        <v>11083</v>
      </c>
      <c r="AF3851" t="s">
        <v>11120</v>
      </c>
      <c r="AH3851" t="s">
        <v>10975</v>
      </c>
      <c r="AJ3851" t="s">
        <v>11135</v>
      </c>
      <c r="AK3851" t="s">
        <v>7225</v>
      </c>
      <c r="AM3851">
        <v>1532</v>
      </c>
      <c r="AO3851">
        <v>200</v>
      </c>
      <c r="AQ3851" t="s">
        <v>11157</v>
      </c>
      <c r="AS3851" t="s">
        <v>11173</v>
      </c>
      <c r="AU3851">
        <v>22</v>
      </c>
      <c r="AW3851" t="s">
        <v>11187</v>
      </c>
      <c r="AY3851" t="s">
        <v>11213</v>
      </c>
      <c r="AZ3851" t="s">
        <v>11221</v>
      </c>
      <c r="BC3851" t="s">
        <v>11228</v>
      </c>
      <c r="BE3851" t="s">
        <v>13781</v>
      </c>
      <c r="BF3851" t="s">
        <v>14364</v>
      </c>
      <c r="BG3851" t="s">
        <v>14410</v>
      </c>
      <c r="BK3851" t="s">
        <v>15646</v>
      </c>
      <c r="BM3851" t="s">
        <v>15650</v>
      </c>
      <c r="BN3851" t="s">
        <v>15652</v>
      </c>
      <c r="BO3851" t="s">
        <v>15733</v>
      </c>
    </row>
    <row r="3852" spans="1:67">
      <c r="A3852" s="1">
        <f>HYPERLINK("https://lsnyc.legalserver.org/matter/dynamic-profile/view/1899382","19-1899382")</f>
        <v>0</v>
      </c>
      <c r="B3852" t="s">
        <v>204</v>
      </c>
      <c r="C3852" t="s">
        <v>249</v>
      </c>
      <c r="D3852" t="s">
        <v>382</v>
      </c>
      <c r="F3852" t="s">
        <v>2572</v>
      </c>
      <c r="G3852" t="s">
        <v>3925</v>
      </c>
      <c r="H3852" t="s">
        <v>5360</v>
      </c>
      <c r="I3852" t="s">
        <v>6415</v>
      </c>
      <c r="J3852" t="s">
        <v>7179</v>
      </c>
      <c r="K3852">
        <v>10304</v>
      </c>
      <c r="N3852" t="s">
        <v>7237</v>
      </c>
      <c r="O3852" t="s">
        <v>9678</v>
      </c>
      <c r="P3852">
        <v>1</v>
      </c>
      <c r="Q3852">
        <v>2</v>
      </c>
      <c r="R3852">
        <v>150.02</v>
      </c>
      <c r="U3852">
        <v>32000</v>
      </c>
      <c r="W3852">
        <v>14.2</v>
      </c>
      <c r="X3852" t="s">
        <v>436</v>
      </c>
      <c r="Y3852" t="s">
        <v>10881</v>
      </c>
      <c r="AA3852" t="s">
        <v>10974</v>
      </c>
      <c r="AD3852" t="s">
        <v>11082</v>
      </c>
      <c r="AF3852" t="s">
        <v>11118</v>
      </c>
      <c r="AH3852" t="s">
        <v>10975</v>
      </c>
      <c r="AJ3852" t="s">
        <v>11135</v>
      </c>
      <c r="AK3852" t="s">
        <v>7225</v>
      </c>
      <c r="AM3852">
        <v>1600</v>
      </c>
      <c r="AN3852" t="s">
        <v>11151</v>
      </c>
      <c r="AO3852" t="s">
        <v>11153</v>
      </c>
      <c r="AQ3852" t="s">
        <v>11157</v>
      </c>
      <c r="AS3852" t="s">
        <v>11179</v>
      </c>
      <c r="AU3852">
        <v>5</v>
      </c>
      <c r="AV3852" t="s">
        <v>11186</v>
      </c>
      <c r="AY3852" t="s">
        <v>11213</v>
      </c>
      <c r="BA3852" t="s">
        <v>11222</v>
      </c>
      <c r="BE3852" t="s">
        <v>13782</v>
      </c>
      <c r="BG3852" t="s">
        <v>15289</v>
      </c>
      <c r="BM3852" t="s">
        <v>15650</v>
      </c>
    </row>
    <row r="3853" spans="1:67">
      <c r="A3853" s="1">
        <f>HYPERLINK("https://lsnyc.legalserver.org/matter/dynamic-profile/view/1904164","19-1904164")</f>
        <v>0</v>
      </c>
      <c r="B3853" t="s">
        <v>204</v>
      </c>
      <c r="C3853" t="s">
        <v>249</v>
      </c>
      <c r="D3853" t="s">
        <v>866</v>
      </c>
      <c r="F3853" t="s">
        <v>2573</v>
      </c>
      <c r="G3853" t="s">
        <v>3333</v>
      </c>
      <c r="H3853" t="s">
        <v>4941</v>
      </c>
      <c r="I3853" t="s">
        <v>6553</v>
      </c>
      <c r="J3853" t="s">
        <v>7179</v>
      </c>
      <c r="K3853">
        <v>10301</v>
      </c>
      <c r="N3853" t="s">
        <v>7241</v>
      </c>
      <c r="O3853" t="s">
        <v>9679</v>
      </c>
      <c r="P3853">
        <v>2</v>
      </c>
      <c r="Q3853">
        <v>1</v>
      </c>
      <c r="R3853">
        <v>213.31</v>
      </c>
      <c r="U3853">
        <v>45500.04</v>
      </c>
      <c r="W3853">
        <v>24.55</v>
      </c>
      <c r="X3853" t="s">
        <v>638</v>
      </c>
      <c r="Y3853" t="s">
        <v>10881</v>
      </c>
      <c r="AA3853" t="s">
        <v>10974</v>
      </c>
      <c r="AD3853" t="s">
        <v>11082</v>
      </c>
      <c r="AF3853" t="s">
        <v>11118</v>
      </c>
      <c r="AH3853" t="s">
        <v>10975</v>
      </c>
      <c r="AJ3853" t="s">
        <v>11135</v>
      </c>
      <c r="AK3853" t="s">
        <v>7225</v>
      </c>
      <c r="AM3853">
        <v>867</v>
      </c>
      <c r="AN3853" t="s">
        <v>11151</v>
      </c>
      <c r="AO3853" t="s">
        <v>11153</v>
      </c>
      <c r="AQ3853" t="s">
        <v>11161</v>
      </c>
      <c r="AS3853" t="s">
        <v>11174</v>
      </c>
      <c r="AU3853">
        <v>25</v>
      </c>
      <c r="AW3853" t="s">
        <v>11187</v>
      </c>
      <c r="AY3853" t="s">
        <v>11213</v>
      </c>
      <c r="BA3853" t="s">
        <v>11222</v>
      </c>
      <c r="BE3853" t="s">
        <v>13783</v>
      </c>
      <c r="BG3853" t="s">
        <v>15290</v>
      </c>
      <c r="BM3853" t="s">
        <v>15650</v>
      </c>
    </row>
    <row r="3854" spans="1:67">
      <c r="A3854" s="1">
        <f>HYPERLINK("https://lsnyc.legalserver.org/matter/dynamic-profile/view/1912988","19-1912988")</f>
        <v>0</v>
      </c>
      <c r="B3854" t="s">
        <v>205</v>
      </c>
      <c r="C3854" t="s">
        <v>248</v>
      </c>
      <c r="D3854" t="s">
        <v>305</v>
      </c>
      <c r="F3854" t="s">
        <v>2251</v>
      </c>
      <c r="G3854" t="s">
        <v>3504</v>
      </c>
      <c r="H3854" t="s">
        <v>6032</v>
      </c>
      <c r="I3854">
        <v>1</v>
      </c>
      <c r="J3854" t="s">
        <v>7174</v>
      </c>
      <c r="K3854">
        <v>11208</v>
      </c>
      <c r="N3854" t="s">
        <v>7250</v>
      </c>
      <c r="O3854" t="s">
        <v>9680</v>
      </c>
      <c r="P3854">
        <v>1</v>
      </c>
      <c r="Q3854">
        <v>1</v>
      </c>
      <c r="R3854">
        <v>198.7</v>
      </c>
      <c r="U3854">
        <v>33600</v>
      </c>
      <c r="W3854">
        <v>0</v>
      </c>
      <c r="Y3854" t="s">
        <v>225</v>
      </c>
      <c r="AA3854" t="s">
        <v>10974</v>
      </c>
      <c r="AB3854" t="s">
        <v>599</v>
      </c>
      <c r="AD3854" t="s">
        <v>11086</v>
      </c>
      <c r="AE3854" t="s">
        <v>11117</v>
      </c>
      <c r="AH3854" t="s">
        <v>10975</v>
      </c>
      <c r="AI3854" t="s">
        <v>11126</v>
      </c>
      <c r="AK3854" t="s">
        <v>7225</v>
      </c>
      <c r="AL3854" t="s">
        <v>11150</v>
      </c>
      <c r="AM3854">
        <v>0</v>
      </c>
      <c r="AN3854" t="s">
        <v>11151</v>
      </c>
      <c r="AO3854" t="s">
        <v>11153</v>
      </c>
      <c r="AP3854" t="s">
        <v>11155</v>
      </c>
      <c r="AS3854" t="s">
        <v>11173</v>
      </c>
      <c r="AT3854" t="s">
        <v>11184</v>
      </c>
      <c r="AU3854">
        <v>0</v>
      </c>
      <c r="AW3854" t="s">
        <v>11189</v>
      </c>
      <c r="AY3854" t="s">
        <v>11213</v>
      </c>
      <c r="BA3854" t="s">
        <v>11222</v>
      </c>
      <c r="BC3854" t="s">
        <v>11173</v>
      </c>
      <c r="BE3854" t="s">
        <v>13784</v>
      </c>
      <c r="BF3854" t="s">
        <v>14364</v>
      </c>
      <c r="BG3854" t="s">
        <v>14411</v>
      </c>
      <c r="BM3854" t="s">
        <v>15650</v>
      </c>
    </row>
    <row r="3855" spans="1:67">
      <c r="A3855" s="1">
        <f>HYPERLINK("https://lsnyc.legalserver.org/matter/dynamic-profile/view/1910363","19-1910363")</f>
        <v>0</v>
      </c>
      <c r="B3855" t="s">
        <v>205</v>
      </c>
      <c r="C3855" t="s">
        <v>248</v>
      </c>
      <c r="D3855" t="s">
        <v>443</v>
      </c>
      <c r="F3855" t="s">
        <v>1839</v>
      </c>
      <c r="G3855" t="s">
        <v>4432</v>
      </c>
      <c r="H3855" t="s">
        <v>6033</v>
      </c>
      <c r="I3855" t="s">
        <v>6408</v>
      </c>
      <c r="J3855" t="s">
        <v>7174</v>
      </c>
      <c r="K3855">
        <v>11212</v>
      </c>
      <c r="N3855" t="s">
        <v>7237</v>
      </c>
      <c r="O3855" t="s">
        <v>9681</v>
      </c>
      <c r="P3855">
        <v>2</v>
      </c>
      <c r="Q3855">
        <v>0</v>
      </c>
      <c r="R3855">
        <v>49.67</v>
      </c>
      <c r="U3855">
        <v>8400</v>
      </c>
      <c r="W3855">
        <v>0.1</v>
      </c>
      <c r="X3855" t="s">
        <v>564</v>
      </c>
      <c r="Y3855" t="s">
        <v>225</v>
      </c>
      <c r="AA3855" t="s">
        <v>10974</v>
      </c>
      <c r="AB3855" t="s">
        <v>433</v>
      </c>
      <c r="AD3855" t="s">
        <v>11100</v>
      </c>
      <c r="AF3855" t="s">
        <v>10384</v>
      </c>
      <c r="AH3855" t="s">
        <v>10974</v>
      </c>
      <c r="AJ3855" t="s">
        <v>11129</v>
      </c>
      <c r="AK3855" t="s">
        <v>7225</v>
      </c>
      <c r="AM3855">
        <v>1253</v>
      </c>
      <c r="AO3855">
        <v>6</v>
      </c>
      <c r="AQ3855" t="s">
        <v>11164</v>
      </c>
      <c r="AS3855" t="s">
        <v>11174</v>
      </c>
      <c r="AU3855">
        <v>3</v>
      </c>
      <c r="AW3855" t="s">
        <v>11187</v>
      </c>
      <c r="AY3855" t="s">
        <v>11213</v>
      </c>
      <c r="BA3855" t="s">
        <v>11222</v>
      </c>
      <c r="BC3855" t="s">
        <v>11230</v>
      </c>
      <c r="BE3855" t="s">
        <v>13785</v>
      </c>
      <c r="BF3855" t="s">
        <v>14364</v>
      </c>
      <c r="BG3855" t="s">
        <v>14410</v>
      </c>
      <c r="BM3855" t="s">
        <v>15650</v>
      </c>
    </row>
    <row r="3856" spans="1:67">
      <c r="A3856" s="1">
        <f>HYPERLINK("https://lsnyc.legalserver.org/matter/dynamic-profile/view/1910350","19-1910350")</f>
        <v>0</v>
      </c>
      <c r="B3856" t="s">
        <v>205</v>
      </c>
      <c r="C3856" t="s">
        <v>248</v>
      </c>
      <c r="D3856" t="s">
        <v>443</v>
      </c>
      <c r="F3856" t="s">
        <v>2574</v>
      </c>
      <c r="G3856" t="s">
        <v>1941</v>
      </c>
      <c r="H3856" t="s">
        <v>6033</v>
      </c>
      <c r="I3856" t="s">
        <v>6420</v>
      </c>
      <c r="J3856" t="s">
        <v>7174</v>
      </c>
      <c r="K3856">
        <v>11212</v>
      </c>
      <c r="N3856" t="s">
        <v>7237</v>
      </c>
      <c r="O3856" t="s">
        <v>9682</v>
      </c>
      <c r="P3856">
        <v>1</v>
      </c>
      <c r="Q3856">
        <v>0</v>
      </c>
      <c r="R3856">
        <v>181.49</v>
      </c>
      <c r="U3856">
        <v>22668</v>
      </c>
      <c r="W3856">
        <v>0.1</v>
      </c>
      <c r="X3856" t="s">
        <v>564</v>
      </c>
      <c r="Y3856" t="s">
        <v>225</v>
      </c>
      <c r="AA3856" t="s">
        <v>10974</v>
      </c>
      <c r="AB3856" t="s">
        <v>433</v>
      </c>
      <c r="AD3856" t="s">
        <v>11100</v>
      </c>
      <c r="AF3856" t="s">
        <v>10384</v>
      </c>
      <c r="AH3856" t="s">
        <v>10974</v>
      </c>
      <c r="AJ3856" t="s">
        <v>11129</v>
      </c>
      <c r="AK3856" t="s">
        <v>7225</v>
      </c>
      <c r="AM3856">
        <v>1400</v>
      </c>
      <c r="AO3856">
        <v>4</v>
      </c>
      <c r="AQ3856" t="s">
        <v>11157</v>
      </c>
      <c r="AS3856" t="s">
        <v>11173</v>
      </c>
      <c r="AU3856">
        <v>4</v>
      </c>
      <c r="AW3856" t="s">
        <v>11187</v>
      </c>
      <c r="AY3856" t="s">
        <v>11213</v>
      </c>
      <c r="BA3856" t="s">
        <v>11222</v>
      </c>
      <c r="BC3856" t="s">
        <v>11173</v>
      </c>
      <c r="BE3856" t="s">
        <v>13786</v>
      </c>
      <c r="BF3856" t="s">
        <v>14364</v>
      </c>
      <c r="BG3856" t="s">
        <v>14410</v>
      </c>
      <c r="BM3856" t="s">
        <v>15650</v>
      </c>
    </row>
    <row r="3857" spans="1:65">
      <c r="A3857" s="1">
        <f>HYPERLINK("https://lsnyc.legalserver.org/matter/dynamic-profile/view/1913939","19-1913939")</f>
        <v>0</v>
      </c>
      <c r="B3857" t="s">
        <v>205</v>
      </c>
      <c r="C3857" t="s">
        <v>248</v>
      </c>
      <c r="D3857" t="s">
        <v>333</v>
      </c>
      <c r="F3857" t="s">
        <v>2575</v>
      </c>
      <c r="G3857" t="s">
        <v>4433</v>
      </c>
      <c r="H3857" t="s">
        <v>6034</v>
      </c>
      <c r="J3857" t="s">
        <v>7174</v>
      </c>
      <c r="K3857">
        <v>11233</v>
      </c>
      <c r="N3857" t="s">
        <v>7237</v>
      </c>
      <c r="O3857" t="s">
        <v>9683</v>
      </c>
      <c r="P3857">
        <v>1</v>
      </c>
      <c r="Q3857">
        <v>0</v>
      </c>
      <c r="R3857">
        <v>51.21</v>
      </c>
      <c r="U3857">
        <v>6396</v>
      </c>
      <c r="W3857">
        <v>4.5</v>
      </c>
      <c r="X3857" t="s">
        <v>264</v>
      </c>
      <c r="Y3857" t="s">
        <v>10877</v>
      </c>
      <c r="Z3857" t="s">
        <v>10972</v>
      </c>
      <c r="AA3857" t="s">
        <v>10976</v>
      </c>
      <c r="AD3857" t="s">
        <v>11083</v>
      </c>
      <c r="AF3857" t="s">
        <v>11121</v>
      </c>
      <c r="AH3857" t="s">
        <v>10975</v>
      </c>
      <c r="AJ3857" t="s">
        <v>11135</v>
      </c>
      <c r="AK3857" t="s">
        <v>7225</v>
      </c>
      <c r="AL3857" t="s">
        <v>11150</v>
      </c>
      <c r="AM3857">
        <v>0</v>
      </c>
      <c r="AO3857">
        <v>2</v>
      </c>
      <c r="AQ3857" t="s">
        <v>11156</v>
      </c>
      <c r="AS3857" t="s">
        <v>11173</v>
      </c>
      <c r="AU3857">
        <v>4</v>
      </c>
      <c r="AW3857" t="s">
        <v>11187</v>
      </c>
      <c r="AX3857" t="s">
        <v>11212</v>
      </c>
      <c r="AZ3857" t="s">
        <v>11221</v>
      </c>
      <c r="BC3857" t="s">
        <v>11173</v>
      </c>
      <c r="BE3857" t="s">
        <v>13787</v>
      </c>
      <c r="BG3857" t="s">
        <v>15291</v>
      </c>
      <c r="BM3857" t="s">
        <v>15650</v>
      </c>
    </row>
    <row r="3858" spans="1:65">
      <c r="A3858" s="1">
        <f>HYPERLINK("https://lsnyc.legalserver.org/matter/dynamic-profile/view/1910351","19-1910351")</f>
        <v>0</v>
      </c>
      <c r="B3858" t="s">
        <v>205</v>
      </c>
      <c r="C3858" t="s">
        <v>248</v>
      </c>
      <c r="D3858" t="s">
        <v>443</v>
      </c>
      <c r="F3858" t="s">
        <v>2576</v>
      </c>
      <c r="G3858" t="s">
        <v>4434</v>
      </c>
      <c r="H3858" t="s">
        <v>6033</v>
      </c>
      <c r="I3858" t="s">
        <v>6430</v>
      </c>
      <c r="J3858" t="s">
        <v>7174</v>
      </c>
      <c r="K3858">
        <v>11212</v>
      </c>
      <c r="N3858" t="s">
        <v>7237</v>
      </c>
      <c r="O3858" t="s">
        <v>9684</v>
      </c>
      <c r="P3858">
        <v>2</v>
      </c>
      <c r="Q3858">
        <v>0</v>
      </c>
      <c r="R3858">
        <v>127.74</v>
      </c>
      <c r="U3858">
        <v>21600</v>
      </c>
      <c r="W3858">
        <v>0.1</v>
      </c>
      <c r="X3858" t="s">
        <v>564</v>
      </c>
      <c r="Y3858" t="s">
        <v>225</v>
      </c>
      <c r="AA3858" t="s">
        <v>10974</v>
      </c>
      <c r="AB3858" t="s">
        <v>433</v>
      </c>
      <c r="AD3858" t="s">
        <v>11100</v>
      </c>
      <c r="AF3858" t="s">
        <v>10384</v>
      </c>
      <c r="AH3858" t="s">
        <v>10974</v>
      </c>
      <c r="AJ3858" t="s">
        <v>11129</v>
      </c>
      <c r="AK3858" t="s">
        <v>7225</v>
      </c>
      <c r="AM3858">
        <v>1326</v>
      </c>
      <c r="AO3858">
        <v>4</v>
      </c>
      <c r="AQ3858" t="s">
        <v>11164</v>
      </c>
      <c r="AS3858" t="s">
        <v>11173</v>
      </c>
      <c r="AU3858">
        <v>9</v>
      </c>
      <c r="AW3858" t="s">
        <v>11187</v>
      </c>
      <c r="AY3858" t="s">
        <v>11213</v>
      </c>
      <c r="BA3858" t="s">
        <v>11222</v>
      </c>
      <c r="BC3858" t="s">
        <v>11228</v>
      </c>
      <c r="BE3858" t="s">
        <v>13788</v>
      </c>
      <c r="BF3858" t="s">
        <v>14364</v>
      </c>
      <c r="BG3858" t="s">
        <v>14410</v>
      </c>
      <c r="BM3858" t="s">
        <v>15650</v>
      </c>
    </row>
    <row r="3859" spans="1:65">
      <c r="A3859" s="1">
        <f>HYPERLINK("https://lsnyc.legalserver.org/matter/dynamic-profile/view/1912978","19-1912978")</f>
        <v>0</v>
      </c>
      <c r="B3859" t="s">
        <v>205</v>
      </c>
      <c r="C3859" t="s">
        <v>248</v>
      </c>
      <c r="D3859" t="s">
        <v>305</v>
      </c>
      <c r="F3859" t="s">
        <v>2577</v>
      </c>
      <c r="G3859" t="s">
        <v>4435</v>
      </c>
      <c r="H3859" t="s">
        <v>6035</v>
      </c>
      <c r="J3859" t="s">
        <v>7174</v>
      </c>
      <c r="K3859">
        <v>11207</v>
      </c>
      <c r="N3859" t="s">
        <v>7238</v>
      </c>
      <c r="O3859" t="s">
        <v>9685</v>
      </c>
      <c r="P3859">
        <v>1</v>
      </c>
      <c r="Q3859">
        <v>1</v>
      </c>
      <c r="R3859">
        <v>143.58</v>
      </c>
      <c r="U3859">
        <v>24280</v>
      </c>
      <c r="W3859">
        <v>3</v>
      </c>
      <c r="X3859" t="s">
        <v>449</v>
      </c>
      <c r="Y3859" t="s">
        <v>225</v>
      </c>
      <c r="AA3859" t="s">
        <v>10974</v>
      </c>
      <c r="AB3859" t="s">
        <v>599</v>
      </c>
      <c r="AD3859" t="s">
        <v>11086</v>
      </c>
      <c r="AF3859" t="s">
        <v>11119</v>
      </c>
      <c r="AH3859" t="s">
        <v>10975</v>
      </c>
      <c r="AJ3859" t="s">
        <v>11141</v>
      </c>
      <c r="AK3859" t="s">
        <v>7225</v>
      </c>
      <c r="AL3859" t="s">
        <v>11150</v>
      </c>
      <c r="AM3859">
        <v>0</v>
      </c>
      <c r="AO3859">
        <v>65</v>
      </c>
      <c r="AQ3859" t="s">
        <v>11161</v>
      </c>
      <c r="AR3859" t="s">
        <v>11172</v>
      </c>
      <c r="AT3859" t="s">
        <v>11184</v>
      </c>
      <c r="AU3859">
        <v>0</v>
      </c>
      <c r="AW3859" t="s">
        <v>11189</v>
      </c>
      <c r="AY3859" t="s">
        <v>11213</v>
      </c>
      <c r="BA3859" t="s">
        <v>11222</v>
      </c>
      <c r="BE3859" t="s">
        <v>13789</v>
      </c>
      <c r="BF3859" t="s">
        <v>14364</v>
      </c>
      <c r="BG3859" t="s">
        <v>14411</v>
      </c>
      <c r="BM3859" t="s">
        <v>15650</v>
      </c>
    </row>
    <row r="3860" spans="1:65">
      <c r="A3860" s="1">
        <f>HYPERLINK("https://lsnyc.legalserver.org/matter/dynamic-profile/view/1836386","17-1836386")</f>
        <v>0</v>
      </c>
      <c r="B3860" t="s">
        <v>205</v>
      </c>
      <c r="C3860" t="s">
        <v>248</v>
      </c>
      <c r="D3860" t="s">
        <v>875</v>
      </c>
      <c r="F3860" t="s">
        <v>1137</v>
      </c>
      <c r="G3860" t="s">
        <v>4436</v>
      </c>
      <c r="H3860" t="s">
        <v>6036</v>
      </c>
      <c r="I3860" t="s">
        <v>6426</v>
      </c>
      <c r="J3860" t="s">
        <v>7174</v>
      </c>
      <c r="K3860">
        <v>11233</v>
      </c>
      <c r="N3860" t="s">
        <v>7237</v>
      </c>
      <c r="O3860" t="s">
        <v>9686</v>
      </c>
      <c r="P3860">
        <v>3</v>
      </c>
      <c r="Q3860">
        <v>0</v>
      </c>
      <c r="R3860">
        <v>82.27</v>
      </c>
      <c r="U3860">
        <v>16800</v>
      </c>
      <c r="W3860">
        <v>99.15000000000001</v>
      </c>
      <c r="X3860" t="s">
        <v>582</v>
      </c>
      <c r="Y3860" t="s">
        <v>10945</v>
      </c>
      <c r="AA3860" t="s">
        <v>10974</v>
      </c>
      <c r="AB3860" t="s">
        <v>875</v>
      </c>
      <c r="AD3860" t="s">
        <v>11096</v>
      </c>
      <c r="AF3860" t="s">
        <v>11122</v>
      </c>
      <c r="AH3860" t="s">
        <v>10974</v>
      </c>
      <c r="AJ3860" t="s">
        <v>11129</v>
      </c>
      <c r="AK3860" t="s">
        <v>7225</v>
      </c>
      <c r="AM3860">
        <v>2350</v>
      </c>
      <c r="AO3860">
        <v>6</v>
      </c>
      <c r="AQ3860" t="s">
        <v>11157</v>
      </c>
      <c r="AS3860" t="s">
        <v>11173</v>
      </c>
      <c r="AU3860">
        <v>1</v>
      </c>
      <c r="AW3860" t="s">
        <v>11187</v>
      </c>
      <c r="AZ3860" t="s">
        <v>11221</v>
      </c>
      <c r="BE3860" t="s">
        <v>13790</v>
      </c>
      <c r="BF3860" t="s">
        <v>14364</v>
      </c>
      <c r="BM3860" t="s">
        <v>15650</v>
      </c>
    </row>
    <row r="3861" spans="1:65">
      <c r="A3861" s="1">
        <f>HYPERLINK("https://lsnyc.legalserver.org/matter/dynamic-profile/view/1913355","19-1913355")</f>
        <v>0</v>
      </c>
      <c r="B3861" t="s">
        <v>205</v>
      </c>
      <c r="C3861" t="s">
        <v>248</v>
      </c>
      <c r="D3861" t="s">
        <v>273</v>
      </c>
      <c r="F3861" t="s">
        <v>1183</v>
      </c>
      <c r="G3861" t="s">
        <v>3236</v>
      </c>
      <c r="H3861" t="s">
        <v>6037</v>
      </c>
      <c r="I3861" t="s">
        <v>6426</v>
      </c>
      <c r="J3861" t="s">
        <v>7174</v>
      </c>
      <c r="K3861">
        <v>11212</v>
      </c>
      <c r="N3861" t="s">
        <v>7237</v>
      </c>
      <c r="O3861" t="s">
        <v>9687</v>
      </c>
      <c r="P3861">
        <v>1</v>
      </c>
      <c r="Q3861">
        <v>0</v>
      </c>
      <c r="R3861">
        <v>0</v>
      </c>
      <c r="U3861">
        <v>0</v>
      </c>
      <c r="W3861">
        <v>3</v>
      </c>
      <c r="X3861" t="s">
        <v>264</v>
      </c>
      <c r="Y3861" t="s">
        <v>101</v>
      </c>
      <c r="Z3861" t="s">
        <v>10972</v>
      </c>
      <c r="AA3861" t="s">
        <v>10976</v>
      </c>
      <c r="AD3861" t="s">
        <v>11083</v>
      </c>
      <c r="AF3861" t="s">
        <v>11121</v>
      </c>
      <c r="AH3861" t="s">
        <v>10975</v>
      </c>
      <c r="AJ3861" t="s">
        <v>11139</v>
      </c>
      <c r="AK3861" t="s">
        <v>7225</v>
      </c>
      <c r="AM3861">
        <v>1400</v>
      </c>
      <c r="AO3861">
        <v>4</v>
      </c>
      <c r="AQ3861" t="s">
        <v>11156</v>
      </c>
      <c r="AS3861" t="s">
        <v>11173</v>
      </c>
      <c r="AU3861">
        <v>3</v>
      </c>
      <c r="AW3861" t="s">
        <v>11187</v>
      </c>
      <c r="AX3861" t="s">
        <v>11212</v>
      </c>
      <c r="AZ3861" t="s">
        <v>11221</v>
      </c>
      <c r="BE3861" t="s">
        <v>13791</v>
      </c>
      <c r="BG3861" t="s">
        <v>15292</v>
      </c>
      <c r="BM3861" t="s">
        <v>15650</v>
      </c>
    </row>
    <row r="3862" spans="1:65">
      <c r="A3862" s="1">
        <f>HYPERLINK("https://lsnyc.legalserver.org/matter/dynamic-profile/view/1901300","19-1901300")</f>
        <v>0</v>
      </c>
      <c r="B3862" t="s">
        <v>205</v>
      </c>
      <c r="C3862" t="s">
        <v>248</v>
      </c>
      <c r="D3862" t="s">
        <v>589</v>
      </c>
      <c r="F3862" t="s">
        <v>1839</v>
      </c>
      <c r="G3862" t="s">
        <v>4432</v>
      </c>
      <c r="H3862" t="s">
        <v>6033</v>
      </c>
      <c r="I3862" t="s">
        <v>6408</v>
      </c>
      <c r="J3862" t="s">
        <v>7174</v>
      </c>
      <c r="K3862">
        <v>11212</v>
      </c>
      <c r="N3862" t="s">
        <v>7237</v>
      </c>
      <c r="O3862" t="s">
        <v>9681</v>
      </c>
      <c r="P3862">
        <v>2</v>
      </c>
      <c r="Q3862">
        <v>0</v>
      </c>
      <c r="R3862">
        <v>49.67</v>
      </c>
      <c r="U3862">
        <v>8400</v>
      </c>
      <c r="W3862">
        <v>0.5</v>
      </c>
      <c r="X3862" t="s">
        <v>1075</v>
      </c>
      <c r="Y3862" t="s">
        <v>225</v>
      </c>
      <c r="AA3862" t="s">
        <v>10974</v>
      </c>
      <c r="AB3862" t="s">
        <v>10990</v>
      </c>
      <c r="AD3862" t="s">
        <v>11085</v>
      </c>
      <c r="AF3862" t="s">
        <v>11118</v>
      </c>
      <c r="AH3862" t="s">
        <v>10974</v>
      </c>
      <c r="AJ3862" t="s">
        <v>11129</v>
      </c>
      <c r="AK3862" t="s">
        <v>7225</v>
      </c>
      <c r="AM3862">
        <v>1253</v>
      </c>
      <c r="AO3862">
        <v>6</v>
      </c>
      <c r="AQ3862" t="s">
        <v>11164</v>
      </c>
      <c r="AS3862" t="s">
        <v>11174</v>
      </c>
      <c r="AU3862">
        <v>3</v>
      </c>
      <c r="AW3862" t="s">
        <v>11187</v>
      </c>
      <c r="AY3862" t="s">
        <v>11213</v>
      </c>
      <c r="BA3862" t="s">
        <v>11222</v>
      </c>
      <c r="BE3862" t="s">
        <v>13785</v>
      </c>
      <c r="BF3862" t="s">
        <v>14364</v>
      </c>
      <c r="BG3862" t="s">
        <v>15293</v>
      </c>
      <c r="BM3862" t="s">
        <v>15650</v>
      </c>
    </row>
    <row r="3863" spans="1:65">
      <c r="A3863" s="1">
        <f>HYPERLINK("https://lsnyc.legalserver.org/matter/dynamic-profile/view/1901313","19-1901313")</f>
        <v>0</v>
      </c>
      <c r="B3863" t="s">
        <v>205</v>
      </c>
      <c r="C3863" t="s">
        <v>248</v>
      </c>
      <c r="D3863" t="s">
        <v>589</v>
      </c>
      <c r="F3863" t="s">
        <v>2576</v>
      </c>
      <c r="G3863" t="s">
        <v>4434</v>
      </c>
      <c r="H3863" t="s">
        <v>6033</v>
      </c>
      <c r="I3863" t="s">
        <v>6430</v>
      </c>
      <c r="J3863" t="s">
        <v>7174</v>
      </c>
      <c r="K3863">
        <v>11212</v>
      </c>
      <c r="N3863" t="s">
        <v>7237</v>
      </c>
      <c r="O3863" t="s">
        <v>9684</v>
      </c>
      <c r="P3863">
        <v>2</v>
      </c>
      <c r="Q3863">
        <v>0</v>
      </c>
      <c r="R3863">
        <v>127.74</v>
      </c>
      <c r="U3863">
        <v>21600</v>
      </c>
      <c r="W3863">
        <v>0.5</v>
      </c>
      <c r="X3863" t="s">
        <v>1075</v>
      </c>
      <c r="Y3863" t="s">
        <v>225</v>
      </c>
      <c r="AA3863" t="s">
        <v>10974</v>
      </c>
      <c r="AB3863" t="s">
        <v>10990</v>
      </c>
      <c r="AD3863" t="s">
        <v>11085</v>
      </c>
      <c r="AF3863" t="s">
        <v>11118</v>
      </c>
      <c r="AH3863" t="s">
        <v>10974</v>
      </c>
      <c r="AJ3863" t="s">
        <v>11129</v>
      </c>
      <c r="AK3863" t="s">
        <v>7225</v>
      </c>
      <c r="AM3863">
        <v>1326</v>
      </c>
      <c r="AO3863">
        <v>4</v>
      </c>
      <c r="AQ3863" t="s">
        <v>11164</v>
      </c>
      <c r="AS3863" t="s">
        <v>11173</v>
      </c>
      <c r="AU3863">
        <v>9</v>
      </c>
      <c r="AW3863" t="s">
        <v>11187</v>
      </c>
      <c r="AY3863" t="s">
        <v>11213</v>
      </c>
      <c r="BA3863" t="s">
        <v>11222</v>
      </c>
      <c r="BE3863" t="s">
        <v>13788</v>
      </c>
      <c r="BF3863" t="s">
        <v>14364</v>
      </c>
      <c r="BG3863" t="s">
        <v>15293</v>
      </c>
      <c r="BM3863" t="s">
        <v>15650</v>
      </c>
    </row>
    <row r="3864" spans="1:65">
      <c r="A3864" s="1">
        <f>HYPERLINK("https://lsnyc.legalserver.org/matter/dynamic-profile/view/0831319","17-0831319")</f>
        <v>0</v>
      </c>
      <c r="B3864" t="s">
        <v>205</v>
      </c>
      <c r="C3864" t="s">
        <v>248</v>
      </c>
      <c r="D3864" t="s">
        <v>1013</v>
      </c>
      <c r="F3864" t="s">
        <v>2574</v>
      </c>
      <c r="G3864" t="s">
        <v>1941</v>
      </c>
      <c r="H3864" t="s">
        <v>6033</v>
      </c>
      <c r="I3864" t="s">
        <v>6420</v>
      </c>
      <c r="J3864" t="s">
        <v>7174</v>
      </c>
      <c r="K3864">
        <v>11212</v>
      </c>
      <c r="N3864" t="s">
        <v>7237</v>
      </c>
      <c r="O3864" t="s">
        <v>9682</v>
      </c>
      <c r="P3864">
        <v>3</v>
      </c>
      <c r="Q3864">
        <v>0</v>
      </c>
      <c r="R3864">
        <v>111.01</v>
      </c>
      <c r="U3864">
        <v>22668</v>
      </c>
      <c r="W3864">
        <v>212.65</v>
      </c>
      <c r="X3864" t="s">
        <v>301</v>
      </c>
      <c r="Y3864" t="s">
        <v>10901</v>
      </c>
      <c r="AA3864" t="s">
        <v>10974</v>
      </c>
      <c r="AB3864" t="s">
        <v>10990</v>
      </c>
      <c r="AD3864" t="s">
        <v>11085</v>
      </c>
      <c r="AF3864" t="s">
        <v>11118</v>
      </c>
      <c r="AH3864" t="s">
        <v>10974</v>
      </c>
      <c r="AJ3864" t="s">
        <v>11131</v>
      </c>
      <c r="AK3864" t="s">
        <v>7225</v>
      </c>
      <c r="AM3864">
        <v>1400</v>
      </c>
      <c r="AO3864">
        <v>4</v>
      </c>
      <c r="AQ3864" t="s">
        <v>11164</v>
      </c>
      <c r="AS3864" t="s">
        <v>11173</v>
      </c>
      <c r="AU3864">
        <v>4</v>
      </c>
      <c r="AW3864" t="s">
        <v>11187</v>
      </c>
      <c r="AY3864" t="s">
        <v>11213</v>
      </c>
      <c r="BA3864" t="s">
        <v>11222</v>
      </c>
      <c r="BE3864" t="s">
        <v>13786</v>
      </c>
      <c r="BF3864" t="s">
        <v>14364</v>
      </c>
      <c r="BG3864" t="s">
        <v>15293</v>
      </c>
      <c r="BM3864" t="s">
        <v>15650</v>
      </c>
    </row>
    <row r="3865" spans="1:65">
      <c r="A3865" s="1">
        <f>HYPERLINK("https://lsnyc.legalserver.org/matter/dynamic-profile/view/0816161","16-0816161")</f>
        <v>0</v>
      </c>
      <c r="B3865" t="s">
        <v>206</v>
      </c>
      <c r="C3865" t="s">
        <v>248</v>
      </c>
      <c r="D3865" t="s">
        <v>1014</v>
      </c>
      <c r="F3865" t="s">
        <v>2578</v>
      </c>
      <c r="G3865" t="s">
        <v>1827</v>
      </c>
      <c r="H3865" t="s">
        <v>6038</v>
      </c>
      <c r="I3865" t="s">
        <v>6466</v>
      </c>
      <c r="J3865" t="s">
        <v>7174</v>
      </c>
      <c r="K3865">
        <v>11238</v>
      </c>
      <c r="M3865" t="s">
        <v>7235</v>
      </c>
      <c r="N3865" t="s">
        <v>7237</v>
      </c>
      <c r="O3865" t="s">
        <v>9688</v>
      </c>
      <c r="P3865">
        <v>1</v>
      </c>
      <c r="Q3865">
        <v>1</v>
      </c>
      <c r="R3865">
        <v>186.64</v>
      </c>
      <c r="U3865">
        <v>29900</v>
      </c>
      <c r="V3865" t="s">
        <v>10730</v>
      </c>
      <c r="W3865">
        <v>148.6</v>
      </c>
      <c r="X3865" t="s">
        <v>570</v>
      </c>
      <c r="Y3865" t="s">
        <v>206</v>
      </c>
      <c r="AA3865" t="s">
        <v>10974</v>
      </c>
      <c r="AB3865" t="s">
        <v>10982</v>
      </c>
      <c r="AD3865" t="s">
        <v>11082</v>
      </c>
      <c r="AF3865" t="s">
        <v>11118</v>
      </c>
      <c r="AG3865" t="s">
        <v>11124</v>
      </c>
      <c r="AJ3865" t="s">
        <v>11132</v>
      </c>
      <c r="AK3865" t="s">
        <v>7225</v>
      </c>
      <c r="AM3865">
        <v>887.83</v>
      </c>
      <c r="AO3865">
        <v>24</v>
      </c>
      <c r="AQ3865" t="s">
        <v>11157</v>
      </c>
      <c r="AR3865" t="s">
        <v>11172</v>
      </c>
      <c r="AU3865">
        <v>14</v>
      </c>
      <c r="AW3865" t="s">
        <v>11187</v>
      </c>
      <c r="AZ3865" t="s">
        <v>11221</v>
      </c>
      <c r="BE3865" t="s">
        <v>13792</v>
      </c>
      <c r="BG3865" t="s">
        <v>15294</v>
      </c>
      <c r="BM3865" t="s">
        <v>15650</v>
      </c>
    </row>
    <row r="3866" spans="1:65">
      <c r="A3866" s="1">
        <f>HYPERLINK("https://lsnyc.legalserver.org/matter/dynamic-profile/view/0823816","17-0823816")</f>
        <v>0</v>
      </c>
      <c r="B3866" t="s">
        <v>206</v>
      </c>
      <c r="C3866" t="s">
        <v>248</v>
      </c>
      <c r="D3866" t="s">
        <v>998</v>
      </c>
      <c r="F3866" t="s">
        <v>2579</v>
      </c>
      <c r="G3866" t="s">
        <v>4437</v>
      </c>
      <c r="H3866" t="s">
        <v>6039</v>
      </c>
      <c r="I3866" t="s">
        <v>7065</v>
      </c>
      <c r="J3866" t="s">
        <v>7174</v>
      </c>
      <c r="K3866">
        <v>11224</v>
      </c>
      <c r="N3866" t="s">
        <v>7241</v>
      </c>
      <c r="O3866" t="s">
        <v>9689</v>
      </c>
      <c r="P3866">
        <v>1</v>
      </c>
      <c r="Q3866">
        <v>0</v>
      </c>
      <c r="R3866">
        <v>117.78</v>
      </c>
      <c r="S3866" t="s">
        <v>10256</v>
      </c>
      <c r="T3866" t="s">
        <v>10277</v>
      </c>
      <c r="U3866">
        <v>13992</v>
      </c>
      <c r="W3866">
        <v>57.25</v>
      </c>
      <c r="X3866" t="s">
        <v>10850</v>
      </c>
      <c r="Y3866" t="s">
        <v>10962</v>
      </c>
      <c r="AA3866" t="s">
        <v>10974</v>
      </c>
      <c r="AB3866" t="s">
        <v>809</v>
      </c>
      <c r="AD3866" t="s">
        <v>11082</v>
      </c>
      <c r="AF3866" t="s">
        <v>11118</v>
      </c>
      <c r="AG3866" t="s">
        <v>11124</v>
      </c>
      <c r="AI3866" t="s">
        <v>11126</v>
      </c>
      <c r="AK3866" t="s">
        <v>7225</v>
      </c>
      <c r="AM3866">
        <v>2092</v>
      </c>
      <c r="AO3866">
        <v>100</v>
      </c>
      <c r="AQ3866" t="s">
        <v>11161</v>
      </c>
      <c r="AS3866" t="s">
        <v>11174</v>
      </c>
      <c r="AU3866">
        <v>22</v>
      </c>
      <c r="AW3866" t="s">
        <v>11187</v>
      </c>
      <c r="AZ3866" t="s">
        <v>11221</v>
      </c>
      <c r="BB3866" t="s">
        <v>11224</v>
      </c>
      <c r="BC3866" t="s">
        <v>11556</v>
      </c>
      <c r="BD3866" t="s">
        <v>11667</v>
      </c>
      <c r="BG3866" t="s">
        <v>15295</v>
      </c>
      <c r="BM3866" t="s">
        <v>15650</v>
      </c>
    </row>
    <row r="3867" spans="1:65">
      <c r="A3867" s="1">
        <f>HYPERLINK("https://lsnyc.legalserver.org/matter/dynamic-profile/view/0816170","16-0816170")</f>
        <v>0</v>
      </c>
      <c r="B3867" t="s">
        <v>206</v>
      </c>
      <c r="C3867" t="s">
        <v>248</v>
      </c>
      <c r="D3867" t="s">
        <v>1014</v>
      </c>
      <c r="F3867" t="s">
        <v>1713</v>
      </c>
      <c r="G3867" t="s">
        <v>4438</v>
      </c>
      <c r="H3867" t="s">
        <v>6040</v>
      </c>
      <c r="I3867" t="s">
        <v>6423</v>
      </c>
      <c r="J3867" t="s">
        <v>7174</v>
      </c>
      <c r="K3867">
        <v>11238</v>
      </c>
      <c r="M3867" t="s">
        <v>7235</v>
      </c>
      <c r="N3867" t="s">
        <v>7237</v>
      </c>
      <c r="O3867" t="s">
        <v>8057</v>
      </c>
      <c r="P3867">
        <v>2</v>
      </c>
      <c r="Q3867">
        <v>0</v>
      </c>
      <c r="R3867">
        <v>243.45</v>
      </c>
      <c r="U3867">
        <v>39000</v>
      </c>
      <c r="W3867">
        <v>92.05</v>
      </c>
      <c r="X3867" t="s">
        <v>656</v>
      </c>
      <c r="Y3867" t="s">
        <v>206</v>
      </c>
      <c r="AA3867" t="s">
        <v>10974</v>
      </c>
      <c r="AB3867" t="s">
        <v>11071</v>
      </c>
      <c r="AD3867" t="s">
        <v>11082</v>
      </c>
      <c r="AF3867" t="s">
        <v>11118</v>
      </c>
      <c r="AG3867" t="s">
        <v>11124</v>
      </c>
      <c r="AJ3867" t="s">
        <v>11132</v>
      </c>
      <c r="AK3867" t="s">
        <v>7225</v>
      </c>
      <c r="AM3867">
        <v>896.88</v>
      </c>
      <c r="AN3867" t="s">
        <v>11151</v>
      </c>
      <c r="AO3867" t="s">
        <v>11153</v>
      </c>
      <c r="AQ3867" t="s">
        <v>11157</v>
      </c>
      <c r="AR3867" t="s">
        <v>11172</v>
      </c>
      <c r="AT3867" t="s">
        <v>11184</v>
      </c>
      <c r="AU3867">
        <v>0</v>
      </c>
      <c r="AW3867" t="s">
        <v>11187</v>
      </c>
      <c r="AZ3867" t="s">
        <v>11221</v>
      </c>
      <c r="BE3867" t="s">
        <v>13793</v>
      </c>
      <c r="BF3867" t="s">
        <v>14364</v>
      </c>
      <c r="BG3867" t="s">
        <v>15296</v>
      </c>
      <c r="BM3867" t="s">
        <v>15650</v>
      </c>
    </row>
    <row r="3868" spans="1:65">
      <c r="A3868" s="1">
        <f>HYPERLINK("https://lsnyc.legalserver.org/matter/dynamic-profile/view/0832329","17-0832329")</f>
        <v>0</v>
      </c>
      <c r="B3868" t="s">
        <v>206</v>
      </c>
      <c r="C3868" t="s">
        <v>248</v>
      </c>
      <c r="D3868" t="s">
        <v>1015</v>
      </c>
      <c r="F3868" t="s">
        <v>1157</v>
      </c>
      <c r="G3868" t="s">
        <v>2877</v>
      </c>
      <c r="H3868" t="s">
        <v>5021</v>
      </c>
      <c r="I3868" t="s">
        <v>6413</v>
      </c>
      <c r="J3868" t="s">
        <v>7174</v>
      </c>
      <c r="K3868">
        <v>11239</v>
      </c>
      <c r="N3868" t="s">
        <v>7237</v>
      </c>
      <c r="O3868" t="s">
        <v>8076</v>
      </c>
      <c r="P3868">
        <v>1</v>
      </c>
      <c r="Q3868">
        <v>0</v>
      </c>
      <c r="R3868">
        <v>81.79000000000001</v>
      </c>
      <c r="S3868" t="s">
        <v>534</v>
      </c>
      <c r="U3868">
        <v>9864</v>
      </c>
      <c r="W3868">
        <v>49.95</v>
      </c>
      <c r="X3868" t="s">
        <v>995</v>
      </c>
      <c r="Y3868" t="s">
        <v>10876</v>
      </c>
      <c r="AA3868" t="s">
        <v>10974</v>
      </c>
      <c r="AB3868" t="s">
        <v>10990</v>
      </c>
      <c r="AD3868" t="s">
        <v>11082</v>
      </c>
      <c r="AF3868" t="s">
        <v>11118</v>
      </c>
      <c r="AH3868" t="s">
        <v>10975</v>
      </c>
      <c r="AJ3868" t="s">
        <v>11136</v>
      </c>
      <c r="AK3868" t="s">
        <v>7225</v>
      </c>
      <c r="AM3868">
        <v>292</v>
      </c>
      <c r="AO3868">
        <v>170</v>
      </c>
      <c r="AQ3868" t="s">
        <v>11157</v>
      </c>
      <c r="AS3868" t="s">
        <v>11179</v>
      </c>
      <c r="AU3868">
        <v>30</v>
      </c>
      <c r="AW3868" t="s">
        <v>11187</v>
      </c>
      <c r="AZ3868" t="s">
        <v>11221</v>
      </c>
      <c r="BE3868" t="s">
        <v>13794</v>
      </c>
      <c r="BG3868" t="s">
        <v>15297</v>
      </c>
      <c r="BM3868" t="s">
        <v>15650</v>
      </c>
    </row>
    <row r="3869" spans="1:65">
      <c r="A3869" s="1">
        <f>HYPERLINK("https://lsnyc.legalserver.org/matter/dynamic-profile/view/1848912","17-1848912")</f>
        <v>0</v>
      </c>
      <c r="B3869" t="s">
        <v>206</v>
      </c>
      <c r="C3869" t="s">
        <v>248</v>
      </c>
      <c r="D3869" t="s">
        <v>704</v>
      </c>
      <c r="F3869" t="s">
        <v>1736</v>
      </c>
      <c r="G3869" t="s">
        <v>3735</v>
      </c>
      <c r="H3869" t="s">
        <v>6041</v>
      </c>
      <c r="J3869" t="s">
        <v>7174</v>
      </c>
      <c r="K3869">
        <v>11215</v>
      </c>
      <c r="N3869" t="s">
        <v>7237</v>
      </c>
      <c r="O3869" t="s">
        <v>9690</v>
      </c>
      <c r="P3869">
        <v>4</v>
      </c>
      <c r="Q3869">
        <v>0</v>
      </c>
      <c r="R3869">
        <v>68.29000000000001</v>
      </c>
      <c r="U3869">
        <v>16800</v>
      </c>
      <c r="V3869" t="s">
        <v>10731</v>
      </c>
      <c r="W3869">
        <v>18.75</v>
      </c>
      <c r="X3869" t="s">
        <v>725</v>
      </c>
      <c r="Y3869" t="s">
        <v>206</v>
      </c>
      <c r="AA3869" t="s">
        <v>10974</v>
      </c>
      <c r="AB3869" t="s">
        <v>374</v>
      </c>
      <c r="AD3869" t="s">
        <v>11101</v>
      </c>
      <c r="AF3869" t="s">
        <v>11118</v>
      </c>
      <c r="AH3869" t="s">
        <v>10975</v>
      </c>
      <c r="AI3869" t="s">
        <v>11126</v>
      </c>
      <c r="AK3869" t="s">
        <v>7225</v>
      </c>
      <c r="AM3869">
        <v>1046</v>
      </c>
      <c r="AO3869">
        <v>8</v>
      </c>
      <c r="AP3869" t="s">
        <v>11155</v>
      </c>
      <c r="AR3869" t="s">
        <v>11172</v>
      </c>
      <c r="AU3869">
        <v>27</v>
      </c>
      <c r="AW3869" t="s">
        <v>11189</v>
      </c>
      <c r="AZ3869" t="s">
        <v>11221</v>
      </c>
      <c r="BD3869" t="s">
        <v>11667</v>
      </c>
      <c r="BF3869" t="s">
        <v>14364</v>
      </c>
      <c r="BG3869" t="s">
        <v>15298</v>
      </c>
      <c r="BM3869" t="s">
        <v>15650</v>
      </c>
    </row>
    <row r="3870" spans="1:65">
      <c r="A3870" s="1">
        <f>HYPERLINK("https://lsnyc.legalserver.org/matter/dynamic-profile/view/0832916","17-0832916")</f>
        <v>0</v>
      </c>
      <c r="B3870" t="s">
        <v>206</v>
      </c>
      <c r="C3870" t="s">
        <v>248</v>
      </c>
      <c r="D3870" t="s">
        <v>254</v>
      </c>
      <c r="F3870" t="s">
        <v>2580</v>
      </c>
      <c r="G3870" t="s">
        <v>4439</v>
      </c>
      <c r="H3870" t="s">
        <v>6038</v>
      </c>
      <c r="I3870" t="s">
        <v>6774</v>
      </c>
      <c r="J3870" t="s">
        <v>7174</v>
      </c>
      <c r="K3870">
        <v>11238</v>
      </c>
      <c r="M3870" t="s">
        <v>7235</v>
      </c>
      <c r="N3870" t="s">
        <v>7237</v>
      </c>
      <c r="O3870" t="s">
        <v>9691</v>
      </c>
      <c r="P3870">
        <v>1</v>
      </c>
      <c r="Q3870">
        <v>2</v>
      </c>
      <c r="R3870">
        <v>416.26</v>
      </c>
      <c r="U3870">
        <v>85000</v>
      </c>
      <c r="W3870">
        <v>78.34999999999999</v>
      </c>
      <c r="X3870" t="s">
        <v>10805</v>
      </c>
      <c r="Y3870" t="s">
        <v>10874</v>
      </c>
      <c r="AA3870" t="s">
        <v>10974</v>
      </c>
      <c r="AD3870" t="s">
        <v>11082</v>
      </c>
      <c r="AF3870" t="s">
        <v>11118</v>
      </c>
      <c r="AH3870" t="s">
        <v>10975</v>
      </c>
      <c r="AJ3870" t="s">
        <v>11104</v>
      </c>
      <c r="AK3870" t="s">
        <v>7225</v>
      </c>
      <c r="AL3870" t="s">
        <v>11150</v>
      </c>
      <c r="AM3870">
        <v>0</v>
      </c>
      <c r="AO3870">
        <v>24</v>
      </c>
      <c r="AQ3870" t="s">
        <v>11157</v>
      </c>
      <c r="AS3870" t="s">
        <v>11173</v>
      </c>
      <c r="AU3870">
        <v>14</v>
      </c>
      <c r="AW3870" t="s">
        <v>11187</v>
      </c>
      <c r="AX3870" t="s">
        <v>11212</v>
      </c>
      <c r="AZ3870" t="s">
        <v>11221</v>
      </c>
      <c r="BE3870" t="s">
        <v>13795</v>
      </c>
      <c r="BG3870" t="s">
        <v>15299</v>
      </c>
      <c r="BM3870" t="s">
        <v>15650</v>
      </c>
    </row>
    <row r="3871" spans="1:65">
      <c r="A3871" s="1">
        <f>HYPERLINK("https://lsnyc.legalserver.org/matter/dynamic-profile/view/1864503","18-1864503")</f>
        <v>0</v>
      </c>
      <c r="B3871" t="s">
        <v>207</v>
      </c>
      <c r="C3871" t="s">
        <v>245</v>
      </c>
      <c r="D3871" t="s">
        <v>823</v>
      </c>
      <c r="F3871" t="s">
        <v>2581</v>
      </c>
      <c r="G3871" t="s">
        <v>4440</v>
      </c>
      <c r="H3871" t="s">
        <v>4776</v>
      </c>
      <c r="I3871">
        <v>511</v>
      </c>
      <c r="J3871" t="s">
        <v>7169</v>
      </c>
      <c r="K3871">
        <v>10029</v>
      </c>
      <c r="N3871" t="s">
        <v>7237</v>
      </c>
      <c r="O3871" t="s">
        <v>8296</v>
      </c>
      <c r="P3871">
        <v>2</v>
      </c>
      <c r="Q3871">
        <v>1</v>
      </c>
      <c r="R3871">
        <v>81.81</v>
      </c>
      <c r="U3871">
        <v>17000</v>
      </c>
      <c r="W3871">
        <v>5.05</v>
      </c>
      <c r="X3871" t="s">
        <v>421</v>
      </c>
      <c r="Y3871" t="s">
        <v>10859</v>
      </c>
      <c r="AA3871" t="s">
        <v>10974</v>
      </c>
      <c r="AB3871" t="s">
        <v>823</v>
      </c>
      <c r="AD3871" t="s">
        <v>11101</v>
      </c>
      <c r="AF3871" t="s">
        <v>11118</v>
      </c>
      <c r="AH3871" t="s">
        <v>10974</v>
      </c>
      <c r="AJ3871" t="s">
        <v>11134</v>
      </c>
      <c r="AK3871" t="s">
        <v>7225</v>
      </c>
      <c r="AL3871" t="s">
        <v>11150</v>
      </c>
      <c r="AM3871">
        <v>0</v>
      </c>
      <c r="AO3871">
        <v>108</v>
      </c>
      <c r="AQ3871" t="s">
        <v>11161</v>
      </c>
      <c r="AS3871" t="s">
        <v>11174</v>
      </c>
      <c r="AU3871">
        <v>33</v>
      </c>
      <c r="AW3871" t="s">
        <v>11187</v>
      </c>
      <c r="AY3871" t="s">
        <v>11213</v>
      </c>
      <c r="AZ3871" t="s">
        <v>11221</v>
      </c>
      <c r="BE3871" t="s">
        <v>13796</v>
      </c>
      <c r="BF3871" t="s">
        <v>14364</v>
      </c>
      <c r="BG3871" t="s">
        <v>14872</v>
      </c>
      <c r="BM3871" t="s">
        <v>15650</v>
      </c>
    </row>
    <row r="3872" spans="1:65">
      <c r="A3872" s="1">
        <f>HYPERLINK("https://lsnyc.legalserver.org/matter/dynamic-profile/view/0829654","17-0829654")</f>
        <v>0</v>
      </c>
      <c r="B3872" t="s">
        <v>207</v>
      </c>
      <c r="C3872" t="s">
        <v>245</v>
      </c>
      <c r="D3872" t="s">
        <v>1016</v>
      </c>
      <c r="F3872" t="s">
        <v>1473</v>
      </c>
      <c r="G3872" t="s">
        <v>4441</v>
      </c>
      <c r="H3872" t="s">
        <v>6042</v>
      </c>
      <c r="I3872" t="s">
        <v>6640</v>
      </c>
      <c r="J3872" t="s">
        <v>7169</v>
      </c>
      <c r="K3872">
        <v>10024</v>
      </c>
      <c r="N3872" t="s">
        <v>7237</v>
      </c>
      <c r="O3872" t="s">
        <v>9692</v>
      </c>
      <c r="P3872">
        <v>1</v>
      </c>
      <c r="Q3872">
        <v>0</v>
      </c>
      <c r="R3872">
        <v>414.59</v>
      </c>
      <c r="U3872">
        <v>50000</v>
      </c>
      <c r="W3872">
        <v>80</v>
      </c>
      <c r="X3872" t="s">
        <v>571</v>
      </c>
      <c r="Y3872" t="s">
        <v>10859</v>
      </c>
      <c r="AA3872" t="s">
        <v>10974</v>
      </c>
      <c r="AB3872" t="s">
        <v>11043</v>
      </c>
      <c r="AD3872" t="s">
        <v>11101</v>
      </c>
      <c r="AF3872" t="s">
        <v>11118</v>
      </c>
      <c r="AH3872" t="s">
        <v>10974</v>
      </c>
      <c r="AJ3872" t="s">
        <v>11134</v>
      </c>
      <c r="AK3872" t="s">
        <v>7225</v>
      </c>
      <c r="AM3872">
        <v>894.33</v>
      </c>
      <c r="AO3872">
        <v>12</v>
      </c>
      <c r="AQ3872" t="s">
        <v>11157</v>
      </c>
      <c r="AS3872" t="s">
        <v>11173</v>
      </c>
      <c r="AU3872">
        <v>33</v>
      </c>
      <c r="AW3872" t="s">
        <v>11187</v>
      </c>
      <c r="AZ3872" t="s">
        <v>11221</v>
      </c>
      <c r="BE3872" t="s">
        <v>13797</v>
      </c>
      <c r="BG3872" t="s">
        <v>15300</v>
      </c>
      <c r="BM3872" t="s">
        <v>15650</v>
      </c>
    </row>
    <row r="3873" spans="1:67">
      <c r="A3873" s="1">
        <f>HYPERLINK("https://lsnyc.legalserver.org/matter/dynamic-profile/view/0823487","16-0823487")</f>
        <v>0</v>
      </c>
      <c r="B3873" t="s">
        <v>207</v>
      </c>
      <c r="C3873" t="s">
        <v>245</v>
      </c>
      <c r="D3873" t="s">
        <v>698</v>
      </c>
      <c r="F3873" t="s">
        <v>1280</v>
      </c>
      <c r="G3873" t="s">
        <v>2885</v>
      </c>
      <c r="H3873" t="s">
        <v>6043</v>
      </c>
      <c r="I3873">
        <v>4</v>
      </c>
      <c r="J3873" t="s">
        <v>7169</v>
      </c>
      <c r="K3873">
        <v>10029</v>
      </c>
      <c r="N3873" t="s">
        <v>7237</v>
      </c>
      <c r="O3873" t="s">
        <v>7735</v>
      </c>
      <c r="P3873">
        <v>2</v>
      </c>
      <c r="Q3873">
        <v>0</v>
      </c>
      <c r="R3873">
        <v>93.63</v>
      </c>
      <c r="U3873">
        <v>15000</v>
      </c>
      <c r="W3873">
        <v>14.35</v>
      </c>
      <c r="X3873" t="s">
        <v>674</v>
      </c>
      <c r="Y3873" t="s">
        <v>10875</v>
      </c>
      <c r="AA3873" t="s">
        <v>10974</v>
      </c>
      <c r="AB3873" t="s">
        <v>10269</v>
      </c>
      <c r="AD3873" t="s">
        <v>11086</v>
      </c>
      <c r="AF3873" t="s">
        <v>11119</v>
      </c>
      <c r="AH3873" t="s">
        <v>10975</v>
      </c>
      <c r="AJ3873" t="s">
        <v>11144</v>
      </c>
      <c r="AK3873" t="s">
        <v>7225</v>
      </c>
      <c r="AM3873">
        <v>180.93</v>
      </c>
      <c r="AO3873">
        <v>22</v>
      </c>
      <c r="AQ3873" t="s">
        <v>11160</v>
      </c>
      <c r="AS3873" t="s">
        <v>11173</v>
      </c>
      <c r="AU3873">
        <v>35</v>
      </c>
      <c r="AW3873" t="s">
        <v>11187</v>
      </c>
      <c r="AZ3873" t="s">
        <v>11221</v>
      </c>
      <c r="BE3873" t="s">
        <v>13798</v>
      </c>
      <c r="BF3873" t="s">
        <v>14364</v>
      </c>
      <c r="BM3873" t="s">
        <v>15650</v>
      </c>
    </row>
    <row r="3874" spans="1:67">
      <c r="A3874" s="1">
        <f>HYPERLINK("https://lsnyc.legalserver.org/matter/dynamic-profile/view/1864522","18-1864522")</f>
        <v>0</v>
      </c>
      <c r="B3874" t="s">
        <v>207</v>
      </c>
      <c r="C3874" t="s">
        <v>245</v>
      </c>
      <c r="D3874" t="s">
        <v>823</v>
      </c>
      <c r="F3874" t="s">
        <v>2582</v>
      </c>
      <c r="G3874" t="s">
        <v>2985</v>
      </c>
      <c r="H3874" t="s">
        <v>4776</v>
      </c>
      <c r="I3874">
        <v>202</v>
      </c>
      <c r="J3874" t="s">
        <v>7169</v>
      </c>
      <c r="K3874">
        <v>10029</v>
      </c>
      <c r="N3874" t="s">
        <v>7237</v>
      </c>
      <c r="O3874" t="s">
        <v>9693</v>
      </c>
      <c r="P3874">
        <v>1</v>
      </c>
      <c r="Q3874">
        <v>1</v>
      </c>
      <c r="R3874">
        <v>72.90000000000001</v>
      </c>
      <c r="U3874">
        <v>12000</v>
      </c>
      <c r="W3874">
        <v>0.25</v>
      </c>
      <c r="X3874" t="s">
        <v>666</v>
      </c>
      <c r="Y3874" t="s">
        <v>10859</v>
      </c>
      <c r="AA3874" t="s">
        <v>10974</v>
      </c>
      <c r="AB3874" t="s">
        <v>823</v>
      </c>
      <c r="AD3874" t="s">
        <v>11101</v>
      </c>
      <c r="AF3874" t="s">
        <v>11118</v>
      </c>
      <c r="AH3874" t="s">
        <v>10974</v>
      </c>
      <c r="AJ3874" t="s">
        <v>11134</v>
      </c>
      <c r="AK3874" t="s">
        <v>7225</v>
      </c>
      <c r="AL3874" t="s">
        <v>11150</v>
      </c>
      <c r="AM3874">
        <v>0</v>
      </c>
      <c r="AO3874">
        <v>108</v>
      </c>
      <c r="AQ3874" t="s">
        <v>11161</v>
      </c>
      <c r="AS3874" t="s">
        <v>11174</v>
      </c>
      <c r="AU3874">
        <v>10</v>
      </c>
      <c r="AW3874" t="s">
        <v>11189</v>
      </c>
      <c r="AY3874" t="s">
        <v>11213</v>
      </c>
      <c r="AZ3874" t="s">
        <v>11221</v>
      </c>
      <c r="BD3874" t="s">
        <v>11667</v>
      </c>
      <c r="BF3874" t="s">
        <v>14364</v>
      </c>
      <c r="BG3874" t="s">
        <v>14872</v>
      </c>
      <c r="BM3874" t="s">
        <v>15650</v>
      </c>
    </row>
    <row r="3875" spans="1:67">
      <c r="A3875" s="1">
        <f>HYPERLINK("https://lsnyc.legalserver.org/matter/dynamic-profile/view/1864017","18-1864017")</f>
        <v>0</v>
      </c>
      <c r="B3875" t="s">
        <v>207</v>
      </c>
      <c r="C3875" t="s">
        <v>245</v>
      </c>
      <c r="D3875" t="s">
        <v>770</v>
      </c>
      <c r="E3875" t="s">
        <v>548</v>
      </c>
      <c r="F3875" t="s">
        <v>2583</v>
      </c>
      <c r="G3875" t="s">
        <v>4442</v>
      </c>
      <c r="H3875" t="s">
        <v>4776</v>
      </c>
      <c r="I3875">
        <v>311</v>
      </c>
      <c r="J3875" t="s">
        <v>7169</v>
      </c>
      <c r="K3875">
        <v>10029</v>
      </c>
      <c r="L3875" t="s">
        <v>7216</v>
      </c>
      <c r="N3875" t="s">
        <v>7237</v>
      </c>
      <c r="O3875" t="s">
        <v>9694</v>
      </c>
      <c r="P3875">
        <v>1</v>
      </c>
      <c r="Q3875">
        <v>2</v>
      </c>
      <c r="R3875">
        <v>236.7</v>
      </c>
      <c r="U3875">
        <v>49187</v>
      </c>
      <c r="W3875">
        <v>0.2</v>
      </c>
      <c r="X3875" t="s">
        <v>702</v>
      </c>
      <c r="Y3875" t="s">
        <v>10859</v>
      </c>
      <c r="AA3875" t="s">
        <v>10974</v>
      </c>
      <c r="AB3875" t="s">
        <v>770</v>
      </c>
      <c r="AD3875" t="s">
        <v>11101</v>
      </c>
      <c r="AF3875" t="s">
        <v>11118</v>
      </c>
      <c r="AH3875" t="s">
        <v>10974</v>
      </c>
      <c r="AJ3875" t="s">
        <v>11134</v>
      </c>
      <c r="AK3875" t="s">
        <v>7225</v>
      </c>
      <c r="AL3875" t="s">
        <v>11150</v>
      </c>
      <c r="AM3875">
        <v>0</v>
      </c>
      <c r="AO3875">
        <v>108</v>
      </c>
      <c r="AQ3875" t="s">
        <v>11161</v>
      </c>
      <c r="AS3875" t="s">
        <v>11174</v>
      </c>
      <c r="AU3875">
        <v>8</v>
      </c>
      <c r="AW3875" t="s">
        <v>11187</v>
      </c>
      <c r="AY3875" t="s">
        <v>11213</v>
      </c>
      <c r="AZ3875" t="s">
        <v>11221</v>
      </c>
      <c r="BD3875" t="s">
        <v>11667</v>
      </c>
      <c r="BF3875" t="s">
        <v>14364</v>
      </c>
      <c r="BG3875" t="s">
        <v>14872</v>
      </c>
      <c r="BJ3875" t="s">
        <v>15615</v>
      </c>
      <c r="BM3875" t="s">
        <v>15651</v>
      </c>
    </row>
    <row r="3876" spans="1:67">
      <c r="A3876" s="1">
        <f>HYPERLINK("https://lsnyc.legalserver.org/matter/dynamic-profile/view/0829640","17-0829640")</f>
        <v>0</v>
      </c>
      <c r="B3876" t="s">
        <v>207</v>
      </c>
      <c r="C3876" t="s">
        <v>245</v>
      </c>
      <c r="D3876" t="s">
        <v>1016</v>
      </c>
      <c r="F3876" t="s">
        <v>1261</v>
      </c>
      <c r="G3876" t="s">
        <v>2982</v>
      </c>
      <c r="H3876" t="s">
        <v>6044</v>
      </c>
      <c r="I3876" t="s">
        <v>6432</v>
      </c>
      <c r="J3876" t="s">
        <v>7169</v>
      </c>
      <c r="K3876">
        <v>10024</v>
      </c>
      <c r="N3876" t="s">
        <v>7237</v>
      </c>
      <c r="O3876" t="s">
        <v>9695</v>
      </c>
      <c r="P3876">
        <v>2</v>
      </c>
      <c r="Q3876">
        <v>1</v>
      </c>
      <c r="R3876">
        <v>407.44</v>
      </c>
      <c r="S3876" t="s">
        <v>777</v>
      </c>
      <c r="U3876">
        <v>83200</v>
      </c>
      <c r="W3876">
        <v>0.1</v>
      </c>
      <c r="X3876" t="s">
        <v>314</v>
      </c>
      <c r="Y3876" t="s">
        <v>10859</v>
      </c>
      <c r="AA3876" t="s">
        <v>10974</v>
      </c>
      <c r="AB3876" t="s">
        <v>11043</v>
      </c>
      <c r="AD3876" t="s">
        <v>11101</v>
      </c>
      <c r="AF3876" t="s">
        <v>11118</v>
      </c>
      <c r="AH3876" t="s">
        <v>10974</v>
      </c>
      <c r="AJ3876" t="s">
        <v>11134</v>
      </c>
      <c r="AK3876" t="s">
        <v>7225</v>
      </c>
      <c r="AM3876">
        <v>786.66</v>
      </c>
      <c r="AO3876">
        <v>12</v>
      </c>
      <c r="AQ3876" t="s">
        <v>11157</v>
      </c>
      <c r="AS3876" t="s">
        <v>11173</v>
      </c>
      <c r="AU3876">
        <v>36</v>
      </c>
      <c r="AW3876" t="s">
        <v>11187</v>
      </c>
      <c r="AZ3876" t="s">
        <v>11221</v>
      </c>
      <c r="BD3876" t="s">
        <v>11667</v>
      </c>
      <c r="BF3876" t="s">
        <v>14364</v>
      </c>
      <c r="BG3876" t="s">
        <v>15301</v>
      </c>
      <c r="BM3876" t="s">
        <v>15650</v>
      </c>
    </row>
    <row r="3877" spans="1:67">
      <c r="A3877" s="1">
        <f>HYPERLINK("https://lsnyc.legalserver.org/matter/dynamic-profile/view/1836319","17-1836319")</f>
        <v>0</v>
      </c>
      <c r="B3877" t="s">
        <v>207</v>
      </c>
      <c r="C3877" t="s">
        <v>245</v>
      </c>
      <c r="D3877" t="s">
        <v>455</v>
      </c>
      <c r="F3877" t="s">
        <v>1430</v>
      </c>
      <c r="G3877" t="s">
        <v>2916</v>
      </c>
      <c r="H3877" t="s">
        <v>6045</v>
      </c>
      <c r="I3877" t="s">
        <v>6437</v>
      </c>
      <c r="J3877" t="s">
        <v>7169</v>
      </c>
      <c r="K3877">
        <v>10029</v>
      </c>
      <c r="N3877" t="s">
        <v>7237</v>
      </c>
      <c r="O3877" t="s">
        <v>9696</v>
      </c>
      <c r="P3877">
        <v>3</v>
      </c>
      <c r="Q3877">
        <v>2</v>
      </c>
      <c r="R3877">
        <v>48.7</v>
      </c>
      <c r="U3877">
        <v>14016</v>
      </c>
      <c r="W3877">
        <v>0</v>
      </c>
      <c r="Y3877" t="s">
        <v>10963</v>
      </c>
      <c r="Z3877" t="s">
        <v>10973</v>
      </c>
      <c r="AA3877" t="s">
        <v>10975</v>
      </c>
      <c r="AB3877" t="s">
        <v>455</v>
      </c>
      <c r="AD3877" t="s">
        <v>11082</v>
      </c>
      <c r="AF3877" t="s">
        <v>11120</v>
      </c>
      <c r="AH3877" t="s">
        <v>10974</v>
      </c>
      <c r="AJ3877" t="s">
        <v>11134</v>
      </c>
      <c r="AK3877" t="s">
        <v>7225</v>
      </c>
      <c r="AM3877">
        <v>465</v>
      </c>
      <c r="AO3877">
        <v>20</v>
      </c>
      <c r="AQ3877" t="s">
        <v>11157</v>
      </c>
      <c r="AS3877" t="s">
        <v>11104</v>
      </c>
      <c r="AU3877">
        <v>22</v>
      </c>
      <c r="AW3877" t="s">
        <v>11187</v>
      </c>
      <c r="AZ3877" t="s">
        <v>11221</v>
      </c>
      <c r="BE3877" t="s">
        <v>13799</v>
      </c>
      <c r="BG3877" t="s">
        <v>15302</v>
      </c>
      <c r="BM3877" t="s">
        <v>15650</v>
      </c>
    </row>
    <row r="3878" spans="1:67">
      <c r="A3878" s="1">
        <f>HYPERLINK("https://lsnyc.legalserver.org/matter/dynamic-profile/view/0829999","17-0829999")</f>
        <v>0</v>
      </c>
      <c r="B3878" t="s">
        <v>207</v>
      </c>
      <c r="C3878" t="s">
        <v>245</v>
      </c>
      <c r="D3878" t="s">
        <v>986</v>
      </c>
      <c r="F3878" t="s">
        <v>2584</v>
      </c>
      <c r="G3878" t="s">
        <v>4443</v>
      </c>
      <c r="H3878" t="s">
        <v>6046</v>
      </c>
      <c r="I3878" t="s">
        <v>7066</v>
      </c>
      <c r="J3878" t="s">
        <v>7169</v>
      </c>
      <c r="K3878">
        <v>10029</v>
      </c>
      <c r="N3878" t="s">
        <v>7237</v>
      </c>
      <c r="O3878" t="s">
        <v>9697</v>
      </c>
      <c r="P3878">
        <v>1</v>
      </c>
      <c r="Q3878">
        <v>0</v>
      </c>
      <c r="R3878">
        <v>172.47</v>
      </c>
      <c r="U3878">
        <v>20800</v>
      </c>
      <c r="W3878">
        <v>34.1</v>
      </c>
      <c r="X3878" t="s">
        <v>511</v>
      </c>
      <c r="Y3878" t="s">
        <v>221</v>
      </c>
      <c r="AA3878" t="s">
        <v>10974</v>
      </c>
      <c r="AB3878" t="s">
        <v>408</v>
      </c>
      <c r="AD3878" t="s">
        <v>11083</v>
      </c>
      <c r="AF3878" t="s">
        <v>11118</v>
      </c>
      <c r="AH3878" t="s">
        <v>10975</v>
      </c>
      <c r="AJ3878" t="s">
        <v>11104</v>
      </c>
      <c r="AK3878" t="s">
        <v>7225</v>
      </c>
      <c r="AM3878">
        <v>682</v>
      </c>
      <c r="AO3878">
        <v>18</v>
      </c>
      <c r="AQ3878" t="s">
        <v>11157</v>
      </c>
      <c r="AS3878" t="s">
        <v>11173</v>
      </c>
      <c r="AU3878">
        <v>12</v>
      </c>
      <c r="AW3878" t="s">
        <v>11187</v>
      </c>
      <c r="AZ3878" t="s">
        <v>11221</v>
      </c>
      <c r="BE3878" t="s">
        <v>13800</v>
      </c>
      <c r="BG3878" t="s">
        <v>15303</v>
      </c>
      <c r="BM3878" t="s">
        <v>15650</v>
      </c>
    </row>
    <row r="3879" spans="1:67">
      <c r="A3879" s="1">
        <f>HYPERLINK("https://lsnyc.legalserver.org/matter/dynamic-profile/view/1872562","18-1872562")</f>
        <v>0</v>
      </c>
      <c r="B3879" t="s">
        <v>207</v>
      </c>
      <c r="C3879" t="s">
        <v>245</v>
      </c>
      <c r="D3879" t="s">
        <v>782</v>
      </c>
      <c r="E3879" t="s">
        <v>548</v>
      </c>
      <c r="F3879" t="s">
        <v>1122</v>
      </c>
      <c r="G3879" t="s">
        <v>4444</v>
      </c>
      <c r="H3879" t="s">
        <v>6047</v>
      </c>
      <c r="I3879" t="s">
        <v>6684</v>
      </c>
      <c r="J3879" t="s">
        <v>7169</v>
      </c>
      <c r="K3879">
        <v>10029</v>
      </c>
      <c r="L3879" t="s">
        <v>7216</v>
      </c>
      <c r="N3879" t="s">
        <v>7237</v>
      </c>
      <c r="O3879" t="s">
        <v>9698</v>
      </c>
      <c r="P3879">
        <v>2</v>
      </c>
      <c r="Q3879">
        <v>0</v>
      </c>
      <c r="R3879">
        <v>153.27</v>
      </c>
      <c r="U3879">
        <v>25228</v>
      </c>
      <c r="W3879">
        <v>4.7</v>
      </c>
      <c r="X3879" t="s">
        <v>491</v>
      </c>
      <c r="Y3879" t="s">
        <v>10873</v>
      </c>
      <c r="AA3879" t="s">
        <v>10974</v>
      </c>
      <c r="AB3879" t="s">
        <v>371</v>
      </c>
      <c r="AD3879" t="s">
        <v>11082</v>
      </c>
      <c r="AF3879" t="s">
        <v>10384</v>
      </c>
      <c r="AH3879" t="s">
        <v>10975</v>
      </c>
      <c r="AJ3879" t="s">
        <v>11144</v>
      </c>
      <c r="AK3879" t="s">
        <v>7225</v>
      </c>
      <c r="AM3879">
        <v>900</v>
      </c>
      <c r="AO3879">
        <v>51</v>
      </c>
      <c r="AQ3879" t="s">
        <v>11157</v>
      </c>
      <c r="AS3879" t="s">
        <v>11173</v>
      </c>
      <c r="AU3879">
        <v>26</v>
      </c>
      <c r="AW3879" t="s">
        <v>11189</v>
      </c>
      <c r="AY3879" t="s">
        <v>11213</v>
      </c>
      <c r="AZ3879" t="s">
        <v>11221</v>
      </c>
      <c r="BE3879" t="s">
        <v>13801</v>
      </c>
      <c r="BG3879" t="s">
        <v>15304</v>
      </c>
      <c r="BM3879" t="s">
        <v>15651</v>
      </c>
    </row>
    <row r="3880" spans="1:67">
      <c r="A3880" s="1">
        <f>HYPERLINK("https://lsnyc.legalserver.org/matter/dynamic-profile/view/0805131","16-0805131")</f>
        <v>0</v>
      </c>
      <c r="B3880" t="s">
        <v>207</v>
      </c>
      <c r="C3880" t="s">
        <v>245</v>
      </c>
      <c r="D3880" t="s">
        <v>498</v>
      </c>
      <c r="F3880" t="s">
        <v>2585</v>
      </c>
      <c r="G3880" t="s">
        <v>4445</v>
      </c>
      <c r="H3880" t="s">
        <v>6048</v>
      </c>
      <c r="I3880" t="s">
        <v>6466</v>
      </c>
      <c r="J3880" t="s">
        <v>7169</v>
      </c>
      <c r="K3880">
        <v>10029</v>
      </c>
      <c r="N3880" t="s">
        <v>7237</v>
      </c>
      <c r="O3880" t="s">
        <v>9353</v>
      </c>
      <c r="P3880">
        <v>2</v>
      </c>
      <c r="Q3880">
        <v>0</v>
      </c>
      <c r="R3880">
        <v>71.59999999999999</v>
      </c>
      <c r="U3880">
        <v>11469.6</v>
      </c>
      <c r="W3880">
        <v>193.9</v>
      </c>
      <c r="X3880" t="s">
        <v>584</v>
      </c>
      <c r="Y3880" t="s">
        <v>10888</v>
      </c>
      <c r="Z3880" t="s">
        <v>10972</v>
      </c>
      <c r="AA3880" t="s">
        <v>10976</v>
      </c>
      <c r="AB3880" t="s">
        <v>11072</v>
      </c>
      <c r="AD3880" t="s">
        <v>11083</v>
      </c>
      <c r="AF3880" t="s">
        <v>11118</v>
      </c>
      <c r="AH3880" t="s">
        <v>10975</v>
      </c>
      <c r="AI3880" t="s">
        <v>11126</v>
      </c>
      <c r="AK3880" t="s">
        <v>7225</v>
      </c>
      <c r="AM3880">
        <v>218</v>
      </c>
      <c r="AO3880">
        <v>17</v>
      </c>
      <c r="AQ3880" t="s">
        <v>11164</v>
      </c>
      <c r="AS3880" t="s">
        <v>11173</v>
      </c>
      <c r="AU3880">
        <v>5</v>
      </c>
      <c r="AW3880" t="s">
        <v>11187</v>
      </c>
      <c r="AZ3880" t="s">
        <v>11221</v>
      </c>
      <c r="BE3880" t="s">
        <v>13802</v>
      </c>
      <c r="BG3880" t="s">
        <v>15305</v>
      </c>
      <c r="BM3880" t="s">
        <v>15650</v>
      </c>
    </row>
    <row r="3881" spans="1:67">
      <c r="A3881" s="1">
        <f>HYPERLINK("https://lsnyc.legalserver.org/matter/dynamic-profile/view/0829631","17-0829631")</f>
        <v>0</v>
      </c>
      <c r="B3881" t="s">
        <v>207</v>
      </c>
      <c r="C3881" t="s">
        <v>245</v>
      </c>
      <c r="D3881" t="s">
        <v>1016</v>
      </c>
      <c r="F3881" t="s">
        <v>1650</v>
      </c>
      <c r="G3881" t="s">
        <v>3717</v>
      </c>
      <c r="H3881" t="s">
        <v>6042</v>
      </c>
      <c r="I3881" t="s">
        <v>7067</v>
      </c>
      <c r="J3881" t="s">
        <v>7169</v>
      </c>
      <c r="K3881">
        <v>10024</v>
      </c>
      <c r="N3881" t="s">
        <v>7237</v>
      </c>
      <c r="O3881" t="s">
        <v>9699</v>
      </c>
      <c r="P3881">
        <v>3</v>
      </c>
      <c r="Q3881">
        <v>0</v>
      </c>
      <c r="R3881">
        <v>328.11</v>
      </c>
      <c r="S3881" t="s">
        <v>777</v>
      </c>
      <c r="U3881">
        <v>67000</v>
      </c>
      <c r="W3881">
        <v>580.05</v>
      </c>
      <c r="X3881" t="s">
        <v>591</v>
      </c>
      <c r="Y3881" t="s">
        <v>10859</v>
      </c>
      <c r="Z3881" t="s">
        <v>10973</v>
      </c>
      <c r="AA3881" t="s">
        <v>10975</v>
      </c>
      <c r="AB3881" t="s">
        <v>11043</v>
      </c>
      <c r="AD3881" t="s">
        <v>11101</v>
      </c>
      <c r="AF3881" t="s">
        <v>11118</v>
      </c>
      <c r="AH3881" t="s">
        <v>10974</v>
      </c>
      <c r="AJ3881" t="s">
        <v>11134</v>
      </c>
      <c r="AK3881" t="s">
        <v>7225</v>
      </c>
      <c r="AM3881">
        <v>869</v>
      </c>
      <c r="AO3881">
        <v>12</v>
      </c>
      <c r="AQ3881" t="s">
        <v>11157</v>
      </c>
      <c r="AS3881" t="s">
        <v>11173</v>
      </c>
      <c r="AU3881">
        <v>40</v>
      </c>
      <c r="AW3881" t="s">
        <v>11187</v>
      </c>
      <c r="AZ3881" t="s">
        <v>11221</v>
      </c>
      <c r="BD3881" t="s">
        <v>11667</v>
      </c>
      <c r="BF3881" t="s">
        <v>14364</v>
      </c>
      <c r="BG3881" t="s">
        <v>15301</v>
      </c>
      <c r="BM3881" t="s">
        <v>15650</v>
      </c>
    </row>
    <row r="3882" spans="1:67">
      <c r="A3882" s="1">
        <f>HYPERLINK("https://lsnyc.legalserver.org/matter/dynamic-profile/view/1864111","18-1864111")</f>
        <v>0</v>
      </c>
      <c r="B3882" t="s">
        <v>207</v>
      </c>
      <c r="C3882" t="s">
        <v>245</v>
      </c>
      <c r="D3882" t="s">
        <v>817</v>
      </c>
      <c r="F3882" t="s">
        <v>2586</v>
      </c>
      <c r="G3882" t="s">
        <v>4446</v>
      </c>
      <c r="H3882" t="s">
        <v>4776</v>
      </c>
      <c r="I3882">
        <v>310</v>
      </c>
      <c r="J3882" t="s">
        <v>7169</v>
      </c>
      <c r="K3882">
        <v>10029</v>
      </c>
      <c r="N3882" t="s">
        <v>7237</v>
      </c>
      <c r="O3882" t="s">
        <v>9700</v>
      </c>
      <c r="P3882">
        <v>1</v>
      </c>
      <c r="Q3882">
        <v>1</v>
      </c>
      <c r="R3882">
        <v>123.68</v>
      </c>
      <c r="U3882">
        <v>20358</v>
      </c>
      <c r="W3882">
        <v>0.25</v>
      </c>
      <c r="X3882" t="s">
        <v>666</v>
      </c>
      <c r="Y3882" t="s">
        <v>10859</v>
      </c>
      <c r="AA3882" t="s">
        <v>10974</v>
      </c>
      <c r="AB3882" t="s">
        <v>817</v>
      </c>
      <c r="AD3882" t="s">
        <v>11101</v>
      </c>
      <c r="AF3882" t="s">
        <v>11118</v>
      </c>
      <c r="AH3882" t="s">
        <v>10974</v>
      </c>
      <c r="AJ3882" t="s">
        <v>11134</v>
      </c>
      <c r="AK3882" t="s">
        <v>7225</v>
      </c>
      <c r="AL3882" t="s">
        <v>11150</v>
      </c>
      <c r="AM3882">
        <v>0</v>
      </c>
      <c r="AO3882">
        <v>108</v>
      </c>
      <c r="AQ3882" t="s">
        <v>11161</v>
      </c>
      <c r="AS3882" t="s">
        <v>11174</v>
      </c>
      <c r="AU3882">
        <v>20</v>
      </c>
      <c r="AW3882" t="s">
        <v>11189</v>
      </c>
      <c r="AY3882" t="s">
        <v>11213</v>
      </c>
      <c r="AZ3882" t="s">
        <v>11221</v>
      </c>
      <c r="BD3882" t="s">
        <v>11667</v>
      </c>
      <c r="BF3882" t="s">
        <v>14364</v>
      </c>
      <c r="BG3882" t="s">
        <v>14872</v>
      </c>
      <c r="BM3882" t="s">
        <v>15650</v>
      </c>
    </row>
    <row r="3883" spans="1:67">
      <c r="A3883" s="1">
        <f>HYPERLINK("https://lsnyc.legalserver.org/matter/dynamic-profile/view/0829646","17-0829646")</f>
        <v>0</v>
      </c>
      <c r="B3883" t="s">
        <v>207</v>
      </c>
      <c r="C3883" t="s">
        <v>245</v>
      </c>
      <c r="D3883" t="s">
        <v>1016</v>
      </c>
      <c r="F3883" t="s">
        <v>2587</v>
      </c>
      <c r="G3883" t="s">
        <v>4447</v>
      </c>
      <c r="H3883" t="s">
        <v>6042</v>
      </c>
      <c r="I3883" t="s">
        <v>6799</v>
      </c>
      <c r="J3883" t="s">
        <v>7169</v>
      </c>
      <c r="K3883">
        <v>10024</v>
      </c>
      <c r="N3883" t="s">
        <v>7237</v>
      </c>
      <c r="O3883" t="s">
        <v>9701</v>
      </c>
      <c r="P3883">
        <v>2</v>
      </c>
      <c r="Q3883">
        <v>0</v>
      </c>
      <c r="R3883">
        <v>492.61</v>
      </c>
      <c r="U3883">
        <v>80000</v>
      </c>
      <c r="W3883">
        <v>0</v>
      </c>
      <c r="Y3883" t="s">
        <v>10859</v>
      </c>
      <c r="Z3883" t="s">
        <v>10972</v>
      </c>
      <c r="AA3883" t="s">
        <v>10976</v>
      </c>
      <c r="AB3883" t="s">
        <v>11043</v>
      </c>
      <c r="AD3883" t="s">
        <v>11101</v>
      </c>
      <c r="AF3883" t="s">
        <v>10384</v>
      </c>
      <c r="AH3883" t="s">
        <v>10974</v>
      </c>
      <c r="AJ3883" t="s">
        <v>11134</v>
      </c>
      <c r="AK3883" t="s">
        <v>7225</v>
      </c>
      <c r="AM3883">
        <v>3150</v>
      </c>
      <c r="AO3883">
        <v>12</v>
      </c>
      <c r="AQ3883" t="s">
        <v>11156</v>
      </c>
      <c r="AS3883" t="s">
        <v>11173</v>
      </c>
      <c r="AU3883">
        <v>1</v>
      </c>
      <c r="AW3883" t="s">
        <v>11187</v>
      </c>
      <c r="AZ3883" t="s">
        <v>11221</v>
      </c>
      <c r="BE3883" t="s">
        <v>13803</v>
      </c>
      <c r="BF3883" t="s">
        <v>14364</v>
      </c>
      <c r="BM3883" t="s">
        <v>15650</v>
      </c>
    </row>
    <row r="3884" spans="1:67">
      <c r="A3884" s="1">
        <f>HYPERLINK("https://lsnyc.legalserver.org/matter/dynamic-profile/view/1880942","18-1880942")</f>
        <v>0</v>
      </c>
      <c r="B3884" t="s">
        <v>208</v>
      </c>
      <c r="C3884" t="s">
        <v>247</v>
      </c>
      <c r="D3884" t="s">
        <v>1017</v>
      </c>
      <c r="F3884" t="s">
        <v>2391</v>
      </c>
      <c r="G3884" t="s">
        <v>4195</v>
      </c>
      <c r="H3884" t="s">
        <v>5888</v>
      </c>
      <c r="I3884" t="s">
        <v>6417</v>
      </c>
      <c r="J3884" t="s">
        <v>7173</v>
      </c>
      <c r="K3884">
        <v>11358</v>
      </c>
      <c r="N3884" t="s">
        <v>7237</v>
      </c>
      <c r="O3884" t="s">
        <v>9304</v>
      </c>
      <c r="P3884">
        <v>1</v>
      </c>
      <c r="Q3884">
        <v>0</v>
      </c>
      <c r="R3884">
        <v>118.62</v>
      </c>
      <c r="U3884">
        <v>14400</v>
      </c>
      <c r="W3884">
        <v>10.7</v>
      </c>
      <c r="X3884" t="s">
        <v>344</v>
      </c>
      <c r="Y3884" t="s">
        <v>10873</v>
      </c>
      <c r="AA3884" t="s">
        <v>10974</v>
      </c>
      <c r="AB3884" t="s">
        <v>11061</v>
      </c>
      <c r="AD3884" t="s">
        <v>11102</v>
      </c>
      <c r="AF3884" t="s">
        <v>11118</v>
      </c>
      <c r="AH3884" t="s">
        <v>10975</v>
      </c>
      <c r="AJ3884" t="s">
        <v>11130</v>
      </c>
      <c r="AK3884" t="s">
        <v>7225</v>
      </c>
      <c r="AM3884">
        <v>937</v>
      </c>
      <c r="AO3884">
        <v>20</v>
      </c>
      <c r="AQ3884" t="s">
        <v>11157</v>
      </c>
      <c r="AS3884" t="s">
        <v>11173</v>
      </c>
      <c r="AU3884">
        <v>10</v>
      </c>
      <c r="AW3884" t="s">
        <v>11187</v>
      </c>
      <c r="AY3884" t="s">
        <v>11213</v>
      </c>
      <c r="AZ3884" t="s">
        <v>11221</v>
      </c>
      <c r="BC3884" t="s">
        <v>11173</v>
      </c>
      <c r="BE3884" t="s">
        <v>13527</v>
      </c>
      <c r="BG3884" t="s">
        <v>15306</v>
      </c>
      <c r="BI3884" t="s">
        <v>15611</v>
      </c>
      <c r="BK3884" t="s">
        <v>15640</v>
      </c>
      <c r="BM3884" t="s">
        <v>15650</v>
      </c>
      <c r="BN3884" t="s">
        <v>15653</v>
      </c>
      <c r="BO3884" t="s">
        <v>15725</v>
      </c>
    </row>
    <row r="3885" spans="1:67">
      <c r="A3885" s="1">
        <f>HYPERLINK("https://lsnyc.legalserver.org/matter/dynamic-profile/view/1885139","18-1885139")</f>
        <v>0</v>
      </c>
      <c r="B3885" t="s">
        <v>208</v>
      </c>
      <c r="C3885" t="s">
        <v>247</v>
      </c>
      <c r="D3885" t="s">
        <v>542</v>
      </c>
      <c r="F3885" t="s">
        <v>2391</v>
      </c>
      <c r="G3885" t="s">
        <v>4195</v>
      </c>
      <c r="H3885" t="s">
        <v>5888</v>
      </c>
      <c r="I3885" t="s">
        <v>6417</v>
      </c>
      <c r="J3885" t="s">
        <v>7173</v>
      </c>
      <c r="K3885">
        <v>11358</v>
      </c>
      <c r="N3885" t="s">
        <v>7237</v>
      </c>
      <c r="O3885" t="s">
        <v>9304</v>
      </c>
      <c r="P3885">
        <v>1</v>
      </c>
      <c r="Q3885">
        <v>0</v>
      </c>
      <c r="R3885">
        <v>118.62</v>
      </c>
      <c r="U3885">
        <v>14400</v>
      </c>
      <c r="W3885">
        <v>5.3</v>
      </c>
      <c r="X3885" t="s">
        <v>344</v>
      </c>
      <c r="Y3885" t="s">
        <v>10940</v>
      </c>
      <c r="AA3885" t="s">
        <v>10974</v>
      </c>
      <c r="AB3885" t="s">
        <v>11061</v>
      </c>
      <c r="AD3885" t="s">
        <v>11102</v>
      </c>
      <c r="AF3885" t="s">
        <v>11118</v>
      </c>
      <c r="AH3885" t="s">
        <v>10975</v>
      </c>
      <c r="AJ3885" t="s">
        <v>11130</v>
      </c>
      <c r="AK3885" t="s">
        <v>7225</v>
      </c>
      <c r="AM3885">
        <v>937</v>
      </c>
      <c r="AO3885">
        <v>20</v>
      </c>
      <c r="AQ3885" t="s">
        <v>11157</v>
      </c>
      <c r="AS3885" t="s">
        <v>11173</v>
      </c>
      <c r="AU3885">
        <v>10</v>
      </c>
      <c r="AW3885" t="s">
        <v>11187</v>
      </c>
      <c r="AY3885" t="s">
        <v>11213</v>
      </c>
      <c r="AZ3885" t="s">
        <v>11221</v>
      </c>
      <c r="BE3885" t="s">
        <v>13527</v>
      </c>
      <c r="BG3885" t="s">
        <v>15307</v>
      </c>
      <c r="BI3885" t="s">
        <v>15611</v>
      </c>
      <c r="BK3885" t="s">
        <v>15640</v>
      </c>
      <c r="BM3885" t="s">
        <v>15650</v>
      </c>
      <c r="BN3885" t="s">
        <v>15653</v>
      </c>
      <c r="BO3885" t="s">
        <v>15725</v>
      </c>
    </row>
    <row r="3886" spans="1:67">
      <c r="A3886" s="1">
        <f>HYPERLINK("https://lsnyc.legalserver.org/matter/dynamic-profile/view/1879311","18-1879311")</f>
        <v>0</v>
      </c>
      <c r="B3886" t="s">
        <v>208</v>
      </c>
      <c r="C3886" t="s">
        <v>247</v>
      </c>
      <c r="D3886" t="s">
        <v>789</v>
      </c>
      <c r="F3886" t="s">
        <v>2588</v>
      </c>
      <c r="G3886" t="s">
        <v>4448</v>
      </c>
      <c r="H3886" t="s">
        <v>6049</v>
      </c>
      <c r="I3886" t="s">
        <v>7068</v>
      </c>
      <c r="J3886" t="s">
        <v>7172</v>
      </c>
      <c r="K3886">
        <v>11691</v>
      </c>
      <c r="N3886" t="s">
        <v>7237</v>
      </c>
      <c r="O3886" t="s">
        <v>9702</v>
      </c>
      <c r="P3886">
        <v>1</v>
      </c>
      <c r="Q3886">
        <v>0</v>
      </c>
      <c r="R3886">
        <v>75.12</v>
      </c>
      <c r="U3886">
        <v>9120</v>
      </c>
      <c r="W3886">
        <v>0</v>
      </c>
      <c r="Y3886" t="s">
        <v>10940</v>
      </c>
      <c r="AA3886" t="s">
        <v>10974</v>
      </c>
      <c r="AB3886" t="s">
        <v>789</v>
      </c>
      <c r="AD3886" t="s">
        <v>11083</v>
      </c>
      <c r="AF3886" t="s">
        <v>11119</v>
      </c>
      <c r="AH3886" t="s">
        <v>10975</v>
      </c>
      <c r="AJ3886" t="s">
        <v>11138</v>
      </c>
      <c r="AK3886" t="s">
        <v>7225</v>
      </c>
      <c r="AM3886">
        <v>171</v>
      </c>
      <c r="AO3886">
        <v>96</v>
      </c>
      <c r="AQ3886" t="s">
        <v>11161</v>
      </c>
      <c r="AS3886" t="s">
        <v>11173</v>
      </c>
      <c r="AU3886">
        <v>3</v>
      </c>
      <c r="AW3886" t="s">
        <v>11187</v>
      </c>
      <c r="AY3886" t="s">
        <v>11213</v>
      </c>
      <c r="AZ3886" t="s">
        <v>11221</v>
      </c>
      <c r="BC3886" t="s">
        <v>11557</v>
      </c>
      <c r="BE3886" t="s">
        <v>13804</v>
      </c>
      <c r="BG3886" t="s">
        <v>15308</v>
      </c>
      <c r="BM3886" t="s">
        <v>15650</v>
      </c>
    </row>
    <row r="3887" spans="1:67">
      <c r="A3887" s="1">
        <f>HYPERLINK("https://lsnyc.legalserver.org/matter/dynamic-profile/view/1904435","19-1904435")</f>
        <v>0</v>
      </c>
      <c r="B3887" t="s">
        <v>208</v>
      </c>
      <c r="C3887" t="s">
        <v>247</v>
      </c>
      <c r="D3887" t="s">
        <v>525</v>
      </c>
      <c r="F3887" t="s">
        <v>2589</v>
      </c>
      <c r="G3887" t="s">
        <v>1893</v>
      </c>
      <c r="H3887" t="s">
        <v>6050</v>
      </c>
      <c r="J3887" t="s">
        <v>7210</v>
      </c>
      <c r="K3887">
        <v>14212</v>
      </c>
      <c r="N3887" t="s">
        <v>7238</v>
      </c>
      <c r="O3887" t="s">
        <v>9703</v>
      </c>
      <c r="P3887">
        <v>3</v>
      </c>
      <c r="Q3887">
        <v>1</v>
      </c>
      <c r="R3887">
        <v>80.39</v>
      </c>
      <c r="U3887">
        <v>20700</v>
      </c>
      <c r="W3887">
        <v>39.4</v>
      </c>
      <c r="X3887" t="s">
        <v>801</v>
      </c>
      <c r="Y3887" t="s">
        <v>208</v>
      </c>
      <c r="Z3887" t="s">
        <v>10972</v>
      </c>
      <c r="AA3887" t="s">
        <v>10976</v>
      </c>
      <c r="AD3887" t="s">
        <v>11097</v>
      </c>
      <c r="AF3887" t="s">
        <v>11118</v>
      </c>
      <c r="AH3887" t="s">
        <v>10975</v>
      </c>
      <c r="AJ3887" t="s">
        <v>11129</v>
      </c>
      <c r="AK3887" t="s">
        <v>7225</v>
      </c>
      <c r="AL3887" t="s">
        <v>11150</v>
      </c>
      <c r="AM3887">
        <v>0</v>
      </c>
      <c r="AO3887">
        <v>1</v>
      </c>
      <c r="AQ3887" t="s">
        <v>11164</v>
      </c>
      <c r="AS3887" t="s">
        <v>11173</v>
      </c>
      <c r="AU3887">
        <v>-1</v>
      </c>
      <c r="AW3887" t="s">
        <v>11187</v>
      </c>
      <c r="AY3887" t="s">
        <v>11213</v>
      </c>
      <c r="AZ3887" t="s">
        <v>11221</v>
      </c>
      <c r="BE3887" t="s">
        <v>13805</v>
      </c>
      <c r="BF3887" t="s">
        <v>14364</v>
      </c>
      <c r="BG3887" t="s">
        <v>15309</v>
      </c>
      <c r="BM3887" t="s">
        <v>15650</v>
      </c>
    </row>
    <row r="3888" spans="1:67">
      <c r="A3888" s="1">
        <f>HYPERLINK("https://lsnyc.legalserver.org/matter/dynamic-profile/view/1901098","19-1901098")</f>
        <v>0</v>
      </c>
      <c r="B3888" t="s">
        <v>209</v>
      </c>
      <c r="C3888" t="s">
        <v>248</v>
      </c>
      <c r="D3888" t="s">
        <v>343</v>
      </c>
      <c r="F3888" t="s">
        <v>1677</v>
      </c>
      <c r="G3888" t="s">
        <v>3442</v>
      </c>
      <c r="H3888" t="s">
        <v>5224</v>
      </c>
      <c r="I3888" t="s">
        <v>6413</v>
      </c>
      <c r="J3888" t="s">
        <v>7174</v>
      </c>
      <c r="K3888">
        <v>11212</v>
      </c>
      <c r="N3888" t="s">
        <v>7242</v>
      </c>
      <c r="O3888" t="s">
        <v>8022</v>
      </c>
      <c r="P3888">
        <v>1</v>
      </c>
      <c r="Q3888">
        <v>0</v>
      </c>
      <c r="R3888">
        <v>88.29000000000001</v>
      </c>
      <c r="U3888">
        <v>11028</v>
      </c>
      <c r="W3888">
        <v>0</v>
      </c>
      <c r="Y3888" t="s">
        <v>225</v>
      </c>
      <c r="AA3888" t="s">
        <v>10974</v>
      </c>
      <c r="AB3888" t="s">
        <v>299</v>
      </c>
      <c r="AC3888" t="s">
        <v>11081</v>
      </c>
      <c r="AF3888" t="s">
        <v>11123</v>
      </c>
      <c r="AH3888" t="s">
        <v>10974</v>
      </c>
      <c r="AJ3888" t="s">
        <v>11134</v>
      </c>
      <c r="AK3888" t="s">
        <v>7225</v>
      </c>
      <c r="AL3888" t="s">
        <v>11150</v>
      </c>
      <c r="AM3888">
        <v>0</v>
      </c>
      <c r="AO3888">
        <v>23</v>
      </c>
      <c r="AQ3888" t="s">
        <v>11157</v>
      </c>
      <c r="AS3888" t="s">
        <v>11173</v>
      </c>
      <c r="AT3888" t="s">
        <v>11184</v>
      </c>
      <c r="AU3888">
        <v>0</v>
      </c>
      <c r="AW3888" t="s">
        <v>11187</v>
      </c>
      <c r="AY3888" t="s">
        <v>11213</v>
      </c>
      <c r="BA3888" t="s">
        <v>11222</v>
      </c>
      <c r="BE3888" t="s">
        <v>12344</v>
      </c>
      <c r="BF3888" t="s">
        <v>14364</v>
      </c>
      <c r="BG3888" t="s">
        <v>14516</v>
      </c>
      <c r="BM3888" t="s">
        <v>15650</v>
      </c>
    </row>
    <row r="3889" spans="1:65">
      <c r="A3889" s="1">
        <f>HYPERLINK("https://lsnyc.legalserver.org/matter/dynamic-profile/view/1861154","18-1861154")</f>
        <v>0</v>
      </c>
      <c r="B3889" t="s">
        <v>209</v>
      </c>
      <c r="C3889" t="s">
        <v>248</v>
      </c>
      <c r="D3889" t="s">
        <v>414</v>
      </c>
      <c r="F3889" t="s">
        <v>1235</v>
      </c>
      <c r="G3889" t="s">
        <v>4449</v>
      </c>
      <c r="H3889" t="s">
        <v>6051</v>
      </c>
      <c r="I3889" t="s">
        <v>7069</v>
      </c>
      <c r="J3889" t="s">
        <v>7174</v>
      </c>
      <c r="K3889">
        <v>11212</v>
      </c>
      <c r="N3889" t="s">
        <v>7237</v>
      </c>
      <c r="O3889" t="s">
        <v>9704</v>
      </c>
      <c r="P3889">
        <v>1</v>
      </c>
      <c r="Q3889">
        <v>0</v>
      </c>
      <c r="R3889">
        <v>76.11</v>
      </c>
      <c r="U3889">
        <v>9240</v>
      </c>
      <c r="W3889">
        <v>1.75</v>
      </c>
      <c r="X3889" t="s">
        <v>1059</v>
      </c>
      <c r="Y3889" t="s">
        <v>10911</v>
      </c>
      <c r="Z3889" t="s">
        <v>10972</v>
      </c>
      <c r="AA3889" t="s">
        <v>10975</v>
      </c>
      <c r="AC3889" t="s">
        <v>11081</v>
      </c>
      <c r="AE3889" t="s">
        <v>11117</v>
      </c>
      <c r="AG3889" t="s">
        <v>11124</v>
      </c>
      <c r="AJ3889" t="s">
        <v>11130</v>
      </c>
      <c r="AK3889" t="s">
        <v>7225</v>
      </c>
      <c r="AM3889">
        <v>48</v>
      </c>
      <c r="AO3889">
        <v>43</v>
      </c>
      <c r="AQ3889" t="s">
        <v>11157</v>
      </c>
      <c r="AS3889" t="s">
        <v>11174</v>
      </c>
      <c r="AU3889">
        <v>9</v>
      </c>
      <c r="AW3889" t="s">
        <v>11189</v>
      </c>
      <c r="AX3889" t="s">
        <v>11212</v>
      </c>
      <c r="AZ3889" t="s">
        <v>11221</v>
      </c>
      <c r="BE3889" t="s">
        <v>13806</v>
      </c>
      <c r="BF3889" t="s">
        <v>14364</v>
      </c>
      <c r="BG3889" t="s">
        <v>11086</v>
      </c>
      <c r="BM3889" t="s">
        <v>15650</v>
      </c>
    </row>
    <row r="3890" spans="1:65">
      <c r="A3890" s="1">
        <f>HYPERLINK("https://lsnyc.legalserver.org/matter/dynamic-profile/view/1914639","19-1914639")</f>
        <v>0</v>
      </c>
      <c r="B3890" t="s">
        <v>209</v>
      </c>
      <c r="C3890" t="s">
        <v>248</v>
      </c>
      <c r="D3890" t="s">
        <v>297</v>
      </c>
      <c r="F3890" t="s">
        <v>2190</v>
      </c>
      <c r="G3890" t="s">
        <v>4112</v>
      </c>
      <c r="H3890" t="s">
        <v>5010</v>
      </c>
      <c r="I3890">
        <v>37</v>
      </c>
      <c r="J3890" t="s">
        <v>7174</v>
      </c>
      <c r="K3890">
        <v>11213</v>
      </c>
      <c r="N3890" t="s">
        <v>7237</v>
      </c>
      <c r="O3890" t="s">
        <v>9142</v>
      </c>
      <c r="P3890">
        <v>2</v>
      </c>
      <c r="Q3890">
        <v>0</v>
      </c>
      <c r="R3890">
        <v>146.08</v>
      </c>
      <c r="U3890">
        <v>24702</v>
      </c>
      <c r="W3890">
        <v>0</v>
      </c>
      <c r="Y3890" t="s">
        <v>225</v>
      </c>
      <c r="AA3890" t="s">
        <v>10974</v>
      </c>
      <c r="AB3890" t="s">
        <v>735</v>
      </c>
      <c r="AD3890" t="s">
        <v>11098</v>
      </c>
      <c r="AF3890" t="s">
        <v>11122</v>
      </c>
      <c r="AH3890" t="s">
        <v>10975</v>
      </c>
      <c r="AJ3890" t="s">
        <v>11141</v>
      </c>
      <c r="AK3890" t="s">
        <v>7225</v>
      </c>
      <c r="AM3890">
        <v>798.41</v>
      </c>
      <c r="AO3890">
        <v>31</v>
      </c>
      <c r="AQ3890" t="s">
        <v>11157</v>
      </c>
      <c r="AS3890" t="s">
        <v>11175</v>
      </c>
      <c r="AU3890">
        <v>41</v>
      </c>
      <c r="AW3890" t="s">
        <v>11187</v>
      </c>
      <c r="AY3890" t="s">
        <v>11213</v>
      </c>
      <c r="BA3890" t="s">
        <v>11222</v>
      </c>
      <c r="BC3890" t="s">
        <v>11228</v>
      </c>
      <c r="BE3890" t="s">
        <v>13370</v>
      </c>
      <c r="BF3890" t="s">
        <v>14364</v>
      </c>
      <c r="BG3890" t="s">
        <v>11228</v>
      </c>
      <c r="BM3890" t="s">
        <v>15650</v>
      </c>
    </row>
    <row r="3891" spans="1:65">
      <c r="A3891" s="1">
        <f>HYPERLINK("https://lsnyc.legalserver.org/matter/dynamic-profile/view/1868961","18-1868961")</f>
        <v>0</v>
      </c>
      <c r="B3891" t="s">
        <v>209</v>
      </c>
      <c r="C3891" t="s">
        <v>248</v>
      </c>
      <c r="D3891" t="s">
        <v>452</v>
      </c>
      <c r="F3891" t="s">
        <v>1295</v>
      </c>
      <c r="G3891" t="s">
        <v>4450</v>
      </c>
      <c r="H3891" t="s">
        <v>6052</v>
      </c>
      <c r="I3891" t="s">
        <v>6430</v>
      </c>
      <c r="J3891" t="s">
        <v>7174</v>
      </c>
      <c r="K3891">
        <v>11208</v>
      </c>
      <c r="N3891" t="s">
        <v>7243</v>
      </c>
      <c r="O3891" t="s">
        <v>9705</v>
      </c>
      <c r="P3891">
        <v>1</v>
      </c>
      <c r="Q3891">
        <v>1</v>
      </c>
      <c r="R3891">
        <v>43.74</v>
      </c>
      <c r="T3891" t="s">
        <v>10277</v>
      </c>
      <c r="U3891">
        <v>7200</v>
      </c>
      <c r="W3891">
        <v>19.25</v>
      </c>
      <c r="X3891" t="s">
        <v>508</v>
      </c>
      <c r="Y3891" t="s">
        <v>209</v>
      </c>
      <c r="AA3891" t="s">
        <v>10974</v>
      </c>
      <c r="AB3891" t="s">
        <v>452</v>
      </c>
      <c r="AD3891" t="s">
        <v>11113</v>
      </c>
      <c r="AF3891" t="s">
        <v>11122</v>
      </c>
      <c r="AH3891" t="s">
        <v>10975</v>
      </c>
      <c r="AJ3891" t="s">
        <v>11129</v>
      </c>
      <c r="AK3891" t="s">
        <v>7225</v>
      </c>
      <c r="AM3891">
        <v>1166.88</v>
      </c>
      <c r="AO3891">
        <v>6</v>
      </c>
      <c r="AQ3891" t="s">
        <v>11157</v>
      </c>
      <c r="AR3891" t="s">
        <v>11172</v>
      </c>
      <c r="AU3891">
        <v>11</v>
      </c>
      <c r="AW3891" t="s">
        <v>11187</v>
      </c>
      <c r="AZ3891" t="s">
        <v>11221</v>
      </c>
      <c r="BB3891" t="s">
        <v>11224</v>
      </c>
      <c r="BC3891" t="s">
        <v>11558</v>
      </c>
      <c r="BE3891" t="s">
        <v>13807</v>
      </c>
      <c r="BF3891" t="s">
        <v>14364</v>
      </c>
      <c r="BG3891" t="s">
        <v>15310</v>
      </c>
      <c r="BM3891" t="s">
        <v>15650</v>
      </c>
    </row>
    <row r="3892" spans="1:65">
      <c r="A3892" s="1">
        <f>HYPERLINK("https://lsnyc.legalserver.org/matter/dynamic-profile/view/1866186","18-1866186")</f>
        <v>0</v>
      </c>
      <c r="B3892" t="s">
        <v>209</v>
      </c>
      <c r="C3892" t="s">
        <v>248</v>
      </c>
      <c r="D3892" t="s">
        <v>493</v>
      </c>
      <c r="F3892" t="s">
        <v>2590</v>
      </c>
      <c r="G3892" t="s">
        <v>2308</v>
      </c>
      <c r="H3892" t="s">
        <v>6053</v>
      </c>
      <c r="I3892" t="s">
        <v>6554</v>
      </c>
      <c r="J3892" t="s">
        <v>7174</v>
      </c>
      <c r="K3892">
        <v>11212</v>
      </c>
      <c r="N3892" t="s">
        <v>7237</v>
      </c>
      <c r="O3892" t="s">
        <v>9706</v>
      </c>
      <c r="P3892">
        <v>1</v>
      </c>
      <c r="Q3892">
        <v>1</v>
      </c>
      <c r="R3892">
        <v>199.34</v>
      </c>
      <c r="U3892">
        <v>32812</v>
      </c>
      <c r="V3892" t="s">
        <v>10330</v>
      </c>
      <c r="W3892">
        <v>1</v>
      </c>
      <c r="X3892" t="s">
        <v>493</v>
      </c>
      <c r="Y3892" t="s">
        <v>10875</v>
      </c>
      <c r="AA3892" t="s">
        <v>10974</v>
      </c>
      <c r="AB3892" t="s">
        <v>10984</v>
      </c>
      <c r="AD3892" t="s">
        <v>11100</v>
      </c>
      <c r="AF3892" t="s">
        <v>10384</v>
      </c>
      <c r="AH3892" t="s">
        <v>10975</v>
      </c>
      <c r="AJ3892" t="s">
        <v>11130</v>
      </c>
      <c r="AK3892" t="s">
        <v>7225</v>
      </c>
      <c r="AM3892">
        <v>710</v>
      </c>
      <c r="AO3892">
        <v>90</v>
      </c>
      <c r="AQ3892" t="s">
        <v>11161</v>
      </c>
      <c r="AS3892" t="s">
        <v>11174</v>
      </c>
      <c r="AU3892">
        <v>11</v>
      </c>
      <c r="AW3892" t="s">
        <v>11187</v>
      </c>
      <c r="AZ3892" t="s">
        <v>11221</v>
      </c>
      <c r="BB3892" t="s">
        <v>11224</v>
      </c>
      <c r="BC3892" t="s">
        <v>11559</v>
      </c>
      <c r="BE3892" t="s">
        <v>13808</v>
      </c>
      <c r="BF3892" t="s">
        <v>14364</v>
      </c>
      <c r="BG3892" t="s">
        <v>11086</v>
      </c>
      <c r="BM3892" t="s">
        <v>15650</v>
      </c>
    </row>
    <row r="3893" spans="1:65">
      <c r="A3893" s="1">
        <f>HYPERLINK("https://lsnyc.legalserver.org/matter/dynamic-profile/view/1914636","19-1914636")</f>
        <v>0</v>
      </c>
      <c r="B3893" t="s">
        <v>209</v>
      </c>
      <c r="C3893" t="s">
        <v>248</v>
      </c>
      <c r="D3893" t="s">
        <v>297</v>
      </c>
      <c r="F3893" t="s">
        <v>2190</v>
      </c>
      <c r="G3893" t="s">
        <v>4112</v>
      </c>
      <c r="H3893" t="s">
        <v>5010</v>
      </c>
      <c r="I3893">
        <v>37</v>
      </c>
      <c r="J3893" t="s">
        <v>7174</v>
      </c>
      <c r="K3893">
        <v>11213</v>
      </c>
      <c r="N3893" t="s">
        <v>7237</v>
      </c>
      <c r="O3893" t="s">
        <v>9142</v>
      </c>
      <c r="P3893">
        <v>2</v>
      </c>
      <c r="Q3893">
        <v>0</v>
      </c>
      <c r="R3893">
        <v>146.08</v>
      </c>
      <c r="U3893">
        <v>24702</v>
      </c>
      <c r="W3893">
        <v>0</v>
      </c>
      <c r="Y3893" t="s">
        <v>225</v>
      </c>
      <c r="AA3893" t="s">
        <v>10974</v>
      </c>
      <c r="AB3893" t="s">
        <v>312</v>
      </c>
      <c r="AD3893" t="s">
        <v>11098</v>
      </c>
      <c r="AF3893" t="s">
        <v>11122</v>
      </c>
      <c r="AH3893" t="s">
        <v>10974</v>
      </c>
      <c r="AJ3893" t="s">
        <v>11141</v>
      </c>
      <c r="AK3893" t="s">
        <v>7225</v>
      </c>
      <c r="AM3893">
        <v>798.41</v>
      </c>
      <c r="AO3893">
        <v>31</v>
      </c>
      <c r="AQ3893" t="s">
        <v>11157</v>
      </c>
      <c r="AS3893" t="s">
        <v>11175</v>
      </c>
      <c r="AU3893">
        <v>41</v>
      </c>
      <c r="AW3893" t="s">
        <v>11187</v>
      </c>
      <c r="AY3893" t="s">
        <v>11213</v>
      </c>
      <c r="BA3893" t="s">
        <v>11222</v>
      </c>
      <c r="BC3893" t="s">
        <v>11228</v>
      </c>
      <c r="BE3893" t="s">
        <v>13370</v>
      </c>
      <c r="BF3893" t="s">
        <v>14364</v>
      </c>
      <c r="BG3893" t="s">
        <v>14574</v>
      </c>
      <c r="BM3893" t="s">
        <v>15650</v>
      </c>
    </row>
    <row r="3894" spans="1:65">
      <c r="A3894" s="1">
        <f>HYPERLINK("https://lsnyc.legalserver.org/matter/dynamic-profile/view/1895292","19-1895292")</f>
        <v>0</v>
      </c>
      <c r="B3894" t="s">
        <v>209</v>
      </c>
      <c r="C3894" t="s">
        <v>248</v>
      </c>
      <c r="D3894" t="s">
        <v>299</v>
      </c>
      <c r="F3894" t="s">
        <v>1991</v>
      </c>
      <c r="G3894" t="s">
        <v>4451</v>
      </c>
      <c r="H3894" t="s">
        <v>5065</v>
      </c>
      <c r="I3894" t="s">
        <v>6413</v>
      </c>
      <c r="J3894" t="s">
        <v>7174</v>
      </c>
      <c r="K3894">
        <v>11212</v>
      </c>
      <c r="N3894" t="s">
        <v>7237</v>
      </c>
      <c r="O3894" t="s">
        <v>9381</v>
      </c>
      <c r="P3894">
        <v>3</v>
      </c>
      <c r="Q3894">
        <v>0</v>
      </c>
      <c r="R3894">
        <v>150.02</v>
      </c>
      <c r="U3894">
        <v>32000</v>
      </c>
      <c r="W3894">
        <v>14</v>
      </c>
      <c r="X3894" t="s">
        <v>797</v>
      </c>
      <c r="Y3894" t="s">
        <v>101</v>
      </c>
      <c r="Z3894" t="s">
        <v>10972</v>
      </c>
      <c r="AA3894" t="s">
        <v>10975</v>
      </c>
      <c r="AD3894" t="s">
        <v>11097</v>
      </c>
      <c r="AE3894" t="s">
        <v>11117</v>
      </c>
      <c r="AH3894" t="s">
        <v>10974</v>
      </c>
      <c r="AJ3894" t="s">
        <v>11104</v>
      </c>
      <c r="AK3894" t="s">
        <v>7225</v>
      </c>
      <c r="AM3894">
        <v>663</v>
      </c>
      <c r="AN3894" t="s">
        <v>11151</v>
      </c>
      <c r="AO3894" t="s">
        <v>11153</v>
      </c>
      <c r="AQ3894" t="s">
        <v>11157</v>
      </c>
      <c r="AR3894" t="s">
        <v>11172</v>
      </c>
      <c r="AU3894">
        <v>25</v>
      </c>
      <c r="AW3894" t="s">
        <v>11187</v>
      </c>
      <c r="AX3894" t="s">
        <v>11212</v>
      </c>
      <c r="AZ3894" t="s">
        <v>11221</v>
      </c>
      <c r="BC3894" t="s">
        <v>11228</v>
      </c>
      <c r="BD3894" t="s">
        <v>11667</v>
      </c>
      <c r="BF3894" t="s">
        <v>14364</v>
      </c>
      <c r="BM3894" t="s">
        <v>15650</v>
      </c>
    </row>
    <row r="3895" spans="1:65">
      <c r="A3895" s="1">
        <f>HYPERLINK("https://lsnyc.legalserver.org/matter/dynamic-profile/view/1879917","18-1879917")</f>
        <v>0</v>
      </c>
      <c r="B3895" t="s">
        <v>209</v>
      </c>
      <c r="C3895" t="s">
        <v>248</v>
      </c>
      <c r="D3895" t="s">
        <v>595</v>
      </c>
      <c r="F3895" t="s">
        <v>2480</v>
      </c>
      <c r="G3895" t="s">
        <v>2954</v>
      </c>
      <c r="H3895" t="s">
        <v>5944</v>
      </c>
      <c r="I3895" t="s">
        <v>6438</v>
      </c>
      <c r="J3895" t="s">
        <v>7174</v>
      </c>
      <c r="K3895">
        <v>11207</v>
      </c>
      <c r="N3895" t="s">
        <v>7237</v>
      </c>
      <c r="O3895" t="s">
        <v>9491</v>
      </c>
      <c r="P3895">
        <v>1</v>
      </c>
      <c r="Q3895">
        <v>1</v>
      </c>
      <c r="R3895">
        <v>45.52</v>
      </c>
      <c r="U3895">
        <v>7492</v>
      </c>
      <c r="V3895" t="s">
        <v>10732</v>
      </c>
      <c r="W3895">
        <v>0.12</v>
      </c>
      <c r="X3895" t="s">
        <v>631</v>
      </c>
      <c r="Y3895" t="s">
        <v>225</v>
      </c>
      <c r="AA3895" t="s">
        <v>10974</v>
      </c>
      <c r="AB3895" t="s">
        <v>11000</v>
      </c>
      <c r="AD3895" t="s">
        <v>11085</v>
      </c>
      <c r="AF3895" t="s">
        <v>10384</v>
      </c>
      <c r="AH3895" t="s">
        <v>10974</v>
      </c>
      <c r="AJ3895" t="s">
        <v>11134</v>
      </c>
      <c r="AK3895" t="s">
        <v>7225</v>
      </c>
      <c r="AM3895">
        <v>1250</v>
      </c>
      <c r="AO3895">
        <v>6</v>
      </c>
      <c r="AQ3895" t="s">
        <v>11157</v>
      </c>
      <c r="AS3895" t="s">
        <v>11177</v>
      </c>
      <c r="AU3895">
        <v>7</v>
      </c>
      <c r="AW3895" t="s">
        <v>11187</v>
      </c>
      <c r="AY3895" t="s">
        <v>11213</v>
      </c>
      <c r="AZ3895" t="s">
        <v>11221</v>
      </c>
      <c r="BC3895" t="s">
        <v>11230</v>
      </c>
      <c r="BE3895" t="s">
        <v>13661</v>
      </c>
      <c r="BF3895" t="s">
        <v>14364</v>
      </c>
      <c r="BG3895" t="s">
        <v>11086</v>
      </c>
      <c r="BM3895" t="s">
        <v>15650</v>
      </c>
    </row>
    <row r="3896" spans="1:65">
      <c r="A3896" s="1">
        <f>HYPERLINK("https://lsnyc.legalserver.org/matter/dynamic-profile/view/1900688","19-1900688")</f>
        <v>0</v>
      </c>
      <c r="B3896" t="s">
        <v>209</v>
      </c>
      <c r="C3896" t="s">
        <v>248</v>
      </c>
      <c r="D3896" t="s">
        <v>582</v>
      </c>
      <c r="F3896" t="s">
        <v>2591</v>
      </c>
      <c r="G3896" t="s">
        <v>4452</v>
      </c>
      <c r="H3896" t="s">
        <v>5009</v>
      </c>
      <c r="I3896" t="s">
        <v>6507</v>
      </c>
      <c r="J3896" t="s">
        <v>7174</v>
      </c>
      <c r="K3896">
        <v>11213</v>
      </c>
      <c r="N3896" t="s">
        <v>7237</v>
      </c>
      <c r="O3896" t="s">
        <v>9707</v>
      </c>
      <c r="P3896">
        <v>2</v>
      </c>
      <c r="Q3896">
        <v>0</v>
      </c>
      <c r="R3896">
        <v>425.78</v>
      </c>
      <c r="U3896">
        <v>72000</v>
      </c>
      <c r="V3896" t="s">
        <v>10733</v>
      </c>
      <c r="W3896">
        <v>0</v>
      </c>
      <c r="Y3896" t="s">
        <v>225</v>
      </c>
      <c r="AA3896" t="s">
        <v>10974</v>
      </c>
      <c r="AB3896" t="s">
        <v>343</v>
      </c>
      <c r="AD3896" t="s">
        <v>11086</v>
      </c>
      <c r="AF3896" t="s">
        <v>11120</v>
      </c>
      <c r="AH3896" t="s">
        <v>10974</v>
      </c>
      <c r="AJ3896" t="s">
        <v>11141</v>
      </c>
      <c r="AK3896" t="s">
        <v>7225</v>
      </c>
      <c r="AM3896">
        <v>1169.88</v>
      </c>
      <c r="AO3896">
        <v>35</v>
      </c>
      <c r="AQ3896" t="s">
        <v>11157</v>
      </c>
      <c r="AS3896" t="s">
        <v>11173</v>
      </c>
      <c r="AU3896">
        <v>5</v>
      </c>
      <c r="AW3896" t="s">
        <v>11187</v>
      </c>
      <c r="AY3896" t="s">
        <v>11213</v>
      </c>
      <c r="BA3896" t="s">
        <v>11222</v>
      </c>
      <c r="BE3896" t="s">
        <v>13809</v>
      </c>
      <c r="BF3896" t="s">
        <v>14364</v>
      </c>
      <c r="BG3896" t="s">
        <v>11086</v>
      </c>
      <c r="BM3896" t="s">
        <v>15650</v>
      </c>
    </row>
    <row r="3897" spans="1:65">
      <c r="A3897" s="1">
        <f>HYPERLINK("https://lsnyc.legalserver.org/matter/dynamic-profile/view/1879900","18-1879900")</f>
        <v>0</v>
      </c>
      <c r="B3897" t="s">
        <v>209</v>
      </c>
      <c r="C3897" t="s">
        <v>248</v>
      </c>
      <c r="D3897" t="s">
        <v>595</v>
      </c>
      <c r="F3897" t="s">
        <v>2480</v>
      </c>
      <c r="G3897" t="s">
        <v>2954</v>
      </c>
      <c r="H3897" t="s">
        <v>5944</v>
      </c>
      <c r="I3897" t="s">
        <v>6438</v>
      </c>
      <c r="J3897" t="s">
        <v>7174</v>
      </c>
      <c r="K3897">
        <v>11207</v>
      </c>
      <c r="N3897" t="s">
        <v>7237</v>
      </c>
      <c r="O3897" t="s">
        <v>9491</v>
      </c>
      <c r="P3897">
        <v>1</v>
      </c>
      <c r="Q3897">
        <v>1</v>
      </c>
      <c r="R3897">
        <v>45.52</v>
      </c>
      <c r="U3897">
        <v>7492</v>
      </c>
      <c r="V3897" t="s">
        <v>10732</v>
      </c>
      <c r="W3897">
        <v>0.35</v>
      </c>
      <c r="X3897" t="s">
        <v>337</v>
      </c>
      <c r="Y3897" t="s">
        <v>225</v>
      </c>
      <c r="AA3897" t="s">
        <v>10974</v>
      </c>
      <c r="AB3897" t="s">
        <v>10984</v>
      </c>
      <c r="AD3897" t="s">
        <v>11098</v>
      </c>
      <c r="AF3897" t="s">
        <v>11122</v>
      </c>
      <c r="AH3897" t="s">
        <v>10974</v>
      </c>
      <c r="AJ3897" t="s">
        <v>11134</v>
      </c>
      <c r="AK3897" t="s">
        <v>7225</v>
      </c>
      <c r="AM3897">
        <v>1250</v>
      </c>
      <c r="AO3897">
        <v>6</v>
      </c>
      <c r="AQ3897" t="s">
        <v>11157</v>
      </c>
      <c r="AS3897" t="s">
        <v>11177</v>
      </c>
      <c r="AU3897">
        <v>7</v>
      </c>
      <c r="AW3897" t="s">
        <v>11187</v>
      </c>
      <c r="AY3897" t="s">
        <v>11213</v>
      </c>
      <c r="AZ3897" t="s">
        <v>11221</v>
      </c>
      <c r="BC3897" t="s">
        <v>11230</v>
      </c>
      <c r="BE3897" t="s">
        <v>13661</v>
      </c>
      <c r="BG3897" t="s">
        <v>15311</v>
      </c>
      <c r="BM3897" t="s">
        <v>15650</v>
      </c>
    </row>
    <row r="3898" spans="1:65">
      <c r="A3898" s="1">
        <f>HYPERLINK("https://lsnyc.legalserver.org/matter/dynamic-profile/view/1900809","19-1900809")</f>
        <v>0</v>
      </c>
      <c r="B3898" t="s">
        <v>209</v>
      </c>
      <c r="C3898" t="s">
        <v>248</v>
      </c>
      <c r="D3898" t="s">
        <v>313</v>
      </c>
      <c r="F3898" t="s">
        <v>2592</v>
      </c>
      <c r="G3898" t="s">
        <v>3422</v>
      </c>
      <c r="H3898" t="s">
        <v>5014</v>
      </c>
      <c r="I3898" t="s">
        <v>6426</v>
      </c>
      <c r="J3898" t="s">
        <v>7174</v>
      </c>
      <c r="K3898">
        <v>11213</v>
      </c>
      <c r="N3898" t="s">
        <v>7237</v>
      </c>
      <c r="O3898" t="s">
        <v>9010</v>
      </c>
      <c r="P3898">
        <v>1</v>
      </c>
      <c r="Q3898">
        <v>0</v>
      </c>
      <c r="R3898">
        <v>448.36</v>
      </c>
      <c r="U3898">
        <v>56000</v>
      </c>
      <c r="V3898" t="s">
        <v>10734</v>
      </c>
      <c r="W3898">
        <v>0</v>
      </c>
      <c r="Y3898" t="s">
        <v>225</v>
      </c>
      <c r="AA3898" t="s">
        <v>10974</v>
      </c>
      <c r="AB3898" t="s">
        <v>343</v>
      </c>
      <c r="AD3898" t="s">
        <v>11086</v>
      </c>
      <c r="AF3898" t="s">
        <v>11120</v>
      </c>
      <c r="AH3898" t="s">
        <v>10974</v>
      </c>
      <c r="AJ3898" t="s">
        <v>11141</v>
      </c>
      <c r="AK3898" t="s">
        <v>7225</v>
      </c>
      <c r="AL3898" t="s">
        <v>11150</v>
      </c>
      <c r="AM3898">
        <v>0</v>
      </c>
      <c r="AO3898">
        <v>34</v>
      </c>
      <c r="AQ3898" t="s">
        <v>11157</v>
      </c>
      <c r="AS3898" t="s">
        <v>11173</v>
      </c>
      <c r="AT3898" t="s">
        <v>11184</v>
      </c>
      <c r="AU3898">
        <v>0</v>
      </c>
      <c r="AW3898" t="s">
        <v>11187</v>
      </c>
      <c r="AY3898" t="s">
        <v>11213</v>
      </c>
      <c r="BA3898" t="s">
        <v>11222</v>
      </c>
      <c r="BC3898" t="s">
        <v>11173</v>
      </c>
      <c r="BE3898" t="s">
        <v>13810</v>
      </c>
      <c r="BF3898" t="s">
        <v>14364</v>
      </c>
      <c r="BG3898" t="s">
        <v>11086</v>
      </c>
      <c r="BM3898" t="s">
        <v>15650</v>
      </c>
    </row>
    <row r="3899" spans="1:65">
      <c r="A3899" s="1">
        <f>HYPERLINK("https://lsnyc.legalserver.org/matter/dynamic-profile/view/1879893","18-1879893")</f>
        <v>0</v>
      </c>
      <c r="B3899" t="s">
        <v>209</v>
      </c>
      <c r="C3899" t="s">
        <v>248</v>
      </c>
      <c r="D3899" t="s">
        <v>595</v>
      </c>
      <c r="F3899" t="s">
        <v>2480</v>
      </c>
      <c r="G3899" t="s">
        <v>2954</v>
      </c>
      <c r="H3899" t="s">
        <v>5944</v>
      </c>
      <c r="I3899" t="s">
        <v>6438</v>
      </c>
      <c r="J3899" t="s">
        <v>7174</v>
      </c>
      <c r="K3899">
        <v>11207</v>
      </c>
      <c r="N3899" t="s">
        <v>7237</v>
      </c>
      <c r="O3899" t="s">
        <v>9491</v>
      </c>
      <c r="P3899">
        <v>1</v>
      </c>
      <c r="Q3899">
        <v>1</v>
      </c>
      <c r="R3899">
        <v>45.52</v>
      </c>
      <c r="U3899">
        <v>7492</v>
      </c>
      <c r="V3899" t="s">
        <v>10732</v>
      </c>
      <c r="W3899">
        <v>0.38</v>
      </c>
      <c r="X3899" t="s">
        <v>337</v>
      </c>
      <c r="Y3899" t="s">
        <v>225</v>
      </c>
      <c r="AA3899" t="s">
        <v>10974</v>
      </c>
      <c r="AB3899" t="s">
        <v>609</v>
      </c>
      <c r="AD3899" t="s">
        <v>11086</v>
      </c>
      <c r="AF3899" t="s">
        <v>10384</v>
      </c>
      <c r="AH3899" t="s">
        <v>10974</v>
      </c>
      <c r="AJ3899" t="s">
        <v>11134</v>
      </c>
      <c r="AK3899" t="s">
        <v>7225</v>
      </c>
      <c r="AM3899">
        <v>1250</v>
      </c>
      <c r="AO3899">
        <v>6</v>
      </c>
      <c r="AQ3899" t="s">
        <v>11157</v>
      </c>
      <c r="AS3899" t="s">
        <v>11177</v>
      </c>
      <c r="AU3899">
        <v>7</v>
      </c>
      <c r="AW3899" t="s">
        <v>11187</v>
      </c>
      <c r="AY3899" t="s">
        <v>11213</v>
      </c>
      <c r="AZ3899" t="s">
        <v>11221</v>
      </c>
      <c r="BC3899" t="s">
        <v>11230</v>
      </c>
      <c r="BE3899" t="s">
        <v>13661</v>
      </c>
      <c r="BF3899" t="s">
        <v>14364</v>
      </c>
      <c r="BG3899" t="s">
        <v>11086</v>
      </c>
      <c r="BM3899" t="s">
        <v>15650</v>
      </c>
    </row>
    <row r="3900" spans="1:65">
      <c r="A3900" s="1">
        <f>HYPERLINK("https://lsnyc.legalserver.org/matter/dynamic-profile/view/1892214","19-1892214")</f>
        <v>0</v>
      </c>
      <c r="B3900" t="s">
        <v>209</v>
      </c>
      <c r="C3900" t="s">
        <v>248</v>
      </c>
      <c r="D3900" t="s">
        <v>503</v>
      </c>
      <c r="F3900" t="s">
        <v>1704</v>
      </c>
      <c r="G3900" t="s">
        <v>2443</v>
      </c>
      <c r="H3900" t="s">
        <v>5009</v>
      </c>
      <c r="I3900" t="s">
        <v>6551</v>
      </c>
      <c r="J3900" t="s">
        <v>7174</v>
      </c>
      <c r="K3900">
        <v>11213</v>
      </c>
      <c r="N3900" t="s">
        <v>7237</v>
      </c>
      <c r="O3900" t="s">
        <v>9708</v>
      </c>
      <c r="P3900">
        <v>3</v>
      </c>
      <c r="Q3900">
        <v>1</v>
      </c>
      <c r="R3900">
        <v>201.94</v>
      </c>
      <c r="U3900">
        <v>52000</v>
      </c>
      <c r="V3900" t="s">
        <v>10735</v>
      </c>
      <c r="W3900">
        <v>0</v>
      </c>
      <c r="Y3900" t="s">
        <v>225</v>
      </c>
      <c r="AA3900" t="s">
        <v>10974</v>
      </c>
      <c r="AB3900" t="s">
        <v>616</v>
      </c>
      <c r="AD3900" t="s">
        <v>11101</v>
      </c>
      <c r="AF3900" t="s">
        <v>11118</v>
      </c>
      <c r="AH3900" t="s">
        <v>10974</v>
      </c>
      <c r="AI3900" t="s">
        <v>11126</v>
      </c>
      <c r="AK3900" t="s">
        <v>7225</v>
      </c>
      <c r="AM3900">
        <v>1071.14</v>
      </c>
      <c r="AO3900">
        <v>35</v>
      </c>
      <c r="AQ3900" t="s">
        <v>11157</v>
      </c>
      <c r="AS3900" t="s">
        <v>11173</v>
      </c>
      <c r="AU3900">
        <v>19</v>
      </c>
      <c r="AW3900" t="s">
        <v>11187</v>
      </c>
      <c r="AY3900" t="s">
        <v>11213</v>
      </c>
      <c r="AZ3900" t="s">
        <v>11221</v>
      </c>
      <c r="BD3900" t="s">
        <v>11667</v>
      </c>
      <c r="BG3900" t="s">
        <v>15312</v>
      </c>
      <c r="BM3900" t="s">
        <v>15650</v>
      </c>
    </row>
    <row r="3901" spans="1:65">
      <c r="A3901" s="1">
        <f>HYPERLINK("https://lsnyc.legalserver.org/matter/dynamic-profile/view/1851636","17-1851636")</f>
        <v>0</v>
      </c>
      <c r="B3901" t="s">
        <v>209</v>
      </c>
      <c r="C3901" t="s">
        <v>248</v>
      </c>
      <c r="D3901" t="s">
        <v>813</v>
      </c>
      <c r="F3901" t="s">
        <v>1406</v>
      </c>
      <c r="G3901" t="s">
        <v>4453</v>
      </c>
      <c r="H3901" t="s">
        <v>5016</v>
      </c>
      <c r="I3901" t="s">
        <v>6564</v>
      </c>
      <c r="J3901" t="s">
        <v>7174</v>
      </c>
      <c r="K3901">
        <v>11213</v>
      </c>
      <c r="N3901" t="s">
        <v>7243</v>
      </c>
      <c r="O3901" t="s">
        <v>7915</v>
      </c>
      <c r="P3901">
        <v>2</v>
      </c>
      <c r="Q3901">
        <v>1</v>
      </c>
      <c r="R3901">
        <v>144.43</v>
      </c>
      <c r="S3901" t="s">
        <v>1021</v>
      </c>
      <c r="U3901">
        <v>29492</v>
      </c>
      <c r="W3901">
        <v>22.75</v>
      </c>
      <c r="X3901" t="s">
        <v>657</v>
      </c>
      <c r="Y3901" t="s">
        <v>209</v>
      </c>
      <c r="AA3901" t="s">
        <v>10974</v>
      </c>
      <c r="AB3901" t="s">
        <v>1045</v>
      </c>
      <c r="AD3901" t="s">
        <v>11113</v>
      </c>
      <c r="AF3901" t="s">
        <v>11120</v>
      </c>
      <c r="AG3901" t="s">
        <v>11124</v>
      </c>
      <c r="AI3901" t="s">
        <v>11126</v>
      </c>
      <c r="AK3901" t="s">
        <v>7225</v>
      </c>
      <c r="AM3901">
        <v>832.98</v>
      </c>
      <c r="AO3901">
        <v>107</v>
      </c>
      <c r="AQ3901" t="s">
        <v>11157</v>
      </c>
      <c r="AR3901" t="s">
        <v>11172</v>
      </c>
      <c r="AU3901">
        <v>30</v>
      </c>
      <c r="AW3901" t="s">
        <v>11187</v>
      </c>
      <c r="AZ3901" t="s">
        <v>11221</v>
      </c>
      <c r="BC3901" t="s">
        <v>11560</v>
      </c>
      <c r="BE3901" t="s">
        <v>13811</v>
      </c>
      <c r="BF3901" t="s">
        <v>14364</v>
      </c>
      <c r="BM3901" t="s">
        <v>15650</v>
      </c>
    </row>
    <row r="3902" spans="1:65">
      <c r="A3902" s="1">
        <f>HYPERLINK("https://lsnyc.legalserver.org/matter/dynamic-profile/view/1912381","19-1912381")</f>
        <v>0</v>
      </c>
      <c r="B3902" t="s">
        <v>209</v>
      </c>
      <c r="C3902" t="s">
        <v>248</v>
      </c>
      <c r="D3902" t="s">
        <v>737</v>
      </c>
      <c r="F3902" t="s">
        <v>2030</v>
      </c>
      <c r="G3902" t="s">
        <v>3282</v>
      </c>
      <c r="H3902" t="s">
        <v>5124</v>
      </c>
      <c r="I3902" t="s">
        <v>7023</v>
      </c>
      <c r="J3902" t="s">
        <v>7174</v>
      </c>
      <c r="K3902">
        <v>11233</v>
      </c>
      <c r="N3902" t="s">
        <v>7237</v>
      </c>
      <c r="O3902" t="s">
        <v>9518</v>
      </c>
      <c r="P3902">
        <v>2</v>
      </c>
      <c r="Q3902">
        <v>0</v>
      </c>
      <c r="R3902">
        <v>47.31</v>
      </c>
      <c r="U3902">
        <v>8000</v>
      </c>
      <c r="W3902">
        <v>0</v>
      </c>
      <c r="Y3902" t="s">
        <v>101</v>
      </c>
      <c r="Z3902" t="s">
        <v>10972</v>
      </c>
      <c r="AA3902" t="s">
        <v>10976</v>
      </c>
      <c r="AD3902" t="s">
        <v>11086</v>
      </c>
      <c r="AE3902" t="s">
        <v>11117</v>
      </c>
      <c r="AH3902" t="s">
        <v>10974</v>
      </c>
      <c r="AJ3902" t="s">
        <v>11129</v>
      </c>
      <c r="AK3902" t="s">
        <v>7225</v>
      </c>
      <c r="AM3902">
        <v>1375</v>
      </c>
      <c r="AO3902">
        <v>359</v>
      </c>
      <c r="AQ3902" t="s">
        <v>11157</v>
      </c>
      <c r="AS3902" t="s">
        <v>11173</v>
      </c>
      <c r="AU3902">
        <v>10</v>
      </c>
      <c r="AW3902" t="s">
        <v>11187</v>
      </c>
      <c r="AX3902" t="s">
        <v>11212</v>
      </c>
      <c r="AZ3902" t="s">
        <v>11221</v>
      </c>
      <c r="BD3902" t="s">
        <v>11667</v>
      </c>
      <c r="BF3902" t="s">
        <v>14364</v>
      </c>
      <c r="BG3902" t="s">
        <v>14411</v>
      </c>
      <c r="BM3902" t="s">
        <v>15650</v>
      </c>
    </row>
    <row r="3903" spans="1:65">
      <c r="A3903" s="1">
        <f>HYPERLINK("https://lsnyc.legalserver.org/matter/dynamic-profile/view/1900719","19-1900719")</f>
        <v>0</v>
      </c>
      <c r="B3903" t="s">
        <v>209</v>
      </c>
      <c r="C3903" t="s">
        <v>248</v>
      </c>
      <c r="D3903" t="s">
        <v>582</v>
      </c>
      <c r="F3903" t="s">
        <v>2593</v>
      </c>
      <c r="G3903" t="s">
        <v>4454</v>
      </c>
      <c r="H3903" t="s">
        <v>5014</v>
      </c>
      <c r="I3903" t="s">
        <v>7070</v>
      </c>
      <c r="J3903" t="s">
        <v>7174</v>
      </c>
      <c r="K3903">
        <v>11213</v>
      </c>
      <c r="N3903" t="s">
        <v>7237</v>
      </c>
      <c r="O3903" t="s">
        <v>9709</v>
      </c>
      <c r="P3903">
        <v>2</v>
      </c>
      <c r="Q3903">
        <v>0</v>
      </c>
      <c r="R3903">
        <v>326.43</v>
      </c>
      <c r="U3903">
        <v>55200</v>
      </c>
      <c r="V3903" t="s">
        <v>10736</v>
      </c>
      <c r="W3903">
        <v>0</v>
      </c>
      <c r="Y3903" t="s">
        <v>225</v>
      </c>
      <c r="AA3903" t="s">
        <v>10974</v>
      </c>
      <c r="AB3903" t="s">
        <v>633</v>
      </c>
      <c r="AD3903" t="s">
        <v>11086</v>
      </c>
      <c r="AF3903" t="s">
        <v>11120</v>
      </c>
      <c r="AH3903" t="s">
        <v>10974</v>
      </c>
      <c r="AJ3903" t="s">
        <v>11141</v>
      </c>
      <c r="AK3903" t="s">
        <v>7225</v>
      </c>
      <c r="AM3903">
        <v>756</v>
      </c>
      <c r="AO3903">
        <v>34</v>
      </c>
      <c r="AQ3903" t="s">
        <v>11157</v>
      </c>
      <c r="AS3903" t="s">
        <v>11173</v>
      </c>
      <c r="AU3903">
        <v>40</v>
      </c>
      <c r="AW3903" t="s">
        <v>11187</v>
      </c>
      <c r="AY3903" t="s">
        <v>11213</v>
      </c>
      <c r="BA3903" t="s">
        <v>11222</v>
      </c>
      <c r="BE3903" t="s">
        <v>13812</v>
      </c>
      <c r="BF3903" t="s">
        <v>14364</v>
      </c>
      <c r="BM3903" t="s">
        <v>15650</v>
      </c>
    </row>
    <row r="3904" spans="1:65">
      <c r="A3904" s="1">
        <f>HYPERLINK("https://lsnyc.legalserver.org/matter/dynamic-profile/view/1914633","19-1914633")</f>
        <v>0</v>
      </c>
      <c r="B3904" t="s">
        <v>209</v>
      </c>
      <c r="C3904" t="s">
        <v>248</v>
      </c>
      <c r="D3904" t="s">
        <v>297</v>
      </c>
      <c r="F3904" t="s">
        <v>1128</v>
      </c>
      <c r="G3904" t="s">
        <v>2724</v>
      </c>
      <c r="H3904" t="s">
        <v>5010</v>
      </c>
      <c r="I3904">
        <v>44</v>
      </c>
      <c r="J3904" t="s">
        <v>7174</v>
      </c>
      <c r="K3904">
        <v>11213</v>
      </c>
      <c r="N3904" t="s">
        <v>7237</v>
      </c>
      <c r="O3904" t="s">
        <v>9148</v>
      </c>
      <c r="P3904">
        <v>1</v>
      </c>
      <c r="Q3904">
        <v>0</v>
      </c>
      <c r="R3904">
        <v>432.35</v>
      </c>
      <c r="T3904" t="s">
        <v>10276</v>
      </c>
      <c r="U3904">
        <v>54000</v>
      </c>
      <c r="V3904" t="s">
        <v>10737</v>
      </c>
      <c r="W3904">
        <v>0</v>
      </c>
      <c r="Y3904" t="s">
        <v>225</v>
      </c>
      <c r="AA3904" t="s">
        <v>10974</v>
      </c>
      <c r="AD3904" t="s">
        <v>11098</v>
      </c>
      <c r="AF3904" t="s">
        <v>11122</v>
      </c>
      <c r="AH3904" t="s">
        <v>10974</v>
      </c>
      <c r="AJ3904" t="s">
        <v>11141</v>
      </c>
      <c r="AK3904" t="s">
        <v>7225</v>
      </c>
      <c r="AM3904">
        <v>996.34</v>
      </c>
      <c r="AO3904">
        <v>31</v>
      </c>
      <c r="AQ3904" t="s">
        <v>11157</v>
      </c>
      <c r="AS3904" t="s">
        <v>11173</v>
      </c>
      <c r="AU3904">
        <v>15</v>
      </c>
      <c r="AW3904" t="s">
        <v>11187</v>
      </c>
      <c r="AY3904" t="s">
        <v>11213</v>
      </c>
      <c r="BA3904" t="s">
        <v>11222</v>
      </c>
      <c r="BC3904" t="s">
        <v>11228</v>
      </c>
      <c r="BE3904" t="s">
        <v>13374</v>
      </c>
      <c r="BF3904" t="s">
        <v>14364</v>
      </c>
      <c r="BG3904" t="s">
        <v>11228</v>
      </c>
      <c r="BM3904" t="s">
        <v>15650</v>
      </c>
    </row>
    <row r="3905" spans="1:65">
      <c r="A3905" s="1">
        <f>HYPERLINK("https://lsnyc.legalserver.org/matter/dynamic-profile/view/1880021","18-1880021")</f>
        <v>0</v>
      </c>
      <c r="B3905" t="s">
        <v>209</v>
      </c>
      <c r="C3905" t="s">
        <v>248</v>
      </c>
      <c r="D3905" t="s">
        <v>619</v>
      </c>
      <c r="F3905" t="s">
        <v>1122</v>
      </c>
      <c r="G3905" t="s">
        <v>2885</v>
      </c>
      <c r="H3905" t="s">
        <v>5944</v>
      </c>
      <c r="I3905" t="s">
        <v>6482</v>
      </c>
      <c r="J3905" t="s">
        <v>7174</v>
      </c>
      <c r="K3905">
        <v>11207</v>
      </c>
      <c r="N3905" t="s">
        <v>7237</v>
      </c>
      <c r="O3905" t="s">
        <v>9522</v>
      </c>
      <c r="P3905">
        <v>2</v>
      </c>
      <c r="Q3905">
        <v>0</v>
      </c>
      <c r="R3905">
        <v>55.12</v>
      </c>
      <c r="U3905">
        <v>9072</v>
      </c>
      <c r="V3905" t="s">
        <v>10717</v>
      </c>
      <c r="W3905">
        <v>0.45</v>
      </c>
      <c r="X3905" t="s">
        <v>337</v>
      </c>
      <c r="Y3905" t="s">
        <v>225</v>
      </c>
      <c r="AA3905" t="s">
        <v>10974</v>
      </c>
      <c r="AB3905" t="s">
        <v>10984</v>
      </c>
      <c r="AD3905" t="s">
        <v>11098</v>
      </c>
      <c r="AF3905" t="s">
        <v>11122</v>
      </c>
      <c r="AH3905" t="s">
        <v>10974</v>
      </c>
      <c r="AJ3905" t="s">
        <v>11129</v>
      </c>
      <c r="AK3905" t="s">
        <v>7225</v>
      </c>
      <c r="AM3905">
        <v>1365</v>
      </c>
      <c r="AO3905">
        <v>6</v>
      </c>
      <c r="AQ3905" t="s">
        <v>11157</v>
      </c>
      <c r="AS3905" t="s">
        <v>11177</v>
      </c>
      <c r="AU3905">
        <v>5</v>
      </c>
      <c r="AW3905" t="s">
        <v>11187</v>
      </c>
      <c r="AY3905" t="s">
        <v>11213</v>
      </c>
      <c r="AZ3905" t="s">
        <v>11221</v>
      </c>
      <c r="BC3905" t="s">
        <v>11230</v>
      </c>
      <c r="BE3905" t="s">
        <v>13668</v>
      </c>
      <c r="BG3905" t="s">
        <v>15313</v>
      </c>
      <c r="BM3905" t="s">
        <v>15650</v>
      </c>
    </row>
    <row r="3906" spans="1:65">
      <c r="A3906" s="1">
        <f>HYPERLINK("https://lsnyc.legalserver.org/matter/dynamic-profile/view/1880018","18-1880018")</f>
        <v>0</v>
      </c>
      <c r="B3906" t="s">
        <v>209</v>
      </c>
      <c r="C3906" t="s">
        <v>248</v>
      </c>
      <c r="D3906" t="s">
        <v>619</v>
      </c>
      <c r="F3906" t="s">
        <v>1122</v>
      </c>
      <c r="G3906" t="s">
        <v>2885</v>
      </c>
      <c r="H3906" t="s">
        <v>5944</v>
      </c>
      <c r="I3906" t="s">
        <v>6482</v>
      </c>
      <c r="J3906" t="s">
        <v>7174</v>
      </c>
      <c r="K3906">
        <v>11207</v>
      </c>
      <c r="N3906" t="s">
        <v>7237</v>
      </c>
      <c r="O3906" t="s">
        <v>9522</v>
      </c>
      <c r="P3906">
        <v>2</v>
      </c>
      <c r="Q3906">
        <v>0</v>
      </c>
      <c r="R3906">
        <v>55.12</v>
      </c>
      <c r="U3906">
        <v>9072</v>
      </c>
      <c r="V3906" t="s">
        <v>10717</v>
      </c>
      <c r="W3906">
        <v>0.3</v>
      </c>
      <c r="X3906" t="s">
        <v>337</v>
      </c>
      <c r="Y3906" t="s">
        <v>225</v>
      </c>
      <c r="AA3906" t="s">
        <v>10974</v>
      </c>
      <c r="AB3906" t="s">
        <v>609</v>
      </c>
      <c r="AD3906" t="s">
        <v>11086</v>
      </c>
      <c r="AF3906" t="s">
        <v>10384</v>
      </c>
      <c r="AH3906" t="s">
        <v>10974</v>
      </c>
      <c r="AJ3906" t="s">
        <v>11129</v>
      </c>
      <c r="AK3906" t="s">
        <v>7225</v>
      </c>
      <c r="AM3906">
        <v>1365</v>
      </c>
      <c r="AO3906">
        <v>6</v>
      </c>
      <c r="AQ3906" t="s">
        <v>11157</v>
      </c>
      <c r="AS3906" t="s">
        <v>11177</v>
      </c>
      <c r="AU3906">
        <v>5</v>
      </c>
      <c r="AW3906" t="s">
        <v>11187</v>
      </c>
      <c r="AY3906" t="s">
        <v>11213</v>
      </c>
      <c r="AZ3906" t="s">
        <v>11221</v>
      </c>
      <c r="BC3906" t="s">
        <v>11230</v>
      </c>
      <c r="BE3906" t="s">
        <v>13668</v>
      </c>
      <c r="BF3906" t="s">
        <v>14364</v>
      </c>
      <c r="BG3906" t="s">
        <v>11086</v>
      </c>
      <c r="BM3906" t="s">
        <v>15650</v>
      </c>
    </row>
    <row r="3907" spans="1:65">
      <c r="A3907" s="1">
        <f>HYPERLINK("https://lsnyc.legalserver.org/matter/dynamic-profile/view/1914635","19-1914635")</f>
        <v>0</v>
      </c>
      <c r="B3907" t="s">
        <v>209</v>
      </c>
      <c r="C3907" t="s">
        <v>248</v>
      </c>
      <c r="D3907" t="s">
        <v>297</v>
      </c>
      <c r="F3907" t="s">
        <v>1128</v>
      </c>
      <c r="G3907" t="s">
        <v>2724</v>
      </c>
      <c r="H3907" t="s">
        <v>5010</v>
      </c>
      <c r="I3907">
        <v>44</v>
      </c>
      <c r="J3907" t="s">
        <v>7174</v>
      </c>
      <c r="K3907">
        <v>11213</v>
      </c>
      <c r="N3907" t="s">
        <v>7237</v>
      </c>
      <c r="O3907" t="s">
        <v>9148</v>
      </c>
      <c r="P3907">
        <v>1</v>
      </c>
      <c r="Q3907">
        <v>0</v>
      </c>
      <c r="R3907">
        <v>432.35</v>
      </c>
      <c r="T3907" t="s">
        <v>10276</v>
      </c>
      <c r="U3907">
        <v>54000</v>
      </c>
      <c r="V3907" t="s">
        <v>10737</v>
      </c>
      <c r="W3907">
        <v>0</v>
      </c>
      <c r="Y3907" t="s">
        <v>225</v>
      </c>
      <c r="AA3907" t="s">
        <v>10974</v>
      </c>
      <c r="AD3907" t="s">
        <v>11098</v>
      </c>
      <c r="AF3907" t="s">
        <v>11122</v>
      </c>
      <c r="AH3907" t="s">
        <v>10975</v>
      </c>
      <c r="AJ3907" t="s">
        <v>11141</v>
      </c>
      <c r="AK3907" t="s">
        <v>7225</v>
      </c>
      <c r="AM3907">
        <v>996.34</v>
      </c>
      <c r="AO3907">
        <v>31</v>
      </c>
      <c r="AQ3907" t="s">
        <v>11157</v>
      </c>
      <c r="AS3907" t="s">
        <v>11173</v>
      </c>
      <c r="AU3907">
        <v>15</v>
      </c>
      <c r="AW3907" t="s">
        <v>11187</v>
      </c>
      <c r="AY3907" t="s">
        <v>11213</v>
      </c>
      <c r="BA3907" t="s">
        <v>11222</v>
      </c>
      <c r="BC3907" t="s">
        <v>11228</v>
      </c>
      <c r="BE3907" t="s">
        <v>13374</v>
      </c>
      <c r="BF3907" t="s">
        <v>14364</v>
      </c>
      <c r="BG3907" t="s">
        <v>14574</v>
      </c>
      <c r="BM3907" t="s">
        <v>15650</v>
      </c>
    </row>
    <row r="3908" spans="1:65">
      <c r="A3908" s="1">
        <f>HYPERLINK("https://lsnyc.legalserver.org/matter/dynamic-profile/view/1879904","18-1879904")</f>
        <v>0</v>
      </c>
      <c r="B3908" t="s">
        <v>209</v>
      </c>
      <c r="C3908" t="s">
        <v>248</v>
      </c>
      <c r="D3908" t="s">
        <v>595</v>
      </c>
      <c r="F3908" t="s">
        <v>2480</v>
      </c>
      <c r="G3908" t="s">
        <v>2954</v>
      </c>
      <c r="H3908" t="s">
        <v>5944</v>
      </c>
      <c r="I3908" t="s">
        <v>6438</v>
      </c>
      <c r="J3908" t="s">
        <v>7174</v>
      </c>
      <c r="K3908">
        <v>11207</v>
      </c>
      <c r="N3908" t="s">
        <v>7237</v>
      </c>
      <c r="O3908" t="s">
        <v>9491</v>
      </c>
      <c r="P3908">
        <v>1</v>
      </c>
      <c r="Q3908">
        <v>1</v>
      </c>
      <c r="R3908">
        <v>45.52</v>
      </c>
      <c r="U3908">
        <v>7492</v>
      </c>
      <c r="V3908" t="s">
        <v>10732</v>
      </c>
      <c r="W3908">
        <v>0.25</v>
      </c>
      <c r="X3908" t="s">
        <v>631</v>
      </c>
      <c r="Y3908" t="s">
        <v>225</v>
      </c>
      <c r="AA3908" t="s">
        <v>10974</v>
      </c>
      <c r="AB3908" t="s">
        <v>569</v>
      </c>
      <c r="AD3908" t="s">
        <v>11098</v>
      </c>
      <c r="AF3908" t="s">
        <v>11122</v>
      </c>
      <c r="AH3908" t="s">
        <v>10974</v>
      </c>
      <c r="AJ3908" t="s">
        <v>11134</v>
      </c>
      <c r="AK3908" t="s">
        <v>7225</v>
      </c>
      <c r="AM3908">
        <v>1250</v>
      </c>
      <c r="AO3908">
        <v>6</v>
      </c>
      <c r="AQ3908" t="s">
        <v>11157</v>
      </c>
      <c r="AS3908" t="s">
        <v>11177</v>
      </c>
      <c r="AU3908">
        <v>7</v>
      </c>
      <c r="AW3908" t="s">
        <v>11187</v>
      </c>
      <c r="AY3908" t="s">
        <v>11213</v>
      </c>
      <c r="AZ3908" t="s">
        <v>11221</v>
      </c>
      <c r="BC3908" t="s">
        <v>11230</v>
      </c>
      <c r="BE3908" t="s">
        <v>13661</v>
      </c>
      <c r="BG3908" t="s">
        <v>15244</v>
      </c>
      <c r="BM3908" t="s">
        <v>15650</v>
      </c>
    </row>
    <row r="3909" spans="1:65">
      <c r="A3909" s="1">
        <f>HYPERLINK("https://lsnyc.legalserver.org/matter/dynamic-profile/view/1900672","19-1900672")</f>
        <v>0</v>
      </c>
      <c r="B3909" t="s">
        <v>209</v>
      </c>
      <c r="C3909" t="s">
        <v>248</v>
      </c>
      <c r="D3909" t="s">
        <v>549</v>
      </c>
      <c r="F3909" t="s">
        <v>1406</v>
      </c>
      <c r="G3909" t="s">
        <v>4282</v>
      </c>
      <c r="H3909" t="s">
        <v>5010</v>
      </c>
      <c r="I3909">
        <v>24</v>
      </c>
      <c r="J3909" t="s">
        <v>7174</v>
      </c>
      <c r="K3909">
        <v>11213</v>
      </c>
      <c r="N3909" t="s">
        <v>7237</v>
      </c>
      <c r="O3909" t="s">
        <v>9455</v>
      </c>
      <c r="P3909">
        <v>3</v>
      </c>
      <c r="Q3909">
        <v>0</v>
      </c>
      <c r="R3909">
        <v>197.84</v>
      </c>
      <c r="U3909">
        <v>42200</v>
      </c>
      <c r="V3909" t="s">
        <v>10738</v>
      </c>
      <c r="W3909">
        <v>0.3</v>
      </c>
      <c r="X3909" t="s">
        <v>582</v>
      </c>
      <c r="Y3909" t="s">
        <v>225</v>
      </c>
      <c r="AA3909" t="s">
        <v>10974</v>
      </c>
      <c r="AB3909" t="s">
        <v>633</v>
      </c>
      <c r="AD3909" t="s">
        <v>11086</v>
      </c>
      <c r="AF3909" t="s">
        <v>10384</v>
      </c>
      <c r="AH3909" t="s">
        <v>10974</v>
      </c>
      <c r="AJ3909" t="s">
        <v>11141</v>
      </c>
      <c r="AK3909" t="s">
        <v>7225</v>
      </c>
      <c r="AM3909">
        <v>917</v>
      </c>
      <c r="AO3909">
        <v>31</v>
      </c>
      <c r="AQ3909" t="s">
        <v>11157</v>
      </c>
      <c r="AS3909" t="s">
        <v>11173</v>
      </c>
      <c r="AU3909">
        <v>18</v>
      </c>
      <c r="AW3909" t="s">
        <v>11187</v>
      </c>
      <c r="AY3909" t="s">
        <v>11213</v>
      </c>
      <c r="BA3909" t="s">
        <v>11222</v>
      </c>
      <c r="BE3909" t="s">
        <v>13658</v>
      </c>
      <c r="BF3909" t="s">
        <v>14364</v>
      </c>
      <c r="BG3909" t="s">
        <v>11173</v>
      </c>
      <c r="BM3909" t="s">
        <v>15650</v>
      </c>
    </row>
    <row r="3910" spans="1:65">
      <c r="A3910" s="1">
        <f>HYPERLINK("https://lsnyc.legalserver.org/matter/dynamic-profile/view/1880054","18-1880054")</f>
        <v>0</v>
      </c>
      <c r="B3910" t="s">
        <v>209</v>
      </c>
      <c r="C3910" t="s">
        <v>248</v>
      </c>
      <c r="D3910" t="s">
        <v>619</v>
      </c>
      <c r="F3910" t="s">
        <v>1525</v>
      </c>
      <c r="G3910" t="s">
        <v>4314</v>
      </c>
      <c r="H3910" t="s">
        <v>5944</v>
      </c>
      <c r="I3910" t="s">
        <v>6432</v>
      </c>
      <c r="J3910" t="s">
        <v>7174</v>
      </c>
      <c r="K3910">
        <v>11207</v>
      </c>
      <c r="N3910" t="s">
        <v>7237</v>
      </c>
      <c r="O3910" t="s">
        <v>9501</v>
      </c>
      <c r="P3910">
        <v>1</v>
      </c>
      <c r="Q3910">
        <v>3</v>
      </c>
      <c r="R3910">
        <v>41.43</v>
      </c>
      <c r="U3910">
        <v>10400</v>
      </c>
      <c r="W3910">
        <v>0.35</v>
      </c>
      <c r="X3910" t="s">
        <v>511</v>
      </c>
      <c r="Y3910" t="s">
        <v>225</v>
      </c>
      <c r="AA3910" t="s">
        <v>10974</v>
      </c>
      <c r="AB3910" t="s">
        <v>10984</v>
      </c>
      <c r="AD3910" t="s">
        <v>11098</v>
      </c>
      <c r="AF3910" t="s">
        <v>11122</v>
      </c>
      <c r="AH3910" t="s">
        <v>10974</v>
      </c>
      <c r="AJ3910" t="s">
        <v>11129</v>
      </c>
      <c r="AK3910" t="s">
        <v>7225</v>
      </c>
      <c r="AL3910" t="s">
        <v>11150</v>
      </c>
      <c r="AM3910">
        <v>0</v>
      </c>
      <c r="AO3910">
        <v>6</v>
      </c>
      <c r="AQ3910" t="s">
        <v>11157</v>
      </c>
      <c r="AS3910" t="s">
        <v>11173</v>
      </c>
      <c r="AT3910" t="s">
        <v>11184</v>
      </c>
      <c r="AU3910">
        <v>0</v>
      </c>
      <c r="AW3910" t="s">
        <v>11187</v>
      </c>
      <c r="AY3910" t="s">
        <v>11213</v>
      </c>
      <c r="BA3910" t="s">
        <v>11222</v>
      </c>
      <c r="BC3910" t="s">
        <v>11228</v>
      </c>
      <c r="BD3910" t="s">
        <v>11667</v>
      </c>
      <c r="BG3910" t="s">
        <v>15244</v>
      </c>
      <c r="BM3910" t="s">
        <v>15650</v>
      </c>
    </row>
    <row r="3911" spans="1:65">
      <c r="A3911" s="1">
        <f>HYPERLINK("https://lsnyc.legalserver.org/matter/dynamic-profile/view/1914632","19-1914632")</f>
        <v>0</v>
      </c>
      <c r="B3911" t="s">
        <v>209</v>
      </c>
      <c r="C3911" t="s">
        <v>248</v>
      </c>
      <c r="D3911" t="s">
        <v>297</v>
      </c>
      <c r="F3911" t="s">
        <v>1508</v>
      </c>
      <c r="G3911" t="s">
        <v>4109</v>
      </c>
      <c r="H3911" t="s">
        <v>5010</v>
      </c>
      <c r="I3911">
        <v>34</v>
      </c>
      <c r="J3911" t="s">
        <v>7174</v>
      </c>
      <c r="K3911">
        <v>11213</v>
      </c>
      <c r="N3911" t="s">
        <v>7237</v>
      </c>
      <c r="O3911" t="s">
        <v>9138</v>
      </c>
      <c r="P3911">
        <v>2</v>
      </c>
      <c r="Q3911">
        <v>2</v>
      </c>
      <c r="R3911">
        <v>124.75</v>
      </c>
      <c r="U3911">
        <v>32124</v>
      </c>
      <c r="W3911">
        <v>0</v>
      </c>
      <c r="Y3911" t="s">
        <v>225</v>
      </c>
      <c r="AA3911" t="s">
        <v>10974</v>
      </c>
      <c r="AB3911" t="s">
        <v>536</v>
      </c>
      <c r="AD3911" t="s">
        <v>11098</v>
      </c>
      <c r="AF3911" t="s">
        <v>11122</v>
      </c>
      <c r="AH3911" t="s">
        <v>10975</v>
      </c>
      <c r="AJ3911" t="s">
        <v>11141</v>
      </c>
      <c r="AK3911" t="s">
        <v>7225</v>
      </c>
      <c r="AM3911">
        <v>881.67</v>
      </c>
      <c r="AO3911">
        <v>31</v>
      </c>
      <c r="AQ3911" t="s">
        <v>11157</v>
      </c>
      <c r="AS3911" t="s">
        <v>11173</v>
      </c>
      <c r="AU3911">
        <v>17</v>
      </c>
      <c r="AW3911" t="s">
        <v>11187</v>
      </c>
      <c r="AY3911" t="s">
        <v>11213</v>
      </c>
      <c r="BA3911" t="s">
        <v>11222</v>
      </c>
      <c r="BC3911" t="s">
        <v>11228</v>
      </c>
      <c r="BE3911" t="s">
        <v>13367</v>
      </c>
      <c r="BF3911" t="s">
        <v>14364</v>
      </c>
      <c r="BG3911" t="s">
        <v>11228</v>
      </c>
      <c r="BM3911" t="s">
        <v>15650</v>
      </c>
    </row>
    <row r="3912" spans="1:65">
      <c r="A3912" s="1">
        <f>HYPERLINK("https://lsnyc.legalserver.org/matter/dynamic-profile/view/1905984","19-1905984")</f>
        <v>0</v>
      </c>
      <c r="B3912" t="s">
        <v>209</v>
      </c>
      <c r="C3912" t="s">
        <v>248</v>
      </c>
      <c r="D3912" t="s">
        <v>394</v>
      </c>
      <c r="F3912" t="s">
        <v>1177</v>
      </c>
      <c r="G3912" t="s">
        <v>1770</v>
      </c>
      <c r="H3912" t="s">
        <v>4798</v>
      </c>
      <c r="I3912" t="s">
        <v>7071</v>
      </c>
      <c r="J3912" t="s">
        <v>7174</v>
      </c>
      <c r="K3912">
        <v>11233</v>
      </c>
      <c r="N3912" t="s">
        <v>7237</v>
      </c>
      <c r="O3912" t="s">
        <v>9710</v>
      </c>
      <c r="P3912">
        <v>2</v>
      </c>
      <c r="Q3912">
        <v>0</v>
      </c>
      <c r="R3912">
        <v>620.9299999999999</v>
      </c>
      <c r="T3912" t="s">
        <v>10276</v>
      </c>
      <c r="U3912">
        <v>105000</v>
      </c>
      <c r="V3912" t="s">
        <v>10340</v>
      </c>
      <c r="W3912">
        <v>0</v>
      </c>
      <c r="Y3912" t="s">
        <v>225</v>
      </c>
      <c r="AA3912" t="s">
        <v>10974</v>
      </c>
      <c r="AD3912" t="s">
        <v>11100</v>
      </c>
      <c r="AE3912" t="s">
        <v>11117</v>
      </c>
      <c r="AH3912" t="s">
        <v>10974</v>
      </c>
      <c r="AJ3912" t="s">
        <v>11134</v>
      </c>
      <c r="AK3912" t="s">
        <v>7225</v>
      </c>
      <c r="AM3912">
        <v>1001.91</v>
      </c>
      <c r="AO3912">
        <v>1117</v>
      </c>
      <c r="AQ3912" t="s">
        <v>11157</v>
      </c>
      <c r="AS3912" t="s">
        <v>11173</v>
      </c>
      <c r="AU3912">
        <v>40</v>
      </c>
      <c r="AW3912" t="s">
        <v>11187</v>
      </c>
      <c r="AY3912" t="s">
        <v>11213</v>
      </c>
      <c r="BA3912" t="s">
        <v>11222</v>
      </c>
      <c r="BC3912" t="s">
        <v>11228</v>
      </c>
      <c r="BD3912" t="s">
        <v>11667</v>
      </c>
      <c r="BF3912" t="s">
        <v>14364</v>
      </c>
      <c r="BG3912" t="s">
        <v>14411</v>
      </c>
      <c r="BM3912" t="s">
        <v>15650</v>
      </c>
    </row>
    <row r="3913" spans="1:65">
      <c r="A3913" s="1">
        <f>HYPERLINK("https://lsnyc.legalserver.org/matter/dynamic-profile/view/1905862","19-1905862")</f>
        <v>0</v>
      </c>
      <c r="B3913" t="s">
        <v>209</v>
      </c>
      <c r="C3913" t="s">
        <v>248</v>
      </c>
      <c r="D3913" t="s">
        <v>337</v>
      </c>
      <c r="F3913" t="s">
        <v>1475</v>
      </c>
      <c r="G3913" t="s">
        <v>4342</v>
      </c>
      <c r="H3913" t="s">
        <v>5947</v>
      </c>
      <c r="I3913" t="s">
        <v>6432</v>
      </c>
      <c r="J3913" t="s">
        <v>7174</v>
      </c>
      <c r="K3913">
        <v>11215</v>
      </c>
      <c r="N3913" t="s">
        <v>7237</v>
      </c>
      <c r="O3913" t="s">
        <v>9536</v>
      </c>
      <c r="P3913">
        <v>2</v>
      </c>
      <c r="Q3913">
        <v>0</v>
      </c>
      <c r="R3913">
        <v>182.38</v>
      </c>
      <c r="U3913">
        <v>30840</v>
      </c>
      <c r="W3913">
        <v>0</v>
      </c>
      <c r="Y3913" t="s">
        <v>225</v>
      </c>
      <c r="AA3913" t="s">
        <v>10974</v>
      </c>
      <c r="AB3913" t="s">
        <v>10979</v>
      </c>
      <c r="AD3913" t="s">
        <v>11098</v>
      </c>
      <c r="AF3913" t="s">
        <v>11122</v>
      </c>
      <c r="AH3913" t="s">
        <v>10974</v>
      </c>
      <c r="AJ3913" t="s">
        <v>11129</v>
      </c>
      <c r="AK3913" t="s">
        <v>7225</v>
      </c>
      <c r="AM3913">
        <v>149</v>
      </c>
      <c r="AO3913">
        <v>7</v>
      </c>
      <c r="AQ3913" t="s">
        <v>11160</v>
      </c>
      <c r="AS3913" t="s">
        <v>11173</v>
      </c>
      <c r="AU3913">
        <v>42</v>
      </c>
      <c r="AW3913" t="s">
        <v>11187</v>
      </c>
      <c r="AY3913" t="s">
        <v>11213</v>
      </c>
      <c r="BA3913" t="s">
        <v>11222</v>
      </c>
      <c r="BC3913" t="s">
        <v>11173</v>
      </c>
      <c r="BD3913" t="s">
        <v>11667</v>
      </c>
      <c r="BF3913" t="s">
        <v>14364</v>
      </c>
      <c r="BG3913" t="s">
        <v>11228</v>
      </c>
      <c r="BM3913" t="s">
        <v>15650</v>
      </c>
    </row>
    <row r="3914" spans="1:65">
      <c r="A3914" s="1">
        <f>HYPERLINK("https://lsnyc.legalserver.org/matter/dynamic-profile/view/1882164","18-1882164")</f>
        <v>0</v>
      </c>
      <c r="B3914" t="s">
        <v>209</v>
      </c>
      <c r="C3914" t="s">
        <v>248</v>
      </c>
      <c r="D3914" t="s">
        <v>569</v>
      </c>
      <c r="F3914" t="s">
        <v>2575</v>
      </c>
      <c r="G3914" t="s">
        <v>4455</v>
      </c>
      <c r="H3914" t="s">
        <v>5009</v>
      </c>
      <c r="J3914" t="s">
        <v>7174</v>
      </c>
      <c r="K3914">
        <v>11213</v>
      </c>
      <c r="N3914" t="s">
        <v>7237</v>
      </c>
      <c r="O3914" t="s">
        <v>9711</v>
      </c>
      <c r="P3914">
        <v>1</v>
      </c>
      <c r="Q3914">
        <v>0</v>
      </c>
      <c r="R3914">
        <v>181.64</v>
      </c>
      <c r="T3914" t="s">
        <v>10278</v>
      </c>
      <c r="U3914">
        <v>22051</v>
      </c>
      <c r="W3914">
        <v>3.85</v>
      </c>
      <c r="X3914" t="s">
        <v>327</v>
      </c>
      <c r="Y3914" t="s">
        <v>225</v>
      </c>
      <c r="AA3914" t="s">
        <v>10974</v>
      </c>
      <c r="AB3914" t="s">
        <v>11073</v>
      </c>
      <c r="AD3914" t="s">
        <v>11101</v>
      </c>
      <c r="AF3914" t="s">
        <v>11118</v>
      </c>
      <c r="AH3914" t="s">
        <v>10974</v>
      </c>
      <c r="AJ3914" t="s">
        <v>11141</v>
      </c>
      <c r="AK3914" t="s">
        <v>7225</v>
      </c>
      <c r="AM3914">
        <v>678.92</v>
      </c>
      <c r="AO3914">
        <v>35</v>
      </c>
      <c r="AQ3914" t="s">
        <v>11157</v>
      </c>
      <c r="AS3914" t="s">
        <v>11173</v>
      </c>
      <c r="AU3914">
        <v>22</v>
      </c>
      <c r="AW3914" t="s">
        <v>11187</v>
      </c>
      <c r="AY3914" t="s">
        <v>11213</v>
      </c>
      <c r="BA3914" t="s">
        <v>11222</v>
      </c>
      <c r="BC3914" t="s">
        <v>11173</v>
      </c>
      <c r="BE3914" t="s">
        <v>13813</v>
      </c>
      <c r="BF3914" t="s">
        <v>14364</v>
      </c>
      <c r="BG3914" t="s">
        <v>15314</v>
      </c>
      <c r="BM3914" t="s">
        <v>15650</v>
      </c>
    </row>
    <row r="3915" spans="1:65">
      <c r="A3915" s="1">
        <f>HYPERLINK("https://lsnyc.legalserver.org/matter/dynamic-profile/view/1900677","19-1900677")</f>
        <v>0</v>
      </c>
      <c r="B3915" t="s">
        <v>209</v>
      </c>
      <c r="C3915" t="s">
        <v>248</v>
      </c>
      <c r="D3915" t="s">
        <v>549</v>
      </c>
      <c r="F3915" t="s">
        <v>1469</v>
      </c>
      <c r="G3915" t="s">
        <v>2210</v>
      </c>
      <c r="H3915" t="s">
        <v>5010</v>
      </c>
      <c r="I3915">
        <v>7</v>
      </c>
      <c r="J3915" t="s">
        <v>7174</v>
      </c>
      <c r="K3915">
        <v>11213</v>
      </c>
      <c r="N3915" t="s">
        <v>7237</v>
      </c>
      <c r="O3915" t="s">
        <v>7729</v>
      </c>
      <c r="P3915">
        <v>2</v>
      </c>
      <c r="Q3915">
        <v>0</v>
      </c>
      <c r="R3915">
        <v>189.24</v>
      </c>
      <c r="U3915">
        <v>32000</v>
      </c>
      <c r="V3915" t="s">
        <v>10739</v>
      </c>
      <c r="W3915">
        <v>0</v>
      </c>
      <c r="Y3915" t="s">
        <v>225</v>
      </c>
      <c r="AA3915" t="s">
        <v>10974</v>
      </c>
      <c r="AB3915" t="s">
        <v>549</v>
      </c>
      <c r="AD3915" t="s">
        <v>11086</v>
      </c>
      <c r="AF3915" t="s">
        <v>10384</v>
      </c>
      <c r="AH3915" t="s">
        <v>10974</v>
      </c>
      <c r="AJ3915" t="s">
        <v>11141</v>
      </c>
      <c r="AK3915" t="s">
        <v>7225</v>
      </c>
      <c r="AM3915">
        <v>931.36</v>
      </c>
      <c r="AO3915">
        <v>31</v>
      </c>
      <c r="AQ3915" t="s">
        <v>11157</v>
      </c>
      <c r="AS3915" t="s">
        <v>11173</v>
      </c>
      <c r="AU3915">
        <v>35</v>
      </c>
      <c r="AW3915" t="s">
        <v>11187</v>
      </c>
      <c r="AY3915" t="s">
        <v>11213</v>
      </c>
      <c r="BA3915" t="s">
        <v>11222</v>
      </c>
      <c r="BC3915" t="s">
        <v>11173</v>
      </c>
      <c r="BD3915" t="s">
        <v>11667</v>
      </c>
      <c r="BF3915" t="s">
        <v>14364</v>
      </c>
      <c r="BG3915" t="s">
        <v>11173</v>
      </c>
      <c r="BM3915" t="s">
        <v>15650</v>
      </c>
    </row>
    <row r="3916" spans="1:65">
      <c r="A3916" s="1">
        <f>HYPERLINK("https://lsnyc.legalserver.org/matter/dynamic-profile/view/1882161","18-1882161")</f>
        <v>0</v>
      </c>
      <c r="B3916" t="s">
        <v>209</v>
      </c>
      <c r="C3916" t="s">
        <v>248</v>
      </c>
      <c r="D3916" t="s">
        <v>569</v>
      </c>
      <c r="F3916" t="s">
        <v>1508</v>
      </c>
      <c r="G3916" t="s">
        <v>4109</v>
      </c>
      <c r="H3916" t="s">
        <v>5010</v>
      </c>
      <c r="J3916" t="s">
        <v>7174</v>
      </c>
      <c r="K3916">
        <v>11213</v>
      </c>
      <c r="N3916" t="s">
        <v>7237</v>
      </c>
      <c r="O3916" t="s">
        <v>9138</v>
      </c>
      <c r="P3916">
        <v>2</v>
      </c>
      <c r="Q3916">
        <v>0</v>
      </c>
      <c r="R3916">
        <v>179.22</v>
      </c>
      <c r="U3916">
        <v>29500</v>
      </c>
      <c r="W3916">
        <v>0.1</v>
      </c>
      <c r="X3916" t="s">
        <v>549</v>
      </c>
      <c r="Y3916" t="s">
        <v>225</v>
      </c>
      <c r="AA3916" t="s">
        <v>10974</v>
      </c>
      <c r="AB3916" t="s">
        <v>11073</v>
      </c>
      <c r="AD3916" t="s">
        <v>11101</v>
      </c>
      <c r="AF3916" t="s">
        <v>11118</v>
      </c>
      <c r="AH3916" t="s">
        <v>10974</v>
      </c>
      <c r="AJ3916" t="s">
        <v>11141</v>
      </c>
      <c r="AK3916" t="s">
        <v>7225</v>
      </c>
      <c r="AM3916">
        <v>881.67</v>
      </c>
      <c r="AO3916">
        <v>31</v>
      </c>
      <c r="AQ3916" t="s">
        <v>11157</v>
      </c>
      <c r="AS3916" t="s">
        <v>11173</v>
      </c>
      <c r="AU3916">
        <v>17</v>
      </c>
      <c r="AW3916" t="s">
        <v>11187</v>
      </c>
      <c r="AY3916" t="s">
        <v>11213</v>
      </c>
      <c r="AZ3916" t="s">
        <v>11221</v>
      </c>
      <c r="BC3916" t="s">
        <v>11173</v>
      </c>
      <c r="BE3916" t="s">
        <v>13367</v>
      </c>
      <c r="BG3916" t="s">
        <v>14508</v>
      </c>
      <c r="BM3916" t="s">
        <v>15650</v>
      </c>
    </row>
    <row r="3917" spans="1:65">
      <c r="A3917" s="1">
        <f>HYPERLINK("https://lsnyc.legalserver.org/matter/dynamic-profile/view/0826379","17-0826379")</f>
        <v>0</v>
      </c>
      <c r="B3917" t="s">
        <v>209</v>
      </c>
      <c r="C3917" t="s">
        <v>248</v>
      </c>
      <c r="D3917" t="s">
        <v>1018</v>
      </c>
      <c r="F3917" t="s">
        <v>2594</v>
      </c>
      <c r="G3917" t="s">
        <v>4456</v>
      </c>
      <c r="H3917" t="s">
        <v>6054</v>
      </c>
      <c r="I3917" t="s">
        <v>6661</v>
      </c>
      <c r="J3917" t="s">
        <v>7174</v>
      </c>
      <c r="K3917">
        <v>11207</v>
      </c>
      <c r="N3917" t="s">
        <v>7237</v>
      </c>
      <c r="O3917" t="s">
        <v>9712</v>
      </c>
      <c r="P3917">
        <v>4</v>
      </c>
      <c r="Q3917">
        <v>3</v>
      </c>
      <c r="R3917">
        <v>81.84</v>
      </c>
      <c r="U3917">
        <v>30394</v>
      </c>
      <c r="V3917" t="s">
        <v>10740</v>
      </c>
      <c r="W3917">
        <v>0.2</v>
      </c>
      <c r="X3917" t="s">
        <v>1065</v>
      </c>
      <c r="Y3917" t="s">
        <v>225</v>
      </c>
      <c r="AA3917" t="s">
        <v>10974</v>
      </c>
      <c r="AC3917" t="s">
        <v>11081</v>
      </c>
      <c r="AF3917" t="s">
        <v>11119</v>
      </c>
      <c r="AH3917" t="s">
        <v>10975</v>
      </c>
      <c r="AJ3917" t="s">
        <v>11129</v>
      </c>
      <c r="AK3917" t="s">
        <v>7225</v>
      </c>
      <c r="AM3917">
        <v>1650</v>
      </c>
      <c r="AO3917">
        <v>5</v>
      </c>
      <c r="AQ3917" t="s">
        <v>11164</v>
      </c>
      <c r="AS3917" t="s">
        <v>11174</v>
      </c>
      <c r="AU3917">
        <v>10</v>
      </c>
      <c r="AW3917" t="s">
        <v>11187</v>
      </c>
      <c r="AX3917" t="s">
        <v>11212</v>
      </c>
      <c r="AZ3917" t="s">
        <v>11221</v>
      </c>
      <c r="BE3917" t="s">
        <v>13814</v>
      </c>
      <c r="BF3917" t="s">
        <v>14364</v>
      </c>
      <c r="BM3917" t="s">
        <v>15650</v>
      </c>
    </row>
    <row r="3918" spans="1:65">
      <c r="A3918" s="1">
        <f>HYPERLINK("https://lsnyc.legalserver.org/matter/dynamic-profile/view/1900693","19-1900693")</f>
        <v>0</v>
      </c>
      <c r="B3918" t="s">
        <v>209</v>
      </c>
      <c r="C3918" t="s">
        <v>248</v>
      </c>
      <c r="D3918" t="s">
        <v>582</v>
      </c>
      <c r="F3918" t="s">
        <v>2575</v>
      </c>
      <c r="G3918" t="s">
        <v>4455</v>
      </c>
      <c r="H3918" t="s">
        <v>5009</v>
      </c>
      <c r="J3918" t="s">
        <v>7174</v>
      </c>
      <c r="K3918">
        <v>11213</v>
      </c>
      <c r="N3918" t="s">
        <v>7237</v>
      </c>
      <c r="O3918" t="s">
        <v>9711</v>
      </c>
      <c r="P3918">
        <v>1</v>
      </c>
      <c r="Q3918">
        <v>0</v>
      </c>
      <c r="R3918">
        <v>176.55</v>
      </c>
      <c r="U3918">
        <v>22051</v>
      </c>
      <c r="V3918" t="s">
        <v>10741</v>
      </c>
      <c r="W3918">
        <v>4.8</v>
      </c>
      <c r="X3918" t="s">
        <v>434</v>
      </c>
      <c r="Y3918" t="s">
        <v>225</v>
      </c>
      <c r="AA3918" t="s">
        <v>10974</v>
      </c>
      <c r="AB3918" t="s">
        <v>633</v>
      </c>
      <c r="AD3918" t="s">
        <v>11086</v>
      </c>
      <c r="AF3918" t="s">
        <v>11120</v>
      </c>
      <c r="AH3918" t="s">
        <v>10974</v>
      </c>
      <c r="AJ3918" t="s">
        <v>11141</v>
      </c>
      <c r="AK3918" t="s">
        <v>7225</v>
      </c>
      <c r="AM3918">
        <v>678.92</v>
      </c>
      <c r="AO3918">
        <v>35</v>
      </c>
      <c r="AQ3918" t="s">
        <v>11157</v>
      </c>
      <c r="AS3918" t="s">
        <v>11173</v>
      </c>
      <c r="AU3918">
        <v>22</v>
      </c>
      <c r="AW3918" t="s">
        <v>11187</v>
      </c>
      <c r="AY3918" t="s">
        <v>11213</v>
      </c>
      <c r="BA3918" t="s">
        <v>11222</v>
      </c>
      <c r="BC3918" t="s">
        <v>11173</v>
      </c>
      <c r="BE3918" t="s">
        <v>13813</v>
      </c>
      <c r="BF3918" t="s">
        <v>14364</v>
      </c>
      <c r="BM3918" t="s">
        <v>15650</v>
      </c>
    </row>
    <row r="3919" spans="1:65">
      <c r="A3919" s="1">
        <f>HYPERLINK("https://lsnyc.legalserver.org/matter/dynamic-profile/view/1858116","18-1858116")</f>
        <v>0</v>
      </c>
      <c r="B3919" t="s">
        <v>209</v>
      </c>
      <c r="C3919" t="s">
        <v>248</v>
      </c>
      <c r="D3919" t="s">
        <v>1019</v>
      </c>
      <c r="F3919" t="s">
        <v>2595</v>
      </c>
      <c r="G3919" t="s">
        <v>4457</v>
      </c>
      <c r="H3919" t="s">
        <v>5630</v>
      </c>
      <c r="I3919" t="s">
        <v>6432</v>
      </c>
      <c r="J3919" t="s">
        <v>7174</v>
      </c>
      <c r="K3919">
        <v>11237</v>
      </c>
      <c r="N3919" t="s">
        <v>7237</v>
      </c>
      <c r="O3919" t="s">
        <v>8037</v>
      </c>
      <c r="P3919">
        <v>2</v>
      </c>
      <c r="Q3919">
        <v>2</v>
      </c>
      <c r="R3919">
        <v>26</v>
      </c>
      <c r="U3919">
        <v>6396</v>
      </c>
      <c r="W3919">
        <v>0</v>
      </c>
      <c r="Y3919" t="s">
        <v>10901</v>
      </c>
      <c r="AA3919" t="s">
        <v>10974</v>
      </c>
      <c r="AC3919" t="s">
        <v>11081</v>
      </c>
      <c r="AF3919" t="s">
        <v>11121</v>
      </c>
      <c r="AH3919" t="s">
        <v>10974</v>
      </c>
      <c r="AI3919" t="s">
        <v>11126</v>
      </c>
      <c r="AK3919" t="s">
        <v>7225</v>
      </c>
      <c r="AM3919">
        <v>850</v>
      </c>
      <c r="AO3919">
        <v>8</v>
      </c>
      <c r="AQ3919" t="s">
        <v>11157</v>
      </c>
      <c r="AR3919" t="s">
        <v>11172</v>
      </c>
      <c r="AU3919">
        <v>32</v>
      </c>
      <c r="AW3919" t="s">
        <v>11187</v>
      </c>
      <c r="AX3919" t="s">
        <v>11212</v>
      </c>
      <c r="AZ3919" t="s">
        <v>11221</v>
      </c>
      <c r="BE3919" t="s">
        <v>13815</v>
      </c>
      <c r="BF3919" t="s">
        <v>14364</v>
      </c>
      <c r="BM3919" t="s">
        <v>15650</v>
      </c>
    </row>
    <row r="3920" spans="1:65">
      <c r="A3920" s="1">
        <f>HYPERLINK("https://lsnyc.legalserver.org/matter/dynamic-profile/view/1879613","18-1879613")</f>
        <v>0</v>
      </c>
      <c r="B3920" t="s">
        <v>209</v>
      </c>
      <c r="C3920" t="s">
        <v>248</v>
      </c>
      <c r="D3920" t="s">
        <v>1020</v>
      </c>
      <c r="F3920" t="s">
        <v>1643</v>
      </c>
      <c r="G3920" t="s">
        <v>3594</v>
      </c>
      <c r="H3920" t="s">
        <v>5944</v>
      </c>
      <c r="I3920" t="s">
        <v>6637</v>
      </c>
      <c r="J3920" t="s">
        <v>7174</v>
      </c>
      <c r="K3920">
        <v>11207</v>
      </c>
      <c r="N3920" t="s">
        <v>7237</v>
      </c>
      <c r="O3920" t="s">
        <v>9498</v>
      </c>
      <c r="P3920">
        <v>1</v>
      </c>
      <c r="Q3920">
        <v>0</v>
      </c>
      <c r="R3920">
        <v>171.33</v>
      </c>
      <c r="U3920">
        <v>20800</v>
      </c>
      <c r="W3920">
        <v>0</v>
      </c>
      <c r="Y3920" t="s">
        <v>225</v>
      </c>
      <c r="AA3920" t="s">
        <v>10974</v>
      </c>
      <c r="AB3920" t="s">
        <v>609</v>
      </c>
      <c r="AD3920" t="s">
        <v>11086</v>
      </c>
      <c r="AF3920" t="s">
        <v>10384</v>
      </c>
      <c r="AH3920" t="s">
        <v>10974</v>
      </c>
      <c r="AJ3920" t="s">
        <v>11129</v>
      </c>
      <c r="AK3920" t="s">
        <v>7225</v>
      </c>
      <c r="AM3920">
        <v>1000</v>
      </c>
      <c r="AO3920">
        <v>6</v>
      </c>
      <c r="AQ3920" t="s">
        <v>11157</v>
      </c>
      <c r="AS3920" t="s">
        <v>11173</v>
      </c>
      <c r="AU3920">
        <v>4</v>
      </c>
      <c r="AW3920" t="s">
        <v>11187</v>
      </c>
      <c r="AY3920" t="s">
        <v>11213</v>
      </c>
      <c r="BA3920" t="s">
        <v>11222</v>
      </c>
      <c r="BE3920" t="s">
        <v>13664</v>
      </c>
      <c r="BF3920" t="s">
        <v>14364</v>
      </c>
      <c r="BG3920" t="s">
        <v>11086</v>
      </c>
      <c r="BM3920" t="s">
        <v>15650</v>
      </c>
    </row>
    <row r="3921" spans="1:65">
      <c r="A3921" s="1">
        <f>HYPERLINK("https://lsnyc.legalserver.org/matter/dynamic-profile/view/1879255","18-1879255")</f>
        <v>0</v>
      </c>
      <c r="B3921" t="s">
        <v>209</v>
      </c>
      <c r="C3921" t="s">
        <v>248</v>
      </c>
      <c r="D3921" t="s">
        <v>609</v>
      </c>
      <c r="F3921" t="s">
        <v>2596</v>
      </c>
      <c r="G3921" t="s">
        <v>4458</v>
      </c>
      <c r="H3921" t="s">
        <v>5009</v>
      </c>
      <c r="I3921" t="s">
        <v>6417</v>
      </c>
      <c r="J3921" t="s">
        <v>7174</v>
      </c>
      <c r="K3921">
        <v>11213</v>
      </c>
      <c r="N3921" t="s">
        <v>7237</v>
      </c>
      <c r="O3921" t="s">
        <v>9713</v>
      </c>
      <c r="P3921">
        <v>3</v>
      </c>
      <c r="Q3921">
        <v>1</v>
      </c>
      <c r="R3921">
        <v>79.68000000000001</v>
      </c>
      <c r="U3921">
        <v>20000</v>
      </c>
      <c r="W3921">
        <v>0.1</v>
      </c>
      <c r="X3921" t="s">
        <v>549</v>
      </c>
      <c r="Y3921" t="s">
        <v>225</v>
      </c>
      <c r="AA3921" t="s">
        <v>10974</v>
      </c>
      <c r="AB3921" t="s">
        <v>864</v>
      </c>
      <c r="AD3921" t="s">
        <v>11101</v>
      </c>
      <c r="AF3921" t="s">
        <v>11118</v>
      </c>
      <c r="AH3921" t="s">
        <v>10974</v>
      </c>
      <c r="AI3921" t="s">
        <v>11126</v>
      </c>
      <c r="AK3921" t="s">
        <v>7225</v>
      </c>
      <c r="AM3921">
        <v>1200</v>
      </c>
      <c r="AO3921">
        <v>35</v>
      </c>
      <c r="AQ3921" t="s">
        <v>11157</v>
      </c>
      <c r="AR3921" t="s">
        <v>11172</v>
      </c>
      <c r="AU3921">
        <v>10</v>
      </c>
      <c r="AW3921" t="s">
        <v>11187</v>
      </c>
      <c r="BA3921" t="s">
        <v>11222</v>
      </c>
      <c r="BE3921" t="s">
        <v>13816</v>
      </c>
      <c r="BG3921" t="s">
        <v>14508</v>
      </c>
      <c r="BM3921" t="s">
        <v>15650</v>
      </c>
    </row>
    <row r="3922" spans="1:65">
      <c r="A3922" s="1">
        <f>HYPERLINK("https://lsnyc.legalserver.org/matter/dynamic-profile/view/1879627","18-1879627")</f>
        <v>0</v>
      </c>
      <c r="B3922" t="s">
        <v>209</v>
      </c>
      <c r="C3922" t="s">
        <v>248</v>
      </c>
      <c r="D3922" t="s">
        <v>1020</v>
      </c>
      <c r="F3922" t="s">
        <v>1643</v>
      </c>
      <c r="G3922" t="s">
        <v>3594</v>
      </c>
      <c r="H3922" t="s">
        <v>5944</v>
      </c>
      <c r="I3922" t="s">
        <v>6637</v>
      </c>
      <c r="J3922" t="s">
        <v>7174</v>
      </c>
      <c r="K3922">
        <v>11207</v>
      </c>
      <c r="N3922" t="s">
        <v>7237</v>
      </c>
      <c r="O3922" t="s">
        <v>9498</v>
      </c>
      <c r="P3922">
        <v>1</v>
      </c>
      <c r="Q3922">
        <v>0</v>
      </c>
      <c r="R3922">
        <v>171.33</v>
      </c>
      <c r="U3922">
        <v>20800</v>
      </c>
      <c r="W3922">
        <v>0</v>
      </c>
      <c r="Y3922" t="s">
        <v>225</v>
      </c>
      <c r="AA3922" t="s">
        <v>10974</v>
      </c>
      <c r="AB3922" t="s">
        <v>11000</v>
      </c>
      <c r="AD3922" t="s">
        <v>11085</v>
      </c>
      <c r="AF3922" t="s">
        <v>10384</v>
      </c>
      <c r="AH3922" t="s">
        <v>10974</v>
      </c>
      <c r="AJ3922" t="s">
        <v>11129</v>
      </c>
      <c r="AK3922" t="s">
        <v>7225</v>
      </c>
      <c r="AM3922">
        <v>1000</v>
      </c>
      <c r="AO3922">
        <v>6</v>
      </c>
      <c r="AQ3922" t="s">
        <v>11157</v>
      </c>
      <c r="AS3922" t="s">
        <v>11173</v>
      </c>
      <c r="AU3922">
        <v>4</v>
      </c>
      <c r="AW3922" t="s">
        <v>11187</v>
      </c>
      <c r="AY3922" t="s">
        <v>11213</v>
      </c>
      <c r="BA3922" t="s">
        <v>11222</v>
      </c>
      <c r="BE3922" t="s">
        <v>13664</v>
      </c>
      <c r="BF3922" t="s">
        <v>14364</v>
      </c>
      <c r="BG3922" t="s">
        <v>11086</v>
      </c>
      <c r="BM3922" t="s">
        <v>15650</v>
      </c>
    </row>
    <row r="3923" spans="1:65">
      <c r="A3923" s="1">
        <f>HYPERLINK("https://lsnyc.legalserver.org/matter/dynamic-profile/view/1900683","19-1900683")</f>
        <v>0</v>
      </c>
      <c r="B3923" t="s">
        <v>209</v>
      </c>
      <c r="C3923" t="s">
        <v>248</v>
      </c>
      <c r="D3923" t="s">
        <v>582</v>
      </c>
      <c r="F3923" t="s">
        <v>2597</v>
      </c>
      <c r="G3923" t="s">
        <v>4459</v>
      </c>
      <c r="H3923" t="s">
        <v>5009</v>
      </c>
      <c r="I3923" t="s">
        <v>6486</v>
      </c>
      <c r="J3923" t="s">
        <v>7174</v>
      </c>
      <c r="K3923">
        <v>11213</v>
      </c>
      <c r="N3923" t="s">
        <v>7237</v>
      </c>
      <c r="O3923" t="s">
        <v>9714</v>
      </c>
      <c r="P3923">
        <v>2</v>
      </c>
      <c r="Q3923">
        <v>3</v>
      </c>
      <c r="R3923">
        <v>79.55</v>
      </c>
      <c r="U3923">
        <v>24000</v>
      </c>
      <c r="V3923" t="s">
        <v>10742</v>
      </c>
      <c r="W3923">
        <v>0</v>
      </c>
      <c r="Y3923" t="s">
        <v>225</v>
      </c>
      <c r="AA3923" t="s">
        <v>10974</v>
      </c>
      <c r="AB3923" t="s">
        <v>633</v>
      </c>
      <c r="AD3923" t="s">
        <v>11086</v>
      </c>
      <c r="AF3923" t="s">
        <v>11120</v>
      </c>
      <c r="AH3923" t="s">
        <v>10974</v>
      </c>
      <c r="AJ3923" t="s">
        <v>11141</v>
      </c>
      <c r="AK3923" t="s">
        <v>7225</v>
      </c>
      <c r="AM3923">
        <v>606</v>
      </c>
      <c r="AO3923">
        <v>35</v>
      </c>
      <c r="AQ3923" t="s">
        <v>11157</v>
      </c>
      <c r="AS3923" t="s">
        <v>11173</v>
      </c>
      <c r="AU3923">
        <v>5</v>
      </c>
      <c r="AW3923" t="s">
        <v>11187</v>
      </c>
      <c r="AY3923" t="s">
        <v>11213</v>
      </c>
      <c r="BA3923" t="s">
        <v>11222</v>
      </c>
      <c r="BD3923" t="s">
        <v>11667</v>
      </c>
      <c r="BF3923" t="s">
        <v>14364</v>
      </c>
      <c r="BG3923" t="s">
        <v>11173</v>
      </c>
      <c r="BM3923" t="s">
        <v>15650</v>
      </c>
    </row>
    <row r="3924" spans="1:65">
      <c r="A3924" s="1">
        <f>HYPERLINK("https://lsnyc.legalserver.org/matter/dynamic-profile/view/1879615","18-1879615")</f>
        <v>0</v>
      </c>
      <c r="B3924" t="s">
        <v>209</v>
      </c>
      <c r="C3924" t="s">
        <v>248</v>
      </c>
      <c r="D3924" t="s">
        <v>1020</v>
      </c>
      <c r="F3924" t="s">
        <v>1643</v>
      </c>
      <c r="G3924" t="s">
        <v>3594</v>
      </c>
      <c r="H3924" t="s">
        <v>5944</v>
      </c>
      <c r="I3924" t="s">
        <v>6637</v>
      </c>
      <c r="J3924" t="s">
        <v>7174</v>
      </c>
      <c r="K3924">
        <v>11207</v>
      </c>
      <c r="N3924" t="s">
        <v>7237</v>
      </c>
      <c r="O3924" t="s">
        <v>9498</v>
      </c>
      <c r="P3924">
        <v>1</v>
      </c>
      <c r="Q3924">
        <v>3</v>
      </c>
      <c r="R3924">
        <v>82.87</v>
      </c>
      <c r="U3924">
        <v>20800</v>
      </c>
      <c r="W3924">
        <v>0</v>
      </c>
      <c r="Y3924" t="s">
        <v>225</v>
      </c>
      <c r="Z3924" t="s">
        <v>10972</v>
      </c>
      <c r="AA3924" t="s">
        <v>10975</v>
      </c>
      <c r="AD3924" t="s">
        <v>11100</v>
      </c>
      <c r="AF3924" t="s">
        <v>11120</v>
      </c>
      <c r="AH3924" t="s">
        <v>10974</v>
      </c>
      <c r="AJ3924" t="s">
        <v>11129</v>
      </c>
      <c r="AK3924" t="s">
        <v>7225</v>
      </c>
      <c r="AM3924">
        <v>1000</v>
      </c>
      <c r="AO3924">
        <v>6</v>
      </c>
      <c r="AQ3924" t="s">
        <v>11157</v>
      </c>
      <c r="AS3924" t="s">
        <v>11173</v>
      </c>
      <c r="AU3924">
        <v>4</v>
      </c>
      <c r="AW3924" t="s">
        <v>11187</v>
      </c>
      <c r="AY3924" t="s">
        <v>11213</v>
      </c>
      <c r="AZ3924" t="s">
        <v>11221</v>
      </c>
      <c r="BC3924" t="s">
        <v>11230</v>
      </c>
      <c r="BE3924" t="s">
        <v>13664</v>
      </c>
      <c r="BF3924" t="s">
        <v>14364</v>
      </c>
      <c r="BG3924" t="s">
        <v>11086</v>
      </c>
      <c r="BM3924" t="s">
        <v>15650</v>
      </c>
    </row>
    <row r="3925" spans="1:65">
      <c r="A3925" s="1">
        <f>HYPERLINK("https://lsnyc.legalserver.org/matter/dynamic-profile/view/1914271","19-1914271")</f>
        <v>0</v>
      </c>
      <c r="B3925" t="s">
        <v>209</v>
      </c>
      <c r="C3925" t="s">
        <v>248</v>
      </c>
      <c r="D3925" t="s">
        <v>266</v>
      </c>
      <c r="F3925" t="s">
        <v>1852</v>
      </c>
      <c r="G3925" t="s">
        <v>3438</v>
      </c>
      <c r="H3925" t="s">
        <v>5053</v>
      </c>
      <c r="I3925" t="s">
        <v>6424</v>
      </c>
      <c r="J3925" t="s">
        <v>7174</v>
      </c>
      <c r="K3925">
        <v>11212</v>
      </c>
      <c r="N3925" t="s">
        <v>7237</v>
      </c>
      <c r="O3925" t="s">
        <v>9715</v>
      </c>
      <c r="P3925">
        <v>3</v>
      </c>
      <c r="Q3925">
        <v>2</v>
      </c>
      <c r="R3925">
        <v>31.58</v>
      </c>
      <c r="U3925">
        <v>9528</v>
      </c>
      <c r="W3925">
        <v>0</v>
      </c>
      <c r="Y3925" t="s">
        <v>101</v>
      </c>
      <c r="AA3925" t="s">
        <v>10974</v>
      </c>
      <c r="AB3925" t="s">
        <v>266</v>
      </c>
      <c r="AC3925" t="s">
        <v>11081</v>
      </c>
      <c r="AF3925" t="s">
        <v>11121</v>
      </c>
      <c r="AH3925" t="s">
        <v>10974</v>
      </c>
      <c r="AJ3925" t="s">
        <v>11141</v>
      </c>
      <c r="AK3925" t="s">
        <v>7225</v>
      </c>
      <c r="AM3925">
        <v>281</v>
      </c>
      <c r="AO3925">
        <v>10</v>
      </c>
      <c r="AQ3925" t="s">
        <v>11157</v>
      </c>
      <c r="AS3925" t="s">
        <v>11174</v>
      </c>
      <c r="AU3925">
        <v>21</v>
      </c>
      <c r="AW3925" t="s">
        <v>11187</v>
      </c>
      <c r="BA3925" t="s">
        <v>11222</v>
      </c>
      <c r="BE3925" t="s">
        <v>13817</v>
      </c>
      <c r="BF3925" t="s">
        <v>14364</v>
      </c>
      <c r="BG3925" t="s">
        <v>11086</v>
      </c>
      <c r="BM3925" t="s">
        <v>15650</v>
      </c>
    </row>
    <row r="3926" spans="1:65">
      <c r="A3926" s="1">
        <f>HYPERLINK("https://lsnyc.legalserver.org/matter/dynamic-profile/view/1905867","19-1905867")</f>
        <v>0</v>
      </c>
      <c r="B3926" t="s">
        <v>209</v>
      </c>
      <c r="C3926" t="s">
        <v>248</v>
      </c>
      <c r="D3926" t="s">
        <v>337</v>
      </c>
      <c r="F3926" t="s">
        <v>1456</v>
      </c>
      <c r="G3926" t="s">
        <v>3032</v>
      </c>
      <c r="H3926" t="s">
        <v>5947</v>
      </c>
      <c r="I3926" t="s">
        <v>6620</v>
      </c>
      <c r="J3926" t="s">
        <v>7174</v>
      </c>
      <c r="K3926">
        <v>11215</v>
      </c>
      <c r="N3926" t="s">
        <v>7237</v>
      </c>
      <c r="O3926" t="s">
        <v>9552</v>
      </c>
      <c r="P3926">
        <v>3</v>
      </c>
      <c r="Q3926">
        <v>2</v>
      </c>
      <c r="R3926">
        <v>33.48</v>
      </c>
      <c r="U3926">
        <v>10100</v>
      </c>
      <c r="W3926">
        <v>0</v>
      </c>
      <c r="Y3926" t="s">
        <v>225</v>
      </c>
      <c r="AA3926" t="s">
        <v>10974</v>
      </c>
      <c r="AB3926" t="s">
        <v>511</v>
      </c>
      <c r="AD3926" t="s">
        <v>11098</v>
      </c>
      <c r="AF3926" t="s">
        <v>11122</v>
      </c>
      <c r="AH3926" t="s">
        <v>10974</v>
      </c>
      <c r="AJ3926" t="s">
        <v>11129</v>
      </c>
      <c r="AK3926" t="s">
        <v>7225</v>
      </c>
      <c r="AM3926">
        <v>165</v>
      </c>
      <c r="AO3926">
        <v>7</v>
      </c>
      <c r="AQ3926" t="s">
        <v>11160</v>
      </c>
      <c r="AS3926" t="s">
        <v>11173</v>
      </c>
      <c r="AU3926">
        <v>22</v>
      </c>
      <c r="AW3926" t="s">
        <v>11187</v>
      </c>
      <c r="AY3926" t="s">
        <v>11213</v>
      </c>
      <c r="BA3926" t="s">
        <v>11222</v>
      </c>
      <c r="BC3926" t="s">
        <v>11228</v>
      </c>
      <c r="BE3926" t="s">
        <v>13674</v>
      </c>
      <c r="BF3926" t="s">
        <v>14364</v>
      </c>
      <c r="BG3926" t="s">
        <v>11228</v>
      </c>
      <c r="BM3926" t="s">
        <v>15650</v>
      </c>
    </row>
    <row r="3927" spans="1:65">
      <c r="A3927" s="1">
        <f>HYPERLINK("https://lsnyc.legalserver.org/matter/dynamic-profile/view/1905865","19-1905865")</f>
        <v>0</v>
      </c>
      <c r="B3927" t="s">
        <v>209</v>
      </c>
      <c r="C3927" t="s">
        <v>248</v>
      </c>
      <c r="D3927" t="s">
        <v>337</v>
      </c>
      <c r="F3927" t="s">
        <v>1456</v>
      </c>
      <c r="G3927" t="s">
        <v>3032</v>
      </c>
      <c r="H3927" t="s">
        <v>5947</v>
      </c>
      <c r="I3927" t="s">
        <v>6620</v>
      </c>
      <c r="J3927" t="s">
        <v>7174</v>
      </c>
      <c r="K3927">
        <v>11215</v>
      </c>
      <c r="N3927" t="s">
        <v>7237</v>
      </c>
      <c r="O3927" t="s">
        <v>9552</v>
      </c>
      <c r="P3927">
        <v>3</v>
      </c>
      <c r="Q3927">
        <v>2</v>
      </c>
      <c r="R3927">
        <v>33.48</v>
      </c>
      <c r="U3927">
        <v>10100</v>
      </c>
      <c r="W3927">
        <v>0</v>
      </c>
      <c r="Y3927" t="s">
        <v>225</v>
      </c>
      <c r="AA3927" t="s">
        <v>10974</v>
      </c>
      <c r="AB3927" t="s">
        <v>389</v>
      </c>
      <c r="AD3927" t="s">
        <v>11086</v>
      </c>
      <c r="AF3927" t="s">
        <v>10384</v>
      </c>
      <c r="AH3927" t="s">
        <v>10974</v>
      </c>
      <c r="AJ3927" t="s">
        <v>11129</v>
      </c>
      <c r="AK3927" t="s">
        <v>7225</v>
      </c>
      <c r="AM3927">
        <v>165</v>
      </c>
      <c r="AO3927">
        <v>7</v>
      </c>
      <c r="AQ3927" t="s">
        <v>11160</v>
      </c>
      <c r="AS3927" t="s">
        <v>11173</v>
      </c>
      <c r="AU3927">
        <v>22</v>
      </c>
      <c r="AW3927" t="s">
        <v>11187</v>
      </c>
      <c r="AY3927" t="s">
        <v>11213</v>
      </c>
      <c r="BA3927" t="s">
        <v>11222</v>
      </c>
      <c r="BC3927" t="s">
        <v>11173</v>
      </c>
      <c r="BE3927" t="s">
        <v>13674</v>
      </c>
      <c r="BF3927" t="s">
        <v>14364</v>
      </c>
      <c r="BG3927" t="s">
        <v>14410</v>
      </c>
      <c r="BM3927" t="s">
        <v>15650</v>
      </c>
    </row>
    <row r="3928" spans="1:65">
      <c r="A3928" s="1">
        <f>HYPERLINK("https://lsnyc.legalserver.org/matter/dynamic-profile/view/1900722","19-1900722")</f>
        <v>0</v>
      </c>
      <c r="B3928" t="s">
        <v>209</v>
      </c>
      <c r="C3928" t="s">
        <v>248</v>
      </c>
      <c r="D3928" t="s">
        <v>582</v>
      </c>
      <c r="F3928" t="s">
        <v>1155</v>
      </c>
      <c r="G3928" t="s">
        <v>2886</v>
      </c>
      <c r="H3928" t="s">
        <v>5014</v>
      </c>
      <c r="I3928" t="s">
        <v>6620</v>
      </c>
      <c r="J3928" t="s">
        <v>7174</v>
      </c>
      <c r="K3928">
        <v>11213</v>
      </c>
      <c r="N3928" t="s">
        <v>7237</v>
      </c>
      <c r="O3928" t="s">
        <v>9716</v>
      </c>
      <c r="P3928">
        <v>2</v>
      </c>
      <c r="Q3928">
        <v>0</v>
      </c>
      <c r="R3928">
        <v>163.22</v>
      </c>
      <c r="U3928">
        <v>27600</v>
      </c>
      <c r="V3928" t="s">
        <v>10743</v>
      </c>
      <c r="W3928">
        <v>0</v>
      </c>
      <c r="Y3928" t="s">
        <v>225</v>
      </c>
      <c r="AA3928" t="s">
        <v>10974</v>
      </c>
      <c r="AB3928" t="s">
        <v>633</v>
      </c>
      <c r="AD3928" t="s">
        <v>11086</v>
      </c>
      <c r="AF3928" t="s">
        <v>11120</v>
      </c>
      <c r="AH3928" t="s">
        <v>10974</v>
      </c>
      <c r="AJ3928" t="s">
        <v>11141</v>
      </c>
      <c r="AK3928" t="s">
        <v>7225</v>
      </c>
      <c r="AM3928">
        <v>905.59</v>
      </c>
      <c r="AO3928">
        <v>34</v>
      </c>
      <c r="AQ3928" t="s">
        <v>11157</v>
      </c>
      <c r="AS3928" t="s">
        <v>11173</v>
      </c>
      <c r="AU3928">
        <v>25</v>
      </c>
      <c r="AW3928" t="s">
        <v>11189</v>
      </c>
      <c r="AY3928" t="s">
        <v>11213</v>
      </c>
      <c r="BA3928" t="s">
        <v>11222</v>
      </c>
      <c r="BE3928" t="s">
        <v>13818</v>
      </c>
      <c r="BF3928" t="s">
        <v>14364</v>
      </c>
      <c r="BM3928" t="s">
        <v>15650</v>
      </c>
    </row>
    <row r="3929" spans="1:65">
      <c r="A3929" s="1">
        <f>HYPERLINK("https://lsnyc.legalserver.org/matter/dynamic-profile/view/1880274","18-1880274")</f>
        <v>0</v>
      </c>
      <c r="B3929" t="s">
        <v>209</v>
      </c>
      <c r="C3929" t="s">
        <v>248</v>
      </c>
      <c r="D3929" t="s">
        <v>531</v>
      </c>
      <c r="F3929" t="s">
        <v>1469</v>
      </c>
      <c r="G3929" t="s">
        <v>2210</v>
      </c>
      <c r="H3929" t="s">
        <v>5010</v>
      </c>
      <c r="I3929">
        <v>7</v>
      </c>
      <c r="J3929" t="s">
        <v>7174</v>
      </c>
      <c r="K3929">
        <v>11213</v>
      </c>
      <c r="N3929" t="s">
        <v>7237</v>
      </c>
      <c r="O3929" t="s">
        <v>7729</v>
      </c>
      <c r="P3929">
        <v>2</v>
      </c>
      <c r="Q3929">
        <v>0</v>
      </c>
      <c r="R3929">
        <v>194.41</v>
      </c>
      <c r="U3929">
        <v>32000</v>
      </c>
      <c r="V3929" t="s">
        <v>10739</v>
      </c>
      <c r="W3929">
        <v>0</v>
      </c>
      <c r="Y3929" t="s">
        <v>225</v>
      </c>
      <c r="AA3929" t="s">
        <v>10974</v>
      </c>
      <c r="AB3929" t="s">
        <v>595</v>
      </c>
      <c r="AD3929" t="s">
        <v>11088</v>
      </c>
      <c r="AF3929" t="s">
        <v>10384</v>
      </c>
      <c r="AH3929" t="s">
        <v>10975</v>
      </c>
      <c r="AI3929" t="s">
        <v>11126</v>
      </c>
      <c r="AK3929" t="s">
        <v>7225</v>
      </c>
      <c r="AM3929">
        <v>931.36</v>
      </c>
      <c r="AO3929">
        <v>31</v>
      </c>
      <c r="AQ3929" t="s">
        <v>11157</v>
      </c>
      <c r="AS3929" t="s">
        <v>11173</v>
      </c>
      <c r="AU3929">
        <v>35</v>
      </c>
      <c r="AW3929" t="s">
        <v>11187</v>
      </c>
      <c r="AY3929" t="s">
        <v>11213</v>
      </c>
      <c r="BA3929" t="s">
        <v>11222</v>
      </c>
      <c r="BC3929" t="s">
        <v>11173</v>
      </c>
      <c r="BD3929" t="s">
        <v>11667</v>
      </c>
      <c r="BF3929" t="s">
        <v>14364</v>
      </c>
      <c r="BG3929" t="s">
        <v>11086</v>
      </c>
      <c r="BM3929" t="s">
        <v>15650</v>
      </c>
    </row>
    <row r="3930" spans="1:65">
      <c r="A3930" s="1">
        <f>HYPERLINK("https://lsnyc.legalserver.org/matter/dynamic-profile/view/1844422","17-1844422")</f>
        <v>0</v>
      </c>
      <c r="B3930" t="s">
        <v>209</v>
      </c>
      <c r="C3930" t="s">
        <v>248</v>
      </c>
      <c r="D3930" t="s">
        <v>1021</v>
      </c>
      <c r="F3930" t="s">
        <v>1679</v>
      </c>
      <c r="G3930" t="s">
        <v>4460</v>
      </c>
      <c r="H3930" t="s">
        <v>6055</v>
      </c>
      <c r="I3930" t="s">
        <v>6618</v>
      </c>
      <c r="J3930" t="s">
        <v>7211</v>
      </c>
      <c r="K3930">
        <v>10457</v>
      </c>
      <c r="N3930" t="s">
        <v>7238</v>
      </c>
      <c r="O3930" t="s">
        <v>9717</v>
      </c>
      <c r="P3930">
        <v>2</v>
      </c>
      <c r="Q3930">
        <v>0</v>
      </c>
      <c r="R3930">
        <v>36.58</v>
      </c>
      <c r="S3930" t="s">
        <v>10254</v>
      </c>
      <c r="T3930" t="s">
        <v>10275</v>
      </c>
      <c r="U3930">
        <v>5940</v>
      </c>
      <c r="W3930">
        <v>0</v>
      </c>
      <c r="Y3930" t="s">
        <v>10912</v>
      </c>
      <c r="AA3930" t="s">
        <v>10974</v>
      </c>
      <c r="AB3930" t="s">
        <v>1021</v>
      </c>
      <c r="AC3930" t="s">
        <v>11081</v>
      </c>
      <c r="AF3930" t="s">
        <v>11119</v>
      </c>
      <c r="AH3930" t="s">
        <v>10975</v>
      </c>
      <c r="AJ3930" t="s">
        <v>11133</v>
      </c>
      <c r="AK3930" t="s">
        <v>11149</v>
      </c>
      <c r="AL3930" t="s">
        <v>11150</v>
      </c>
      <c r="AM3930">
        <v>0</v>
      </c>
      <c r="AO3930">
        <v>60</v>
      </c>
      <c r="AQ3930" t="s">
        <v>11169</v>
      </c>
      <c r="AR3930" t="s">
        <v>11172</v>
      </c>
      <c r="AT3930" t="s">
        <v>11184</v>
      </c>
      <c r="AU3930">
        <v>0</v>
      </c>
      <c r="AW3930" t="s">
        <v>11187</v>
      </c>
      <c r="AZ3930" t="s">
        <v>11221</v>
      </c>
      <c r="BE3930" t="s">
        <v>13819</v>
      </c>
      <c r="BF3930" t="s">
        <v>14364</v>
      </c>
      <c r="BM3930" t="s">
        <v>15650</v>
      </c>
    </row>
    <row r="3931" spans="1:65">
      <c r="A3931" s="1">
        <f>HYPERLINK("https://lsnyc.legalserver.org/matter/dynamic-profile/view/1911659","19-1911659")</f>
        <v>0</v>
      </c>
      <c r="B3931" t="s">
        <v>209</v>
      </c>
      <c r="C3931" t="s">
        <v>248</v>
      </c>
      <c r="D3931" t="s">
        <v>798</v>
      </c>
      <c r="F3931" t="s">
        <v>1093</v>
      </c>
      <c r="G3931" t="s">
        <v>2954</v>
      </c>
      <c r="H3931" t="s">
        <v>4798</v>
      </c>
      <c r="J3931" t="s">
        <v>7174</v>
      </c>
      <c r="K3931">
        <v>11233</v>
      </c>
      <c r="N3931" t="s">
        <v>7237</v>
      </c>
      <c r="O3931" t="s">
        <v>9451</v>
      </c>
      <c r="P3931">
        <v>1</v>
      </c>
      <c r="Q3931">
        <v>0</v>
      </c>
      <c r="R3931">
        <v>194.56</v>
      </c>
      <c r="U3931">
        <v>24300</v>
      </c>
      <c r="W3931">
        <v>0</v>
      </c>
      <c r="Y3931" t="s">
        <v>225</v>
      </c>
      <c r="AA3931" t="s">
        <v>10974</v>
      </c>
      <c r="AB3931" t="s">
        <v>626</v>
      </c>
      <c r="AD3931" t="s">
        <v>11086</v>
      </c>
      <c r="AF3931" t="s">
        <v>10384</v>
      </c>
      <c r="AH3931" t="s">
        <v>10974</v>
      </c>
      <c r="AJ3931" t="s">
        <v>11131</v>
      </c>
      <c r="AK3931" t="s">
        <v>7225</v>
      </c>
      <c r="AM3931">
        <v>1029.4</v>
      </c>
      <c r="AO3931">
        <v>359</v>
      </c>
      <c r="AQ3931" t="s">
        <v>11157</v>
      </c>
      <c r="AS3931" t="s">
        <v>11175</v>
      </c>
      <c r="AU3931">
        <v>35</v>
      </c>
      <c r="AW3931" t="s">
        <v>11187</v>
      </c>
      <c r="AY3931" t="s">
        <v>11213</v>
      </c>
      <c r="BA3931" t="s">
        <v>11222</v>
      </c>
      <c r="BE3931" t="s">
        <v>13820</v>
      </c>
      <c r="BF3931" t="s">
        <v>14364</v>
      </c>
      <c r="BG3931" t="s">
        <v>11086</v>
      </c>
      <c r="BM3931" t="s">
        <v>15650</v>
      </c>
    </row>
    <row r="3932" spans="1:65">
      <c r="A3932" s="1">
        <f>HYPERLINK("https://lsnyc.legalserver.org/matter/dynamic-profile/view/1907781","19-1907781")</f>
        <v>0</v>
      </c>
      <c r="B3932" t="s">
        <v>209</v>
      </c>
      <c r="C3932" t="s">
        <v>248</v>
      </c>
      <c r="D3932" t="s">
        <v>570</v>
      </c>
      <c r="F3932" t="s">
        <v>2598</v>
      </c>
      <c r="G3932" t="s">
        <v>4461</v>
      </c>
      <c r="H3932" t="s">
        <v>6056</v>
      </c>
      <c r="I3932" t="s">
        <v>6437</v>
      </c>
      <c r="J3932" t="s">
        <v>7174</v>
      </c>
      <c r="K3932">
        <v>11233</v>
      </c>
      <c r="N3932" t="s">
        <v>7237</v>
      </c>
      <c r="O3932" t="s">
        <v>9718</v>
      </c>
      <c r="P3932">
        <v>1</v>
      </c>
      <c r="Q3932">
        <v>0</v>
      </c>
      <c r="R3932">
        <v>160.13</v>
      </c>
      <c r="U3932">
        <v>20000</v>
      </c>
      <c r="W3932">
        <v>2.75</v>
      </c>
      <c r="X3932" t="s">
        <v>306</v>
      </c>
      <c r="Y3932" t="s">
        <v>225</v>
      </c>
      <c r="AA3932" t="s">
        <v>10974</v>
      </c>
      <c r="AB3932" t="s">
        <v>570</v>
      </c>
      <c r="AD3932" t="s">
        <v>11086</v>
      </c>
      <c r="AF3932" t="s">
        <v>11119</v>
      </c>
      <c r="AH3932" t="s">
        <v>10975</v>
      </c>
      <c r="AJ3932" t="s">
        <v>11130</v>
      </c>
      <c r="AK3932" t="s">
        <v>7225</v>
      </c>
      <c r="AM3932">
        <v>835</v>
      </c>
      <c r="AO3932">
        <v>6</v>
      </c>
      <c r="AQ3932" t="s">
        <v>11157</v>
      </c>
      <c r="AS3932" t="s">
        <v>11173</v>
      </c>
      <c r="AU3932">
        <v>1</v>
      </c>
      <c r="AW3932" t="s">
        <v>11187</v>
      </c>
      <c r="AY3932" t="s">
        <v>11213</v>
      </c>
      <c r="BA3932" t="s">
        <v>11222</v>
      </c>
      <c r="BC3932" t="s">
        <v>11228</v>
      </c>
      <c r="BE3932" t="s">
        <v>13821</v>
      </c>
      <c r="BF3932" t="s">
        <v>14364</v>
      </c>
      <c r="BG3932" t="s">
        <v>14411</v>
      </c>
      <c r="BM3932" t="s">
        <v>15650</v>
      </c>
    </row>
    <row r="3933" spans="1:65">
      <c r="A3933" s="1">
        <f>HYPERLINK("https://lsnyc.legalserver.org/matter/dynamic-profile/view/1906014","19-1906014")</f>
        <v>0</v>
      </c>
      <c r="B3933" t="s">
        <v>209</v>
      </c>
      <c r="C3933" t="s">
        <v>248</v>
      </c>
      <c r="D3933" t="s">
        <v>394</v>
      </c>
      <c r="F3933" t="s">
        <v>2194</v>
      </c>
      <c r="G3933" t="s">
        <v>3126</v>
      </c>
      <c r="H3933" t="s">
        <v>4798</v>
      </c>
      <c r="I3933" t="s">
        <v>7072</v>
      </c>
      <c r="J3933" t="s">
        <v>7174</v>
      </c>
      <c r="K3933">
        <v>11233</v>
      </c>
      <c r="N3933" t="s">
        <v>7237</v>
      </c>
      <c r="O3933" t="s">
        <v>7989</v>
      </c>
      <c r="P3933">
        <v>2</v>
      </c>
      <c r="Q3933">
        <v>0</v>
      </c>
      <c r="R3933">
        <v>195.15</v>
      </c>
      <c r="U3933">
        <v>33000</v>
      </c>
      <c r="W3933">
        <v>0</v>
      </c>
      <c r="Y3933" t="s">
        <v>225</v>
      </c>
      <c r="AA3933" t="s">
        <v>10974</v>
      </c>
      <c r="AB3933" t="s">
        <v>394</v>
      </c>
      <c r="AD3933" t="s">
        <v>11100</v>
      </c>
      <c r="AF3933" t="s">
        <v>10384</v>
      </c>
      <c r="AH3933" t="s">
        <v>10975</v>
      </c>
      <c r="AI3933" t="s">
        <v>11126</v>
      </c>
      <c r="AK3933" t="s">
        <v>7225</v>
      </c>
      <c r="AM3933">
        <v>1418</v>
      </c>
      <c r="AO3933">
        <v>1117</v>
      </c>
      <c r="AQ3933" t="s">
        <v>11157</v>
      </c>
      <c r="AS3933" t="s">
        <v>11173</v>
      </c>
      <c r="AU3933">
        <v>18</v>
      </c>
      <c r="AW3933" t="s">
        <v>11187</v>
      </c>
      <c r="AY3933" t="s">
        <v>11213</v>
      </c>
      <c r="AZ3933" t="s">
        <v>11221</v>
      </c>
      <c r="BA3933" t="s">
        <v>11173</v>
      </c>
      <c r="BC3933" t="s">
        <v>11228</v>
      </c>
      <c r="BD3933" t="s">
        <v>11667</v>
      </c>
      <c r="BF3933" t="s">
        <v>14364</v>
      </c>
      <c r="BG3933" t="s">
        <v>14410</v>
      </c>
      <c r="BM3933" t="s">
        <v>15650</v>
      </c>
    </row>
    <row r="3934" spans="1:65">
      <c r="A3934" s="1">
        <f>HYPERLINK("https://lsnyc.legalserver.org/matter/dynamic-profile/view/1900799","19-1900799")</f>
        <v>0</v>
      </c>
      <c r="B3934" t="s">
        <v>209</v>
      </c>
      <c r="C3934" t="s">
        <v>248</v>
      </c>
      <c r="D3934" t="s">
        <v>313</v>
      </c>
      <c r="F3934" t="s">
        <v>2596</v>
      </c>
      <c r="G3934" t="s">
        <v>4458</v>
      </c>
      <c r="H3934" t="s">
        <v>5009</v>
      </c>
      <c r="I3934" t="s">
        <v>6417</v>
      </c>
      <c r="J3934" t="s">
        <v>7174</v>
      </c>
      <c r="K3934">
        <v>11213</v>
      </c>
      <c r="N3934" t="s">
        <v>7237</v>
      </c>
      <c r="O3934" t="s">
        <v>9713</v>
      </c>
      <c r="P3934">
        <v>3</v>
      </c>
      <c r="Q3934">
        <v>1</v>
      </c>
      <c r="R3934">
        <v>77.67</v>
      </c>
      <c r="U3934">
        <v>20000</v>
      </c>
      <c r="V3934" t="s">
        <v>10744</v>
      </c>
      <c r="W3934">
        <v>0</v>
      </c>
      <c r="Y3934" t="s">
        <v>225</v>
      </c>
      <c r="AA3934" t="s">
        <v>10974</v>
      </c>
      <c r="AB3934" t="s">
        <v>633</v>
      </c>
      <c r="AD3934" t="s">
        <v>11086</v>
      </c>
      <c r="AF3934" t="s">
        <v>11120</v>
      </c>
      <c r="AH3934" t="s">
        <v>10974</v>
      </c>
      <c r="AI3934" t="s">
        <v>11126</v>
      </c>
      <c r="AK3934" t="s">
        <v>7225</v>
      </c>
      <c r="AM3934">
        <v>1200</v>
      </c>
      <c r="AO3934">
        <v>35</v>
      </c>
      <c r="AQ3934" t="s">
        <v>11157</v>
      </c>
      <c r="AR3934" t="s">
        <v>11172</v>
      </c>
      <c r="AU3934">
        <v>10</v>
      </c>
      <c r="AW3934" t="s">
        <v>11187</v>
      </c>
      <c r="AY3934" t="s">
        <v>11213</v>
      </c>
      <c r="BA3934" t="s">
        <v>11222</v>
      </c>
      <c r="BE3934" t="s">
        <v>13816</v>
      </c>
      <c r="BF3934" t="s">
        <v>14364</v>
      </c>
      <c r="BM3934" t="s">
        <v>15650</v>
      </c>
    </row>
    <row r="3935" spans="1:65">
      <c r="A3935" s="1">
        <f>HYPERLINK("https://lsnyc.legalserver.org/matter/dynamic-profile/view/1880059","18-1880059")</f>
        <v>0</v>
      </c>
      <c r="B3935" t="s">
        <v>209</v>
      </c>
      <c r="C3935" t="s">
        <v>248</v>
      </c>
      <c r="D3935" t="s">
        <v>619</v>
      </c>
      <c r="F3935" t="s">
        <v>1525</v>
      </c>
      <c r="G3935" t="s">
        <v>4314</v>
      </c>
      <c r="H3935" t="s">
        <v>5944</v>
      </c>
      <c r="I3935" t="s">
        <v>6432</v>
      </c>
      <c r="J3935" t="s">
        <v>7174</v>
      </c>
      <c r="K3935">
        <v>11207</v>
      </c>
      <c r="N3935" t="s">
        <v>7237</v>
      </c>
      <c r="O3935" t="s">
        <v>9501</v>
      </c>
      <c r="P3935">
        <v>1</v>
      </c>
      <c r="Q3935">
        <v>3</v>
      </c>
      <c r="R3935">
        <v>41.43</v>
      </c>
      <c r="U3935">
        <v>10400</v>
      </c>
      <c r="W3935">
        <v>0</v>
      </c>
      <c r="Y3935" t="s">
        <v>225</v>
      </c>
      <c r="AA3935" t="s">
        <v>10974</v>
      </c>
      <c r="AB3935" t="s">
        <v>569</v>
      </c>
      <c r="AD3935" t="s">
        <v>11093</v>
      </c>
      <c r="AF3935" t="s">
        <v>10384</v>
      </c>
      <c r="AH3935" t="s">
        <v>10974</v>
      </c>
      <c r="AJ3935" t="s">
        <v>11129</v>
      </c>
      <c r="AK3935" t="s">
        <v>7225</v>
      </c>
      <c r="AL3935" t="s">
        <v>11150</v>
      </c>
      <c r="AM3935">
        <v>0</v>
      </c>
      <c r="AO3935">
        <v>6</v>
      </c>
      <c r="AQ3935" t="s">
        <v>11157</v>
      </c>
      <c r="AS3935" t="s">
        <v>11173</v>
      </c>
      <c r="AT3935" t="s">
        <v>11184</v>
      </c>
      <c r="AU3935">
        <v>0</v>
      </c>
      <c r="AW3935" t="s">
        <v>11187</v>
      </c>
      <c r="AY3935" t="s">
        <v>11213</v>
      </c>
      <c r="BA3935" t="s">
        <v>11222</v>
      </c>
      <c r="BC3935" t="s">
        <v>11173</v>
      </c>
      <c r="BD3935" t="s">
        <v>11667</v>
      </c>
      <c r="BF3935" t="s">
        <v>14364</v>
      </c>
      <c r="BG3935" t="s">
        <v>11086</v>
      </c>
      <c r="BM3935" t="s">
        <v>15650</v>
      </c>
    </row>
    <row r="3936" spans="1:65">
      <c r="A3936" s="1">
        <f>HYPERLINK("https://lsnyc.legalserver.org/matter/dynamic-profile/view/1880062","18-1880062")</f>
        <v>0</v>
      </c>
      <c r="B3936" t="s">
        <v>209</v>
      </c>
      <c r="C3936" t="s">
        <v>248</v>
      </c>
      <c r="D3936" t="s">
        <v>619</v>
      </c>
      <c r="F3936" t="s">
        <v>1525</v>
      </c>
      <c r="G3936" t="s">
        <v>4314</v>
      </c>
      <c r="H3936" t="s">
        <v>5944</v>
      </c>
      <c r="I3936" t="s">
        <v>6432</v>
      </c>
      <c r="J3936" t="s">
        <v>7174</v>
      </c>
      <c r="K3936">
        <v>11207</v>
      </c>
      <c r="N3936" t="s">
        <v>7237</v>
      </c>
      <c r="O3936" t="s">
        <v>9501</v>
      </c>
      <c r="P3936">
        <v>1</v>
      </c>
      <c r="Q3936">
        <v>3</v>
      </c>
      <c r="R3936">
        <v>41.43</v>
      </c>
      <c r="U3936">
        <v>10400</v>
      </c>
      <c r="W3936">
        <v>0</v>
      </c>
      <c r="Y3936" t="s">
        <v>225</v>
      </c>
      <c r="AA3936" t="s">
        <v>10974</v>
      </c>
      <c r="AB3936" t="s">
        <v>11000</v>
      </c>
      <c r="AD3936" t="s">
        <v>11085</v>
      </c>
      <c r="AF3936" t="s">
        <v>10384</v>
      </c>
      <c r="AH3936" t="s">
        <v>10974</v>
      </c>
      <c r="AJ3936" t="s">
        <v>11129</v>
      </c>
      <c r="AK3936" t="s">
        <v>7225</v>
      </c>
      <c r="AL3936" t="s">
        <v>11150</v>
      </c>
      <c r="AM3936">
        <v>0</v>
      </c>
      <c r="AO3936">
        <v>6</v>
      </c>
      <c r="AQ3936" t="s">
        <v>11157</v>
      </c>
      <c r="AS3936" t="s">
        <v>11173</v>
      </c>
      <c r="AT3936" t="s">
        <v>11184</v>
      </c>
      <c r="AU3936">
        <v>0</v>
      </c>
      <c r="AW3936" t="s">
        <v>11187</v>
      </c>
      <c r="AY3936" t="s">
        <v>11213</v>
      </c>
      <c r="BA3936" t="s">
        <v>11222</v>
      </c>
      <c r="BC3936" t="s">
        <v>11173</v>
      </c>
      <c r="BD3936" t="s">
        <v>11667</v>
      </c>
      <c r="BF3936" t="s">
        <v>14364</v>
      </c>
      <c r="BG3936" t="s">
        <v>11086</v>
      </c>
      <c r="BM3936" t="s">
        <v>15650</v>
      </c>
    </row>
    <row r="3937" spans="1:65">
      <c r="A3937" s="1">
        <f>HYPERLINK("https://lsnyc.legalserver.org/matter/dynamic-profile/view/1900700","19-1900700")</f>
        <v>0</v>
      </c>
      <c r="B3937" t="s">
        <v>209</v>
      </c>
      <c r="C3937" t="s">
        <v>248</v>
      </c>
      <c r="D3937" t="s">
        <v>582</v>
      </c>
      <c r="F3937" t="s">
        <v>1759</v>
      </c>
      <c r="G3937" t="s">
        <v>4462</v>
      </c>
      <c r="H3937" t="s">
        <v>5009</v>
      </c>
      <c r="I3937" t="s">
        <v>6422</v>
      </c>
      <c r="J3937" t="s">
        <v>7174</v>
      </c>
      <c r="K3937">
        <v>11213</v>
      </c>
      <c r="N3937" t="s">
        <v>7237</v>
      </c>
      <c r="O3937" t="s">
        <v>8287</v>
      </c>
      <c r="P3937">
        <v>2</v>
      </c>
      <c r="Q3937">
        <v>0</v>
      </c>
      <c r="R3937">
        <v>85.16</v>
      </c>
      <c r="U3937">
        <v>14400</v>
      </c>
      <c r="V3937" t="s">
        <v>10745</v>
      </c>
      <c r="W3937">
        <v>0</v>
      </c>
      <c r="Y3937" t="s">
        <v>225</v>
      </c>
      <c r="AA3937" t="s">
        <v>10974</v>
      </c>
      <c r="AB3937" t="s">
        <v>633</v>
      </c>
      <c r="AD3937" t="s">
        <v>11086</v>
      </c>
      <c r="AF3937" t="s">
        <v>11120</v>
      </c>
      <c r="AH3937" t="s">
        <v>10974</v>
      </c>
      <c r="AJ3937" t="s">
        <v>11141</v>
      </c>
      <c r="AK3937" t="s">
        <v>7225</v>
      </c>
      <c r="AM3937">
        <v>659.52</v>
      </c>
      <c r="AO3937">
        <v>35</v>
      </c>
      <c r="AQ3937" t="s">
        <v>11157</v>
      </c>
      <c r="AS3937" t="s">
        <v>11173</v>
      </c>
      <c r="AU3937">
        <v>30</v>
      </c>
      <c r="AW3937" t="s">
        <v>11187</v>
      </c>
      <c r="AY3937" t="s">
        <v>11213</v>
      </c>
      <c r="BA3937" t="s">
        <v>11222</v>
      </c>
      <c r="BB3937" t="s">
        <v>11224</v>
      </c>
      <c r="BC3937" t="s">
        <v>11561</v>
      </c>
      <c r="BD3937" t="s">
        <v>11667</v>
      </c>
      <c r="BF3937" t="s">
        <v>14364</v>
      </c>
      <c r="BM3937" t="s">
        <v>15650</v>
      </c>
    </row>
    <row r="3938" spans="1:65">
      <c r="A3938" s="1">
        <f>HYPERLINK("https://lsnyc.legalserver.org/matter/dynamic-profile/view/1880052","18-1880052")</f>
        <v>0</v>
      </c>
      <c r="B3938" t="s">
        <v>209</v>
      </c>
      <c r="C3938" t="s">
        <v>248</v>
      </c>
      <c r="D3938" t="s">
        <v>619</v>
      </c>
      <c r="F3938" t="s">
        <v>1525</v>
      </c>
      <c r="G3938" t="s">
        <v>4314</v>
      </c>
      <c r="H3938" t="s">
        <v>5944</v>
      </c>
      <c r="I3938" t="s">
        <v>6432</v>
      </c>
      <c r="J3938" t="s">
        <v>7174</v>
      </c>
      <c r="K3938">
        <v>11207</v>
      </c>
      <c r="N3938" t="s">
        <v>7237</v>
      </c>
      <c r="O3938" t="s">
        <v>9501</v>
      </c>
      <c r="P3938">
        <v>1</v>
      </c>
      <c r="Q3938">
        <v>3</v>
      </c>
      <c r="R3938">
        <v>41.43</v>
      </c>
      <c r="U3938">
        <v>10400</v>
      </c>
      <c r="W3938">
        <v>0</v>
      </c>
      <c r="Y3938" t="s">
        <v>225</v>
      </c>
      <c r="AA3938" t="s">
        <v>10974</v>
      </c>
      <c r="AB3938" t="s">
        <v>569</v>
      </c>
      <c r="AD3938" t="s">
        <v>11098</v>
      </c>
      <c r="AF3938" t="s">
        <v>11122</v>
      </c>
      <c r="AH3938" t="s">
        <v>10974</v>
      </c>
      <c r="AJ3938" t="s">
        <v>11129</v>
      </c>
      <c r="AK3938" t="s">
        <v>7225</v>
      </c>
      <c r="AL3938" t="s">
        <v>11150</v>
      </c>
      <c r="AM3938">
        <v>0</v>
      </c>
      <c r="AO3938">
        <v>6</v>
      </c>
      <c r="AQ3938" t="s">
        <v>11157</v>
      </c>
      <c r="AS3938" t="s">
        <v>11173</v>
      </c>
      <c r="AT3938" t="s">
        <v>11184</v>
      </c>
      <c r="AU3938">
        <v>0</v>
      </c>
      <c r="AW3938" t="s">
        <v>11187</v>
      </c>
      <c r="AY3938" t="s">
        <v>11213</v>
      </c>
      <c r="BA3938" t="s">
        <v>11222</v>
      </c>
      <c r="BC3938" t="s">
        <v>11228</v>
      </c>
      <c r="BD3938" t="s">
        <v>11667</v>
      </c>
      <c r="BG3938" t="s">
        <v>15315</v>
      </c>
      <c r="BM3938" t="s">
        <v>15650</v>
      </c>
    </row>
    <row r="3939" spans="1:65">
      <c r="A3939" s="1">
        <f>HYPERLINK("https://lsnyc.legalserver.org/matter/dynamic-profile/view/1880041","18-1880041")</f>
        <v>0</v>
      </c>
      <c r="B3939" t="s">
        <v>209</v>
      </c>
      <c r="C3939" t="s">
        <v>248</v>
      </c>
      <c r="D3939" t="s">
        <v>619</v>
      </c>
      <c r="F3939" t="s">
        <v>1525</v>
      </c>
      <c r="G3939" t="s">
        <v>4314</v>
      </c>
      <c r="H3939" t="s">
        <v>5944</v>
      </c>
      <c r="I3939" t="s">
        <v>6432</v>
      </c>
      <c r="J3939" t="s">
        <v>7174</v>
      </c>
      <c r="K3939">
        <v>11207</v>
      </c>
      <c r="N3939" t="s">
        <v>7237</v>
      </c>
      <c r="O3939" t="s">
        <v>9501</v>
      </c>
      <c r="P3939">
        <v>1</v>
      </c>
      <c r="Q3939">
        <v>3</v>
      </c>
      <c r="R3939">
        <v>41.43</v>
      </c>
      <c r="U3939">
        <v>10400</v>
      </c>
      <c r="W3939">
        <v>0</v>
      </c>
      <c r="Y3939" t="s">
        <v>225</v>
      </c>
      <c r="AA3939" t="s">
        <v>10974</v>
      </c>
      <c r="AB3939" t="s">
        <v>609</v>
      </c>
      <c r="AD3939" t="s">
        <v>11086</v>
      </c>
      <c r="AF3939" t="s">
        <v>10384</v>
      </c>
      <c r="AH3939" t="s">
        <v>10974</v>
      </c>
      <c r="AJ3939" t="s">
        <v>11129</v>
      </c>
      <c r="AK3939" t="s">
        <v>7225</v>
      </c>
      <c r="AL3939" t="s">
        <v>11150</v>
      </c>
      <c r="AM3939">
        <v>0</v>
      </c>
      <c r="AO3939">
        <v>6</v>
      </c>
      <c r="AQ3939" t="s">
        <v>11157</v>
      </c>
      <c r="AS3939" t="s">
        <v>11173</v>
      </c>
      <c r="AT3939" t="s">
        <v>11184</v>
      </c>
      <c r="AU3939">
        <v>0</v>
      </c>
      <c r="AW3939" t="s">
        <v>11187</v>
      </c>
      <c r="AY3939" t="s">
        <v>11213</v>
      </c>
      <c r="BA3939" t="s">
        <v>11222</v>
      </c>
      <c r="BC3939" t="s">
        <v>11228</v>
      </c>
      <c r="BD3939" t="s">
        <v>11667</v>
      </c>
      <c r="BF3939" t="s">
        <v>14364</v>
      </c>
      <c r="BG3939" t="s">
        <v>11086</v>
      </c>
      <c r="BM3939" t="s">
        <v>15650</v>
      </c>
    </row>
    <row r="3940" spans="1:65">
      <c r="A3940" s="1">
        <f>HYPERLINK("https://lsnyc.legalserver.org/matter/dynamic-profile/view/1914616","19-1914616")</f>
        <v>0</v>
      </c>
      <c r="B3940" t="s">
        <v>209</v>
      </c>
      <c r="C3940" t="s">
        <v>248</v>
      </c>
      <c r="D3940" t="s">
        <v>297</v>
      </c>
      <c r="F3940" t="s">
        <v>1508</v>
      </c>
      <c r="G3940" t="s">
        <v>4109</v>
      </c>
      <c r="H3940" t="s">
        <v>5010</v>
      </c>
      <c r="I3940">
        <v>34</v>
      </c>
      <c r="J3940" t="s">
        <v>7174</v>
      </c>
      <c r="K3940">
        <v>11213</v>
      </c>
      <c r="N3940" t="s">
        <v>7237</v>
      </c>
      <c r="O3940" t="s">
        <v>9138</v>
      </c>
      <c r="P3940">
        <v>2</v>
      </c>
      <c r="Q3940">
        <v>2</v>
      </c>
      <c r="R3940">
        <v>124.75</v>
      </c>
      <c r="U3940">
        <v>32124</v>
      </c>
      <c r="W3940">
        <v>0</v>
      </c>
      <c r="Y3940" t="s">
        <v>225</v>
      </c>
      <c r="AA3940" t="s">
        <v>10974</v>
      </c>
      <c r="AB3940" t="s">
        <v>312</v>
      </c>
      <c r="AD3940" t="s">
        <v>11098</v>
      </c>
      <c r="AF3940" t="s">
        <v>11122</v>
      </c>
      <c r="AH3940" t="s">
        <v>10974</v>
      </c>
      <c r="AJ3940" t="s">
        <v>11141</v>
      </c>
      <c r="AK3940" t="s">
        <v>7225</v>
      </c>
      <c r="AM3940">
        <v>881.67</v>
      </c>
      <c r="AO3940">
        <v>31</v>
      </c>
      <c r="AQ3940" t="s">
        <v>11157</v>
      </c>
      <c r="AS3940" t="s">
        <v>11173</v>
      </c>
      <c r="AU3940">
        <v>17</v>
      </c>
      <c r="AW3940" t="s">
        <v>11187</v>
      </c>
      <c r="AY3940" t="s">
        <v>11213</v>
      </c>
      <c r="BA3940" t="s">
        <v>11222</v>
      </c>
      <c r="BC3940" t="s">
        <v>11228</v>
      </c>
      <c r="BE3940" t="s">
        <v>13367</v>
      </c>
      <c r="BF3940" t="s">
        <v>14364</v>
      </c>
      <c r="BG3940" t="s">
        <v>11228</v>
      </c>
      <c r="BM3940" t="s">
        <v>15650</v>
      </c>
    </row>
    <row r="3941" spans="1:65">
      <c r="A3941" s="1">
        <f>HYPERLINK("https://lsnyc.legalserver.org/matter/dynamic-profile/view/1901077","19-1901077")</f>
        <v>0</v>
      </c>
      <c r="B3941" t="s">
        <v>209</v>
      </c>
      <c r="C3941" t="s">
        <v>248</v>
      </c>
      <c r="D3941" t="s">
        <v>343</v>
      </c>
      <c r="F3941" t="s">
        <v>2599</v>
      </c>
      <c r="G3941" t="s">
        <v>3466</v>
      </c>
      <c r="H3941" t="s">
        <v>5224</v>
      </c>
      <c r="I3941" t="s">
        <v>6437</v>
      </c>
      <c r="J3941" t="s">
        <v>7174</v>
      </c>
      <c r="K3941">
        <v>11212</v>
      </c>
      <c r="N3941" t="s">
        <v>7237</v>
      </c>
      <c r="O3941" t="s">
        <v>9719</v>
      </c>
      <c r="P3941">
        <v>1</v>
      </c>
      <c r="Q3941">
        <v>1</v>
      </c>
      <c r="R3941">
        <v>116.88</v>
      </c>
      <c r="U3941">
        <v>19764</v>
      </c>
      <c r="V3941" t="s">
        <v>10746</v>
      </c>
      <c r="W3941">
        <v>0</v>
      </c>
      <c r="Y3941" t="s">
        <v>225</v>
      </c>
      <c r="AA3941" t="s">
        <v>10974</v>
      </c>
      <c r="AB3941" t="s">
        <v>299</v>
      </c>
      <c r="AD3941" t="s">
        <v>11097</v>
      </c>
      <c r="AF3941" t="s">
        <v>11123</v>
      </c>
      <c r="AH3941" t="s">
        <v>10974</v>
      </c>
      <c r="AJ3941" t="s">
        <v>11104</v>
      </c>
      <c r="AK3941" t="s">
        <v>7225</v>
      </c>
      <c r="AM3941">
        <v>1326</v>
      </c>
      <c r="AO3941">
        <v>16</v>
      </c>
      <c r="AQ3941" t="s">
        <v>11157</v>
      </c>
      <c r="AS3941" t="s">
        <v>11180</v>
      </c>
      <c r="AU3941">
        <v>3</v>
      </c>
      <c r="AW3941" t="s">
        <v>11187</v>
      </c>
      <c r="AY3941" t="s">
        <v>11213</v>
      </c>
      <c r="BA3941" t="s">
        <v>11222</v>
      </c>
      <c r="BB3941" t="s">
        <v>11224</v>
      </c>
      <c r="BC3941" t="s">
        <v>11562</v>
      </c>
      <c r="BD3941" t="s">
        <v>11667</v>
      </c>
      <c r="BG3941" t="s">
        <v>14393</v>
      </c>
      <c r="BM3941" t="s">
        <v>15650</v>
      </c>
    </row>
    <row r="3942" spans="1:65">
      <c r="A3942" s="1">
        <f>HYPERLINK("https://lsnyc.legalserver.org/matter/dynamic-profile/view/1879667","18-1879667")</f>
        <v>0</v>
      </c>
      <c r="B3942" t="s">
        <v>209</v>
      </c>
      <c r="C3942" t="s">
        <v>248</v>
      </c>
      <c r="D3942" t="s">
        <v>1020</v>
      </c>
      <c r="F3942" t="s">
        <v>1143</v>
      </c>
      <c r="G3942" t="s">
        <v>4326</v>
      </c>
      <c r="H3942" t="s">
        <v>5944</v>
      </c>
      <c r="I3942" t="s">
        <v>6430</v>
      </c>
      <c r="J3942" t="s">
        <v>7174</v>
      </c>
      <c r="K3942">
        <v>11207</v>
      </c>
      <c r="N3942" t="s">
        <v>7237</v>
      </c>
      <c r="O3942" t="s">
        <v>9514</v>
      </c>
      <c r="P3942">
        <v>1</v>
      </c>
      <c r="Q3942">
        <v>0</v>
      </c>
      <c r="R3942">
        <v>494.23</v>
      </c>
      <c r="U3942">
        <v>60000</v>
      </c>
      <c r="V3942" t="s">
        <v>10747</v>
      </c>
      <c r="W3942">
        <v>0</v>
      </c>
      <c r="Y3942" t="s">
        <v>225</v>
      </c>
      <c r="AA3942" t="s">
        <v>10974</v>
      </c>
      <c r="AB3942" t="s">
        <v>569</v>
      </c>
      <c r="AD3942" t="s">
        <v>11098</v>
      </c>
      <c r="AF3942" t="s">
        <v>11119</v>
      </c>
      <c r="AH3942" t="s">
        <v>10974</v>
      </c>
      <c r="AJ3942" t="s">
        <v>11129</v>
      </c>
      <c r="AK3942" t="s">
        <v>7225</v>
      </c>
      <c r="AM3942">
        <v>1000</v>
      </c>
      <c r="AO3942">
        <v>6</v>
      </c>
      <c r="AQ3942" t="s">
        <v>11157</v>
      </c>
      <c r="AS3942" t="s">
        <v>11173</v>
      </c>
      <c r="AU3942">
        <v>3</v>
      </c>
      <c r="AW3942" t="s">
        <v>11187</v>
      </c>
      <c r="AY3942" t="s">
        <v>11213</v>
      </c>
      <c r="BA3942" t="s">
        <v>11222</v>
      </c>
      <c r="BC3942" t="s">
        <v>11173</v>
      </c>
      <c r="BD3942" t="s">
        <v>11667</v>
      </c>
      <c r="BF3942" t="s">
        <v>14364</v>
      </c>
      <c r="BG3942" t="s">
        <v>11086</v>
      </c>
      <c r="BM3942" t="s">
        <v>15650</v>
      </c>
    </row>
    <row r="3943" spans="1:65">
      <c r="A3943" s="1">
        <f>HYPERLINK("https://lsnyc.legalserver.org/matter/dynamic-profile/view/1884207","18-1884207")</f>
        <v>0</v>
      </c>
      <c r="B3943" t="s">
        <v>209</v>
      </c>
      <c r="C3943" t="s">
        <v>248</v>
      </c>
      <c r="D3943" t="s">
        <v>721</v>
      </c>
      <c r="F3943" t="s">
        <v>1759</v>
      </c>
      <c r="G3943" t="s">
        <v>4462</v>
      </c>
      <c r="H3943" t="s">
        <v>5009</v>
      </c>
      <c r="I3943" t="s">
        <v>6422</v>
      </c>
      <c r="J3943" t="s">
        <v>7174</v>
      </c>
      <c r="K3943">
        <v>11213</v>
      </c>
      <c r="N3943" t="s">
        <v>7237</v>
      </c>
      <c r="O3943" t="s">
        <v>8287</v>
      </c>
      <c r="P3943">
        <v>2</v>
      </c>
      <c r="Q3943">
        <v>0</v>
      </c>
      <c r="R3943">
        <v>94.78</v>
      </c>
      <c r="U3943">
        <v>15600</v>
      </c>
      <c r="W3943">
        <v>0.1</v>
      </c>
      <c r="X3943" t="s">
        <v>495</v>
      </c>
      <c r="Y3943" t="s">
        <v>225</v>
      </c>
      <c r="AA3943" t="s">
        <v>10974</v>
      </c>
      <c r="AB3943" t="s">
        <v>616</v>
      </c>
      <c r="AD3943" t="s">
        <v>11101</v>
      </c>
      <c r="AF3943" t="s">
        <v>11118</v>
      </c>
      <c r="AH3943" t="s">
        <v>10974</v>
      </c>
      <c r="AJ3943" t="s">
        <v>11141</v>
      </c>
      <c r="AK3943" t="s">
        <v>7225</v>
      </c>
      <c r="AM3943">
        <v>659.52</v>
      </c>
      <c r="AO3943">
        <v>35</v>
      </c>
      <c r="AQ3943" t="s">
        <v>11157</v>
      </c>
      <c r="AS3943" t="s">
        <v>11173</v>
      </c>
      <c r="AU3943">
        <v>30</v>
      </c>
      <c r="AW3943" t="s">
        <v>11187</v>
      </c>
      <c r="AY3943" t="s">
        <v>11213</v>
      </c>
      <c r="BA3943" t="s">
        <v>11222</v>
      </c>
      <c r="BB3943" t="s">
        <v>11224</v>
      </c>
      <c r="BC3943" t="s">
        <v>11561</v>
      </c>
      <c r="BD3943" t="s">
        <v>11667</v>
      </c>
      <c r="BG3943" t="s">
        <v>14508</v>
      </c>
      <c r="BM3943" t="s">
        <v>15650</v>
      </c>
    </row>
    <row r="3944" spans="1:65">
      <c r="A3944" s="1">
        <f>HYPERLINK("https://lsnyc.legalserver.org/matter/dynamic-profile/view/1901091","19-1901091")</f>
        <v>0</v>
      </c>
      <c r="B3944" t="s">
        <v>209</v>
      </c>
      <c r="C3944" t="s">
        <v>248</v>
      </c>
      <c r="D3944" t="s">
        <v>343</v>
      </c>
      <c r="F3944" t="s">
        <v>1106</v>
      </c>
      <c r="G3944" t="s">
        <v>4463</v>
      </c>
      <c r="H3944" t="s">
        <v>5224</v>
      </c>
      <c r="I3944" t="s">
        <v>6415</v>
      </c>
      <c r="J3944" t="s">
        <v>7174</v>
      </c>
      <c r="K3944">
        <v>11212</v>
      </c>
      <c r="N3944" t="s">
        <v>7242</v>
      </c>
      <c r="O3944" t="s">
        <v>7818</v>
      </c>
      <c r="P3944">
        <v>3</v>
      </c>
      <c r="Q3944">
        <v>0</v>
      </c>
      <c r="R3944">
        <v>468.82</v>
      </c>
      <c r="U3944">
        <v>100000</v>
      </c>
      <c r="V3944" t="s">
        <v>10748</v>
      </c>
      <c r="W3944">
        <v>0</v>
      </c>
      <c r="Y3944" t="s">
        <v>225</v>
      </c>
      <c r="AA3944" t="s">
        <v>10974</v>
      </c>
      <c r="AB3944" t="s">
        <v>299</v>
      </c>
      <c r="AC3944" t="s">
        <v>11081</v>
      </c>
      <c r="AF3944" t="s">
        <v>11123</v>
      </c>
      <c r="AH3944" t="s">
        <v>10974</v>
      </c>
      <c r="AJ3944" t="s">
        <v>11129</v>
      </c>
      <c r="AK3944" t="s">
        <v>7225</v>
      </c>
      <c r="AM3944">
        <v>996</v>
      </c>
      <c r="AO3944">
        <v>16</v>
      </c>
      <c r="AQ3944" t="s">
        <v>11157</v>
      </c>
      <c r="AS3944" t="s">
        <v>11173</v>
      </c>
      <c r="AU3944">
        <v>16</v>
      </c>
      <c r="AW3944" t="s">
        <v>11187</v>
      </c>
      <c r="AY3944" t="s">
        <v>11213</v>
      </c>
      <c r="BA3944" t="s">
        <v>11222</v>
      </c>
      <c r="BE3944" t="s">
        <v>13822</v>
      </c>
      <c r="BF3944" t="s">
        <v>14364</v>
      </c>
      <c r="BG3944" t="s">
        <v>14516</v>
      </c>
      <c r="BM3944" t="s">
        <v>15650</v>
      </c>
    </row>
    <row r="3945" spans="1:65">
      <c r="A3945" s="1">
        <f>HYPERLINK("https://lsnyc.legalserver.org/matter/dynamic-profile/view/1900793","19-1900793")</f>
        <v>0</v>
      </c>
      <c r="B3945" t="s">
        <v>209</v>
      </c>
      <c r="C3945" t="s">
        <v>248</v>
      </c>
      <c r="D3945" t="s">
        <v>313</v>
      </c>
      <c r="F3945" t="s">
        <v>1715</v>
      </c>
      <c r="G3945" t="s">
        <v>3047</v>
      </c>
      <c r="H3945" t="s">
        <v>6057</v>
      </c>
      <c r="I3945" t="s">
        <v>6425</v>
      </c>
      <c r="J3945" t="s">
        <v>7174</v>
      </c>
      <c r="K3945">
        <v>11213</v>
      </c>
      <c r="N3945" t="s">
        <v>7237</v>
      </c>
      <c r="O3945" t="s">
        <v>7446</v>
      </c>
      <c r="P3945">
        <v>2</v>
      </c>
      <c r="Q3945">
        <v>0</v>
      </c>
      <c r="R3945">
        <v>224.33</v>
      </c>
      <c r="U3945">
        <v>37934.16</v>
      </c>
      <c r="V3945" t="s">
        <v>10749</v>
      </c>
      <c r="W3945">
        <v>0</v>
      </c>
      <c r="Y3945" t="s">
        <v>225</v>
      </c>
      <c r="AA3945" t="s">
        <v>10974</v>
      </c>
      <c r="AB3945" t="s">
        <v>633</v>
      </c>
      <c r="AD3945" t="s">
        <v>11086</v>
      </c>
      <c r="AF3945" t="s">
        <v>11120</v>
      </c>
      <c r="AH3945" t="s">
        <v>10974</v>
      </c>
      <c r="AI3945" t="s">
        <v>11126</v>
      </c>
      <c r="AK3945" t="s">
        <v>7225</v>
      </c>
      <c r="AM3945">
        <v>652.36</v>
      </c>
      <c r="AO3945">
        <v>6</v>
      </c>
      <c r="AQ3945" t="s">
        <v>11157</v>
      </c>
      <c r="AS3945" t="s">
        <v>11173</v>
      </c>
      <c r="AU3945">
        <v>45</v>
      </c>
      <c r="AW3945" t="s">
        <v>11187</v>
      </c>
      <c r="AY3945" t="s">
        <v>11213</v>
      </c>
      <c r="BA3945" t="s">
        <v>11222</v>
      </c>
      <c r="BE3945" t="s">
        <v>13823</v>
      </c>
      <c r="BF3945" t="s">
        <v>14364</v>
      </c>
      <c r="BM3945" t="s">
        <v>15650</v>
      </c>
    </row>
    <row r="3946" spans="1:65">
      <c r="A3946" s="1">
        <f>HYPERLINK("https://lsnyc.legalserver.org/matter/dynamic-profile/view/1901085","19-1901085")</f>
        <v>0</v>
      </c>
      <c r="B3946" t="s">
        <v>209</v>
      </c>
      <c r="C3946" t="s">
        <v>248</v>
      </c>
      <c r="D3946" t="s">
        <v>343</v>
      </c>
      <c r="F3946" t="s">
        <v>1461</v>
      </c>
      <c r="G3946" t="s">
        <v>4464</v>
      </c>
      <c r="H3946" t="s">
        <v>5224</v>
      </c>
      <c r="I3946" t="s">
        <v>6412</v>
      </c>
      <c r="J3946" t="s">
        <v>7174</v>
      </c>
      <c r="K3946">
        <v>11212</v>
      </c>
      <c r="N3946" t="s">
        <v>7242</v>
      </c>
      <c r="O3946" t="s">
        <v>9720</v>
      </c>
      <c r="P3946">
        <v>2</v>
      </c>
      <c r="Q3946">
        <v>0</v>
      </c>
      <c r="R3946">
        <v>0</v>
      </c>
      <c r="U3946">
        <v>0</v>
      </c>
      <c r="V3946" t="s">
        <v>10750</v>
      </c>
      <c r="W3946">
        <v>0.7</v>
      </c>
      <c r="X3946" t="s">
        <v>611</v>
      </c>
      <c r="Y3946" t="s">
        <v>225</v>
      </c>
      <c r="AA3946" t="s">
        <v>10974</v>
      </c>
      <c r="AB3946" t="s">
        <v>299</v>
      </c>
      <c r="AC3946" t="s">
        <v>11081</v>
      </c>
      <c r="AF3946" t="s">
        <v>11123</v>
      </c>
      <c r="AH3946" t="s">
        <v>10974</v>
      </c>
      <c r="AJ3946" t="s">
        <v>11134</v>
      </c>
      <c r="AK3946" t="s">
        <v>7225</v>
      </c>
      <c r="AM3946">
        <v>1515</v>
      </c>
      <c r="AO3946">
        <v>16</v>
      </c>
      <c r="AQ3946" t="s">
        <v>11157</v>
      </c>
      <c r="AS3946" t="s">
        <v>11181</v>
      </c>
      <c r="AU3946">
        <v>3</v>
      </c>
      <c r="AW3946" t="s">
        <v>11187</v>
      </c>
      <c r="AY3946" t="s">
        <v>11213</v>
      </c>
      <c r="BA3946" t="s">
        <v>11222</v>
      </c>
      <c r="BE3946" t="s">
        <v>13824</v>
      </c>
      <c r="BF3946" t="s">
        <v>14364</v>
      </c>
      <c r="BG3946" t="s">
        <v>14516</v>
      </c>
      <c r="BM3946" t="s">
        <v>15650</v>
      </c>
    </row>
    <row r="3947" spans="1:65">
      <c r="A3947" s="1">
        <f>HYPERLINK("https://lsnyc.legalserver.org/matter/dynamic-profile/view/1900725","19-1900725")</f>
        <v>0</v>
      </c>
      <c r="B3947" t="s">
        <v>209</v>
      </c>
      <c r="C3947" t="s">
        <v>248</v>
      </c>
      <c r="D3947" t="s">
        <v>582</v>
      </c>
      <c r="F3947" t="s">
        <v>1461</v>
      </c>
      <c r="G3947" t="s">
        <v>3235</v>
      </c>
      <c r="H3947" t="s">
        <v>5010</v>
      </c>
      <c r="I3947">
        <v>27</v>
      </c>
      <c r="J3947" t="s">
        <v>7174</v>
      </c>
      <c r="K3947">
        <v>11213</v>
      </c>
      <c r="N3947" t="s">
        <v>7237</v>
      </c>
      <c r="O3947" t="s">
        <v>7720</v>
      </c>
      <c r="P3947">
        <v>2</v>
      </c>
      <c r="Q3947">
        <v>0</v>
      </c>
      <c r="R3947">
        <v>359.55</v>
      </c>
      <c r="U3947">
        <v>60800</v>
      </c>
      <c r="V3947" t="s">
        <v>10751</v>
      </c>
      <c r="W3947">
        <v>0</v>
      </c>
      <c r="Y3947" t="s">
        <v>225</v>
      </c>
      <c r="AA3947" t="s">
        <v>10974</v>
      </c>
      <c r="AB3947" t="s">
        <v>633</v>
      </c>
      <c r="AD3947" t="s">
        <v>11086</v>
      </c>
      <c r="AF3947" t="s">
        <v>10384</v>
      </c>
      <c r="AH3947" t="s">
        <v>10974</v>
      </c>
      <c r="AJ3947" t="s">
        <v>11141</v>
      </c>
      <c r="AK3947" t="s">
        <v>7225</v>
      </c>
      <c r="AM3947">
        <v>861.2</v>
      </c>
      <c r="AO3947">
        <v>31</v>
      </c>
      <c r="AQ3947" t="s">
        <v>11157</v>
      </c>
      <c r="AS3947" t="s">
        <v>11173</v>
      </c>
      <c r="AU3947">
        <v>34</v>
      </c>
      <c r="AW3947" t="s">
        <v>11187</v>
      </c>
      <c r="AY3947" t="s">
        <v>11213</v>
      </c>
      <c r="BA3947" t="s">
        <v>11222</v>
      </c>
      <c r="BE3947" t="s">
        <v>12078</v>
      </c>
      <c r="BF3947" t="s">
        <v>14364</v>
      </c>
      <c r="BG3947" t="s">
        <v>11173</v>
      </c>
      <c r="BM3947" t="s">
        <v>15650</v>
      </c>
    </row>
    <row r="3948" spans="1:65">
      <c r="A3948" s="1">
        <f>HYPERLINK("https://lsnyc.legalserver.org/matter/dynamic-profile/view/1913028","19-1913028")</f>
        <v>0</v>
      </c>
      <c r="B3948" t="s">
        <v>209</v>
      </c>
      <c r="C3948" t="s">
        <v>248</v>
      </c>
      <c r="D3948" t="s">
        <v>336</v>
      </c>
      <c r="F3948" t="s">
        <v>2307</v>
      </c>
      <c r="G3948" t="s">
        <v>1234</v>
      </c>
      <c r="H3948" t="s">
        <v>5010</v>
      </c>
      <c r="I3948">
        <v>4</v>
      </c>
      <c r="J3948" t="s">
        <v>7174</v>
      </c>
      <c r="K3948">
        <v>11213</v>
      </c>
      <c r="N3948" t="s">
        <v>7237</v>
      </c>
      <c r="O3948" t="s">
        <v>9147</v>
      </c>
      <c r="P3948">
        <v>3</v>
      </c>
      <c r="Q3948">
        <v>0</v>
      </c>
      <c r="R3948">
        <v>267.23</v>
      </c>
      <c r="U3948">
        <v>57000</v>
      </c>
      <c r="V3948" t="s">
        <v>10752</v>
      </c>
      <c r="W3948">
        <v>1.1</v>
      </c>
      <c r="X3948" t="s">
        <v>925</v>
      </c>
      <c r="Y3948" t="s">
        <v>225</v>
      </c>
      <c r="AA3948" t="s">
        <v>10974</v>
      </c>
      <c r="AB3948" t="s">
        <v>336</v>
      </c>
      <c r="AD3948" t="s">
        <v>11086</v>
      </c>
      <c r="AF3948" t="s">
        <v>10384</v>
      </c>
      <c r="AH3948" t="s">
        <v>10974</v>
      </c>
      <c r="AJ3948" t="s">
        <v>11134</v>
      </c>
      <c r="AK3948" t="s">
        <v>7225</v>
      </c>
      <c r="AM3948">
        <v>993</v>
      </c>
      <c r="AO3948">
        <v>31</v>
      </c>
      <c r="AQ3948" t="s">
        <v>11157</v>
      </c>
      <c r="AS3948" t="s">
        <v>11173</v>
      </c>
      <c r="AU3948">
        <v>20</v>
      </c>
      <c r="AW3948" t="s">
        <v>11187</v>
      </c>
      <c r="AY3948" t="s">
        <v>11213</v>
      </c>
      <c r="BA3948" t="s">
        <v>11222</v>
      </c>
      <c r="BC3948" t="s">
        <v>11228</v>
      </c>
      <c r="BE3948" t="s">
        <v>13373</v>
      </c>
      <c r="BF3948" t="s">
        <v>14364</v>
      </c>
      <c r="BG3948" t="s">
        <v>11173</v>
      </c>
      <c r="BM3948" t="s">
        <v>15650</v>
      </c>
    </row>
    <row r="3949" spans="1:65">
      <c r="A3949" s="1">
        <f>HYPERLINK("https://lsnyc.legalserver.org/matter/dynamic-profile/view/1900703","19-1900703")</f>
        <v>0</v>
      </c>
      <c r="B3949" t="s">
        <v>209</v>
      </c>
      <c r="C3949" t="s">
        <v>248</v>
      </c>
      <c r="D3949" t="s">
        <v>582</v>
      </c>
      <c r="F3949" t="s">
        <v>2600</v>
      </c>
      <c r="G3949" t="s">
        <v>4465</v>
      </c>
      <c r="H3949" t="s">
        <v>5942</v>
      </c>
      <c r="I3949" t="s">
        <v>6419</v>
      </c>
      <c r="J3949" t="s">
        <v>7174</v>
      </c>
      <c r="K3949">
        <v>11213</v>
      </c>
      <c r="N3949" t="s">
        <v>7237</v>
      </c>
      <c r="O3949" t="s">
        <v>9721</v>
      </c>
      <c r="P3949">
        <v>2</v>
      </c>
      <c r="Q3949">
        <v>0</v>
      </c>
      <c r="R3949">
        <v>0</v>
      </c>
      <c r="U3949">
        <v>0</v>
      </c>
      <c r="V3949" t="s">
        <v>10753</v>
      </c>
      <c r="W3949">
        <v>0.1</v>
      </c>
      <c r="X3949" t="s">
        <v>268</v>
      </c>
      <c r="Y3949" t="s">
        <v>225</v>
      </c>
      <c r="AA3949" t="s">
        <v>10974</v>
      </c>
      <c r="AB3949" t="s">
        <v>370</v>
      </c>
      <c r="AD3949" t="s">
        <v>11086</v>
      </c>
      <c r="AF3949" t="s">
        <v>11120</v>
      </c>
      <c r="AH3949" t="s">
        <v>10974</v>
      </c>
      <c r="AJ3949" t="s">
        <v>11141</v>
      </c>
      <c r="AK3949" t="s">
        <v>7225</v>
      </c>
      <c r="AM3949">
        <v>862</v>
      </c>
      <c r="AO3949">
        <v>23</v>
      </c>
      <c r="AQ3949" t="s">
        <v>11157</v>
      </c>
      <c r="AS3949" t="s">
        <v>11173</v>
      </c>
      <c r="AU3949">
        <v>20</v>
      </c>
      <c r="AW3949" t="s">
        <v>11187</v>
      </c>
      <c r="AY3949" t="s">
        <v>11213</v>
      </c>
      <c r="BA3949" t="s">
        <v>11222</v>
      </c>
      <c r="BE3949" t="s">
        <v>13825</v>
      </c>
      <c r="BF3949" t="s">
        <v>14364</v>
      </c>
      <c r="BG3949" t="s">
        <v>11086</v>
      </c>
      <c r="BM3949" t="s">
        <v>15650</v>
      </c>
    </row>
    <row r="3950" spans="1:65">
      <c r="A3950" s="1">
        <f>HYPERLINK("https://lsnyc.legalserver.org/matter/dynamic-profile/view/1911764","19-1911764")</f>
        <v>0</v>
      </c>
      <c r="B3950" t="s">
        <v>209</v>
      </c>
      <c r="C3950" t="s">
        <v>248</v>
      </c>
      <c r="D3950" t="s">
        <v>563</v>
      </c>
      <c r="F3950" t="s">
        <v>2035</v>
      </c>
      <c r="G3950" t="s">
        <v>4315</v>
      </c>
      <c r="H3950" t="s">
        <v>5941</v>
      </c>
      <c r="I3950" t="s">
        <v>7012</v>
      </c>
      <c r="J3950" t="s">
        <v>7174</v>
      </c>
      <c r="K3950">
        <v>11233</v>
      </c>
      <c r="N3950" t="s">
        <v>7237</v>
      </c>
      <c r="O3950" t="s">
        <v>9502</v>
      </c>
      <c r="P3950">
        <v>1</v>
      </c>
      <c r="Q3950">
        <v>1</v>
      </c>
      <c r="R3950">
        <v>0</v>
      </c>
      <c r="U3950">
        <v>0</v>
      </c>
      <c r="W3950">
        <v>0</v>
      </c>
      <c r="Y3950" t="s">
        <v>225</v>
      </c>
      <c r="AA3950" t="s">
        <v>10974</v>
      </c>
      <c r="AB3950" t="s">
        <v>635</v>
      </c>
      <c r="AD3950" t="s">
        <v>11086</v>
      </c>
      <c r="AF3950" t="s">
        <v>10384</v>
      </c>
      <c r="AH3950" t="s">
        <v>10974</v>
      </c>
      <c r="AJ3950" t="s">
        <v>11129</v>
      </c>
      <c r="AK3950" t="s">
        <v>7225</v>
      </c>
      <c r="AM3950">
        <v>1930</v>
      </c>
      <c r="AO3950">
        <v>359</v>
      </c>
      <c r="AQ3950" t="s">
        <v>11157</v>
      </c>
      <c r="AS3950" t="s">
        <v>11173</v>
      </c>
      <c r="AU3950">
        <v>1</v>
      </c>
      <c r="AW3950" t="s">
        <v>11187</v>
      </c>
      <c r="AY3950" t="s">
        <v>11213</v>
      </c>
      <c r="AZ3950" t="s">
        <v>11221</v>
      </c>
      <c r="BA3950" t="s">
        <v>11173</v>
      </c>
      <c r="BC3950" t="s">
        <v>11228</v>
      </c>
      <c r="BE3950" t="s">
        <v>13826</v>
      </c>
      <c r="BF3950" t="s">
        <v>14364</v>
      </c>
      <c r="BG3950" t="s">
        <v>14411</v>
      </c>
      <c r="BM3950" t="s">
        <v>15650</v>
      </c>
    </row>
    <row r="3951" spans="1:65">
      <c r="A3951" s="1">
        <f>HYPERLINK("https://lsnyc.legalserver.org/matter/dynamic-profile/view/1891794","19-1891794")</f>
        <v>0</v>
      </c>
      <c r="B3951" t="s">
        <v>209</v>
      </c>
      <c r="C3951" t="s">
        <v>248</v>
      </c>
      <c r="D3951" t="s">
        <v>545</v>
      </c>
      <c r="F3951" t="s">
        <v>2600</v>
      </c>
      <c r="G3951" t="s">
        <v>4465</v>
      </c>
      <c r="H3951" t="s">
        <v>5942</v>
      </c>
      <c r="I3951" t="s">
        <v>6419</v>
      </c>
      <c r="J3951" t="s">
        <v>7174</v>
      </c>
      <c r="K3951">
        <v>11213</v>
      </c>
      <c r="N3951" t="s">
        <v>7237</v>
      </c>
      <c r="O3951" t="s">
        <v>9721</v>
      </c>
      <c r="P3951">
        <v>2</v>
      </c>
      <c r="Q3951">
        <v>0</v>
      </c>
      <c r="R3951">
        <v>0</v>
      </c>
      <c r="U3951">
        <v>0</v>
      </c>
      <c r="W3951">
        <v>0.1</v>
      </c>
      <c r="X3951" t="s">
        <v>403</v>
      </c>
      <c r="Y3951" t="s">
        <v>225</v>
      </c>
      <c r="AA3951" t="s">
        <v>10974</v>
      </c>
      <c r="AB3951" t="s">
        <v>681</v>
      </c>
      <c r="AD3951" t="s">
        <v>11101</v>
      </c>
      <c r="AF3951" t="s">
        <v>11118</v>
      </c>
      <c r="AH3951" t="s">
        <v>10974</v>
      </c>
      <c r="AI3951" t="s">
        <v>11126</v>
      </c>
      <c r="AK3951" t="s">
        <v>7225</v>
      </c>
      <c r="AM3951">
        <v>852</v>
      </c>
      <c r="AO3951">
        <v>23</v>
      </c>
      <c r="AQ3951" t="s">
        <v>11157</v>
      </c>
      <c r="AR3951" t="s">
        <v>11172</v>
      </c>
      <c r="AU3951">
        <v>20</v>
      </c>
      <c r="AW3951" t="s">
        <v>11187</v>
      </c>
      <c r="AY3951" t="s">
        <v>11213</v>
      </c>
      <c r="AZ3951" t="s">
        <v>11221</v>
      </c>
      <c r="BE3951" t="s">
        <v>13825</v>
      </c>
      <c r="BG3951" t="s">
        <v>14508</v>
      </c>
      <c r="BM3951" t="s">
        <v>15650</v>
      </c>
    </row>
    <row r="3952" spans="1:65">
      <c r="A3952" s="1">
        <f>HYPERLINK("https://lsnyc.legalserver.org/matter/dynamic-profile/view/1900712","19-1900712")</f>
        <v>0</v>
      </c>
      <c r="B3952" t="s">
        <v>209</v>
      </c>
      <c r="C3952" t="s">
        <v>248</v>
      </c>
      <c r="D3952" t="s">
        <v>582</v>
      </c>
      <c r="F3952" t="s">
        <v>1452</v>
      </c>
      <c r="G3952" t="s">
        <v>2443</v>
      </c>
      <c r="H3952" t="s">
        <v>5014</v>
      </c>
      <c r="I3952" t="s">
        <v>6560</v>
      </c>
      <c r="J3952" t="s">
        <v>7174</v>
      </c>
      <c r="K3952">
        <v>11213</v>
      </c>
      <c r="N3952" t="s">
        <v>7237</v>
      </c>
      <c r="O3952" t="s">
        <v>9722</v>
      </c>
      <c r="P3952">
        <v>3</v>
      </c>
      <c r="Q3952">
        <v>0</v>
      </c>
      <c r="R3952">
        <v>445.62</v>
      </c>
      <c r="U3952">
        <v>95050.08</v>
      </c>
      <c r="V3952" t="s">
        <v>10754</v>
      </c>
      <c r="W3952">
        <v>0</v>
      </c>
      <c r="Y3952" t="s">
        <v>225</v>
      </c>
      <c r="AA3952" t="s">
        <v>10974</v>
      </c>
      <c r="AB3952" t="s">
        <v>343</v>
      </c>
      <c r="AD3952" t="s">
        <v>11086</v>
      </c>
      <c r="AF3952" t="s">
        <v>11120</v>
      </c>
      <c r="AH3952" t="s">
        <v>10974</v>
      </c>
      <c r="AJ3952" t="s">
        <v>11141</v>
      </c>
      <c r="AK3952" t="s">
        <v>7225</v>
      </c>
      <c r="AM3952">
        <v>1197</v>
      </c>
      <c r="AO3952">
        <v>34</v>
      </c>
      <c r="AQ3952" t="s">
        <v>11157</v>
      </c>
      <c r="AS3952" t="s">
        <v>11173</v>
      </c>
      <c r="AU3952">
        <v>7</v>
      </c>
      <c r="AW3952" t="s">
        <v>11187</v>
      </c>
      <c r="AY3952" t="s">
        <v>11213</v>
      </c>
      <c r="BA3952" t="s">
        <v>11222</v>
      </c>
      <c r="BC3952" t="s">
        <v>11173</v>
      </c>
      <c r="BE3952" t="s">
        <v>13827</v>
      </c>
      <c r="BF3952" t="s">
        <v>14364</v>
      </c>
      <c r="BG3952" t="s">
        <v>11086</v>
      </c>
      <c r="BM3952" t="s">
        <v>15650</v>
      </c>
    </row>
    <row r="3953" spans="1:65">
      <c r="A3953" s="1">
        <f>HYPERLINK("https://lsnyc.legalserver.org/matter/dynamic-profile/view/1879248","18-1879248")</f>
        <v>0</v>
      </c>
      <c r="B3953" t="s">
        <v>209</v>
      </c>
      <c r="C3953" t="s">
        <v>248</v>
      </c>
      <c r="D3953" t="s">
        <v>609</v>
      </c>
      <c r="F3953" t="s">
        <v>1715</v>
      </c>
      <c r="G3953" t="s">
        <v>3047</v>
      </c>
      <c r="H3953" t="s">
        <v>6057</v>
      </c>
      <c r="I3953" t="s">
        <v>6425</v>
      </c>
      <c r="J3953" t="s">
        <v>7174</v>
      </c>
      <c r="K3953">
        <v>11213</v>
      </c>
      <c r="M3953" t="s">
        <v>7225</v>
      </c>
      <c r="N3953" t="s">
        <v>7237</v>
      </c>
      <c r="O3953" t="s">
        <v>7446</v>
      </c>
      <c r="P3953">
        <v>2</v>
      </c>
      <c r="Q3953">
        <v>0</v>
      </c>
      <c r="R3953">
        <v>230.46</v>
      </c>
      <c r="U3953">
        <v>37934.16</v>
      </c>
      <c r="W3953">
        <v>0.2</v>
      </c>
      <c r="X3953" t="s">
        <v>337</v>
      </c>
      <c r="Y3953" t="s">
        <v>225</v>
      </c>
      <c r="AA3953" t="s">
        <v>10974</v>
      </c>
      <c r="AB3953" t="s">
        <v>864</v>
      </c>
      <c r="AD3953" t="s">
        <v>11101</v>
      </c>
      <c r="AF3953" t="s">
        <v>11118</v>
      </c>
      <c r="AH3953" t="s">
        <v>10974</v>
      </c>
      <c r="AI3953" t="s">
        <v>11126</v>
      </c>
      <c r="AK3953" t="s">
        <v>7225</v>
      </c>
      <c r="AM3953">
        <v>652.36</v>
      </c>
      <c r="AO3953">
        <v>6</v>
      </c>
      <c r="AQ3953" t="s">
        <v>11157</v>
      </c>
      <c r="AS3953" t="s">
        <v>11173</v>
      </c>
      <c r="AU3953">
        <v>45</v>
      </c>
      <c r="AW3953" t="s">
        <v>11187</v>
      </c>
      <c r="AZ3953" t="s">
        <v>11221</v>
      </c>
      <c r="BE3953" t="s">
        <v>13823</v>
      </c>
      <c r="BG3953" t="s">
        <v>14508</v>
      </c>
      <c r="BM3953" t="s">
        <v>15650</v>
      </c>
    </row>
    <row r="3954" spans="1:65">
      <c r="A3954" s="1">
        <f>HYPERLINK("https://lsnyc.legalserver.org/matter/dynamic-profile/view/1900714","19-1900714")</f>
        <v>0</v>
      </c>
      <c r="B3954" t="s">
        <v>209</v>
      </c>
      <c r="C3954" t="s">
        <v>248</v>
      </c>
      <c r="D3954" t="s">
        <v>582</v>
      </c>
      <c r="F3954" t="s">
        <v>2308</v>
      </c>
      <c r="G3954" t="s">
        <v>4115</v>
      </c>
      <c r="H3954" t="s">
        <v>5010</v>
      </c>
      <c r="I3954">
        <v>28</v>
      </c>
      <c r="J3954" t="s">
        <v>7174</v>
      </c>
      <c r="K3954">
        <v>11213</v>
      </c>
      <c r="N3954" t="s">
        <v>7237</v>
      </c>
      <c r="O3954" t="s">
        <v>9149</v>
      </c>
      <c r="P3954">
        <v>2</v>
      </c>
      <c r="Q3954">
        <v>0</v>
      </c>
      <c r="R3954">
        <v>372.56</v>
      </c>
      <c r="U3954">
        <v>63000</v>
      </c>
      <c r="V3954" t="s">
        <v>10755</v>
      </c>
      <c r="W3954">
        <v>0</v>
      </c>
      <c r="Y3954" t="s">
        <v>225</v>
      </c>
      <c r="AA3954" t="s">
        <v>10974</v>
      </c>
      <c r="AB3954" t="s">
        <v>633</v>
      </c>
      <c r="AD3954" t="s">
        <v>11086</v>
      </c>
      <c r="AF3954" t="s">
        <v>10384</v>
      </c>
      <c r="AH3954" t="s">
        <v>10974</v>
      </c>
      <c r="AJ3954" t="s">
        <v>11141</v>
      </c>
      <c r="AK3954" t="s">
        <v>7225</v>
      </c>
      <c r="AM3954">
        <v>1326</v>
      </c>
      <c r="AO3954">
        <v>31</v>
      </c>
      <c r="AQ3954" t="s">
        <v>11157</v>
      </c>
      <c r="AS3954" t="s">
        <v>11173</v>
      </c>
      <c r="AU3954">
        <v>2</v>
      </c>
      <c r="AW3954" t="s">
        <v>11187</v>
      </c>
      <c r="AY3954" t="s">
        <v>11213</v>
      </c>
      <c r="BA3954" t="s">
        <v>11222</v>
      </c>
      <c r="BB3954" t="s">
        <v>11224</v>
      </c>
      <c r="BC3954" t="s">
        <v>11482</v>
      </c>
      <c r="BE3954" t="s">
        <v>13375</v>
      </c>
      <c r="BF3954" t="s">
        <v>14364</v>
      </c>
      <c r="BG3954" t="s">
        <v>11173</v>
      </c>
      <c r="BM3954" t="s">
        <v>15650</v>
      </c>
    </row>
    <row r="3955" spans="1:65">
      <c r="A3955" s="1">
        <f>HYPERLINK("https://lsnyc.legalserver.org/matter/dynamic-profile/view/1880097","18-1880097")</f>
        <v>0</v>
      </c>
      <c r="B3955" t="s">
        <v>209</v>
      </c>
      <c r="C3955" t="s">
        <v>248</v>
      </c>
      <c r="D3955" t="s">
        <v>619</v>
      </c>
      <c r="F3955" t="s">
        <v>2592</v>
      </c>
      <c r="G3955" t="s">
        <v>3422</v>
      </c>
      <c r="H3955" t="s">
        <v>5014</v>
      </c>
      <c r="I3955" t="s">
        <v>6426</v>
      </c>
      <c r="J3955" t="s">
        <v>7174</v>
      </c>
      <c r="K3955">
        <v>11213</v>
      </c>
      <c r="N3955" t="s">
        <v>7237</v>
      </c>
      <c r="O3955" t="s">
        <v>9010</v>
      </c>
      <c r="P3955">
        <v>1</v>
      </c>
      <c r="Q3955">
        <v>0</v>
      </c>
      <c r="R3955">
        <v>461.29</v>
      </c>
      <c r="U3955">
        <v>56000</v>
      </c>
      <c r="W3955">
        <v>1.2</v>
      </c>
      <c r="X3955" t="s">
        <v>279</v>
      </c>
      <c r="Y3955" t="s">
        <v>225</v>
      </c>
      <c r="AA3955" t="s">
        <v>10974</v>
      </c>
      <c r="AB3955" t="s">
        <v>279</v>
      </c>
      <c r="AD3955" t="s">
        <v>11101</v>
      </c>
      <c r="AF3955" t="s">
        <v>11118</v>
      </c>
      <c r="AH3955" t="s">
        <v>10974</v>
      </c>
      <c r="AJ3955" t="s">
        <v>11141</v>
      </c>
      <c r="AK3955" t="s">
        <v>7225</v>
      </c>
      <c r="AL3955" t="s">
        <v>11150</v>
      </c>
      <c r="AM3955">
        <v>0</v>
      </c>
      <c r="AO3955">
        <v>34</v>
      </c>
      <c r="AQ3955" t="s">
        <v>11157</v>
      </c>
      <c r="AS3955" t="s">
        <v>11173</v>
      </c>
      <c r="AT3955" t="s">
        <v>11184</v>
      </c>
      <c r="AU3955">
        <v>0</v>
      </c>
      <c r="AW3955" t="s">
        <v>11187</v>
      </c>
      <c r="AY3955" t="s">
        <v>11213</v>
      </c>
      <c r="AZ3955" t="s">
        <v>11221</v>
      </c>
      <c r="BC3955" t="s">
        <v>11173</v>
      </c>
      <c r="BE3955" t="s">
        <v>13810</v>
      </c>
      <c r="BG3955" t="s">
        <v>14508</v>
      </c>
      <c r="BM3955" t="s">
        <v>15650</v>
      </c>
    </row>
    <row r="3956" spans="1:65">
      <c r="A3956" s="1">
        <f>HYPERLINK("https://lsnyc.legalserver.org/matter/dynamic-profile/view/1906007","19-1906007")</f>
        <v>0</v>
      </c>
      <c r="B3956" t="s">
        <v>209</v>
      </c>
      <c r="C3956" t="s">
        <v>248</v>
      </c>
      <c r="D3956" t="s">
        <v>394</v>
      </c>
      <c r="F3956" t="s">
        <v>1517</v>
      </c>
      <c r="G3956" t="s">
        <v>4108</v>
      </c>
      <c r="H3956" t="s">
        <v>4798</v>
      </c>
      <c r="I3956" t="s">
        <v>6605</v>
      </c>
      <c r="J3956" t="s">
        <v>7174</v>
      </c>
      <c r="K3956">
        <v>11233</v>
      </c>
      <c r="N3956" t="s">
        <v>7237</v>
      </c>
      <c r="O3956" t="s">
        <v>9723</v>
      </c>
      <c r="P3956">
        <v>1</v>
      </c>
      <c r="Q3956">
        <v>0</v>
      </c>
      <c r="R3956">
        <v>238.46</v>
      </c>
      <c r="U3956">
        <v>29784</v>
      </c>
      <c r="W3956">
        <v>0</v>
      </c>
      <c r="Y3956" t="s">
        <v>225</v>
      </c>
      <c r="Z3956" t="s">
        <v>10973</v>
      </c>
      <c r="AA3956" t="s">
        <v>10975</v>
      </c>
      <c r="AB3956" t="s">
        <v>321</v>
      </c>
      <c r="AD3956" t="s">
        <v>11100</v>
      </c>
      <c r="AE3956" t="s">
        <v>11117</v>
      </c>
      <c r="AH3956" t="s">
        <v>10975</v>
      </c>
      <c r="AJ3956" t="s">
        <v>11104</v>
      </c>
      <c r="AK3956" t="s">
        <v>7225</v>
      </c>
      <c r="AM3956">
        <v>925</v>
      </c>
      <c r="AO3956">
        <v>1117</v>
      </c>
      <c r="AQ3956" t="s">
        <v>11157</v>
      </c>
      <c r="AS3956" t="s">
        <v>11173</v>
      </c>
      <c r="AU3956">
        <v>16</v>
      </c>
      <c r="AW3956" t="s">
        <v>11187</v>
      </c>
      <c r="AY3956" t="s">
        <v>11213</v>
      </c>
      <c r="AZ3956" t="s">
        <v>11221</v>
      </c>
      <c r="BA3956" t="s">
        <v>11173</v>
      </c>
      <c r="BC3956" t="s">
        <v>11228</v>
      </c>
      <c r="BE3956" t="s">
        <v>13828</v>
      </c>
      <c r="BF3956" t="s">
        <v>14364</v>
      </c>
      <c r="BG3956" t="s">
        <v>14410</v>
      </c>
      <c r="BM3956" t="s">
        <v>15650</v>
      </c>
    </row>
    <row r="3957" spans="1:65">
      <c r="A3957" s="1">
        <f>HYPERLINK("https://lsnyc.legalserver.org/matter/dynamic-profile/view/1885317","18-1885317")</f>
        <v>0</v>
      </c>
      <c r="B3957" t="s">
        <v>209</v>
      </c>
      <c r="C3957" t="s">
        <v>248</v>
      </c>
      <c r="D3957" t="s">
        <v>566</v>
      </c>
      <c r="F3957" t="s">
        <v>1452</v>
      </c>
      <c r="G3957" t="s">
        <v>2443</v>
      </c>
      <c r="H3957" t="s">
        <v>5014</v>
      </c>
      <c r="I3957" t="s">
        <v>6560</v>
      </c>
      <c r="J3957" t="s">
        <v>7174</v>
      </c>
      <c r="K3957">
        <v>11213</v>
      </c>
      <c r="N3957" t="s">
        <v>7237</v>
      </c>
      <c r="O3957" t="s">
        <v>9722</v>
      </c>
      <c r="P3957">
        <v>3</v>
      </c>
      <c r="Q3957">
        <v>0</v>
      </c>
      <c r="R3957">
        <v>457.41</v>
      </c>
      <c r="U3957">
        <v>95050.08</v>
      </c>
      <c r="W3957">
        <v>0.1</v>
      </c>
      <c r="X3957" t="s">
        <v>342</v>
      </c>
      <c r="Y3957" t="s">
        <v>225</v>
      </c>
      <c r="AA3957" t="s">
        <v>10974</v>
      </c>
      <c r="AB3957" t="s">
        <v>10998</v>
      </c>
      <c r="AD3957" t="s">
        <v>11101</v>
      </c>
      <c r="AF3957" t="s">
        <v>11118</v>
      </c>
      <c r="AH3957" t="s">
        <v>10974</v>
      </c>
      <c r="AJ3957" t="s">
        <v>11141</v>
      </c>
      <c r="AK3957" t="s">
        <v>7225</v>
      </c>
      <c r="AM3957">
        <v>1197</v>
      </c>
      <c r="AO3957">
        <v>34</v>
      </c>
      <c r="AQ3957" t="s">
        <v>11157</v>
      </c>
      <c r="AS3957" t="s">
        <v>11173</v>
      </c>
      <c r="AU3957">
        <v>7</v>
      </c>
      <c r="AW3957" t="s">
        <v>11187</v>
      </c>
      <c r="AY3957" t="s">
        <v>11213</v>
      </c>
      <c r="AZ3957" t="s">
        <v>11221</v>
      </c>
      <c r="BC3957" t="s">
        <v>11173</v>
      </c>
      <c r="BE3957" t="s">
        <v>13827</v>
      </c>
      <c r="BG3957" t="s">
        <v>14508</v>
      </c>
      <c r="BM3957" t="s">
        <v>15650</v>
      </c>
    </row>
    <row r="3958" spans="1:65">
      <c r="A3958" s="1">
        <f>HYPERLINK("https://lsnyc.legalserver.org/matter/dynamic-profile/view/1905991","19-1905991")</f>
        <v>0</v>
      </c>
      <c r="B3958" t="s">
        <v>209</v>
      </c>
      <c r="C3958" t="s">
        <v>248</v>
      </c>
      <c r="D3958" t="s">
        <v>394</v>
      </c>
      <c r="F3958" t="s">
        <v>1969</v>
      </c>
      <c r="G3958" t="s">
        <v>1937</v>
      </c>
      <c r="H3958" t="s">
        <v>5124</v>
      </c>
      <c r="I3958" t="s">
        <v>7073</v>
      </c>
      <c r="J3958" t="s">
        <v>7174</v>
      </c>
      <c r="K3958">
        <v>11233</v>
      </c>
      <c r="N3958" t="s">
        <v>7237</v>
      </c>
      <c r="O3958" t="s">
        <v>9724</v>
      </c>
      <c r="P3958">
        <v>4</v>
      </c>
      <c r="Q3958">
        <v>1</v>
      </c>
      <c r="R3958">
        <v>99.44</v>
      </c>
      <c r="U3958">
        <v>30000</v>
      </c>
      <c r="V3958" t="s">
        <v>10712</v>
      </c>
      <c r="W3958">
        <v>0</v>
      </c>
      <c r="Y3958" t="s">
        <v>225</v>
      </c>
      <c r="AA3958" t="s">
        <v>10974</v>
      </c>
      <c r="AB3958" t="s">
        <v>311</v>
      </c>
      <c r="AD3958" t="s">
        <v>11100</v>
      </c>
      <c r="AF3958" t="s">
        <v>10384</v>
      </c>
      <c r="AH3958" t="s">
        <v>10975</v>
      </c>
      <c r="AI3958" t="s">
        <v>11126</v>
      </c>
      <c r="AK3958" t="s">
        <v>7225</v>
      </c>
      <c r="AM3958">
        <v>1200</v>
      </c>
      <c r="AO3958">
        <v>359</v>
      </c>
      <c r="AQ3958" t="s">
        <v>11157</v>
      </c>
      <c r="AS3958" t="s">
        <v>11173</v>
      </c>
      <c r="AU3958">
        <v>26</v>
      </c>
      <c r="AW3958" t="s">
        <v>11187</v>
      </c>
      <c r="AY3958" t="s">
        <v>11213</v>
      </c>
      <c r="BA3958" t="s">
        <v>11222</v>
      </c>
      <c r="BC3958" t="s">
        <v>11228</v>
      </c>
      <c r="BD3958" t="s">
        <v>11667</v>
      </c>
      <c r="BF3958" t="s">
        <v>14364</v>
      </c>
      <c r="BG3958" t="s">
        <v>11228</v>
      </c>
      <c r="BM3958" t="s">
        <v>15650</v>
      </c>
    </row>
    <row r="3959" spans="1:65">
      <c r="A3959" s="1">
        <f>HYPERLINK("https://lsnyc.legalserver.org/matter/dynamic-profile/view/1879657","18-1879657")</f>
        <v>0</v>
      </c>
      <c r="B3959" t="s">
        <v>209</v>
      </c>
      <c r="C3959" t="s">
        <v>248</v>
      </c>
      <c r="D3959" t="s">
        <v>1020</v>
      </c>
      <c r="F3959" t="s">
        <v>1143</v>
      </c>
      <c r="G3959" t="s">
        <v>4326</v>
      </c>
      <c r="H3959" t="s">
        <v>5944</v>
      </c>
      <c r="I3959" t="s">
        <v>6430</v>
      </c>
      <c r="J3959" t="s">
        <v>7174</v>
      </c>
      <c r="K3959">
        <v>11207</v>
      </c>
      <c r="N3959" t="s">
        <v>7237</v>
      </c>
      <c r="O3959" t="s">
        <v>9514</v>
      </c>
      <c r="P3959">
        <v>1</v>
      </c>
      <c r="Q3959">
        <v>0</v>
      </c>
      <c r="R3959">
        <v>494.23</v>
      </c>
      <c r="U3959">
        <v>60000</v>
      </c>
      <c r="W3959">
        <v>0</v>
      </c>
      <c r="Y3959" t="s">
        <v>225</v>
      </c>
      <c r="AA3959" t="s">
        <v>10974</v>
      </c>
      <c r="AB3959" t="s">
        <v>609</v>
      </c>
      <c r="AD3959" t="s">
        <v>11086</v>
      </c>
      <c r="AF3959" t="s">
        <v>10384</v>
      </c>
      <c r="AH3959" t="s">
        <v>10974</v>
      </c>
      <c r="AJ3959" t="s">
        <v>11129</v>
      </c>
      <c r="AK3959" t="s">
        <v>7225</v>
      </c>
      <c r="AM3959">
        <v>1000</v>
      </c>
      <c r="AO3959">
        <v>6</v>
      </c>
      <c r="AQ3959" t="s">
        <v>11157</v>
      </c>
      <c r="AS3959" t="s">
        <v>11173</v>
      </c>
      <c r="AU3959">
        <v>3</v>
      </c>
      <c r="AW3959" t="s">
        <v>11187</v>
      </c>
      <c r="AY3959" t="s">
        <v>11213</v>
      </c>
      <c r="BA3959" t="s">
        <v>11222</v>
      </c>
      <c r="BD3959" t="s">
        <v>11667</v>
      </c>
      <c r="BF3959" t="s">
        <v>14364</v>
      </c>
      <c r="BG3959" t="s">
        <v>11086</v>
      </c>
      <c r="BM3959" t="s">
        <v>15650</v>
      </c>
    </row>
    <row r="3960" spans="1:65">
      <c r="A3960" s="1">
        <f>HYPERLINK("https://lsnyc.legalserver.org/matter/dynamic-profile/view/1906010","19-1906010")</f>
        <v>0</v>
      </c>
      <c r="B3960" t="s">
        <v>209</v>
      </c>
      <c r="C3960" t="s">
        <v>248</v>
      </c>
      <c r="D3960" t="s">
        <v>394</v>
      </c>
      <c r="F3960" t="s">
        <v>1122</v>
      </c>
      <c r="G3960" t="s">
        <v>4330</v>
      </c>
      <c r="H3960" t="s">
        <v>5124</v>
      </c>
      <c r="J3960" t="s">
        <v>7174</v>
      </c>
      <c r="K3960">
        <v>11233</v>
      </c>
      <c r="N3960" t="s">
        <v>7237</v>
      </c>
      <c r="O3960" t="s">
        <v>9586</v>
      </c>
      <c r="P3960">
        <v>1</v>
      </c>
      <c r="Q3960">
        <v>0</v>
      </c>
      <c r="R3960">
        <v>0</v>
      </c>
      <c r="U3960">
        <v>0</v>
      </c>
      <c r="W3960">
        <v>0</v>
      </c>
      <c r="Y3960" t="s">
        <v>225</v>
      </c>
      <c r="Z3960" t="s">
        <v>10972</v>
      </c>
      <c r="AA3960" t="s">
        <v>10975</v>
      </c>
      <c r="AD3960" t="s">
        <v>11086</v>
      </c>
      <c r="AE3960" t="s">
        <v>11117</v>
      </c>
      <c r="AH3960" t="s">
        <v>10975</v>
      </c>
      <c r="AJ3960" t="s">
        <v>11104</v>
      </c>
      <c r="AK3960" t="s">
        <v>7225</v>
      </c>
      <c r="AL3960" t="s">
        <v>11150</v>
      </c>
      <c r="AM3960">
        <v>0</v>
      </c>
      <c r="AO3960">
        <v>1117</v>
      </c>
      <c r="AQ3960" t="s">
        <v>11157</v>
      </c>
      <c r="AR3960" t="s">
        <v>11172</v>
      </c>
      <c r="AU3960">
        <v>1</v>
      </c>
      <c r="AW3960" t="s">
        <v>11187</v>
      </c>
      <c r="AY3960" t="s">
        <v>11213</v>
      </c>
      <c r="AZ3960" t="s">
        <v>11221</v>
      </c>
      <c r="BA3960" t="s">
        <v>11173</v>
      </c>
      <c r="BE3960" t="s">
        <v>13829</v>
      </c>
      <c r="BF3960" t="s">
        <v>14364</v>
      </c>
      <c r="BG3960" t="s">
        <v>14410</v>
      </c>
      <c r="BM3960" t="s">
        <v>15650</v>
      </c>
    </row>
    <row r="3961" spans="1:65">
      <c r="A3961" s="1">
        <f>HYPERLINK("https://lsnyc.legalserver.org/matter/dynamic-profile/view/1900676","19-1900676")</f>
        <v>0</v>
      </c>
      <c r="B3961" t="s">
        <v>209</v>
      </c>
      <c r="C3961" t="s">
        <v>248</v>
      </c>
      <c r="D3961" t="s">
        <v>549</v>
      </c>
      <c r="F3961" t="s">
        <v>1464</v>
      </c>
      <c r="G3961" t="s">
        <v>4466</v>
      </c>
      <c r="H3961" t="s">
        <v>5014</v>
      </c>
      <c r="I3961" t="s">
        <v>6619</v>
      </c>
      <c r="J3961" t="s">
        <v>7174</v>
      </c>
      <c r="K3961">
        <v>11213</v>
      </c>
      <c r="N3961" t="s">
        <v>7237</v>
      </c>
      <c r="O3961" t="s">
        <v>7724</v>
      </c>
      <c r="P3961">
        <v>3</v>
      </c>
      <c r="Q3961">
        <v>0</v>
      </c>
      <c r="R3961">
        <v>383.7</v>
      </c>
      <c r="U3961">
        <v>81843</v>
      </c>
      <c r="V3961" t="s">
        <v>10756</v>
      </c>
      <c r="W3961">
        <v>0</v>
      </c>
      <c r="Y3961" t="s">
        <v>225</v>
      </c>
      <c r="AA3961" t="s">
        <v>10974</v>
      </c>
      <c r="AB3961" t="s">
        <v>633</v>
      </c>
      <c r="AD3961" t="s">
        <v>11086</v>
      </c>
      <c r="AF3961" t="s">
        <v>11120</v>
      </c>
      <c r="AH3961" t="s">
        <v>10974</v>
      </c>
      <c r="AJ3961" t="s">
        <v>11141</v>
      </c>
      <c r="AK3961" t="s">
        <v>7225</v>
      </c>
      <c r="AM3961">
        <v>1205</v>
      </c>
      <c r="AO3961">
        <v>34</v>
      </c>
      <c r="AQ3961" t="s">
        <v>11157</v>
      </c>
      <c r="AS3961" t="s">
        <v>11173</v>
      </c>
      <c r="AU3961">
        <v>34</v>
      </c>
      <c r="AW3961" t="s">
        <v>11187</v>
      </c>
      <c r="AY3961" t="s">
        <v>11213</v>
      </c>
      <c r="BA3961" t="s">
        <v>11222</v>
      </c>
      <c r="BC3961" t="s">
        <v>11173</v>
      </c>
      <c r="BD3961" t="s">
        <v>11667</v>
      </c>
      <c r="BF3961" t="s">
        <v>14364</v>
      </c>
      <c r="BG3961" t="s">
        <v>11086</v>
      </c>
      <c r="BM3961" t="s">
        <v>15650</v>
      </c>
    </row>
    <row r="3962" spans="1:65">
      <c r="A3962" s="1">
        <f>HYPERLINK("https://lsnyc.legalserver.org/matter/dynamic-profile/view/1879674","18-1879674")</f>
        <v>0</v>
      </c>
      <c r="B3962" t="s">
        <v>209</v>
      </c>
      <c r="C3962" t="s">
        <v>248</v>
      </c>
      <c r="D3962" t="s">
        <v>1020</v>
      </c>
      <c r="F3962" t="s">
        <v>1143</v>
      </c>
      <c r="G3962" t="s">
        <v>4326</v>
      </c>
      <c r="H3962" t="s">
        <v>5944</v>
      </c>
      <c r="I3962" t="s">
        <v>6430</v>
      </c>
      <c r="J3962" t="s">
        <v>7174</v>
      </c>
      <c r="K3962">
        <v>11207</v>
      </c>
      <c r="N3962" t="s">
        <v>7237</v>
      </c>
      <c r="O3962" t="s">
        <v>9514</v>
      </c>
      <c r="P3962">
        <v>1</v>
      </c>
      <c r="Q3962">
        <v>0</v>
      </c>
      <c r="R3962">
        <v>494.23</v>
      </c>
      <c r="U3962">
        <v>60000</v>
      </c>
      <c r="V3962" t="s">
        <v>10757</v>
      </c>
      <c r="W3962">
        <v>0</v>
      </c>
      <c r="Y3962" t="s">
        <v>225</v>
      </c>
      <c r="AA3962" t="s">
        <v>10974</v>
      </c>
      <c r="AB3962" t="s">
        <v>11000</v>
      </c>
      <c r="AD3962" t="s">
        <v>11085</v>
      </c>
      <c r="AF3962" t="s">
        <v>10384</v>
      </c>
      <c r="AH3962" t="s">
        <v>10974</v>
      </c>
      <c r="AJ3962" t="s">
        <v>11129</v>
      </c>
      <c r="AK3962" t="s">
        <v>7225</v>
      </c>
      <c r="AM3962">
        <v>1000</v>
      </c>
      <c r="AO3962">
        <v>6</v>
      </c>
      <c r="AQ3962" t="s">
        <v>11157</v>
      </c>
      <c r="AS3962" t="s">
        <v>11173</v>
      </c>
      <c r="AU3962">
        <v>3</v>
      </c>
      <c r="AW3962" t="s">
        <v>11187</v>
      </c>
      <c r="AY3962" t="s">
        <v>11213</v>
      </c>
      <c r="BA3962" t="s">
        <v>11222</v>
      </c>
      <c r="BC3962" t="s">
        <v>11173</v>
      </c>
      <c r="BD3962" t="s">
        <v>11667</v>
      </c>
      <c r="BF3962" t="s">
        <v>14364</v>
      </c>
      <c r="BG3962" t="s">
        <v>11086</v>
      </c>
      <c r="BM3962" t="s">
        <v>15650</v>
      </c>
    </row>
    <row r="3963" spans="1:65">
      <c r="A3963" s="1">
        <f>HYPERLINK("https://lsnyc.legalserver.org/matter/dynamic-profile/view/1858154","18-1858154")</f>
        <v>0</v>
      </c>
      <c r="B3963" t="s">
        <v>209</v>
      </c>
      <c r="C3963" t="s">
        <v>248</v>
      </c>
      <c r="D3963" t="s">
        <v>1019</v>
      </c>
      <c r="F3963" t="s">
        <v>2601</v>
      </c>
      <c r="G3963" t="s">
        <v>4467</v>
      </c>
      <c r="H3963" t="s">
        <v>5630</v>
      </c>
      <c r="I3963" t="s">
        <v>6430</v>
      </c>
      <c r="J3963" t="s">
        <v>7174</v>
      </c>
      <c r="K3963">
        <v>11237</v>
      </c>
      <c r="N3963" t="s">
        <v>7237</v>
      </c>
      <c r="O3963" t="s">
        <v>9725</v>
      </c>
      <c r="P3963">
        <v>1</v>
      </c>
      <c r="Q3963">
        <v>0</v>
      </c>
      <c r="R3963">
        <v>247.12</v>
      </c>
      <c r="S3963" t="s">
        <v>10255</v>
      </c>
      <c r="U3963">
        <v>30000</v>
      </c>
      <c r="W3963">
        <v>0</v>
      </c>
      <c r="Y3963" t="s">
        <v>10901</v>
      </c>
      <c r="AA3963" t="s">
        <v>10974</v>
      </c>
      <c r="AB3963" t="s">
        <v>10982</v>
      </c>
      <c r="AC3963" t="s">
        <v>11081</v>
      </c>
      <c r="AF3963" t="s">
        <v>11121</v>
      </c>
      <c r="AH3963" t="s">
        <v>10974</v>
      </c>
      <c r="AI3963" t="s">
        <v>11126</v>
      </c>
      <c r="AK3963" t="s">
        <v>7225</v>
      </c>
      <c r="AM3963">
        <v>1570</v>
      </c>
      <c r="AO3963">
        <v>8</v>
      </c>
      <c r="AQ3963" t="s">
        <v>11157</v>
      </c>
      <c r="AR3963" t="s">
        <v>11172</v>
      </c>
      <c r="AU3963">
        <v>8</v>
      </c>
      <c r="AW3963" t="s">
        <v>11187</v>
      </c>
      <c r="AZ3963" t="s">
        <v>11221</v>
      </c>
      <c r="BE3963" t="s">
        <v>13830</v>
      </c>
      <c r="BF3963" t="s">
        <v>14364</v>
      </c>
      <c r="BM3963" t="s">
        <v>15650</v>
      </c>
    </row>
    <row r="3964" spans="1:65">
      <c r="A3964" s="1">
        <f>HYPERLINK("https://lsnyc.legalserver.org/matter/dynamic-profile/view/1895283","19-1895283")</f>
        <v>0</v>
      </c>
      <c r="B3964" t="s">
        <v>209</v>
      </c>
      <c r="C3964" t="s">
        <v>248</v>
      </c>
      <c r="D3964" t="s">
        <v>1022</v>
      </c>
      <c r="F3964" t="s">
        <v>2599</v>
      </c>
      <c r="G3964" t="s">
        <v>3466</v>
      </c>
      <c r="H3964" t="s">
        <v>5224</v>
      </c>
      <c r="I3964" t="s">
        <v>6437</v>
      </c>
      <c r="J3964" t="s">
        <v>7174</v>
      </c>
      <c r="K3964">
        <v>11212</v>
      </c>
      <c r="N3964" t="s">
        <v>7245</v>
      </c>
      <c r="O3964" t="s">
        <v>9719</v>
      </c>
      <c r="P3964">
        <v>1</v>
      </c>
      <c r="Q3964">
        <v>1</v>
      </c>
      <c r="R3964">
        <v>116.88</v>
      </c>
      <c r="U3964">
        <v>19764</v>
      </c>
      <c r="W3964">
        <v>3.6</v>
      </c>
      <c r="X3964" t="s">
        <v>270</v>
      </c>
      <c r="Y3964" t="s">
        <v>101</v>
      </c>
      <c r="AA3964" t="s">
        <v>10974</v>
      </c>
      <c r="AB3964" t="s">
        <v>311</v>
      </c>
      <c r="AD3964" t="s">
        <v>11100</v>
      </c>
      <c r="AF3964" t="s">
        <v>10384</v>
      </c>
      <c r="AH3964" t="s">
        <v>10974</v>
      </c>
      <c r="AJ3964" t="s">
        <v>11104</v>
      </c>
      <c r="AK3964" t="s">
        <v>7225</v>
      </c>
      <c r="AM3964">
        <v>1326</v>
      </c>
      <c r="AO3964">
        <v>16</v>
      </c>
      <c r="AQ3964" t="s">
        <v>11157</v>
      </c>
      <c r="AS3964" t="s">
        <v>11176</v>
      </c>
      <c r="AU3964">
        <v>3</v>
      </c>
      <c r="AW3964" t="s">
        <v>11187</v>
      </c>
      <c r="AY3964" t="s">
        <v>11213</v>
      </c>
      <c r="BA3964" t="s">
        <v>11223</v>
      </c>
      <c r="BC3964" t="s">
        <v>11563</v>
      </c>
      <c r="BD3964" t="s">
        <v>11667</v>
      </c>
      <c r="BF3964" t="s">
        <v>14364</v>
      </c>
      <c r="BG3964" t="s">
        <v>11086</v>
      </c>
      <c r="BM3964" t="s">
        <v>15650</v>
      </c>
    </row>
    <row r="3965" spans="1:65">
      <c r="A3965" s="1">
        <f>HYPERLINK("https://lsnyc.legalserver.org/matter/dynamic-profile/view/1882158","18-1882158")</f>
        <v>0</v>
      </c>
      <c r="B3965" t="s">
        <v>209</v>
      </c>
      <c r="C3965" t="s">
        <v>248</v>
      </c>
      <c r="D3965" t="s">
        <v>569</v>
      </c>
      <c r="F3965" t="s">
        <v>2591</v>
      </c>
      <c r="G3965" t="s">
        <v>4452</v>
      </c>
      <c r="H3965" t="s">
        <v>5009</v>
      </c>
      <c r="I3965" t="s">
        <v>6507</v>
      </c>
      <c r="J3965" t="s">
        <v>7174</v>
      </c>
      <c r="K3965">
        <v>11213</v>
      </c>
      <c r="N3965" t="s">
        <v>7237</v>
      </c>
      <c r="O3965" t="s">
        <v>9707</v>
      </c>
      <c r="P3965">
        <v>2</v>
      </c>
      <c r="Q3965">
        <v>0</v>
      </c>
      <c r="R3965">
        <v>437.42</v>
      </c>
      <c r="T3965" t="s">
        <v>10278</v>
      </c>
      <c r="U3965">
        <v>72000</v>
      </c>
      <c r="W3965">
        <v>0.1</v>
      </c>
      <c r="X3965" t="s">
        <v>549</v>
      </c>
      <c r="Y3965" t="s">
        <v>225</v>
      </c>
      <c r="AA3965" t="s">
        <v>10974</v>
      </c>
      <c r="AB3965" t="s">
        <v>11073</v>
      </c>
      <c r="AD3965" t="s">
        <v>11101</v>
      </c>
      <c r="AF3965" t="s">
        <v>11118</v>
      </c>
      <c r="AH3965" t="s">
        <v>10974</v>
      </c>
      <c r="AJ3965" t="s">
        <v>11141</v>
      </c>
      <c r="AK3965" t="s">
        <v>7225</v>
      </c>
      <c r="AM3965">
        <v>1169.88</v>
      </c>
      <c r="AO3965">
        <v>35</v>
      </c>
      <c r="AQ3965" t="s">
        <v>11157</v>
      </c>
      <c r="AS3965" t="s">
        <v>11173</v>
      </c>
      <c r="AU3965">
        <v>5</v>
      </c>
      <c r="AW3965" t="s">
        <v>11187</v>
      </c>
      <c r="AY3965" t="s">
        <v>11213</v>
      </c>
      <c r="AZ3965" t="s">
        <v>11221</v>
      </c>
      <c r="BC3965" t="s">
        <v>11173</v>
      </c>
      <c r="BE3965" t="s">
        <v>13809</v>
      </c>
      <c r="BG3965" t="s">
        <v>14508</v>
      </c>
      <c r="BM3965" t="s">
        <v>15650</v>
      </c>
    </row>
    <row r="3966" spans="1:65">
      <c r="A3966" s="1">
        <f>HYPERLINK("https://lsnyc.legalserver.org/matter/dynamic-profile/view/1871601","18-1871601")</f>
        <v>0</v>
      </c>
      <c r="B3966" t="s">
        <v>209</v>
      </c>
      <c r="C3966" t="s">
        <v>248</v>
      </c>
      <c r="D3966" t="s">
        <v>771</v>
      </c>
      <c r="F3966" t="s">
        <v>1439</v>
      </c>
      <c r="G3966" t="s">
        <v>4468</v>
      </c>
      <c r="H3966" t="s">
        <v>6058</v>
      </c>
      <c r="I3966" t="s">
        <v>6979</v>
      </c>
      <c r="J3966" t="s">
        <v>7174</v>
      </c>
      <c r="K3966">
        <v>11206</v>
      </c>
      <c r="N3966" t="s">
        <v>7239</v>
      </c>
      <c r="O3966" t="s">
        <v>9726</v>
      </c>
      <c r="P3966">
        <v>2</v>
      </c>
      <c r="Q3966">
        <v>1</v>
      </c>
      <c r="R3966">
        <v>117.34</v>
      </c>
      <c r="S3966" t="s">
        <v>10254</v>
      </c>
      <c r="T3966" t="s">
        <v>10275</v>
      </c>
      <c r="U3966">
        <v>24384</v>
      </c>
      <c r="W3966">
        <v>0</v>
      </c>
      <c r="Y3966" t="s">
        <v>10912</v>
      </c>
      <c r="AA3966" t="s">
        <v>10974</v>
      </c>
      <c r="AB3966" t="s">
        <v>771</v>
      </c>
      <c r="AD3966" t="s">
        <v>11087</v>
      </c>
      <c r="AF3966" t="s">
        <v>11121</v>
      </c>
      <c r="AH3966" t="s">
        <v>10975</v>
      </c>
      <c r="AI3966" t="s">
        <v>11127</v>
      </c>
      <c r="AJ3966" t="s">
        <v>11135</v>
      </c>
      <c r="AK3966" t="s">
        <v>11149</v>
      </c>
      <c r="AM3966">
        <v>513</v>
      </c>
      <c r="AN3966" t="s">
        <v>11152</v>
      </c>
      <c r="AO3966" t="s">
        <v>11154</v>
      </c>
      <c r="AQ3966" t="s">
        <v>11166</v>
      </c>
      <c r="AR3966" t="s">
        <v>11172</v>
      </c>
      <c r="AT3966" t="s">
        <v>11185</v>
      </c>
      <c r="AU3966">
        <v>-2</v>
      </c>
      <c r="AW3966" t="s">
        <v>11189</v>
      </c>
      <c r="AZ3966" t="s">
        <v>11221</v>
      </c>
      <c r="BE3966" t="s">
        <v>13831</v>
      </c>
      <c r="BF3966" t="s">
        <v>14364</v>
      </c>
      <c r="BM3966" t="s">
        <v>15650</v>
      </c>
    </row>
    <row r="3967" spans="1:65">
      <c r="A3967" s="1">
        <f>HYPERLINK("https://lsnyc.legalserver.org/matter/dynamic-profile/view/0823980","17-0823980")</f>
        <v>0</v>
      </c>
      <c r="B3967" t="s">
        <v>209</v>
      </c>
      <c r="C3967" t="s">
        <v>248</v>
      </c>
      <c r="D3967" t="s">
        <v>1023</v>
      </c>
      <c r="F3967" t="s">
        <v>2602</v>
      </c>
      <c r="G3967" t="s">
        <v>4469</v>
      </c>
      <c r="H3967" t="s">
        <v>6059</v>
      </c>
      <c r="I3967" t="s">
        <v>6468</v>
      </c>
      <c r="J3967" t="s">
        <v>7174</v>
      </c>
      <c r="K3967">
        <v>11204</v>
      </c>
      <c r="N3967" t="s">
        <v>7237</v>
      </c>
      <c r="O3967" t="s">
        <v>9727</v>
      </c>
      <c r="P3967">
        <v>1</v>
      </c>
      <c r="Q3967">
        <v>1</v>
      </c>
      <c r="R3967">
        <v>57.68</v>
      </c>
      <c r="S3967" t="s">
        <v>10254</v>
      </c>
      <c r="T3967" t="s">
        <v>10275</v>
      </c>
      <c r="U3967">
        <v>9240</v>
      </c>
      <c r="W3967">
        <v>9.550000000000001</v>
      </c>
      <c r="X3967" t="s">
        <v>476</v>
      </c>
      <c r="Y3967" t="s">
        <v>10964</v>
      </c>
      <c r="AA3967" t="s">
        <v>10974</v>
      </c>
      <c r="AB3967" t="s">
        <v>957</v>
      </c>
      <c r="AC3967" t="s">
        <v>11081</v>
      </c>
      <c r="AF3967" t="s">
        <v>10384</v>
      </c>
      <c r="AG3967" t="s">
        <v>11124</v>
      </c>
      <c r="AJ3967" t="s">
        <v>11133</v>
      </c>
      <c r="AK3967" t="s">
        <v>11149</v>
      </c>
      <c r="AM3967">
        <v>1038</v>
      </c>
      <c r="AO3967">
        <v>40</v>
      </c>
      <c r="AQ3967" t="s">
        <v>11157</v>
      </c>
      <c r="AS3967" t="s">
        <v>11176</v>
      </c>
      <c r="AU3967">
        <v>16</v>
      </c>
      <c r="AW3967" t="s">
        <v>11194</v>
      </c>
      <c r="AZ3967" t="s">
        <v>11221</v>
      </c>
      <c r="BC3967" t="s">
        <v>11564</v>
      </c>
      <c r="BD3967" t="s">
        <v>11667</v>
      </c>
      <c r="BF3967" t="s">
        <v>14364</v>
      </c>
      <c r="BM3967" t="s">
        <v>15650</v>
      </c>
    </row>
    <row r="3968" spans="1:65">
      <c r="A3968" s="1">
        <f>HYPERLINK("https://lsnyc.legalserver.org/matter/dynamic-profile/view/1907513","19-1907513")</f>
        <v>0</v>
      </c>
      <c r="B3968" t="s">
        <v>210</v>
      </c>
      <c r="C3968" t="s">
        <v>246</v>
      </c>
      <c r="D3968" t="s">
        <v>362</v>
      </c>
      <c r="F3968" t="s">
        <v>2603</v>
      </c>
      <c r="G3968" t="s">
        <v>4143</v>
      </c>
      <c r="H3968" t="s">
        <v>6060</v>
      </c>
      <c r="I3968" t="s">
        <v>6421</v>
      </c>
      <c r="J3968" t="s">
        <v>7170</v>
      </c>
      <c r="K3968">
        <v>10452</v>
      </c>
      <c r="N3968" t="s">
        <v>7237</v>
      </c>
      <c r="O3968" t="s">
        <v>9728</v>
      </c>
      <c r="P3968">
        <v>1</v>
      </c>
      <c r="Q3968">
        <v>0</v>
      </c>
      <c r="R3968">
        <v>67.25</v>
      </c>
      <c r="U3968">
        <v>8400</v>
      </c>
      <c r="W3968">
        <v>0.6</v>
      </c>
      <c r="X3968" t="s">
        <v>362</v>
      </c>
      <c r="Y3968" t="s">
        <v>210</v>
      </c>
      <c r="AA3968" t="s">
        <v>10974</v>
      </c>
      <c r="AB3968" t="s">
        <v>10988</v>
      </c>
      <c r="AD3968" t="s">
        <v>11086</v>
      </c>
      <c r="AF3968" t="s">
        <v>11119</v>
      </c>
      <c r="AH3968" t="s">
        <v>10975</v>
      </c>
      <c r="AJ3968" t="s">
        <v>11129</v>
      </c>
      <c r="AK3968" t="s">
        <v>7225</v>
      </c>
      <c r="AM3968">
        <v>125</v>
      </c>
      <c r="AO3968">
        <v>42</v>
      </c>
      <c r="AQ3968" t="s">
        <v>11157</v>
      </c>
      <c r="AS3968" t="s">
        <v>11179</v>
      </c>
      <c r="AU3968">
        <v>25</v>
      </c>
      <c r="AW3968" t="s">
        <v>11187</v>
      </c>
      <c r="BA3968" t="s">
        <v>11222</v>
      </c>
      <c r="BE3968" t="s">
        <v>13832</v>
      </c>
      <c r="BF3968" t="s">
        <v>14364</v>
      </c>
      <c r="BG3968" t="s">
        <v>11228</v>
      </c>
      <c r="BM3968" t="s">
        <v>15650</v>
      </c>
    </row>
    <row r="3969" spans="1:65">
      <c r="A3969" s="1">
        <f>HYPERLINK("https://lsnyc.legalserver.org/matter/dynamic-profile/view/1898121","19-1898121")</f>
        <v>0</v>
      </c>
      <c r="B3969" t="s">
        <v>210</v>
      </c>
      <c r="C3969" t="s">
        <v>246</v>
      </c>
      <c r="D3969" t="s">
        <v>529</v>
      </c>
      <c r="E3969" t="s">
        <v>539</v>
      </c>
      <c r="F3969" t="s">
        <v>1105</v>
      </c>
      <c r="G3969" t="s">
        <v>3113</v>
      </c>
      <c r="H3969" t="s">
        <v>4974</v>
      </c>
      <c r="I3969" t="s">
        <v>6405</v>
      </c>
      <c r="J3969" t="s">
        <v>7170</v>
      </c>
      <c r="K3969">
        <v>10452</v>
      </c>
      <c r="L3969" t="s">
        <v>7216</v>
      </c>
      <c r="N3969" t="s">
        <v>7237</v>
      </c>
      <c r="O3969" t="s">
        <v>9729</v>
      </c>
      <c r="P3969">
        <v>1</v>
      </c>
      <c r="Q3969">
        <v>0</v>
      </c>
      <c r="R3969">
        <v>75.23</v>
      </c>
      <c r="U3969">
        <v>9396</v>
      </c>
      <c r="W3969">
        <v>3</v>
      </c>
      <c r="X3969" t="s">
        <v>539</v>
      </c>
      <c r="Y3969" t="s">
        <v>210</v>
      </c>
      <c r="AA3969" t="s">
        <v>10974</v>
      </c>
      <c r="AB3969" t="s">
        <v>529</v>
      </c>
      <c r="AD3969" t="s">
        <v>11083</v>
      </c>
      <c r="AF3969" t="s">
        <v>11119</v>
      </c>
      <c r="AH3969" t="s">
        <v>10975</v>
      </c>
      <c r="AJ3969" t="s">
        <v>11141</v>
      </c>
      <c r="AK3969" t="s">
        <v>7225</v>
      </c>
      <c r="AM3969">
        <v>550</v>
      </c>
      <c r="AO3969">
        <v>21</v>
      </c>
      <c r="AQ3969" t="s">
        <v>11157</v>
      </c>
      <c r="AS3969" t="s">
        <v>11175</v>
      </c>
      <c r="AU3969">
        <v>13</v>
      </c>
      <c r="AW3969" t="s">
        <v>11187</v>
      </c>
      <c r="BA3969" t="s">
        <v>11222</v>
      </c>
      <c r="BD3969" t="s">
        <v>11667</v>
      </c>
      <c r="BF3969" t="s">
        <v>14364</v>
      </c>
      <c r="BM3969" t="s">
        <v>15651</v>
      </c>
    </row>
    <row r="3970" spans="1:65">
      <c r="A3970" s="1">
        <f>HYPERLINK("https://lsnyc.legalserver.org/matter/dynamic-profile/view/1898128","19-1898128")</f>
        <v>0</v>
      </c>
      <c r="B3970" t="s">
        <v>210</v>
      </c>
      <c r="C3970" t="s">
        <v>246</v>
      </c>
      <c r="D3970" t="s">
        <v>529</v>
      </c>
      <c r="E3970" t="s">
        <v>539</v>
      </c>
      <c r="F3970" t="s">
        <v>2604</v>
      </c>
      <c r="G3970" t="s">
        <v>4470</v>
      </c>
      <c r="H3970" t="s">
        <v>6061</v>
      </c>
      <c r="I3970" t="s">
        <v>6502</v>
      </c>
      <c r="J3970" t="s">
        <v>7170</v>
      </c>
      <c r="K3970">
        <v>10467</v>
      </c>
      <c r="L3970" t="s">
        <v>7216</v>
      </c>
      <c r="N3970" t="s">
        <v>7237</v>
      </c>
      <c r="O3970" t="s">
        <v>9730</v>
      </c>
      <c r="P3970">
        <v>4</v>
      </c>
      <c r="Q3970">
        <v>3</v>
      </c>
      <c r="R3970">
        <v>93.31</v>
      </c>
      <c r="U3970">
        <v>36400</v>
      </c>
      <c r="W3970">
        <v>3</v>
      </c>
      <c r="X3970" t="s">
        <v>539</v>
      </c>
      <c r="Y3970" t="s">
        <v>210</v>
      </c>
      <c r="AA3970" t="s">
        <v>10974</v>
      </c>
      <c r="AB3970" t="s">
        <v>529</v>
      </c>
      <c r="AD3970" t="s">
        <v>11082</v>
      </c>
      <c r="AF3970" t="s">
        <v>10384</v>
      </c>
      <c r="AH3970" t="s">
        <v>10975</v>
      </c>
      <c r="AJ3970" t="s">
        <v>11141</v>
      </c>
      <c r="AK3970" t="s">
        <v>7225</v>
      </c>
      <c r="AM3970">
        <v>914</v>
      </c>
      <c r="AO3970">
        <v>49</v>
      </c>
      <c r="AQ3970" t="s">
        <v>11157</v>
      </c>
      <c r="AS3970" t="s">
        <v>11104</v>
      </c>
      <c r="AU3970">
        <v>7</v>
      </c>
      <c r="AW3970" t="s">
        <v>11187</v>
      </c>
      <c r="BA3970" t="s">
        <v>11222</v>
      </c>
      <c r="BE3970" t="s">
        <v>13833</v>
      </c>
      <c r="BF3970" t="s">
        <v>14364</v>
      </c>
      <c r="BM3970" t="s">
        <v>15651</v>
      </c>
    </row>
    <row r="3971" spans="1:65">
      <c r="A3971" s="1">
        <f>HYPERLINK("https://lsnyc.legalserver.org/matter/dynamic-profile/view/1899592","19-1899592")</f>
        <v>0</v>
      </c>
      <c r="B3971" t="s">
        <v>210</v>
      </c>
      <c r="C3971" t="s">
        <v>246</v>
      </c>
      <c r="D3971" t="s">
        <v>431</v>
      </c>
      <c r="E3971" t="s">
        <v>539</v>
      </c>
      <c r="F3971" t="s">
        <v>1262</v>
      </c>
      <c r="G3971" t="s">
        <v>3059</v>
      </c>
      <c r="H3971" t="s">
        <v>6062</v>
      </c>
      <c r="I3971" t="s">
        <v>6433</v>
      </c>
      <c r="J3971" t="s">
        <v>7170</v>
      </c>
      <c r="K3971">
        <v>10468</v>
      </c>
      <c r="L3971" t="s">
        <v>7216</v>
      </c>
      <c r="N3971" t="s">
        <v>7237</v>
      </c>
      <c r="O3971" t="s">
        <v>9731</v>
      </c>
      <c r="P3971">
        <v>2</v>
      </c>
      <c r="Q3971">
        <v>0</v>
      </c>
      <c r="R3971">
        <v>97.29000000000001</v>
      </c>
      <c r="U3971">
        <v>16452</v>
      </c>
      <c r="W3971">
        <v>3.2</v>
      </c>
      <c r="X3971" t="s">
        <v>539</v>
      </c>
      <c r="Y3971" t="s">
        <v>210</v>
      </c>
      <c r="AA3971" t="s">
        <v>10974</v>
      </c>
      <c r="AB3971" t="s">
        <v>659</v>
      </c>
      <c r="AD3971" t="s">
        <v>11086</v>
      </c>
      <c r="AF3971" t="s">
        <v>11119</v>
      </c>
      <c r="AH3971" t="s">
        <v>10975</v>
      </c>
      <c r="AJ3971" t="s">
        <v>11139</v>
      </c>
      <c r="AK3971" t="s">
        <v>7225</v>
      </c>
      <c r="AM3971">
        <v>340</v>
      </c>
      <c r="AN3971" t="s">
        <v>11151</v>
      </c>
      <c r="AO3971" t="s">
        <v>11153</v>
      </c>
      <c r="AQ3971" t="s">
        <v>11157</v>
      </c>
      <c r="AS3971" t="s">
        <v>11174</v>
      </c>
      <c r="AU3971">
        <v>3</v>
      </c>
      <c r="AW3971" t="s">
        <v>11187</v>
      </c>
      <c r="BA3971" t="s">
        <v>11223</v>
      </c>
      <c r="BC3971" t="s">
        <v>11565</v>
      </c>
      <c r="BE3971" t="s">
        <v>13834</v>
      </c>
      <c r="BF3971" t="s">
        <v>14364</v>
      </c>
      <c r="BM3971" t="s">
        <v>15651</v>
      </c>
    </row>
    <row r="3972" spans="1:65">
      <c r="A3972" s="1">
        <f>HYPERLINK("https://lsnyc.legalserver.org/matter/dynamic-profile/view/1899588","19-1899588")</f>
        <v>0</v>
      </c>
      <c r="B3972" t="s">
        <v>210</v>
      </c>
      <c r="C3972" t="s">
        <v>246</v>
      </c>
      <c r="D3972" t="s">
        <v>431</v>
      </c>
      <c r="E3972" t="s">
        <v>539</v>
      </c>
      <c r="F3972" t="s">
        <v>1354</v>
      </c>
      <c r="G3972" t="s">
        <v>1149</v>
      </c>
      <c r="H3972" t="s">
        <v>6063</v>
      </c>
      <c r="J3972" t="s">
        <v>7170</v>
      </c>
      <c r="K3972">
        <v>10462</v>
      </c>
      <c r="L3972" t="s">
        <v>7216</v>
      </c>
      <c r="N3972" t="s">
        <v>7237</v>
      </c>
      <c r="O3972" t="s">
        <v>9732</v>
      </c>
      <c r="P3972">
        <v>1</v>
      </c>
      <c r="Q3972">
        <v>0</v>
      </c>
      <c r="R3972">
        <v>163.91</v>
      </c>
      <c r="U3972">
        <v>20472</v>
      </c>
      <c r="W3972">
        <v>3.8</v>
      </c>
      <c r="X3972" t="s">
        <v>539</v>
      </c>
      <c r="Y3972" t="s">
        <v>210</v>
      </c>
      <c r="AA3972" t="s">
        <v>10974</v>
      </c>
      <c r="AB3972" t="s">
        <v>659</v>
      </c>
      <c r="AD3972" t="s">
        <v>11086</v>
      </c>
      <c r="AF3972" t="s">
        <v>11119</v>
      </c>
      <c r="AH3972" t="s">
        <v>10975</v>
      </c>
      <c r="AJ3972" t="s">
        <v>11141</v>
      </c>
      <c r="AK3972" t="s">
        <v>7225</v>
      </c>
      <c r="AM3972">
        <v>920</v>
      </c>
      <c r="AN3972" t="s">
        <v>11151</v>
      </c>
      <c r="AO3972" t="s">
        <v>11153</v>
      </c>
      <c r="AQ3972" t="s">
        <v>11157</v>
      </c>
      <c r="AS3972" t="s">
        <v>11175</v>
      </c>
      <c r="AU3972">
        <v>14</v>
      </c>
      <c r="AW3972" t="s">
        <v>11189</v>
      </c>
      <c r="BA3972" t="s">
        <v>11222</v>
      </c>
      <c r="BE3972" t="s">
        <v>13835</v>
      </c>
      <c r="BF3972" t="s">
        <v>14364</v>
      </c>
      <c r="BM3972" t="s">
        <v>15651</v>
      </c>
    </row>
    <row r="3973" spans="1:65">
      <c r="A3973" s="1">
        <f>HYPERLINK("https://lsnyc.legalserver.org/matter/dynamic-profile/view/1905267","19-1905267")</f>
        <v>0</v>
      </c>
      <c r="B3973" t="s">
        <v>210</v>
      </c>
      <c r="C3973" t="s">
        <v>246</v>
      </c>
      <c r="D3973" t="s">
        <v>470</v>
      </c>
      <c r="E3973" t="s">
        <v>539</v>
      </c>
      <c r="F3973" t="s">
        <v>2365</v>
      </c>
      <c r="G3973" t="s">
        <v>2261</v>
      </c>
      <c r="H3973" t="s">
        <v>6064</v>
      </c>
      <c r="I3973" t="s">
        <v>7074</v>
      </c>
      <c r="J3973" t="s">
        <v>7170</v>
      </c>
      <c r="K3973">
        <v>10451</v>
      </c>
      <c r="L3973" t="s">
        <v>7216</v>
      </c>
      <c r="N3973" t="s">
        <v>7237</v>
      </c>
      <c r="O3973" t="s">
        <v>9733</v>
      </c>
      <c r="P3973">
        <v>1</v>
      </c>
      <c r="Q3973">
        <v>0</v>
      </c>
      <c r="R3973">
        <v>156.61</v>
      </c>
      <c r="U3973">
        <v>19560</v>
      </c>
      <c r="W3973">
        <v>1.4</v>
      </c>
      <c r="X3973" t="s">
        <v>539</v>
      </c>
      <c r="Y3973" t="s">
        <v>210</v>
      </c>
      <c r="AA3973" t="s">
        <v>10974</v>
      </c>
      <c r="AB3973" t="s">
        <v>728</v>
      </c>
      <c r="AD3973" t="s">
        <v>11086</v>
      </c>
      <c r="AF3973" t="s">
        <v>11119</v>
      </c>
      <c r="AH3973" t="s">
        <v>10975</v>
      </c>
      <c r="AJ3973" t="s">
        <v>11141</v>
      </c>
      <c r="AK3973" t="s">
        <v>7225</v>
      </c>
      <c r="AM3973">
        <v>1630</v>
      </c>
      <c r="AO3973">
        <v>260</v>
      </c>
      <c r="AQ3973" t="s">
        <v>11168</v>
      </c>
      <c r="AS3973" t="s">
        <v>11173</v>
      </c>
      <c r="AU3973">
        <v>16</v>
      </c>
      <c r="AW3973" t="s">
        <v>11187</v>
      </c>
      <c r="BA3973" t="s">
        <v>11222</v>
      </c>
      <c r="BD3973" t="s">
        <v>11667</v>
      </c>
      <c r="BF3973" t="s">
        <v>14364</v>
      </c>
      <c r="BG3973" t="s">
        <v>11228</v>
      </c>
      <c r="BM3973" t="s">
        <v>15651</v>
      </c>
    </row>
    <row r="3974" spans="1:65">
      <c r="A3974" s="1">
        <f>HYPERLINK("https://lsnyc.legalserver.org/matter/dynamic-profile/view/1907847","19-1907847")</f>
        <v>0</v>
      </c>
      <c r="B3974" t="s">
        <v>210</v>
      </c>
      <c r="C3974" t="s">
        <v>246</v>
      </c>
      <c r="D3974" t="s">
        <v>637</v>
      </c>
      <c r="F3974" t="s">
        <v>1419</v>
      </c>
      <c r="G3974" t="s">
        <v>4384</v>
      </c>
      <c r="H3974" t="s">
        <v>5982</v>
      </c>
      <c r="I3974" t="s">
        <v>7048</v>
      </c>
      <c r="J3974" t="s">
        <v>7170</v>
      </c>
      <c r="K3974">
        <v>10472</v>
      </c>
      <c r="N3974" t="s">
        <v>7237</v>
      </c>
      <c r="O3974" t="s">
        <v>9734</v>
      </c>
      <c r="P3974">
        <v>2</v>
      </c>
      <c r="Q3974">
        <v>3</v>
      </c>
      <c r="R3974">
        <v>198.87</v>
      </c>
      <c r="U3974">
        <v>60000</v>
      </c>
      <c r="W3974">
        <v>2.1</v>
      </c>
      <c r="X3974" t="s">
        <v>671</v>
      </c>
      <c r="Y3974" t="s">
        <v>210</v>
      </c>
      <c r="AA3974" t="s">
        <v>10974</v>
      </c>
      <c r="AB3974" t="s">
        <v>728</v>
      </c>
      <c r="AD3974" t="s">
        <v>11086</v>
      </c>
      <c r="AF3974" t="s">
        <v>11119</v>
      </c>
      <c r="AH3974" t="s">
        <v>10975</v>
      </c>
      <c r="AJ3974" t="s">
        <v>11141</v>
      </c>
      <c r="AK3974" t="s">
        <v>7225</v>
      </c>
      <c r="AM3974">
        <v>1908</v>
      </c>
      <c r="AO3974">
        <v>60</v>
      </c>
      <c r="AQ3974" t="s">
        <v>11157</v>
      </c>
      <c r="AS3974" t="s">
        <v>11173</v>
      </c>
      <c r="AU3974">
        <v>7</v>
      </c>
      <c r="AW3974" t="s">
        <v>11187</v>
      </c>
      <c r="BA3974" t="s">
        <v>11222</v>
      </c>
      <c r="BE3974" t="s">
        <v>13713</v>
      </c>
      <c r="BF3974" t="s">
        <v>14364</v>
      </c>
      <c r="BM3974" t="s">
        <v>15650</v>
      </c>
    </row>
    <row r="3975" spans="1:65">
      <c r="A3975" s="1">
        <f>HYPERLINK("https://lsnyc.legalserver.org/matter/dynamic-profile/view/1905447","19-1905447")</f>
        <v>0</v>
      </c>
      <c r="B3975" t="s">
        <v>210</v>
      </c>
      <c r="C3975" t="s">
        <v>246</v>
      </c>
      <c r="D3975" t="s">
        <v>470</v>
      </c>
      <c r="F3975" t="s">
        <v>1331</v>
      </c>
      <c r="G3975" t="s">
        <v>4471</v>
      </c>
      <c r="H3975" t="s">
        <v>6065</v>
      </c>
      <c r="I3975" t="s">
        <v>6421</v>
      </c>
      <c r="J3975" t="s">
        <v>7170</v>
      </c>
      <c r="K3975">
        <v>10451</v>
      </c>
      <c r="N3975" t="s">
        <v>7237</v>
      </c>
      <c r="O3975" t="s">
        <v>9735</v>
      </c>
      <c r="P3975">
        <v>1</v>
      </c>
      <c r="Q3975">
        <v>0</v>
      </c>
      <c r="R3975">
        <v>63.41</v>
      </c>
      <c r="U3975">
        <v>7920</v>
      </c>
      <c r="V3975" t="s">
        <v>10758</v>
      </c>
      <c r="W3975">
        <v>1</v>
      </c>
      <c r="X3975" t="s">
        <v>470</v>
      </c>
      <c r="Y3975" t="s">
        <v>210</v>
      </c>
      <c r="AA3975" t="s">
        <v>10974</v>
      </c>
      <c r="AD3975" t="s">
        <v>11090</v>
      </c>
      <c r="AF3975" t="s">
        <v>11119</v>
      </c>
      <c r="AH3975" t="s">
        <v>10975</v>
      </c>
      <c r="AJ3975" t="s">
        <v>11141</v>
      </c>
      <c r="AK3975" t="s">
        <v>7225</v>
      </c>
      <c r="AM3975">
        <v>1200</v>
      </c>
      <c r="AO3975">
        <v>93</v>
      </c>
      <c r="AQ3975" t="s">
        <v>11157</v>
      </c>
      <c r="AS3975" t="s">
        <v>11177</v>
      </c>
      <c r="AU3975">
        <v>13</v>
      </c>
      <c r="AW3975" t="s">
        <v>11187</v>
      </c>
      <c r="AX3975" t="s">
        <v>11212</v>
      </c>
      <c r="AZ3975" t="s">
        <v>11221</v>
      </c>
      <c r="BA3975" t="s">
        <v>11173</v>
      </c>
      <c r="BD3975" t="s">
        <v>11667</v>
      </c>
      <c r="BF3975" t="s">
        <v>14364</v>
      </c>
      <c r="BM3975" t="s">
        <v>15650</v>
      </c>
    </row>
    <row r="3976" spans="1:65">
      <c r="A3976" s="1">
        <f>HYPERLINK("https://lsnyc.legalserver.org/matter/dynamic-profile/view/1915151","19-1915151")</f>
        <v>0</v>
      </c>
      <c r="B3976" t="s">
        <v>210</v>
      </c>
      <c r="C3976" t="s">
        <v>246</v>
      </c>
      <c r="D3976" t="s">
        <v>449</v>
      </c>
      <c r="F3976" t="s">
        <v>2605</v>
      </c>
      <c r="G3976" t="s">
        <v>3824</v>
      </c>
      <c r="H3976" t="s">
        <v>5920</v>
      </c>
      <c r="I3976" t="s">
        <v>6558</v>
      </c>
      <c r="J3976" t="s">
        <v>7170</v>
      </c>
      <c r="K3976">
        <v>10452</v>
      </c>
      <c r="N3976" t="s">
        <v>7237</v>
      </c>
      <c r="O3976" t="s">
        <v>9736</v>
      </c>
      <c r="P3976">
        <v>2</v>
      </c>
      <c r="Q3976">
        <v>0</v>
      </c>
      <c r="R3976">
        <v>44.49</v>
      </c>
      <c r="U3976">
        <v>7524</v>
      </c>
      <c r="W3976">
        <v>0.5</v>
      </c>
      <c r="X3976" t="s">
        <v>264</v>
      </c>
      <c r="Y3976" t="s">
        <v>210</v>
      </c>
      <c r="AA3976" t="s">
        <v>10974</v>
      </c>
      <c r="AD3976" t="s">
        <v>11086</v>
      </c>
      <c r="AF3976" t="s">
        <v>11119</v>
      </c>
      <c r="AH3976" t="s">
        <v>10975</v>
      </c>
      <c r="AJ3976" t="s">
        <v>11141</v>
      </c>
      <c r="AK3976" t="s">
        <v>7225</v>
      </c>
      <c r="AM3976">
        <v>410</v>
      </c>
      <c r="AN3976" t="s">
        <v>11151</v>
      </c>
      <c r="AO3976" t="s">
        <v>11153</v>
      </c>
      <c r="AQ3976" t="s">
        <v>11163</v>
      </c>
      <c r="AS3976" t="s">
        <v>11174</v>
      </c>
      <c r="AU3976">
        <v>19</v>
      </c>
      <c r="AW3976" t="s">
        <v>11189</v>
      </c>
      <c r="AX3976" t="s">
        <v>11212</v>
      </c>
      <c r="BA3976" t="s">
        <v>11222</v>
      </c>
      <c r="BE3976" t="s">
        <v>13836</v>
      </c>
      <c r="BF3976" t="s">
        <v>14364</v>
      </c>
      <c r="BM3976" t="s">
        <v>15650</v>
      </c>
    </row>
    <row r="3977" spans="1:65">
      <c r="A3977" s="1">
        <f>HYPERLINK("https://lsnyc.legalserver.org/matter/dynamic-profile/view/1897367","19-1897367")</f>
        <v>0</v>
      </c>
      <c r="B3977" t="s">
        <v>211</v>
      </c>
      <c r="C3977" t="s">
        <v>246</v>
      </c>
      <c r="D3977" t="s">
        <v>583</v>
      </c>
      <c r="F3977" t="s">
        <v>1090</v>
      </c>
      <c r="G3977" t="s">
        <v>4472</v>
      </c>
      <c r="H3977" t="s">
        <v>6066</v>
      </c>
      <c r="I3977" t="s">
        <v>6554</v>
      </c>
      <c r="J3977" t="s">
        <v>7170</v>
      </c>
      <c r="K3977">
        <v>10451</v>
      </c>
      <c r="N3977" t="s">
        <v>7241</v>
      </c>
      <c r="O3977" t="s">
        <v>8974</v>
      </c>
      <c r="P3977">
        <v>1</v>
      </c>
      <c r="Q3977">
        <v>2</v>
      </c>
      <c r="R3977">
        <v>0</v>
      </c>
      <c r="U3977">
        <v>0</v>
      </c>
      <c r="V3977" t="s">
        <v>10759</v>
      </c>
      <c r="W3977">
        <v>0.9</v>
      </c>
      <c r="X3977" t="s">
        <v>601</v>
      </c>
      <c r="Y3977" t="s">
        <v>10865</v>
      </c>
      <c r="AA3977" t="s">
        <v>10974</v>
      </c>
      <c r="AB3977" t="s">
        <v>10979</v>
      </c>
      <c r="AD3977" t="s">
        <v>11095</v>
      </c>
      <c r="AF3977" t="s">
        <v>11119</v>
      </c>
      <c r="AH3977" t="s">
        <v>10975</v>
      </c>
      <c r="AJ3977" t="s">
        <v>11129</v>
      </c>
      <c r="AK3977" t="s">
        <v>7225</v>
      </c>
      <c r="AM3977">
        <v>891.87</v>
      </c>
      <c r="AO3977">
        <v>84</v>
      </c>
      <c r="AQ3977" t="s">
        <v>11157</v>
      </c>
      <c r="AS3977" t="s">
        <v>11180</v>
      </c>
      <c r="AU3977">
        <v>25</v>
      </c>
      <c r="AW3977" t="s">
        <v>11189</v>
      </c>
      <c r="BA3977" t="s">
        <v>11222</v>
      </c>
      <c r="BE3977" t="s">
        <v>13837</v>
      </c>
      <c r="BF3977" t="s">
        <v>14364</v>
      </c>
      <c r="BM3977" t="s">
        <v>15650</v>
      </c>
    </row>
    <row r="3978" spans="1:65">
      <c r="A3978" s="1">
        <f>HYPERLINK("https://lsnyc.legalserver.org/matter/dynamic-profile/view/1914384","19-1914384")</f>
        <v>0</v>
      </c>
      <c r="B3978" t="s">
        <v>212</v>
      </c>
      <c r="C3978" t="s">
        <v>248</v>
      </c>
      <c r="D3978" t="s">
        <v>497</v>
      </c>
      <c r="F3978" t="s">
        <v>1255</v>
      </c>
      <c r="G3978" t="s">
        <v>3657</v>
      </c>
      <c r="H3978" t="s">
        <v>6067</v>
      </c>
      <c r="I3978" t="s">
        <v>7011</v>
      </c>
      <c r="J3978" t="s">
        <v>7174</v>
      </c>
      <c r="K3978">
        <v>11231</v>
      </c>
      <c r="N3978" t="s">
        <v>7237</v>
      </c>
      <c r="O3978" t="s">
        <v>9737</v>
      </c>
      <c r="P3978">
        <v>1</v>
      </c>
      <c r="Q3978">
        <v>0</v>
      </c>
      <c r="R3978">
        <v>89.09999999999999</v>
      </c>
      <c r="U3978">
        <v>11128</v>
      </c>
      <c r="W3978">
        <v>2.8</v>
      </c>
      <c r="X3978" t="s">
        <v>497</v>
      </c>
      <c r="Y3978" t="s">
        <v>212</v>
      </c>
      <c r="AA3978" t="s">
        <v>10974</v>
      </c>
      <c r="AB3978" t="s">
        <v>266</v>
      </c>
      <c r="AC3978" t="s">
        <v>11081</v>
      </c>
      <c r="AE3978" t="s">
        <v>11117</v>
      </c>
      <c r="AG3978" t="s">
        <v>11124</v>
      </c>
      <c r="AI3978" t="s">
        <v>11126</v>
      </c>
      <c r="AK3978" t="s">
        <v>7225</v>
      </c>
      <c r="AL3978" t="s">
        <v>11150</v>
      </c>
      <c r="AM3978">
        <v>0</v>
      </c>
      <c r="AO3978">
        <v>8</v>
      </c>
      <c r="AP3978" t="s">
        <v>11155</v>
      </c>
      <c r="AR3978" t="s">
        <v>11172</v>
      </c>
      <c r="AT3978" t="s">
        <v>11184</v>
      </c>
      <c r="AU3978">
        <v>0</v>
      </c>
      <c r="AW3978" t="s">
        <v>11187</v>
      </c>
      <c r="AZ3978" t="s">
        <v>11221</v>
      </c>
      <c r="BD3978" t="s">
        <v>11667</v>
      </c>
      <c r="BF3978" t="s">
        <v>14364</v>
      </c>
      <c r="BM3978" t="s">
        <v>15650</v>
      </c>
    </row>
    <row r="3979" spans="1:65">
      <c r="A3979" s="1">
        <f>HYPERLINK("https://lsnyc.legalserver.org/matter/dynamic-profile/view/1883887","18-1883887")</f>
        <v>0</v>
      </c>
      <c r="B3979" t="s">
        <v>212</v>
      </c>
      <c r="C3979" t="s">
        <v>248</v>
      </c>
      <c r="D3979" t="s">
        <v>727</v>
      </c>
      <c r="F3979" t="s">
        <v>1419</v>
      </c>
      <c r="G3979" t="s">
        <v>4473</v>
      </c>
      <c r="H3979" t="s">
        <v>5952</v>
      </c>
      <c r="I3979" t="s">
        <v>6421</v>
      </c>
      <c r="J3979" t="s">
        <v>7174</v>
      </c>
      <c r="K3979">
        <v>11226</v>
      </c>
      <c r="M3979" t="s">
        <v>7227</v>
      </c>
      <c r="N3979" t="s">
        <v>7237</v>
      </c>
      <c r="O3979" t="s">
        <v>9738</v>
      </c>
      <c r="P3979">
        <v>2</v>
      </c>
      <c r="Q3979">
        <v>0</v>
      </c>
      <c r="R3979">
        <v>67.58</v>
      </c>
      <c r="U3979">
        <v>11124</v>
      </c>
      <c r="W3979">
        <v>12.7</v>
      </c>
      <c r="X3979" t="s">
        <v>437</v>
      </c>
      <c r="Y3979" t="s">
        <v>212</v>
      </c>
      <c r="Z3979" t="s">
        <v>10972</v>
      </c>
      <c r="AA3979" t="s">
        <v>10976</v>
      </c>
      <c r="AC3979" t="s">
        <v>11081</v>
      </c>
      <c r="AE3979" t="s">
        <v>11117</v>
      </c>
      <c r="AG3979" t="s">
        <v>11124</v>
      </c>
      <c r="AI3979" t="s">
        <v>11126</v>
      </c>
      <c r="AK3979" t="s">
        <v>7225</v>
      </c>
      <c r="AL3979" t="s">
        <v>11150</v>
      </c>
      <c r="AM3979">
        <v>0</v>
      </c>
      <c r="AN3979" t="s">
        <v>11151</v>
      </c>
      <c r="AO3979" t="s">
        <v>11153</v>
      </c>
      <c r="AP3979" t="s">
        <v>11155</v>
      </c>
      <c r="AR3979" t="s">
        <v>11172</v>
      </c>
      <c r="AT3979" t="s">
        <v>11184</v>
      </c>
      <c r="AU3979">
        <v>0</v>
      </c>
      <c r="AW3979" t="s">
        <v>11187</v>
      </c>
      <c r="AX3979" t="s">
        <v>11212</v>
      </c>
      <c r="AZ3979" t="s">
        <v>11221</v>
      </c>
      <c r="BE3979" t="s">
        <v>13838</v>
      </c>
      <c r="BF3979" t="s">
        <v>14364</v>
      </c>
      <c r="BM3979" t="s">
        <v>15650</v>
      </c>
    </row>
    <row r="3980" spans="1:65">
      <c r="A3980" s="1">
        <f>HYPERLINK("https://lsnyc.legalserver.org/matter/dynamic-profile/view/1884282","18-1884282")</f>
        <v>0</v>
      </c>
      <c r="B3980" t="s">
        <v>212</v>
      </c>
      <c r="C3980" t="s">
        <v>248</v>
      </c>
      <c r="D3980" t="s">
        <v>795</v>
      </c>
      <c r="F3980" t="s">
        <v>1104</v>
      </c>
      <c r="G3980" t="s">
        <v>2956</v>
      </c>
      <c r="H3980" t="s">
        <v>5043</v>
      </c>
      <c r="I3980" t="s">
        <v>6414</v>
      </c>
      <c r="J3980" t="s">
        <v>7174</v>
      </c>
      <c r="K3980">
        <v>11231</v>
      </c>
      <c r="N3980" t="s">
        <v>7237</v>
      </c>
      <c r="O3980" t="s">
        <v>7768</v>
      </c>
      <c r="P3980">
        <v>2</v>
      </c>
      <c r="Q3980">
        <v>0</v>
      </c>
      <c r="R3980">
        <v>0</v>
      </c>
      <c r="U3980">
        <v>0</v>
      </c>
      <c r="W3980">
        <v>5.1</v>
      </c>
      <c r="X3980" t="s">
        <v>272</v>
      </c>
      <c r="Y3980" t="s">
        <v>212</v>
      </c>
      <c r="Z3980" t="s">
        <v>10973</v>
      </c>
      <c r="AA3980" t="s">
        <v>10975</v>
      </c>
      <c r="AB3980" t="s">
        <v>11004</v>
      </c>
      <c r="AC3980" t="s">
        <v>11081</v>
      </c>
      <c r="AF3980" t="s">
        <v>11120</v>
      </c>
      <c r="AG3980" t="s">
        <v>11124</v>
      </c>
      <c r="AI3980" t="s">
        <v>11126</v>
      </c>
      <c r="AK3980" t="s">
        <v>7225</v>
      </c>
      <c r="AL3980" t="s">
        <v>11150</v>
      </c>
      <c r="AM3980">
        <v>0</v>
      </c>
      <c r="AN3980" t="s">
        <v>11151</v>
      </c>
      <c r="AO3980" t="s">
        <v>11153</v>
      </c>
      <c r="AP3980" t="s">
        <v>11155</v>
      </c>
      <c r="AR3980" t="s">
        <v>11172</v>
      </c>
      <c r="AT3980" t="s">
        <v>11184</v>
      </c>
      <c r="AU3980">
        <v>0</v>
      </c>
      <c r="AW3980" t="s">
        <v>11187</v>
      </c>
      <c r="AZ3980" t="s">
        <v>11221</v>
      </c>
      <c r="BE3980" t="s">
        <v>12119</v>
      </c>
      <c r="BF3980" t="s">
        <v>14364</v>
      </c>
      <c r="BM3980" t="s">
        <v>15650</v>
      </c>
    </row>
    <row r="3981" spans="1:65">
      <c r="A3981" s="1">
        <f>HYPERLINK("https://lsnyc.legalserver.org/matter/dynamic-profile/view/1913711","19-1913711")</f>
        <v>0</v>
      </c>
      <c r="B3981" t="s">
        <v>212</v>
      </c>
      <c r="C3981" t="s">
        <v>248</v>
      </c>
      <c r="D3981" t="s">
        <v>272</v>
      </c>
      <c r="F3981" t="s">
        <v>2606</v>
      </c>
      <c r="G3981" t="s">
        <v>4474</v>
      </c>
      <c r="H3981" t="s">
        <v>6068</v>
      </c>
      <c r="I3981" t="s">
        <v>6736</v>
      </c>
      <c r="J3981" t="s">
        <v>7174</v>
      </c>
      <c r="K3981">
        <v>11213</v>
      </c>
      <c r="N3981" t="s">
        <v>7237</v>
      </c>
      <c r="O3981" t="s">
        <v>9739</v>
      </c>
      <c r="P3981">
        <v>1</v>
      </c>
      <c r="Q3981">
        <v>0</v>
      </c>
      <c r="R3981">
        <v>103.96</v>
      </c>
      <c r="U3981">
        <v>12984</v>
      </c>
      <c r="W3981">
        <v>3.7</v>
      </c>
      <c r="X3981" t="s">
        <v>614</v>
      </c>
      <c r="Y3981" t="s">
        <v>212</v>
      </c>
      <c r="Z3981" t="s">
        <v>10972</v>
      </c>
      <c r="AA3981" t="s">
        <v>10976</v>
      </c>
      <c r="AC3981" t="s">
        <v>11081</v>
      </c>
      <c r="AF3981" t="s">
        <v>11120</v>
      </c>
      <c r="AG3981" t="s">
        <v>11124</v>
      </c>
      <c r="AI3981" t="s">
        <v>11126</v>
      </c>
      <c r="AK3981" t="s">
        <v>7225</v>
      </c>
      <c r="AL3981" t="s">
        <v>11150</v>
      </c>
      <c r="AM3981">
        <v>0</v>
      </c>
      <c r="AN3981" t="s">
        <v>11151</v>
      </c>
      <c r="AO3981" t="s">
        <v>11153</v>
      </c>
      <c r="AP3981" t="s">
        <v>11155</v>
      </c>
      <c r="AR3981" t="s">
        <v>11172</v>
      </c>
      <c r="AT3981" t="s">
        <v>11184</v>
      </c>
      <c r="AU3981">
        <v>0</v>
      </c>
      <c r="AW3981" t="s">
        <v>11187</v>
      </c>
      <c r="AX3981" t="s">
        <v>11212</v>
      </c>
      <c r="AZ3981" t="s">
        <v>11221</v>
      </c>
      <c r="BE3981" t="s">
        <v>13839</v>
      </c>
      <c r="BF3981" t="s">
        <v>14364</v>
      </c>
      <c r="BM3981" t="s">
        <v>15650</v>
      </c>
    </row>
    <row r="3982" spans="1:65">
      <c r="A3982" s="1">
        <f>HYPERLINK("https://lsnyc.legalserver.org/matter/dynamic-profile/view/1898780","19-1898780")</f>
        <v>0</v>
      </c>
      <c r="B3982" t="s">
        <v>212</v>
      </c>
      <c r="C3982" t="s">
        <v>248</v>
      </c>
      <c r="D3982" t="s">
        <v>562</v>
      </c>
      <c r="F3982" t="s">
        <v>2334</v>
      </c>
      <c r="G3982" t="s">
        <v>2956</v>
      </c>
      <c r="H3982" t="s">
        <v>6069</v>
      </c>
      <c r="I3982" t="s">
        <v>7075</v>
      </c>
      <c r="J3982" t="s">
        <v>7174</v>
      </c>
      <c r="K3982">
        <v>11225</v>
      </c>
      <c r="N3982" t="s">
        <v>7237</v>
      </c>
      <c r="O3982" t="s">
        <v>9740</v>
      </c>
      <c r="P3982">
        <v>1</v>
      </c>
      <c r="Q3982">
        <v>0</v>
      </c>
      <c r="R3982">
        <v>163.33</v>
      </c>
      <c r="U3982">
        <v>20400</v>
      </c>
      <c r="W3982">
        <v>1</v>
      </c>
      <c r="X3982" t="s">
        <v>382</v>
      </c>
      <c r="Y3982" t="s">
        <v>212</v>
      </c>
      <c r="Z3982" t="s">
        <v>10972</v>
      </c>
      <c r="AA3982" t="s">
        <v>10976</v>
      </c>
      <c r="AB3982" t="s">
        <v>562</v>
      </c>
      <c r="AC3982" t="s">
        <v>11081</v>
      </c>
      <c r="AE3982" t="s">
        <v>11117</v>
      </c>
      <c r="AG3982" t="s">
        <v>11124</v>
      </c>
      <c r="AI3982" t="s">
        <v>11126</v>
      </c>
      <c r="AK3982" t="s">
        <v>7225</v>
      </c>
      <c r="AL3982" t="s">
        <v>11150</v>
      </c>
      <c r="AM3982">
        <v>0</v>
      </c>
      <c r="AN3982" t="s">
        <v>11151</v>
      </c>
      <c r="AO3982" t="s">
        <v>11153</v>
      </c>
      <c r="AP3982" t="s">
        <v>11155</v>
      </c>
      <c r="AR3982" t="s">
        <v>11172</v>
      </c>
      <c r="AT3982" t="s">
        <v>11184</v>
      </c>
      <c r="AU3982">
        <v>0</v>
      </c>
      <c r="AW3982" t="s">
        <v>11187</v>
      </c>
      <c r="AZ3982" t="s">
        <v>11221</v>
      </c>
      <c r="BE3982" t="s">
        <v>13840</v>
      </c>
      <c r="BF3982" t="s">
        <v>14364</v>
      </c>
      <c r="BM3982" t="s">
        <v>15650</v>
      </c>
    </row>
    <row r="3983" spans="1:65">
      <c r="A3983" s="1">
        <f>HYPERLINK("https://lsnyc.legalserver.org/matter/dynamic-profile/view/1883539","18-1883539")</f>
        <v>0</v>
      </c>
      <c r="B3983" t="s">
        <v>212</v>
      </c>
      <c r="C3983" t="s">
        <v>248</v>
      </c>
      <c r="D3983" t="s">
        <v>612</v>
      </c>
      <c r="F3983" t="s">
        <v>2607</v>
      </c>
      <c r="G3983" t="s">
        <v>4475</v>
      </c>
      <c r="H3983" t="s">
        <v>5952</v>
      </c>
      <c r="I3983" t="s">
        <v>6497</v>
      </c>
      <c r="J3983" t="s">
        <v>7174</v>
      </c>
      <c r="K3983">
        <v>11226</v>
      </c>
      <c r="M3983" t="s">
        <v>7227</v>
      </c>
      <c r="N3983" t="s">
        <v>7237</v>
      </c>
      <c r="O3983" t="s">
        <v>9741</v>
      </c>
      <c r="P3983">
        <v>2</v>
      </c>
      <c r="Q3983">
        <v>0</v>
      </c>
      <c r="R3983">
        <v>0</v>
      </c>
      <c r="U3983">
        <v>0</v>
      </c>
      <c r="V3983" t="s">
        <v>10760</v>
      </c>
      <c r="W3983">
        <v>0.9</v>
      </c>
      <c r="X3983" t="s">
        <v>437</v>
      </c>
      <c r="Y3983" t="s">
        <v>212</v>
      </c>
      <c r="Z3983" t="s">
        <v>10972</v>
      </c>
      <c r="AA3983" t="s">
        <v>10976</v>
      </c>
      <c r="AC3983" t="s">
        <v>11081</v>
      </c>
      <c r="AE3983" t="s">
        <v>11117</v>
      </c>
      <c r="AG3983" t="s">
        <v>11124</v>
      </c>
      <c r="AI3983" t="s">
        <v>11126</v>
      </c>
      <c r="AK3983" t="s">
        <v>7225</v>
      </c>
      <c r="AL3983" t="s">
        <v>11150</v>
      </c>
      <c r="AM3983">
        <v>0</v>
      </c>
      <c r="AN3983" t="s">
        <v>11151</v>
      </c>
      <c r="AO3983" t="s">
        <v>11153</v>
      </c>
      <c r="AP3983" t="s">
        <v>11155</v>
      </c>
      <c r="AR3983" t="s">
        <v>11172</v>
      </c>
      <c r="AT3983" t="s">
        <v>11184</v>
      </c>
      <c r="AU3983">
        <v>0</v>
      </c>
      <c r="AW3983" t="s">
        <v>11199</v>
      </c>
      <c r="AX3983" t="s">
        <v>11212</v>
      </c>
      <c r="AZ3983" t="s">
        <v>11221</v>
      </c>
      <c r="BE3983" t="s">
        <v>13841</v>
      </c>
      <c r="BF3983" t="s">
        <v>14364</v>
      </c>
      <c r="BM3983" t="s">
        <v>15650</v>
      </c>
    </row>
    <row r="3984" spans="1:65">
      <c r="A3984" s="1">
        <f>HYPERLINK("https://lsnyc.legalserver.org/matter/dynamic-profile/view/1866060","18-1866060")</f>
        <v>0</v>
      </c>
      <c r="B3984" t="s">
        <v>212</v>
      </c>
      <c r="C3984" t="s">
        <v>248</v>
      </c>
      <c r="D3984" t="s">
        <v>849</v>
      </c>
      <c r="F3984" t="s">
        <v>1121</v>
      </c>
      <c r="G3984" t="s">
        <v>4419</v>
      </c>
      <c r="H3984" t="s">
        <v>6070</v>
      </c>
      <c r="I3984" t="s">
        <v>7076</v>
      </c>
      <c r="J3984" t="s">
        <v>7174</v>
      </c>
      <c r="K3984">
        <v>11233</v>
      </c>
      <c r="N3984" t="s">
        <v>7237</v>
      </c>
      <c r="O3984" t="s">
        <v>9742</v>
      </c>
      <c r="P3984">
        <v>1</v>
      </c>
      <c r="Q3984">
        <v>0</v>
      </c>
      <c r="R3984">
        <v>86.48999999999999</v>
      </c>
      <c r="U3984">
        <v>10500</v>
      </c>
      <c r="W3984">
        <v>12.1</v>
      </c>
      <c r="X3984" t="s">
        <v>279</v>
      </c>
      <c r="Y3984" t="s">
        <v>10909</v>
      </c>
      <c r="AA3984" t="s">
        <v>10974</v>
      </c>
      <c r="AB3984" t="s">
        <v>730</v>
      </c>
      <c r="AD3984" t="s">
        <v>11096</v>
      </c>
      <c r="AF3984" t="s">
        <v>11120</v>
      </c>
      <c r="AH3984" t="s">
        <v>10975</v>
      </c>
      <c r="AJ3984" t="s">
        <v>11132</v>
      </c>
      <c r="AK3984" t="s">
        <v>7225</v>
      </c>
      <c r="AM3984">
        <v>654</v>
      </c>
      <c r="AO3984">
        <v>16</v>
      </c>
      <c r="AQ3984" t="s">
        <v>11157</v>
      </c>
      <c r="AS3984" t="s">
        <v>11173</v>
      </c>
      <c r="AU3984">
        <v>36</v>
      </c>
      <c r="AW3984" t="s">
        <v>11187</v>
      </c>
      <c r="AZ3984" t="s">
        <v>11221</v>
      </c>
      <c r="BB3984" t="s">
        <v>11224</v>
      </c>
      <c r="BC3984" t="s">
        <v>11566</v>
      </c>
      <c r="BE3984" t="s">
        <v>13842</v>
      </c>
      <c r="BG3984" t="s">
        <v>15316</v>
      </c>
      <c r="BM3984" t="s">
        <v>15650</v>
      </c>
    </row>
    <row r="3985" spans="1:65">
      <c r="A3985" s="1">
        <f>HYPERLINK("https://lsnyc.legalserver.org/matter/dynamic-profile/view/1884209","18-1884209")</f>
        <v>0</v>
      </c>
      <c r="B3985" t="s">
        <v>212</v>
      </c>
      <c r="C3985" t="s">
        <v>248</v>
      </c>
      <c r="D3985" t="s">
        <v>721</v>
      </c>
      <c r="F3985" t="s">
        <v>2207</v>
      </c>
      <c r="G3985" t="s">
        <v>3624</v>
      </c>
      <c r="H3985" t="s">
        <v>5952</v>
      </c>
      <c r="I3985" t="s">
        <v>6595</v>
      </c>
      <c r="J3985" t="s">
        <v>7174</v>
      </c>
      <c r="K3985">
        <v>11226</v>
      </c>
      <c r="M3985" t="s">
        <v>7227</v>
      </c>
      <c r="N3985" t="s">
        <v>7237</v>
      </c>
      <c r="O3985" t="s">
        <v>9743</v>
      </c>
      <c r="P3985">
        <v>2</v>
      </c>
      <c r="Q3985">
        <v>0</v>
      </c>
      <c r="R3985">
        <v>0</v>
      </c>
      <c r="U3985">
        <v>0</v>
      </c>
      <c r="W3985">
        <v>1.4</v>
      </c>
      <c r="X3985" t="s">
        <v>437</v>
      </c>
      <c r="Y3985" t="s">
        <v>212</v>
      </c>
      <c r="Z3985" t="s">
        <v>10972</v>
      </c>
      <c r="AA3985" t="s">
        <v>10976</v>
      </c>
      <c r="AC3985" t="s">
        <v>11081</v>
      </c>
      <c r="AE3985" t="s">
        <v>11117</v>
      </c>
      <c r="AG3985" t="s">
        <v>11124</v>
      </c>
      <c r="AI3985" t="s">
        <v>11126</v>
      </c>
      <c r="AK3985" t="s">
        <v>7225</v>
      </c>
      <c r="AL3985" t="s">
        <v>11150</v>
      </c>
      <c r="AM3985">
        <v>0</v>
      </c>
      <c r="AN3985" t="s">
        <v>11151</v>
      </c>
      <c r="AO3985" t="s">
        <v>11153</v>
      </c>
      <c r="AP3985" t="s">
        <v>11155</v>
      </c>
      <c r="AR3985" t="s">
        <v>11172</v>
      </c>
      <c r="AT3985" t="s">
        <v>11184</v>
      </c>
      <c r="AU3985">
        <v>0</v>
      </c>
      <c r="AW3985" t="s">
        <v>11187</v>
      </c>
      <c r="AX3985" t="s">
        <v>11212</v>
      </c>
      <c r="AZ3985" t="s">
        <v>11221</v>
      </c>
      <c r="BD3985" t="s">
        <v>11667</v>
      </c>
      <c r="BF3985" t="s">
        <v>14364</v>
      </c>
      <c r="BM3985" t="s">
        <v>15650</v>
      </c>
    </row>
    <row r="3986" spans="1:65">
      <c r="A3986" s="1">
        <f>HYPERLINK("https://lsnyc.legalserver.org/matter/dynamic-profile/view/1863643","18-1863643")</f>
        <v>0</v>
      </c>
      <c r="B3986" t="s">
        <v>212</v>
      </c>
      <c r="C3986" t="s">
        <v>248</v>
      </c>
      <c r="D3986" t="s">
        <v>832</v>
      </c>
      <c r="F3986" t="s">
        <v>1870</v>
      </c>
      <c r="G3986" t="s">
        <v>4476</v>
      </c>
      <c r="H3986" t="s">
        <v>6071</v>
      </c>
      <c r="I3986" t="s">
        <v>6949</v>
      </c>
      <c r="J3986" t="s">
        <v>7174</v>
      </c>
      <c r="K3986">
        <v>11225</v>
      </c>
      <c r="N3986" t="s">
        <v>7237</v>
      </c>
      <c r="O3986" t="s">
        <v>9744</v>
      </c>
      <c r="P3986">
        <v>3</v>
      </c>
      <c r="Q3986">
        <v>0</v>
      </c>
      <c r="R3986">
        <v>129.07</v>
      </c>
      <c r="U3986">
        <v>26820</v>
      </c>
      <c r="W3986">
        <v>1.7</v>
      </c>
      <c r="X3986" t="s">
        <v>897</v>
      </c>
      <c r="Y3986" t="s">
        <v>10909</v>
      </c>
      <c r="AA3986" t="s">
        <v>10974</v>
      </c>
      <c r="AB3986" t="s">
        <v>667</v>
      </c>
      <c r="AD3986" t="s">
        <v>11090</v>
      </c>
      <c r="AF3986" t="s">
        <v>11120</v>
      </c>
      <c r="AG3986" t="s">
        <v>11124</v>
      </c>
      <c r="AJ3986" t="s">
        <v>11141</v>
      </c>
      <c r="AK3986" t="s">
        <v>7225</v>
      </c>
      <c r="AM3986">
        <v>1151.62</v>
      </c>
      <c r="AO3986">
        <v>21</v>
      </c>
      <c r="AQ3986" t="s">
        <v>11160</v>
      </c>
      <c r="AS3986" t="s">
        <v>11173</v>
      </c>
      <c r="AU3986">
        <v>33</v>
      </c>
      <c r="AW3986" t="s">
        <v>11187</v>
      </c>
      <c r="AZ3986" t="s">
        <v>11221</v>
      </c>
      <c r="BE3986" t="s">
        <v>13843</v>
      </c>
      <c r="BF3986" t="s">
        <v>14364</v>
      </c>
      <c r="BM3986" t="s">
        <v>15650</v>
      </c>
    </row>
    <row r="3987" spans="1:65">
      <c r="A3987" s="1">
        <f>HYPERLINK("https://lsnyc.legalserver.org/matter/dynamic-profile/view/1899700","19-1899700")</f>
        <v>0</v>
      </c>
      <c r="B3987" t="s">
        <v>212</v>
      </c>
      <c r="C3987" t="s">
        <v>248</v>
      </c>
      <c r="D3987" t="s">
        <v>584</v>
      </c>
      <c r="F3987" t="s">
        <v>1971</v>
      </c>
      <c r="G3987" t="s">
        <v>4232</v>
      </c>
      <c r="H3987" t="s">
        <v>6072</v>
      </c>
      <c r="I3987" t="s">
        <v>6433</v>
      </c>
      <c r="J3987" t="s">
        <v>7174</v>
      </c>
      <c r="K3987">
        <v>11206</v>
      </c>
      <c r="N3987" t="s">
        <v>7243</v>
      </c>
      <c r="O3987" t="s">
        <v>9745</v>
      </c>
      <c r="P3987">
        <v>1</v>
      </c>
      <c r="Q3987">
        <v>2</v>
      </c>
      <c r="R3987">
        <v>0</v>
      </c>
      <c r="U3987">
        <v>0</v>
      </c>
      <c r="W3987">
        <v>5.3</v>
      </c>
      <c r="X3987" t="s">
        <v>470</v>
      </c>
      <c r="Y3987" t="s">
        <v>212</v>
      </c>
      <c r="Z3987" t="s">
        <v>10972</v>
      </c>
      <c r="AA3987" t="s">
        <v>10976</v>
      </c>
      <c r="AC3987" t="s">
        <v>11081</v>
      </c>
      <c r="AE3987" t="s">
        <v>11117</v>
      </c>
      <c r="AG3987" t="s">
        <v>11124</v>
      </c>
      <c r="AI3987" t="s">
        <v>11126</v>
      </c>
      <c r="AK3987" t="s">
        <v>7225</v>
      </c>
      <c r="AL3987" t="s">
        <v>11150</v>
      </c>
      <c r="AM3987">
        <v>0</v>
      </c>
      <c r="AN3987" t="s">
        <v>11151</v>
      </c>
      <c r="AO3987" t="s">
        <v>11153</v>
      </c>
      <c r="AP3987" t="s">
        <v>11155</v>
      </c>
      <c r="AR3987" t="s">
        <v>11172</v>
      </c>
      <c r="AT3987" t="s">
        <v>11184</v>
      </c>
      <c r="AU3987">
        <v>0</v>
      </c>
      <c r="AW3987" t="s">
        <v>11187</v>
      </c>
      <c r="AX3987" t="s">
        <v>11212</v>
      </c>
      <c r="AZ3987" t="s">
        <v>11221</v>
      </c>
      <c r="BD3987" t="s">
        <v>11667</v>
      </c>
      <c r="BF3987" t="s">
        <v>14364</v>
      </c>
      <c r="BM3987" t="s">
        <v>15650</v>
      </c>
    </row>
    <row r="3988" spans="1:65">
      <c r="A3988" s="1">
        <f>HYPERLINK("https://lsnyc.legalserver.org/matter/dynamic-profile/view/1863930","18-1863930")</f>
        <v>0</v>
      </c>
      <c r="B3988" t="s">
        <v>212</v>
      </c>
      <c r="C3988" t="s">
        <v>248</v>
      </c>
      <c r="D3988" t="s">
        <v>770</v>
      </c>
      <c r="F3988" t="s">
        <v>1258</v>
      </c>
      <c r="G3988" t="s">
        <v>4477</v>
      </c>
      <c r="H3988" t="s">
        <v>6073</v>
      </c>
      <c r="I3988">
        <v>4</v>
      </c>
      <c r="J3988" t="s">
        <v>7174</v>
      </c>
      <c r="K3988">
        <v>11205</v>
      </c>
      <c r="N3988" t="s">
        <v>7237</v>
      </c>
      <c r="O3988" t="s">
        <v>9746</v>
      </c>
      <c r="P3988">
        <v>1</v>
      </c>
      <c r="Q3988">
        <v>0</v>
      </c>
      <c r="R3988">
        <v>88.95999999999999</v>
      </c>
      <c r="U3988">
        <v>10800</v>
      </c>
      <c r="W3988">
        <v>13.95</v>
      </c>
      <c r="X3988" t="s">
        <v>493</v>
      </c>
      <c r="Y3988" t="s">
        <v>10909</v>
      </c>
      <c r="AA3988" t="s">
        <v>10974</v>
      </c>
      <c r="AB3988" t="s">
        <v>849</v>
      </c>
      <c r="AD3988" t="s">
        <v>11096</v>
      </c>
      <c r="AF3988" t="s">
        <v>11122</v>
      </c>
      <c r="AH3988" t="s">
        <v>10974</v>
      </c>
      <c r="AJ3988" t="s">
        <v>11137</v>
      </c>
      <c r="AK3988" t="s">
        <v>7225</v>
      </c>
      <c r="AM3988">
        <v>356.66</v>
      </c>
      <c r="AO3988">
        <v>10</v>
      </c>
      <c r="AQ3988" t="s">
        <v>11160</v>
      </c>
      <c r="AS3988" t="s">
        <v>11173</v>
      </c>
      <c r="AU3988">
        <v>49</v>
      </c>
      <c r="AW3988" t="s">
        <v>11189</v>
      </c>
      <c r="AZ3988" t="s">
        <v>11221</v>
      </c>
      <c r="BE3988" t="s">
        <v>13844</v>
      </c>
      <c r="BG3988" t="s">
        <v>15317</v>
      </c>
      <c r="BM3988" t="s">
        <v>15650</v>
      </c>
    </row>
    <row r="3989" spans="1:65">
      <c r="A3989" s="1">
        <f>HYPERLINK("https://lsnyc.legalserver.org/matter/dynamic-profile/view/1879947","18-1879947")</f>
        <v>0</v>
      </c>
      <c r="B3989" t="s">
        <v>212</v>
      </c>
      <c r="C3989" t="s">
        <v>248</v>
      </c>
      <c r="D3989" t="s">
        <v>595</v>
      </c>
      <c r="F3989" t="s">
        <v>1113</v>
      </c>
      <c r="G3989" t="s">
        <v>3266</v>
      </c>
      <c r="H3989" t="s">
        <v>5030</v>
      </c>
      <c r="I3989" t="s">
        <v>6627</v>
      </c>
      <c r="J3989" t="s">
        <v>7174</v>
      </c>
      <c r="K3989">
        <v>11230</v>
      </c>
      <c r="N3989" t="s">
        <v>7237</v>
      </c>
      <c r="O3989" t="s">
        <v>7760</v>
      </c>
      <c r="P3989">
        <v>2</v>
      </c>
      <c r="Q3989">
        <v>0</v>
      </c>
      <c r="R3989">
        <v>0</v>
      </c>
      <c r="U3989">
        <v>0</v>
      </c>
      <c r="V3989" t="s">
        <v>10761</v>
      </c>
      <c r="W3989">
        <v>1</v>
      </c>
      <c r="X3989" t="s">
        <v>426</v>
      </c>
      <c r="Y3989" t="s">
        <v>212</v>
      </c>
      <c r="AA3989" t="s">
        <v>10974</v>
      </c>
      <c r="AB3989" t="s">
        <v>549</v>
      </c>
      <c r="AD3989" t="s">
        <v>11088</v>
      </c>
      <c r="AF3989" t="s">
        <v>10384</v>
      </c>
      <c r="AH3989" t="s">
        <v>10974</v>
      </c>
      <c r="AI3989" t="s">
        <v>11126</v>
      </c>
      <c r="AK3989" t="s">
        <v>7225</v>
      </c>
      <c r="AL3989" t="s">
        <v>11150</v>
      </c>
      <c r="AM3989">
        <v>0</v>
      </c>
      <c r="AO3989">
        <v>51</v>
      </c>
      <c r="AP3989" t="s">
        <v>11155</v>
      </c>
      <c r="AR3989" t="s">
        <v>11172</v>
      </c>
      <c r="AT3989" t="s">
        <v>11184</v>
      </c>
      <c r="AU3989">
        <v>0</v>
      </c>
      <c r="AW3989" t="s">
        <v>11187</v>
      </c>
      <c r="AZ3989" t="s">
        <v>11221</v>
      </c>
      <c r="BD3989" t="s">
        <v>11667</v>
      </c>
      <c r="BF3989" t="s">
        <v>14364</v>
      </c>
      <c r="BM3989" t="s">
        <v>15650</v>
      </c>
    </row>
    <row r="3990" spans="1:65">
      <c r="A3990" s="1">
        <f>HYPERLINK("https://lsnyc.legalserver.org/matter/dynamic-profile/view/1913698","19-1913698")</f>
        <v>0</v>
      </c>
      <c r="B3990" t="s">
        <v>212</v>
      </c>
      <c r="C3990" t="s">
        <v>248</v>
      </c>
      <c r="D3990" t="s">
        <v>272</v>
      </c>
      <c r="F3990" t="s">
        <v>1808</v>
      </c>
      <c r="G3990" t="s">
        <v>2877</v>
      </c>
      <c r="H3990" t="s">
        <v>5317</v>
      </c>
      <c r="I3990">
        <v>7</v>
      </c>
      <c r="J3990" t="s">
        <v>7174</v>
      </c>
      <c r="K3990">
        <v>11215</v>
      </c>
      <c r="N3990" t="s">
        <v>7237</v>
      </c>
      <c r="O3990" t="s">
        <v>8253</v>
      </c>
      <c r="P3990">
        <v>1</v>
      </c>
      <c r="Q3990">
        <v>0</v>
      </c>
      <c r="R3990">
        <v>80.42</v>
      </c>
      <c r="U3990">
        <v>10044</v>
      </c>
      <c r="W3990">
        <v>2.9</v>
      </c>
      <c r="X3990" t="s">
        <v>497</v>
      </c>
      <c r="Y3990" t="s">
        <v>212</v>
      </c>
      <c r="Z3990" t="s">
        <v>10972</v>
      </c>
      <c r="AA3990" t="s">
        <v>10976</v>
      </c>
      <c r="AC3990" t="s">
        <v>11081</v>
      </c>
      <c r="AF3990" t="s">
        <v>11120</v>
      </c>
      <c r="AG3990" t="s">
        <v>11124</v>
      </c>
      <c r="AI3990" t="s">
        <v>11126</v>
      </c>
      <c r="AK3990" t="s">
        <v>7225</v>
      </c>
      <c r="AL3990" t="s">
        <v>11150</v>
      </c>
      <c r="AM3990">
        <v>0</v>
      </c>
      <c r="AN3990" t="s">
        <v>11151</v>
      </c>
      <c r="AO3990" t="s">
        <v>11153</v>
      </c>
      <c r="AP3990" t="s">
        <v>11155</v>
      </c>
      <c r="AR3990" t="s">
        <v>11172</v>
      </c>
      <c r="AT3990" t="s">
        <v>11184</v>
      </c>
      <c r="AU3990">
        <v>0</v>
      </c>
      <c r="AW3990" t="s">
        <v>11187</v>
      </c>
      <c r="AX3990" t="s">
        <v>11212</v>
      </c>
      <c r="AZ3990" t="s">
        <v>11221</v>
      </c>
      <c r="BE3990" t="s">
        <v>12547</v>
      </c>
      <c r="BF3990" t="s">
        <v>14364</v>
      </c>
      <c r="BM3990" t="s">
        <v>15650</v>
      </c>
    </row>
    <row r="3991" spans="1:65">
      <c r="A3991" s="1">
        <f>HYPERLINK("https://lsnyc.legalserver.org/matter/dynamic-profile/view/1884985","18-1884985")</f>
        <v>0</v>
      </c>
      <c r="B3991" t="s">
        <v>212</v>
      </c>
      <c r="C3991" t="s">
        <v>248</v>
      </c>
      <c r="D3991" t="s">
        <v>706</v>
      </c>
      <c r="F3991" t="s">
        <v>1562</v>
      </c>
      <c r="G3991" t="s">
        <v>4478</v>
      </c>
      <c r="H3991" t="s">
        <v>5081</v>
      </c>
      <c r="I3991" t="s">
        <v>6421</v>
      </c>
      <c r="J3991" t="s">
        <v>7174</v>
      </c>
      <c r="K3991">
        <v>11226</v>
      </c>
      <c r="N3991" t="s">
        <v>7237</v>
      </c>
      <c r="O3991" t="s">
        <v>9747</v>
      </c>
      <c r="P3991">
        <v>2</v>
      </c>
      <c r="Q3991">
        <v>0</v>
      </c>
      <c r="R3991">
        <v>0</v>
      </c>
      <c r="U3991">
        <v>0</v>
      </c>
      <c r="W3991">
        <v>3.8</v>
      </c>
      <c r="X3991" t="s">
        <v>922</v>
      </c>
      <c r="Y3991" t="s">
        <v>212</v>
      </c>
      <c r="Z3991" t="s">
        <v>10972</v>
      </c>
      <c r="AA3991" t="s">
        <v>10976</v>
      </c>
      <c r="AC3991" t="s">
        <v>11081</v>
      </c>
      <c r="AF3991" t="s">
        <v>11120</v>
      </c>
      <c r="AG3991" t="s">
        <v>11124</v>
      </c>
      <c r="AI3991" t="s">
        <v>11126</v>
      </c>
      <c r="AK3991" t="s">
        <v>7225</v>
      </c>
      <c r="AL3991" t="s">
        <v>11150</v>
      </c>
      <c r="AM3991">
        <v>0</v>
      </c>
      <c r="AN3991" t="s">
        <v>11151</v>
      </c>
      <c r="AO3991" t="s">
        <v>11153</v>
      </c>
      <c r="AP3991" t="s">
        <v>11155</v>
      </c>
      <c r="AR3991" t="s">
        <v>11172</v>
      </c>
      <c r="AT3991" t="s">
        <v>11184</v>
      </c>
      <c r="AU3991">
        <v>0</v>
      </c>
      <c r="AW3991" t="s">
        <v>11187</v>
      </c>
      <c r="AX3991" t="s">
        <v>11212</v>
      </c>
      <c r="AZ3991" t="s">
        <v>11221</v>
      </c>
      <c r="BE3991" t="s">
        <v>13845</v>
      </c>
      <c r="BF3991" t="s">
        <v>14364</v>
      </c>
      <c r="BM3991" t="s">
        <v>15650</v>
      </c>
    </row>
    <row r="3992" spans="1:65">
      <c r="A3992" s="1">
        <f>HYPERLINK("https://lsnyc.legalserver.org/matter/dynamic-profile/view/1893845","19-1893845")</f>
        <v>0</v>
      </c>
      <c r="B3992" t="s">
        <v>212</v>
      </c>
      <c r="C3992" t="s">
        <v>248</v>
      </c>
      <c r="D3992" t="s">
        <v>863</v>
      </c>
      <c r="F3992" t="s">
        <v>1875</v>
      </c>
      <c r="G3992" t="s">
        <v>4368</v>
      </c>
      <c r="H3992" t="s">
        <v>5964</v>
      </c>
      <c r="I3992" t="s">
        <v>7042</v>
      </c>
      <c r="J3992" t="s">
        <v>7174</v>
      </c>
      <c r="K3992">
        <v>11238</v>
      </c>
      <c r="N3992" t="s">
        <v>7237</v>
      </c>
      <c r="O3992" t="s">
        <v>8934</v>
      </c>
      <c r="P3992">
        <v>2</v>
      </c>
      <c r="Q3992">
        <v>0</v>
      </c>
      <c r="R3992">
        <v>0</v>
      </c>
      <c r="U3992">
        <v>0</v>
      </c>
      <c r="W3992">
        <v>0.9</v>
      </c>
      <c r="X3992" t="s">
        <v>637</v>
      </c>
      <c r="Y3992" t="s">
        <v>212</v>
      </c>
      <c r="AA3992" t="s">
        <v>10974</v>
      </c>
      <c r="AB3992" t="s">
        <v>863</v>
      </c>
      <c r="AD3992" t="s">
        <v>11086</v>
      </c>
      <c r="AF3992" t="s">
        <v>10384</v>
      </c>
      <c r="AH3992" t="s">
        <v>10975</v>
      </c>
      <c r="AI3992" t="s">
        <v>11126</v>
      </c>
      <c r="AK3992" t="s">
        <v>7225</v>
      </c>
      <c r="AL3992" t="s">
        <v>11150</v>
      </c>
      <c r="AM3992">
        <v>0</v>
      </c>
      <c r="AN3992" t="s">
        <v>11151</v>
      </c>
      <c r="AO3992" t="s">
        <v>11153</v>
      </c>
      <c r="AP3992" t="s">
        <v>11155</v>
      </c>
      <c r="AR3992" t="s">
        <v>11172</v>
      </c>
      <c r="AT3992" t="s">
        <v>11184</v>
      </c>
      <c r="AU3992">
        <v>0</v>
      </c>
      <c r="AW3992" t="s">
        <v>11187</v>
      </c>
      <c r="AZ3992" t="s">
        <v>11221</v>
      </c>
      <c r="BD3992" t="s">
        <v>11667</v>
      </c>
      <c r="BF3992" t="s">
        <v>14364</v>
      </c>
      <c r="BM3992" t="s">
        <v>15650</v>
      </c>
    </row>
    <row r="3993" spans="1:65">
      <c r="A3993" s="1">
        <f>HYPERLINK("https://lsnyc.legalserver.org/matter/dynamic-profile/view/1898773","19-1898773")</f>
        <v>0</v>
      </c>
      <c r="B3993" t="s">
        <v>212</v>
      </c>
      <c r="C3993" t="s">
        <v>248</v>
      </c>
      <c r="D3993" t="s">
        <v>562</v>
      </c>
      <c r="F3993" t="s">
        <v>2608</v>
      </c>
      <c r="G3993" t="s">
        <v>4479</v>
      </c>
      <c r="H3993" t="s">
        <v>6074</v>
      </c>
      <c r="I3993" t="s">
        <v>6406</v>
      </c>
      <c r="J3993" t="s">
        <v>7174</v>
      </c>
      <c r="K3993">
        <v>11226</v>
      </c>
      <c r="N3993" t="s">
        <v>7237</v>
      </c>
      <c r="O3993" t="s">
        <v>9748</v>
      </c>
      <c r="P3993">
        <v>1</v>
      </c>
      <c r="Q3993">
        <v>0</v>
      </c>
      <c r="R3993">
        <v>0</v>
      </c>
      <c r="U3993">
        <v>0</v>
      </c>
      <c r="W3993">
        <v>11.5</v>
      </c>
      <c r="X3993" t="s">
        <v>548</v>
      </c>
      <c r="Y3993" t="s">
        <v>212</v>
      </c>
      <c r="AA3993" t="s">
        <v>10974</v>
      </c>
      <c r="AB3993" t="s">
        <v>562</v>
      </c>
      <c r="AC3993" t="s">
        <v>11081</v>
      </c>
      <c r="AF3993" t="s">
        <v>11120</v>
      </c>
      <c r="AG3993" t="s">
        <v>11124</v>
      </c>
      <c r="AI3993" t="s">
        <v>11126</v>
      </c>
      <c r="AK3993" t="s">
        <v>7225</v>
      </c>
      <c r="AM3993">
        <v>1290.86</v>
      </c>
      <c r="AN3993" t="s">
        <v>11151</v>
      </c>
      <c r="AO3993" t="s">
        <v>11153</v>
      </c>
      <c r="AP3993" t="s">
        <v>11155</v>
      </c>
      <c r="AR3993" t="s">
        <v>11172</v>
      </c>
      <c r="AT3993" t="s">
        <v>11184</v>
      </c>
      <c r="AU3993">
        <v>0</v>
      </c>
      <c r="AW3993" t="s">
        <v>11187</v>
      </c>
      <c r="AZ3993" t="s">
        <v>11221</v>
      </c>
      <c r="BD3993" t="s">
        <v>11667</v>
      </c>
      <c r="BF3993" t="s">
        <v>14364</v>
      </c>
      <c r="BM3993" t="s">
        <v>15650</v>
      </c>
    </row>
    <row r="3994" spans="1:65">
      <c r="A3994" s="1">
        <f>HYPERLINK("https://lsnyc.legalserver.org/matter/dynamic-profile/view/1895026","19-1895026")</f>
        <v>0</v>
      </c>
      <c r="B3994" t="s">
        <v>212</v>
      </c>
      <c r="C3994" t="s">
        <v>248</v>
      </c>
      <c r="D3994" t="s">
        <v>602</v>
      </c>
      <c r="F3994" t="s">
        <v>2608</v>
      </c>
      <c r="G3994" t="s">
        <v>4480</v>
      </c>
      <c r="H3994" t="s">
        <v>6074</v>
      </c>
      <c r="I3994" t="s">
        <v>6700</v>
      </c>
      <c r="J3994" t="s">
        <v>7174</v>
      </c>
      <c r="K3994">
        <v>11226</v>
      </c>
      <c r="N3994" t="s">
        <v>7237</v>
      </c>
      <c r="O3994" t="s">
        <v>9749</v>
      </c>
      <c r="P3994">
        <v>1</v>
      </c>
      <c r="Q3994">
        <v>0</v>
      </c>
      <c r="R3994">
        <v>0</v>
      </c>
      <c r="U3994">
        <v>0</v>
      </c>
      <c r="W3994">
        <v>5.3</v>
      </c>
      <c r="X3994" t="s">
        <v>264</v>
      </c>
      <c r="Y3994" t="s">
        <v>81</v>
      </c>
      <c r="AA3994" t="s">
        <v>10974</v>
      </c>
      <c r="AB3994" t="s">
        <v>428</v>
      </c>
      <c r="AC3994" t="s">
        <v>11081</v>
      </c>
      <c r="AF3994" t="s">
        <v>11120</v>
      </c>
      <c r="AH3994" t="s">
        <v>10975</v>
      </c>
      <c r="AI3994" t="s">
        <v>11126</v>
      </c>
      <c r="AK3994" t="s">
        <v>7225</v>
      </c>
      <c r="AM3994">
        <v>1290.86</v>
      </c>
      <c r="AN3994" t="s">
        <v>11151</v>
      </c>
      <c r="AO3994" t="s">
        <v>11153</v>
      </c>
      <c r="AP3994" t="s">
        <v>11155</v>
      </c>
      <c r="AR3994" t="s">
        <v>11172</v>
      </c>
      <c r="AU3994">
        <v>36</v>
      </c>
      <c r="AW3994" t="s">
        <v>11187</v>
      </c>
      <c r="AZ3994" t="s">
        <v>11221</v>
      </c>
      <c r="BD3994" t="s">
        <v>11667</v>
      </c>
      <c r="BF3994" t="s">
        <v>14364</v>
      </c>
      <c r="BM3994" t="s">
        <v>15650</v>
      </c>
    </row>
    <row r="3995" spans="1:65">
      <c r="A3995" s="1">
        <f>HYPERLINK("https://lsnyc.legalserver.org/matter/dynamic-profile/view/1869943","18-1869943")</f>
        <v>0</v>
      </c>
      <c r="B3995" t="s">
        <v>212</v>
      </c>
      <c r="C3995" t="s">
        <v>248</v>
      </c>
      <c r="D3995" t="s">
        <v>298</v>
      </c>
      <c r="F3995" t="s">
        <v>2609</v>
      </c>
      <c r="G3995" t="s">
        <v>2886</v>
      </c>
      <c r="H3995" t="s">
        <v>6075</v>
      </c>
      <c r="I3995" t="s">
        <v>6433</v>
      </c>
      <c r="J3995" t="s">
        <v>7174</v>
      </c>
      <c r="K3995">
        <v>11216</v>
      </c>
      <c r="N3995" t="s">
        <v>7243</v>
      </c>
      <c r="O3995" t="s">
        <v>9750</v>
      </c>
      <c r="P3995">
        <v>2</v>
      </c>
      <c r="Q3995">
        <v>0</v>
      </c>
      <c r="R3995">
        <v>54.68</v>
      </c>
      <c r="U3995">
        <v>9000</v>
      </c>
      <c r="W3995">
        <v>1.7</v>
      </c>
      <c r="X3995" t="s">
        <v>779</v>
      </c>
      <c r="Y3995" t="s">
        <v>212</v>
      </c>
      <c r="Z3995" t="s">
        <v>10972</v>
      </c>
      <c r="AA3995" t="s">
        <v>10976</v>
      </c>
      <c r="AC3995" t="s">
        <v>11081</v>
      </c>
      <c r="AE3995" t="s">
        <v>11117</v>
      </c>
      <c r="AG3995" t="s">
        <v>11124</v>
      </c>
      <c r="AI3995" t="s">
        <v>11126</v>
      </c>
      <c r="AK3995" t="s">
        <v>7225</v>
      </c>
      <c r="AL3995" t="s">
        <v>11150</v>
      </c>
      <c r="AM3995">
        <v>0</v>
      </c>
      <c r="AN3995" t="s">
        <v>11151</v>
      </c>
      <c r="AO3995" t="s">
        <v>11153</v>
      </c>
      <c r="AP3995" t="s">
        <v>11155</v>
      </c>
      <c r="AR3995" t="s">
        <v>11172</v>
      </c>
      <c r="AT3995" t="s">
        <v>11184</v>
      </c>
      <c r="AU3995">
        <v>0</v>
      </c>
      <c r="AW3995" t="s">
        <v>11189</v>
      </c>
      <c r="AX3995" t="s">
        <v>11212</v>
      </c>
      <c r="AZ3995" t="s">
        <v>11221</v>
      </c>
      <c r="BD3995" t="s">
        <v>11667</v>
      </c>
      <c r="BF3995" t="s">
        <v>14364</v>
      </c>
      <c r="BM3995" t="s">
        <v>15650</v>
      </c>
    </row>
    <row r="3996" spans="1:65">
      <c r="A3996" s="1">
        <f>HYPERLINK("https://lsnyc.legalserver.org/matter/dynamic-profile/view/1887364","19-1887364")</f>
        <v>0</v>
      </c>
      <c r="B3996" t="s">
        <v>212</v>
      </c>
      <c r="C3996" t="s">
        <v>248</v>
      </c>
      <c r="D3996" t="s">
        <v>354</v>
      </c>
      <c r="F3996" t="s">
        <v>1738</v>
      </c>
      <c r="G3996" t="s">
        <v>4370</v>
      </c>
      <c r="H3996" t="s">
        <v>5965</v>
      </c>
      <c r="I3996" t="s">
        <v>6438</v>
      </c>
      <c r="J3996" t="s">
        <v>7174</v>
      </c>
      <c r="K3996">
        <v>11216</v>
      </c>
      <c r="N3996" t="s">
        <v>7243</v>
      </c>
      <c r="O3996" t="s">
        <v>8832</v>
      </c>
      <c r="P3996">
        <v>2</v>
      </c>
      <c r="Q3996">
        <v>7</v>
      </c>
      <c r="R3996">
        <v>69.17</v>
      </c>
      <c r="U3996">
        <v>32304</v>
      </c>
      <c r="W3996">
        <v>2</v>
      </c>
      <c r="X3996" t="s">
        <v>470</v>
      </c>
      <c r="Y3996" t="s">
        <v>212</v>
      </c>
      <c r="Z3996" t="s">
        <v>10972</v>
      </c>
      <c r="AA3996" t="s">
        <v>10976</v>
      </c>
      <c r="AC3996" t="s">
        <v>11081</v>
      </c>
      <c r="AE3996" t="s">
        <v>11117</v>
      </c>
      <c r="AG3996" t="s">
        <v>11124</v>
      </c>
      <c r="AI3996" t="s">
        <v>11126</v>
      </c>
      <c r="AK3996" t="s">
        <v>7225</v>
      </c>
      <c r="AL3996" t="s">
        <v>11150</v>
      </c>
      <c r="AM3996">
        <v>0</v>
      </c>
      <c r="AN3996" t="s">
        <v>11151</v>
      </c>
      <c r="AO3996" t="s">
        <v>11153</v>
      </c>
      <c r="AP3996" t="s">
        <v>11155</v>
      </c>
      <c r="AR3996" t="s">
        <v>11172</v>
      </c>
      <c r="AT3996" t="s">
        <v>11184</v>
      </c>
      <c r="AU3996">
        <v>0</v>
      </c>
      <c r="AW3996" t="s">
        <v>11189</v>
      </c>
      <c r="AX3996" t="s">
        <v>11212</v>
      </c>
      <c r="AZ3996" t="s">
        <v>11221</v>
      </c>
      <c r="BE3996" t="s">
        <v>13688</v>
      </c>
      <c r="BF3996" t="s">
        <v>14364</v>
      </c>
      <c r="BM3996" t="s">
        <v>15650</v>
      </c>
    </row>
    <row r="3997" spans="1:65">
      <c r="A3997" s="1">
        <f>HYPERLINK("https://lsnyc.legalserver.org/matter/dynamic-profile/view/1902329","19-1902329")</f>
        <v>0</v>
      </c>
      <c r="B3997" t="s">
        <v>212</v>
      </c>
      <c r="C3997" t="s">
        <v>248</v>
      </c>
      <c r="D3997" t="s">
        <v>650</v>
      </c>
      <c r="F3997" t="s">
        <v>1137</v>
      </c>
      <c r="G3997" t="s">
        <v>3308</v>
      </c>
      <c r="H3997" t="s">
        <v>5071</v>
      </c>
      <c r="I3997">
        <v>6</v>
      </c>
      <c r="J3997" t="s">
        <v>7174</v>
      </c>
      <c r="K3997">
        <v>11231</v>
      </c>
      <c r="N3997" t="s">
        <v>7237</v>
      </c>
      <c r="O3997" t="s">
        <v>7822</v>
      </c>
      <c r="P3997">
        <v>1</v>
      </c>
      <c r="Q3997">
        <v>0</v>
      </c>
      <c r="R3997">
        <v>72.06</v>
      </c>
      <c r="U3997">
        <v>9000</v>
      </c>
      <c r="W3997">
        <v>5.7</v>
      </c>
      <c r="X3997" t="s">
        <v>554</v>
      </c>
      <c r="Y3997" t="s">
        <v>81</v>
      </c>
      <c r="AA3997" t="s">
        <v>10974</v>
      </c>
      <c r="AB3997" t="s">
        <v>650</v>
      </c>
      <c r="AC3997" t="s">
        <v>11081</v>
      </c>
      <c r="AF3997" t="s">
        <v>11118</v>
      </c>
      <c r="AH3997" t="s">
        <v>10975</v>
      </c>
      <c r="AI3997" t="s">
        <v>11126</v>
      </c>
      <c r="AK3997" t="s">
        <v>7225</v>
      </c>
      <c r="AL3997" t="s">
        <v>11150</v>
      </c>
      <c r="AM3997">
        <v>0</v>
      </c>
      <c r="AN3997" t="s">
        <v>11151</v>
      </c>
      <c r="AO3997" t="s">
        <v>11153</v>
      </c>
      <c r="AP3997" t="s">
        <v>11155</v>
      </c>
      <c r="AR3997" t="s">
        <v>11172</v>
      </c>
      <c r="AU3997">
        <v>37</v>
      </c>
      <c r="AW3997" t="s">
        <v>11187</v>
      </c>
      <c r="BA3997" t="s">
        <v>11222</v>
      </c>
      <c r="BE3997" t="s">
        <v>12160</v>
      </c>
      <c r="BF3997" t="s">
        <v>14364</v>
      </c>
      <c r="BM3997" t="s">
        <v>15650</v>
      </c>
    </row>
    <row r="3998" spans="1:65">
      <c r="A3998" s="1">
        <f>HYPERLINK("https://lsnyc.legalserver.org/matter/dynamic-profile/view/1893757","19-1893757")</f>
        <v>0</v>
      </c>
      <c r="B3998" t="s">
        <v>212</v>
      </c>
      <c r="C3998" t="s">
        <v>248</v>
      </c>
      <c r="D3998" t="s">
        <v>863</v>
      </c>
      <c r="F3998" t="s">
        <v>1388</v>
      </c>
      <c r="G3998" t="s">
        <v>4377</v>
      </c>
      <c r="H3998" t="s">
        <v>5973</v>
      </c>
      <c r="I3998" t="s">
        <v>6562</v>
      </c>
      <c r="J3998" t="s">
        <v>7174</v>
      </c>
      <c r="K3998">
        <v>11203</v>
      </c>
      <c r="N3998" t="s">
        <v>7243</v>
      </c>
      <c r="O3998" t="s">
        <v>9590</v>
      </c>
      <c r="P3998">
        <v>1</v>
      </c>
      <c r="Q3998">
        <v>0</v>
      </c>
      <c r="R3998">
        <v>0</v>
      </c>
      <c r="U3998">
        <v>0</v>
      </c>
      <c r="V3998" t="s">
        <v>10762</v>
      </c>
      <c r="W3998">
        <v>4.7</v>
      </c>
      <c r="X3998" t="s">
        <v>297</v>
      </c>
      <c r="Y3998" t="s">
        <v>212</v>
      </c>
      <c r="Z3998" t="s">
        <v>10972</v>
      </c>
      <c r="AA3998" t="s">
        <v>10976</v>
      </c>
      <c r="AB3998" t="s">
        <v>863</v>
      </c>
      <c r="AC3998" t="s">
        <v>11081</v>
      </c>
      <c r="AE3998" t="s">
        <v>11117</v>
      </c>
      <c r="AG3998" t="s">
        <v>11124</v>
      </c>
      <c r="AI3998" t="s">
        <v>11126</v>
      </c>
      <c r="AK3998" t="s">
        <v>7225</v>
      </c>
      <c r="AL3998" t="s">
        <v>11150</v>
      </c>
      <c r="AM3998">
        <v>0</v>
      </c>
      <c r="AN3998" t="s">
        <v>11151</v>
      </c>
      <c r="AO3998" t="s">
        <v>11153</v>
      </c>
      <c r="AP3998" t="s">
        <v>11155</v>
      </c>
      <c r="AR3998" t="s">
        <v>11172</v>
      </c>
      <c r="AT3998" t="s">
        <v>11184</v>
      </c>
      <c r="AU3998">
        <v>0</v>
      </c>
      <c r="AV3998" t="s">
        <v>11186</v>
      </c>
      <c r="AZ3998" t="s">
        <v>11221</v>
      </c>
      <c r="BE3998" t="s">
        <v>13699</v>
      </c>
      <c r="BF3998" t="s">
        <v>14364</v>
      </c>
      <c r="BM3998" t="s">
        <v>15650</v>
      </c>
    </row>
    <row r="3999" spans="1:65">
      <c r="A3999" s="1">
        <f>HYPERLINK("https://lsnyc.legalserver.org/matter/dynamic-profile/view/1914075","19-1914075")</f>
        <v>0</v>
      </c>
      <c r="B3999" t="s">
        <v>212</v>
      </c>
      <c r="C3999" t="s">
        <v>248</v>
      </c>
      <c r="D3999" t="s">
        <v>301</v>
      </c>
      <c r="F3999" t="s">
        <v>2610</v>
      </c>
      <c r="G3999" t="s">
        <v>4481</v>
      </c>
      <c r="H3999" t="s">
        <v>6076</v>
      </c>
      <c r="I3999">
        <v>2</v>
      </c>
      <c r="J3999" t="s">
        <v>7174</v>
      </c>
      <c r="K3999">
        <v>11211</v>
      </c>
      <c r="N3999" t="s">
        <v>7237</v>
      </c>
      <c r="O3999" t="s">
        <v>9751</v>
      </c>
      <c r="P3999">
        <v>2</v>
      </c>
      <c r="Q3999">
        <v>0</v>
      </c>
      <c r="R3999">
        <v>0</v>
      </c>
      <c r="U3999">
        <v>0</v>
      </c>
      <c r="W3999">
        <v>0.6</v>
      </c>
      <c r="X3999" t="s">
        <v>301</v>
      </c>
      <c r="Y3999" t="s">
        <v>212</v>
      </c>
      <c r="Z3999" t="s">
        <v>10972</v>
      </c>
      <c r="AA3999" t="s">
        <v>10976</v>
      </c>
      <c r="AC3999" t="s">
        <v>11081</v>
      </c>
      <c r="AE3999" t="s">
        <v>11117</v>
      </c>
      <c r="AG3999" t="s">
        <v>11124</v>
      </c>
      <c r="AI3999" t="s">
        <v>11126</v>
      </c>
      <c r="AK3999" t="s">
        <v>7225</v>
      </c>
      <c r="AL3999" t="s">
        <v>11150</v>
      </c>
      <c r="AM3999">
        <v>0</v>
      </c>
      <c r="AN3999" t="s">
        <v>11151</v>
      </c>
      <c r="AO3999" t="s">
        <v>11153</v>
      </c>
      <c r="AP3999" t="s">
        <v>11155</v>
      </c>
      <c r="AR3999" t="s">
        <v>11172</v>
      </c>
      <c r="AT3999" t="s">
        <v>11184</v>
      </c>
      <c r="AU3999">
        <v>0</v>
      </c>
      <c r="AW3999" t="s">
        <v>11187</v>
      </c>
      <c r="AX3999" t="s">
        <v>11212</v>
      </c>
      <c r="AZ3999" t="s">
        <v>11221</v>
      </c>
      <c r="BD3999" t="s">
        <v>11667</v>
      </c>
      <c r="BF3999" t="s">
        <v>14364</v>
      </c>
      <c r="BM3999" t="s">
        <v>15650</v>
      </c>
    </row>
    <row r="4000" spans="1:65">
      <c r="A4000" s="1">
        <f>HYPERLINK("https://lsnyc.legalserver.org/matter/dynamic-profile/view/1880403","18-1880403")</f>
        <v>0</v>
      </c>
      <c r="B4000" t="s">
        <v>212</v>
      </c>
      <c r="C4000" t="s">
        <v>248</v>
      </c>
      <c r="D4000" t="s">
        <v>467</v>
      </c>
      <c r="F4000" t="s">
        <v>2462</v>
      </c>
      <c r="G4000" t="s">
        <v>3333</v>
      </c>
      <c r="H4000" t="s">
        <v>6077</v>
      </c>
      <c r="I4000" t="s">
        <v>7077</v>
      </c>
      <c r="J4000" t="s">
        <v>7174</v>
      </c>
      <c r="K4000">
        <v>11226</v>
      </c>
      <c r="N4000" t="s">
        <v>7237</v>
      </c>
      <c r="O4000" t="s">
        <v>9752</v>
      </c>
      <c r="P4000">
        <v>2</v>
      </c>
      <c r="Q4000">
        <v>0</v>
      </c>
      <c r="R4000">
        <v>0</v>
      </c>
      <c r="U4000">
        <v>0</v>
      </c>
      <c r="W4000">
        <v>1</v>
      </c>
      <c r="X4000" t="s">
        <v>1075</v>
      </c>
      <c r="Y4000" t="s">
        <v>10902</v>
      </c>
      <c r="AA4000" t="s">
        <v>10974</v>
      </c>
      <c r="AB4000" t="s">
        <v>467</v>
      </c>
      <c r="AD4000" t="s">
        <v>11088</v>
      </c>
      <c r="AF4000" t="s">
        <v>11120</v>
      </c>
      <c r="AG4000" t="s">
        <v>11124</v>
      </c>
      <c r="AJ4000" t="s">
        <v>11134</v>
      </c>
      <c r="AK4000" t="s">
        <v>7225</v>
      </c>
      <c r="AL4000" t="s">
        <v>11150</v>
      </c>
      <c r="AM4000">
        <v>0</v>
      </c>
      <c r="AN4000" t="s">
        <v>11151</v>
      </c>
      <c r="AO4000" t="s">
        <v>11153</v>
      </c>
      <c r="AP4000" t="s">
        <v>11155</v>
      </c>
      <c r="AR4000" t="s">
        <v>11172</v>
      </c>
      <c r="AT4000" t="s">
        <v>11184</v>
      </c>
      <c r="AU4000">
        <v>0</v>
      </c>
      <c r="AW4000" t="s">
        <v>11187</v>
      </c>
      <c r="AZ4000" t="s">
        <v>11221</v>
      </c>
      <c r="BD4000" t="s">
        <v>11667</v>
      </c>
      <c r="BF4000" t="s">
        <v>14364</v>
      </c>
      <c r="BM4000" t="s">
        <v>15650</v>
      </c>
    </row>
    <row r="4001" spans="1:65">
      <c r="A4001" s="1">
        <f>HYPERLINK("https://lsnyc.legalserver.org/matter/dynamic-profile/view/1912882","19-1912882")</f>
        <v>0</v>
      </c>
      <c r="B4001" t="s">
        <v>212</v>
      </c>
      <c r="C4001" t="s">
        <v>248</v>
      </c>
      <c r="D4001" t="s">
        <v>316</v>
      </c>
      <c r="F4001" t="s">
        <v>1261</v>
      </c>
      <c r="G4001" t="s">
        <v>4482</v>
      </c>
      <c r="H4001" t="s">
        <v>6078</v>
      </c>
      <c r="I4001" t="s">
        <v>7078</v>
      </c>
      <c r="J4001" t="s">
        <v>7174</v>
      </c>
      <c r="K4001">
        <v>11226</v>
      </c>
      <c r="N4001" t="s">
        <v>7237</v>
      </c>
      <c r="O4001" t="s">
        <v>9753</v>
      </c>
      <c r="P4001">
        <v>1</v>
      </c>
      <c r="Q4001">
        <v>0</v>
      </c>
      <c r="R4001">
        <v>76.86</v>
      </c>
      <c r="U4001">
        <v>9600</v>
      </c>
      <c r="W4001">
        <v>0</v>
      </c>
      <c r="Y4001" t="s">
        <v>81</v>
      </c>
      <c r="AA4001" t="s">
        <v>10974</v>
      </c>
      <c r="AB4001" t="s">
        <v>316</v>
      </c>
      <c r="AD4001" t="s">
        <v>11086</v>
      </c>
      <c r="AF4001" t="s">
        <v>11120</v>
      </c>
      <c r="AH4001" t="s">
        <v>10975</v>
      </c>
      <c r="AI4001" t="s">
        <v>11126</v>
      </c>
      <c r="AK4001" t="s">
        <v>7225</v>
      </c>
      <c r="AM4001">
        <v>865</v>
      </c>
      <c r="AN4001" t="s">
        <v>11151</v>
      </c>
      <c r="AO4001" t="s">
        <v>11153</v>
      </c>
      <c r="AP4001" t="s">
        <v>11155</v>
      </c>
      <c r="AR4001" t="s">
        <v>11172</v>
      </c>
      <c r="AU4001">
        <v>37</v>
      </c>
      <c r="AW4001" t="s">
        <v>11187</v>
      </c>
      <c r="BA4001" t="s">
        <v>11222</v>
      </c>
      <c r="BE4001" t="s">
        <v>13846</v>
      </c>
      <c r="BF4001" t="s">
        <v>14364</v>
      </c>
      <c r="BM4001" t="s">
        <v>15650</v>
      </c>
    </row>
    <row r="4002" spans="1:65">
      <c r="A4002" s="1">
        <f>HYPERLINK("https://lsnyc.legalserver.org/matter/dynamic-profile/view/1900865","19-1900865")</f>
        <v>0</v>
      </c>
      <c r="B4002" t="s">
        <v>212</v>
      </c>
      <c r="C4002" t="s">
        <v>248</v>
      </c>
      <c r="D4002" t="s">
        <v>313</v>
      </c>
      <c r="F4002" t="s">
        <v>1881</v>
      </c>
      <c r="G4002" t="s">
        <v>3872</v>
      </c>
      <c r="H4002" t="s">
        <v>6079</v>
      </c>
      <c r="I4002" t="s">
        <v>7079</v>
      </c>
      <c r="J4002" t="s">
        <v>7174</v>
      </c>
      <c r="K4002">
        <v>11225</v>
      </c>
      <c r="N4002" t="s">
        <v>7237</v>
      </c>
      <c r="O4002" t="s">
        <v>9754</v>
      </c>
      <c r="P4002">
        <v>1</v>
      </c>
      <c r="Q4002">
        <v>2</v>
      </c>
      <c r="R4002">
        <v>109.7</v>
      </c>
      <c r="U4002">
        <v>23400</v>
      </c>
      <c r="W4002">
        <v>1</v>
      </c>
      <c r="X4002" t="s">
        <v>313</v>
      </c>
      <c r="Y4002" t="s">
        <v>212</v>
      </c>
      <c r="Z4002" t="s">
        <v>10972</v>
      </c>
      <c r="AA4002" t="s">
        <v>10976</v>
      </c>
      <c r="AC4002" t="s">
        <v>11081</v>
      </c>
      <c r="AE4002" t="s">
        <v>11117</v>
      </c>
      <c r="AG4002" t="s">
        <v>11124</v>
      </c>
      <c r="AI4002" t="s">
        <v>11126</v>
      </c>
      <c r="AK4002" t="s">
        <v>7225</v>
      </c>
      <c r="AL4002" t="s">
        <v>11150</v>
      </c>
      <c r="AM4002">
        <v>0</v>
      </c>
      <c r="AN4002" t="s">
        <v>11151</v>
      </c>
      <c r="AO4002" t="s">
        <v>11153</v>
      </c>
      <c r="AP4002" t="s">
        <v>11155</v>
      </c>
      <c r="AR4002" t="s">
        <v>11172</v>
      </c>
      <c r="AT4002" t="s">
        <v>11184</v>
      </c>
      <c r="AU4002">
        <v>0</v>
      </c>
      <c r="AW4002" t="s">
        <v>11187</v>
      </c>
      <c r="AX4002" t="s">
        <v>11212</v>
      </c>
      <c r="AZ4002" t="s">
        <v>11221</v>
      </c>
      <c r="BE4002" t="s">
        <v>13847</v>
      </c>
      <c r="BF4002" t="s">
        <v>14364</v>
      </c>
      <c r="BM4002" t="s">
        <v>15650</v>
      </c>
    </row>
    <row r="4003" spans="1:65">
      <c r="A4003" s="1">
        <f>HYPERLINK("https://lsnyc.legalserver.org/matter/dynamic-profile/view/1910195","19-1910195")</f>
        <v>0</v>
      </c>
      <c r="B4003" t="s">
        <v>212</v>
      </c>
      <c r="C4003" t="s">
        <v>248</v>
      </c>
      <c r="D4003" t="s">
        <v>976</v>
      </c>
      <c r="F4003" t="s">
        <v>2611</v>
      </c>
      <c r="G4003" t="s">
        <v>4483</v>
      </c>
      <c r="H4003" t="s">
        <v>6080</v>
      </c>
      <c r="I4003" t="s">
        <v>6642</v>
      </c>
      <c r="J4003" t="s">
        <v>7174</v>
      </c>
      <c r="K4003">
        <v>11223</v>
      </c>
      <c r="N4003" t="s">
        <v>7237</v>
      </c>
      <c r="O4003" t="s">
        <v>9479</v>
      </c>
      <c r="P4003">
        <v>1</v>
      </c>
      <c r="Q4003">
        <v>0</v>
      </c>
      <c r="R4003">
        <v>184.15</v>
      </c>
      <c r="U4003">
        <v>23000</v>
      </c>
      <c r="W4003">
        <v>10.4</v>
      </c>
      <c r="X4003" t="s">
        <v>548</v>
      </c>
      <c r="Y4003" t="s">
        <v>212</v>
      </c>
      <c r="AA4003" t="s">
        <v>10974</v>
      </c>
      <c r="AB4003" t="s">
        <v>335</v>
      </c>
      <c r="AD4003" t="s">
        <v>11100</v>
      </c>
      <c r="AF4003" t="s">
        <v>11120</v>
      </c>
      <c r="AG4003" t="s">
        <v>11124</v>
      </c>
      <c r="AI4003" t="s">
        <v>11126</v>
      </c>
      <c r="AK4003" t="s">
        <v>7225</v>
      </c>
      <c r="AL4003" t="s">
        <v>11150</v>
      </c>
      <c r="AM4003">
        <v>0</v>
      </c>
      <c r="AN4003" t="s">
        <v>11151</v>
      </c>
      <c r="AO4003" t="s">
        <v>11153</v>
      </c>
      <c r="AP4003" t="s">
        <v>11155</v>
      </c>
      <c r="AR4003" t="s">
        <v>11172</v>
      </c>
      <c r="AT4003" t="s">
        <v>11184</v>
      </c>
      <c r="AU4003">
        <v>0</v>
      </c>
      <c r="AW4003" t="s">
        <v>11199</v>
      </c>
      <c r="AZ4003" t="s">
        <v>11221</v>
      </c>
      <c r="BD4003" t="s">
        <v>11667</v>
      </c>
      <c r="BF4003" t="s">
        <v>14364</v>
      </c>
      <c r="BM4003" t="s">
        <v>15650</v>
      </c>
    </row>
    <row r="4004" spans="1:65">
      <c r="A4004" s="1">
        <f>HYPERLINK("https://lsnyc.legalserver.org/matter/dynamic-profile/view/1895196","19-1895196")</f>
        <v>0</v>
      </c>
      <c r="B4004" t="s">
        <v>212</v>
      </c>
      <c r="C4004" t="s">
        <v>248</v>
      </c>
      <c r="D4004" t="s">
        <v>428</v>
      </c>
      <c r="F4004" t="s">
        <v>1136</v>
      </c>
      <c r="G4004" t="s">
        <v>3262</v>
      </c>
      <c r="H4004" t="s">
        <v>6081</v>
      </c>
      <c r="I4004" t="s">
        <v>7080</v>
      </c>
      <c r="J4004" t="s">
        <v>7174</v>
      </c>
      <c r="K4004">
        <v>11231</v>
      </c>
      <c r="N4004" t="s">
        <v>7237</v>
      </c>
      <c r="O4004" t="s">
        <v>9755</v>
      </c>
      <c r="P4004">
        <v>3</v>
      </c>
      <c r="Q4004">
        <v>0</v>
      </c>
      <c r="R4004">
        <v>131.27</v>
      </c>
      <c r="U4004">
        <v>28000</v>
      </c>
      <c r="W4004">
        <v>1.2</v>
      </c>
      <c r="X4004" t="s">
        <v>590</v>
      </c>
      <c r="Y4004" t="s">
        <v>212</v>
      </c>
      <c r="AA4004" t="s">
        <v>10974</v>
      </c>
      <c r="AB4004" t="s">
        <v>428</v>
      </c>
      <c r="AD4004" t="s">
        <v>11083</v>
      </c>
      <c r="AF4004" t="s">
        <v>11119</v>
      </c>
      <c r="AG4004" t="s">
        <v>11124</v>
      </c>
      <c r="AI4004" t="s">
        <v>11126</v>
      </c>
      <c r="AK4004" t="s">
        <v>7225</v>
      </c>
      <c r="AM4004">
        <v>1150</v>
      </c>
      <c r="AN4004" t="s">
        <v>11151</v>
      </c>
      <c r="AO4004" t="s">
        <v>11153</v>
      </c>
      <c r="AQ4004" t="s">
        <v>11156</v>
      </c>
      <c r="AS4004" t="s">
        <v>11174</v>
      </c>
      <c r="AU4004">
        <v>3</v>
      </c>
      <c r="AW4004" t="s">
        <v>11187</v>
      </c>
      <c r="AZ4004" t="s">
        <v>11221</v>
      </c>
      <c r="BE4004" t="s">
        <v>13848</v>
      </c>
      <c r="BF4004" t="s">
        <v>14364</v>
      </c>
      <c r="BM4004" t="s">
        <v>15650</v>
      </c>
    </row>
    <row r="4005" spans="1:65">
      <c r="A4005" s="1">
        <f>HYPERLINK("https://lsnyc.legalserver.org/matter/dynamic-profile/view/1880405","18-1880405")</f>
        <v>0</v>
      </c>
      <c r="B4005" t="s">
        <v>212</v>
      </c>
      <c r="C4005" t="s">
        <v>248</v>
      </c>
      <c r="D4005" t="s">
        <v>467</v>
      </c>
      <c r="F4005" t="s">
        <v>1322</v>
      </c>
      <c r="G4005" t="s">
        <v>3598</v>
      </c>
      <c r="H4005" t="s">
        <v>6077</v>
      </c>
      <c r="I4005" t="s">
        <v>7081</v>
      </c>
      <c r="J4005" t="s">
        <v>7174</v>
      </c>
      <c r="K4005">
        <v>11226</v>
      </c>
      <c r="N4005" t="s">
        <v>7237</v>
      </c>
      <c r="O4005" t="s">
        <v>9756</v>
      </c>
      <c r="P4005">
        <v>3</v>
      </c>
      <c r="Q4005">
        <v>0</v>
      </c>
      <c r="R4005">
        <v>0</v>
      </c>
      <c r="U4005">
        <v>0</v>
      </c>
      <c r="W4005">
        <v>0.7</v>
      </c>
      <c r="X4005" t="s">
        <v>1075</v>
      </c>
      <c r="Y4005" t="s">
        <v>10902</v>
      </c>
      <c r="AA4005" t="s">
        <v>10974</v>
      </c>
      <c r="AB4005" t="s">
        <v>467</v>
      </c>
      <c r="AD4005" t="s">
        <v>11088</v>
      </c>
      <c r="AF4005" t="s">
        <v>11120</v>
      </c>
      <c r="AG4005" t="s">
        <v>11124</v>
      </c>
      <c r="AJ4005" t="s">
        <v>11134</v>
      </c>
      <c r="AK4005" t="s">
        <v>7225</v>
      </c>
      <c r="AL4005" t="s">
        <v>11150</v>
      </c>
      <c r="AM4005">
        <v>0</v>
      </c>
      <c r="AN4005" t="s">
        <v>11151</v>
      </c>
      <c r="AO4005" t="s">
        <v>11153</v>
      </c>
      <c r="AP4005" t="s">
        <v>11155</v>
      </c>
      <c r="AR4005" t="s">
        <v>11172</v>
      </c>
      <c r="AT4005" t="s">
        <v>11184</v>
      </c>
      <c r="AU4005">
        <v>0</v>
      </c>
      <c r="AW4005" t="s">
        <v>11187</v>
      </c>
      <c r="AZ4005" t="s">
        <v>11221</v>
      </c>
      <c r="BD4005" t="s">
        <v>11667</v>
      </c>
      <c r="BF4005" t="s">
        <v>14364</v>
      </c>
      <c r="BM4005" t="s">
        <v>15650</v>
      </c>
    </row>
    <row r="4006" spans="1:65">
      <c r="A4006" s="1">
        <f>HYPERLINK("https://lsnyc.legalserver.org/matter/dynamic-profile/view/1905286","19-1905286")</f>
        <v>0</v>
      </c>
      <c r="B4006" t="s">
        <v>212</v>
      </c>
      <c r="C4006" t="s">
        <v>248</v>
      </c>
      <c r="D4006" t="s">
        <v>470</v>
      </c>
      <c r="E4006" t="s">
        <v>497</v>
      </c>
      <c r="F4006" t="s">
        <v>1187</v>
      </c>
      <c r="G4006" t="s">
        <v>4484</v>
      </c>
      <c r="H4006" t="s">
        <v>6082</v>
      </c>
      <c r="I4006">
        <v>4</v>
      </c>
      <c r="J4006" t="s">
        <v>7174</v>
      </c>
      <c r="K4006">
        <v>11206</v>
      </c>
      <c r="L4006" t="s">
        <v>7216</v>
      </c>
      <c r="N4006" t="s">
        <v>7237</v>
      </c>
      <c r="O4006" t="s">
        <v>9757</v>
      </c>
      <c r="P4006">
        <v>2</v>
      </c>
      <c r="Q4006">
        <v>0</v>
      </c>
      <c r="R4006">
        <v>0</v>
      </c>
      <c r="U4006">
        <v>0</v>
      </c>
      <c r="W4006">
        <v>1.1</v>
      </c>
      <c r="X4006" t="s">
        <v>497</v>
      </c>
      <c r="Y4006" t="s">
        <v>212</v>
      </c>
      <c r="Z4006" t="s">
        <v>10972</v>
      </c>
      <c r="AA4006" t="s">
        <v>10976</v>
      </c>
      <c r="AC4006" t="s">
        <v>11081</v>
      </c>
      <c r="AE4006" t="s">
        <v>11117</v>
      </c>
      <c r="AG4006" t="s">
        <v>11124</v>
      </c>
      <c r="AI4006" t="s">
        <v>11126</v>
      </c>
      <c r="AK4006" t="s">
        <v>7225</v>
      </c>
      <c r="AL4006" t="s">
        <v>11150</v>
      </c>
      <c r="AM4006">
        <v>0</v>
      </c>
      <c r="AN4006" t="s">
        <v>11151</v>
      </c>
      <c r="AO4006" t="s">
        <v>11153</v>
      </c>
      <c r="AP4006" t="s">
        <v>11155</v>
      </c>
      <c r="AR4006" t="s">
        <v>11172</v>
      </c>
      <c r="AT4006" t="s">
        <v>11184</v>
      </c>
      <c r="AU4006">
        <v>0</v>
      </c>
      <c r="AW4006" t="s">
        <v>11187</v>
      </c>
      <c r="AX4006" t="s">
        <v>11212</v>
      </c>
      <c r="AZ4006" t="s">
        <v>11221</v>
      </c>
      <c r="BE4006" t="s">
        <v>13849</v>
      </c>
      <c r="BF4006" t="s">
        <v>14364</v>
      </c>
      <c r="BM4006" t="s">
        <v>15651</v>
      </c>
    </row>
    <row r="4007" spans="1:65">
      <c r="A4007" s="1">
        <f>HYPERLINK("https://lsnyc.legalserver.org/matter/dynamic-profile/view/1868237","18-1868237")</f>
        <v>0</v>
      </c>
      <c r="B4007" t="s">
        <v>212</v>
      </c>
      <c r="C4007" t="s">
        <v>248</v>
      </c>
      <c r="D4007" t="s">
        <v>452</v>
      </c>
      <c r="F4007" t="s">
        <v>1155</v>
      </c>
      <c r="G4007" t="s">
        <v>4485</v>
      </c>
      <c r="H4007" t="s">
        <v>6083</v>
      </c>
      <c r="I4007">
        <v>14</v>
      </c>
      <c r="J4007" t="s">
        <v>7174</v>
      </c>
      <c r="K4007">
        <v>11215</v>
      </c>
      <c r="N4007" t="s">
        <v>7243</v>
      </c>
      <c r="O4007" t="s">
        <v>9758</v>
      </c>
      <c r="P4007">
        <v>3</v>
      </c>
      <c r="Q4007">
        <v>0</v>
      </c>
      <c r="R4007">
        <v>0</v>
      </c>
      <c r="U4007">
        <v>0</v>
      </c>
      <c r="W4007">
        <v>7.1</v>
      </c>
      <c r="X4007" t="s">
        <v>470</v>
      </c>
      <c r="Y4007" t="s">
        <v>212</v>
      </c>
      <c r="Z4007" t="s">
        <v>10972</v>
      </c>
      <c r="AA4007" t="s">
        <v>10976</v>
      </c>
      <c r="AC4007" t="s">
        <v>11081</v>
      </c>
      <c r="AE4007" t="s">
        <v>11117</v>
      </c>
      <c r="AG4007" t="s">
        <v>11124</v>
      </c>
      <c r="AI4007" t="s">
        <v>11126</v>
      </c>
      <c r="AK4007" t="s">
        <v>7225</v>
      </c>
      <c r="AL4007" t="s">
        <v>11150</v>
      </c>
      <c r="AM4007">
        <v>0</v>
      </c>
      <c r="AN4007" t="s">
        <v>11151</v>
      </c>
      <c r="AO4007" t="s">
        <v>11153</v>
      </c>
      <c r="AP4007" t="s">
        <v>11155</v>
      </c>
      <c r="AR4007" t="s">
        <v>11172</v>
      </c>
      <c r="AT4007" t="s">
        <v>11184</v>
      </c>
      <c r="AU4007">
        <v>0</v>
      </c>
      <c r="AW4007" t="s">
        <v>11187</v>
      </c>
      <c r="AX4007" t="s">
        <v>11212</v>
      </c>
      <c r="AZ4007" t="s">
        <v>11221</v>
      </c>
      <c r="BE4007" t="s">
        <v>13850</v>
      </c>
      <c r="BF4007" t="s">
        <v>14364</v>
      </c>
      <c r="BM4007" t="s">
        <v>15650</v>
      </c>
    </row>
    <row r="4008" spans="1:65">
      <c r="A4008" s="1">
        <f>HYPERLINK("https://lsnyc.legalserver.org/matter/dynamic-profile/view/1885097","18-1885097")</f>
        <v>0</v>
      </c>
      <c r="B4008" t="s">
        <v>212</v>
      </c>
      <c r="C4008" t="s">
        <v>248</v>
      </c>
      <c r="D4008" t="s">
        <v>542</v>
      </c>
      <c r="F4008" t="s">
        <v>1093</v>
      </c>
      <c r="G4008" t="s">
        <v>3262</v>
      </c>
      <c r="H4008" t="s">
        <v>5039</v>
      </c>
      <c r="J4008" t="s">
        <v>7174</v>
      </c>
      <c r="K4008">
        <v>11217</v>
      </c>
      <c r="N4008" t="s">
        <v>7243</v>
      </c>
      <c r="O4008" t="s">
        <v>7756</v>
      </c>
      <c r="P4008">
        <v>2</v>
      </c>
      <c r="Q4008">
        <v>1</v>
      </c>
      <c r="R4008">
        <v>0</v>
      </c>
      <c r="U4008">
        <v>0</v>
      </c>
      <c r="W4008">
        <v>1.1</v>
      </c>
      <c r="X4008" t="s">
        <v>542</v>
      </c>
      <c r="Y4008" t="s">
        <v>212</v>
      </c>
      <c r="Z4008" t="s">
        <v>10972</v>
      </c>
      <c r="AA4008" t="s">
        <v>10976</v>
      </c>
      <c r="AC4008" t="s">
        <v>11081</v>
      </c>
      <c r="AE4008" t="s">
        <v>11117</v>
      </c>
      <c r="AG4008" t="s">
        <v>11124</v>
      </c>
      <c r="AI4008" t="s">
        <v>11126</v>
      </c>
      <c r="AK4008" t="s">
        <v>7225</v>
      </c>
      <c r="AL4008" t="s">
        <v>11150</v>
      </c>
      <c r="AM4008">
        <v>0</v>
      </c>
      <c r="AN4008" t="s">
        <v>11151</v>
      </c>
      <c r="AO4008" t="s">
        <v>11153</v>
      </c>
      <c r="AP4008" t="s">
        <v>11155</v>
      </c>
      <c r="AR4008" t="s">
        <v>11172</v>
      </c>
      <c r="AT4008" t="s">
        <v>11184</v>
      </c>
      <c r="AU4008">
        <v>0</v>
      </c>
      <c r="AW4008" t="s">
        <v>11187</v>
      </c>
      <c r="AX4008" t="s">
        <v>11212</v>
      </c>
      <c r="AZ4008" t="s">
        <v>11221</v>
      </c>
      <c r="BD4008" t="s">
        <v>11667</v>
      </c>
      <c r="BF4008" t="s">
        <v>14364</v>
      </c>
      <c r="BM4008" t="s">
        <v>15650</v>
      </c>
    </row>
    <row r="4009" spans="1:65">
      <c r="A4009" s="1">
        <f>HYPERLINK("https://lsnyc.legalserver.org/matter/dynamic-profile/view/1897574","19-1897574")</f>
        <v>0</v>
      </c>
      <c r="B4009" t="s">
        <v>212</v>
      </c>
      <c r="C4009" t="s">
        <v>248</v>
      </c>
      <c r="D4009" t="s">
        <v>389</v>
      </c>
      <c r="F4009" t="s">
        <v>2612</v>
      </c>
      <c r="G4009" t="s">
        <v>2692</v>
      </c>
      <c r="H4009" t="s">
        <v>6084</v>
      </c>
      <c r="I4009" t="s">
        <v>6437</v>
      </c>
      <c r="J4009" t="s">
        <v>7174</v>
      </c>
      <c r="K4009">
        <v>11226</v>
      </c>
      <c r="N4009" t="s">
        <v>7237</v>
      </c>
      <c r="O4009" t="s">
        <v>9759</v>
      </c>
      <c r="P4009">
        <v>2</v>
      </c>
      <c r="Q4009">
        <v>0</v>
      </c>
      <c r="R4009">
        <v>204.8</v>
      </c>
      <c r="U4009">
        <v>34632</v>
      </c>
      <c r="W4009">
        <v>6.5</v>
      </c>
      <c r="X4009" t="s">
        <v>598</v>
      </c>
      <c r="Y4009" t="s">
        <v>212</v>
      </c>
      <c r="AA4009" t="s">
        <v>10974</v>
      </c>
      <c r="AB4009" t="s">
        <v>389</v>
      </c>
      <c r="AC4009" t="s">
        <v>11081</v>
      </c>
      <c r="AF4009" t="s">
        <v>11120</v>
      </c>
      <c r="AG4009" t="s">
        <v>11124</v>
      </c>
      <c r="AI4009" t="s">
        <v>11126</v>
      </c>
      <c r="AK4009" t="s">
        <v>7225</v>
      </c>
      <c r="AL4009" t="s">
        <v>11150</v>
      </c>
      <c r="AM4009">
        <v>0</v>
      </c>
      <c r="AN4009" t="s">
        <v>11151</v>
      </c>
      <c r="AO4009" t="s">
        <v>11153</v>
      </c>
      <c r="AP4009" t="s">
        <v>11155</v>
      </c>
      <c r="AR4009" t="s">
        <v>11172</v>
      </c>
      <c r="AT4009" t="s">
        <v>11184</v>
      </c>
      <c r="AU4009">
        <v>0</v>
      </c>
      <c r="AW4009" t="s">
        <v>11187</v>
      </c>
      <c r="AZ4009" t="s">
        <v>11221</v>
      </c>
      <c r="BD4009" t="s">
        <v>11667</v>
      </c>
      <c r="BF4009" t="s">
        <v>14364</v>
      </c>
      <c r="BM4009" t="s">
        <v>15650</v>
      </c>
    </row>
    <row r="4010" spans="1:65">
      <c r="A4010" s="1">
        <f>HYPERLINK("https://lsnyc.legalserver.org/matter/dynamic-profile/view/1893914","19-1893914")</f>
        <v>0</v>
      </c>
      <c r="B4010" t="s">
        <v>212</v>
      </c>
      <c r="C4010" t="s">
        <v>248</v>
      </c>
      <c r="D4010" t="s">
        <v>334</v>
      </c>
      <c r="F4010" t="s">
        <v>2531</v>
      </c>
      <c r="G4010" t="s">
        <v>1624</v>
      </c>
      <c r="H4010" t="s">
        <v>5206</v>
      </c>
      <c r="I4010" t="s">
        <v>7045</v>
      </c>
      <c r="J4010" t="s">
        <v>7174</v>
      </c>
      <c r="K4010">
        <v>11206</v>
      </c>
      <c r="N4010" t="s">
        <v>7243</v>
      </c>
      <c r="O4010" t="s">
        <v>9593</v>
      </c>
      <c r="P4010">
        <v>1</v>
      </c>
      <c r="Q4010">
        <v>0</v>
      </c>
      <c r="R4010">
        <v>0</v>
      </c>
      <c r="U4010">
        <v>0</v>
      </c>
      <c r="W4010">
        <v>7.5</v>
      </c>
      <c r="X4010" t="s">
        <v>671</v>
      </c>
      <c r="Y4010" t="s">
        <v>212</v>
      </c>
      <c r="Z4010" t="s">
        <v>10973</v>
      </c>
      <c r="AA4010" t="s">
        <v>10975</v>
      </c>
      <c r="AB4010" t="s">
        <v>334</v>
      </c>
      <c r="AC4010" t="s">
        <v>11081</v>
      </c>
      <c r="AF4010" t="s">
        <v>11118</v>
      </c>
      <c r="AG4010" t="s">
        <v>11124</v>
      </c>
      <c r="AI4010" t="s">
        <v>11126</v>
      </c>
      <c r="AK4010" t="s">
        <v>7225</v>
      </c>
      <c r="AL4010" t="s">
        <v>11150</v>
      </c>
      <c r="AM4010">
        <v>0</v>
      </c>
      <c r="AN4010" t="s">
        <v>11151</v>
      </c>
      <c r="AO4010" t="s">
        <v>11153</v>
      </c>
      <c r="AP4010" t="s">
        <v>11155</v>
      </c>
      <c r="AR4010" t="s">
        <v>11172</v>
      </c>
      <c r="AT4010" t="s">
        <v>11184</v>
      </c>
      <c r="AU4010">
        <v>0</v>
      </c>
      <c r="AW4010" t="s">
        <v>11187</v>
      </c>
      <c r="AZ4010" t="s">
        <v>11221</v>
      </c>
      <c r="BE4010" t="s">
        <v>13701</v>
      </c>
      <c r="BF4010" t="s">
        <v>14364</v>
      </c>
      <c r="BM4010" t="s">
        <v>15650</v>
      </c>
    </row>
    <row r="4011" spans="1:65">
      <c r="A4011" s="1">
        <f>HYPERLINK("https://lsnyc.legalserver.org/matter/dynamic-profile/view/1879880","18-1879880")</f>
        <v>0</v>
      </c>
      <c r="B4011" t="s">
        <v>212</v>
      </c>
      <c r="C4011" t="s">
        <v>248</v>
      </c>
      <c r="D4011" t="s">
        <v>595</v>
      </c>
      <c r="F4011" t="s">
        <v>2613</v>
      </c>
      <c r="G4011" t="s">
        <v>4486</v>
      </c>
      <c r="H4011" t="s">
        <v>6085</v>
      </c>
      <c r="J4011" t="s">
        <v>7174</v>
      </c>
      <c r="K4011">
        <v>11226</v>
      </c>
      <c r="N4011" t="s">
        <v>7237</v>
      </c>
      <c r="O4011" t="s">
        <v>9513</v>
      </c>
      <c r="P4011">
        <v>2</v>
      </c>
      <c r="Q4011">
        <v>0</v>
      </c>
      <c r="R4011">
        <v>0</v>
      </c>
      <c r="U4011">
        <v>0</v>
      </c>
      <c r="W4011">
        <v>4.5</v>
      </c>
      <c r="X4011" t="s">
        <v>1075</v>
      </c>
      <c r="Y4011" t="s">
        <v>212</v>
      </c>
      <c r="AA4011" t="s">
        <v>10974</v>
      </c>
      <c r="AB4011" t="s">
        <v>595</v>
      </c>
      <c r="AD4011" t="s">
        <v>11100</v>
      </c>
      <c r="AF4011" t="s">
        <v>11120</v>
      </c>
      <c r="AG4011" t="s">
        <v>11124</v>
      </c>
      <c r="AI4011" t="s">
        <v>11126</v>
      </c>
      <c r="AK4011" t="s">
        <v>7225</v>
      </c>
      <c r="AL4011" t="s">
        <v>11150</v>
      </c>
      <c r="AM4011">
        <v>0</v>
      </c>
      <c r="AN4011" t="s">
        <v>11151</v>
      </c>
      <c r="AO4011" t="s">
        <v>11153</v>
      </c>
      <c r="AP4011" t="s">
        <v>11155</v>
      </c>
      <c r="AR4011" t="s">
        <v>11172</v>
      </c>
      <c r="AT4011" t="s">
        <v>11184</v>
      </c>
      <c r="AU4011">
        <v>0</v>
      </c>
      <c r="AW4011" t="s">
        <v>11187</v>
      </c>
      <c r="AZ4011" t="s">
        <v>11221</v>
      </c>
      <c r="BE4011" t="s">
        <v>13851</v>
      </c>
      <c r="BF4011" t="s">
        <v>14364</v>
      </c>
      <c r="BM4011" t="s">
        <v>15650</v>
      </c>
    </row>
    <row r="4012" spans="1:65">
      <c r="A4012" s="1">
        <f>HYPERLINK("https://lsnyc.legalserver.org/matter/dynamic-profile/view/1875242","18-1875242")</f>
        <v>0</v>
      </c>
      <c r="B4012" t="s">
        <v>212</v>
      </c>
      <c r="C4012" t="s">
        <v>248</v>
      </c>
      <c r="D4012" t="s">
        <v>371</v>
      </c>
      <c r="F4012" t="s">
        <v>1996</v>
      </c>
      <c r="G4012" t="s">
        <v>3621</v>
      </c>
      <c r="H4012" t="s">
        <v>5961</v>
      </c>
      <c r="I4012" t="s">
        <v>6451</v>
      </c>
      <c r="J4012" t="s">
        <v>7174</v>
      </c>
      <c r="K4012">
        <v>11226</v>
      </c>
      <c r="N4012" t="s">
        <v>7237</v>
      </c>
      <c r="O4012" t="s">
        <v>9760</v>
      </c>
      <c r="P4012">
        <v>2</v>
      </c>
      <c r="Q4012">
        <v>0</v>
      </c>
      <c r="R4012">
        <v>157.96</v>
      </c>
      <c r="U4012">
        <v>26000</v>
      </c>
      <c r="W4012">
        <v>0</v>
      </c>
      <c r="Y4012" t="s">
        <v>212</v>
      </c>
      <c r="Z4012" t="s">
        <v>10972</v>
      </c>
      <c r="AA4012" t="s">
        <v>10976</v>
      </c>
      <c r="AC4012" t="s">
        <v>11081</v>
      </c>
      <c r="AE4012" t="s">
        <v>11117</v>
      </c>
      <c r="AG4012" t="s">
        <v>11124</v>
      </c>
      <c r="AI4012" t="s">
        <v>11126</v>
      </c>
      <c r="AK4012" t="s">
        <v>7225</v>
      </c>
      <c r="AL4012" t="s">
        <v>11150</v>
      </c>
      <c r="AM4012">
        <v>0</v>
      </c>
      <c r="AN4012" t="s">
        <v>11151</v>
      </c>
      <c r="AO4012" t="s">
        <v>11153</v>
      </c>
      <c r="AP4012" t="s">
        <v>11155</v>
      </c>
      <c r="AR4012" t="s">
        <v>11172</v>
      </c>
      <c r="AT4012" t="s">
        <v>11184</v>
      </c>
      <c r="AU4012">
        <v>0</v>
      </c>
      <c r="AW4012" t="s">
        <v>11187</v>
      </c>
      <c r="AX4012" t="s">
        <v>11212</v>
      </c>
      <c r="AZ4012" t="s">
        <v>11221</v>
      </c>
      <c r="BE4012" t="s">
        <v>13852</v>
      </c>
      <c r="BF4012" t="s">
        <v>14364</v>
      </c>
      <c r="BM4012" t="s">
        <v>15650</v>
      </c>
    </row>
    <row r="4013" spans="1:65">
      <c r="A4013" s="1">
        <f>HYPERLINK("https://lsnyc.legalserver.org/matter/dynamic-profile/view/0815928","16-0815928")</f>
        <v>0</v>
      </c>
      <c r="B4013" t="s">
        <v>212</v>
      </c>
      <c r="C4013" t="s">
        <v>248</v>
      </c>
      <c r="D4013" t="s">
        <v>1024</v>
      </c>
      <c r="F4013" t="s">
        <v>1155</v>
      </c>
      <c r="G4013" t="s">
        <v>4485</v>
      </c>
      <c r="H4013" t="s">
        <v>6083</v>
      </c>
      <c r="I4013">
        <v>14</v>
      </c>
      <c r="J4013" t="s">
        <v>7174</v>
      </c>
      <c r="K4013">
        <v>11215</v>
      </c>
      <c r="M4013" t="s">
        <v>7226</v>
      </c>
      <c r="N4013" t="s">
        <v>7237</v>
      </c>
      <c r="O4013" t="s">
        <v>9758</v>
      </c>
      <c r="P4013">
        <v>3</v>
      </c>
      <c r="Q4013">
        <v>0</v>
      </c>
      <c r="R4013">
        <v>3.41</v>
      </c>
      <c r="U4013">
        <v>688</v>
      </c>
      <c r="W4013">
        <v>33.9</v>
      </c>
      <c r="X4013" t="s">
        <v>1030</v>
      </c>
      <c r="Y4013" t="s">
        <v>10909</v>
      </c>
      <c r="AA4013" t="s">
        <v>10974</v>
      </c>
      <c r="AB4013" t="s">
        <v>10982</v>
      </c>
      <c r="AD4013" t="s">
        <v>11083</v>
      </c>
      <c r="AF4013" t="s">
        <v>11118</v>
      </c>
      <c r="AG4013" t="s">
        <v>11124</v>
      </c>
      <c r="AJ4013" t="s">
        <v>11140</v>
      </c>
      <c r="AK4013" t="s">
        <v>7225</v>
      </c>
      <c r="AM4013">
        <v>836.25</v>
      </c>
      <c r="AO4013">
        <v>20</v>
      </c>
      <c r="AQ4013" t="s">
        <v>11157</v>
      </c>
      <c r="AS4013" t="s">
        <v>11173</v>
      </c>
      <c r="AU4013">
        <v>38</v>
      </c>
      <c r="AW4013" t="s">
        <v>11187</v>
      </c>
      <c r="AZ4013" t="s">
        <v>11221</v>
      </c>
      <c r="BE4013" t="s">
        <v>13850</v>
      </c>
      <c r="BG4013" t="s">
        <v>15318</v>
      </c>
      <c r="BM4013" t="s">
        <v>15650</v>
      </c>
    </row>
    <row r="4014" spans="1:65">
      <c r="A4014" s="1">
        <f>HYPERLINK("https://lsnyc.legalserver.org/matter/dynamic-profile/view/1909733","19-1909733")</f>
        <v>0</v>
      </c>
      <c r="B4014" t="s">
        <v>212</v>
      </c>
      <c r="C4014" t="s">
        <v>248</v>
      </c>
      <c r="D4014" t="s">
        <v>434</v>
      </c>
      <c r="E4014" t="s">
        <v>497</v>
      </c>
      <c r="F4014" t="s">
        <v>1430</v>
      </c>
      <c r="G4014" t="s">
        <v>4487</v>
      </c>
      <c r="H4014" t="s">
        <v>6086</v>
      </c>
      <c r="I4014" t="s">
        <v>6432</v>
      </c>
      <c r="J4014" t="s">
        <v>7174</v>
      </c>
      <c r="K4014">
        <v>11228</v>
      </c>
      <c r="L4014" t="s">
        <v>7216</v>
      </c>
      <c r="N4014" t="s">
        <v>7237</v>
      </c>
      <c r="O4014" t="s">
        <v>9761</v>
      </c>
      <c r="P4014">
        <v>1</v>
      </c>
      <c r="Q4014">
        <v>0</v>
      </c>
      <c r="R4014">
        <v>178.13</v>
      </c>
      <c r="U4014">
        <v>22248</v>
      </c>
      <c r="W4014">
        <v>0.6</v>
      </c>
      <c r="X4014" t="s">
        <v>497</v>
      </c>
      <c r="Y4014" t="s">
        <v>212</v>
      </c>
      <c r="Z4014" t="s">
        <v>10972</v>
      </c>
      <c r="AA4014" t="s">
        <v>10976</v>
      </c>
      <c r="AC4014" t="s">
        <v>11081</v>
      </c>
      <c r="AE4014" t="s">
        <v>11117</v>
      </c>
      <c r="AG4014" t="s">
        <v>11124</v>
      </c>
      <c r="AI4014" t="s">
        <v>11126</v>
      </c>
      <c r="AK4014" t="s">
        <v>7225</v>
      </c>
      <c r="AL4014" t="s">
        <v>11150</v>
      </c>
      <c r="AM4014">
        <v>0</v>
      </c>
      <c r="AN4014" t="s">
        <v>11151</v>
      </c>
      <c r="AO4014" t="s">
        <v>11153</v>
      </c>
      <c r="AP4014" t="s">
        <v>11155</v>
      </c>
      <c r="AR4014" t="s">
        <v>11172</v>
      </c>
      <c r="AT4014" t="s">
        <v>11184</v>
      </c>
      <c r="AU4014">
        <v>0</v>
      </c>
      <c r="AW4014" t="s">
        <v>11187</v>
      </c>
      <c r="AX4014" t="s">
        <v>11212</v>
      </c>
      <c r="AZ4014" t="s">
        <v>11221</v>
      </c>
      <c r="BE4014" t="s">
        <v>13853</v>
      </c>
      <c r="BF4014" t="s">
        <v>14364</v>
      </c>
      <c r="BM4014" t="s">
        <v>15651</v>
      </c>
    </row>
    <row r="4015" spans="1:65">
      <c r="A4015" s="1">
        <f>HYPERLINK("https://lsnyc.legalserver.org/matter/dynamic-profile/view/1905470","19-1905470")</f>
        <v>0</v>
      </c>
      <c r="B4015" t="s">
        <v>212</v>
      </c>
      <c r="C4015" t="s">
        <v>248</v>
      </c>
      <c r="D4015" t="s">
        <v>685</v>
      </c>
      <c r="E4015" t="s">
        <v>497</v>
      </c>
      <c r="F4015" t="s">
        <v>1697</v>
      </c>
      <c r="G4015" t="s">
        <v>4488</v>
      </c>
      <c r="H4015" t="s">
        <v>6087</v>
      </c>
      <c r="I4015" t="s">
        <v>6550</v>
      </c>
      <c r="J4015" t="s">
        <v>7174</v>
      </c>
      <c r="K4015">
        <v>11230</v>
      </c>
      <c r="L4015" t="s">
        <v>7216</v>
      </c>
      <c r="N4015" t="s">
        <v>7237</v>
      </c>
      <c r="O4015" t="s">
        <v>9762</v>
      </c>
      <c r="P4015">
        <v>2</v>
      </c>
      <c r="Q4015">
        <v>0</v>
      </c>
      <c r="R4015">
        <v>70.73</v>
      </c>
      <c r="U4015">
        <v>11960</v>
      </c>
      <c r="W4015">
        <v>0.9</v>
      </c>
      <c r="X4015" t="s">
        <v>497</v>
      </c>
      <c r="Y4015" t="s">
        <v>212</v>
      </c>
      <c r="Z4015" t="s">
        <v>10972</v>
      </c>
      <c r="AA4015" t="s">
        <v>10976</v>
      </c>
      <c r="AC4015" t="s">
        <v>11081</v>
      </c>
      <c r="AE4015" t="s">
        <v>11117</v>
      </c>
      <c r="AG4015" t="s">
        <v>11124</v>
      </c>
      <c r="AI4015" t="s">
        <v>11126</v>
      </c>
      <c r="AK4015" t="s">
        <v>7225</v>
      </c>
      <c r="AL4015" t="s">
        <v>11150</v>
      </c>
      <c r="AM4015">
        <v>0</v>
      </c>
      <c r="AN4015" t="s">
        <v>11151</v>
      </c>
      <c r="AO4015" t="s">
        <v>11153</v>
      </c>
      <c r="AP4015" t="s">
        <v>11155</v>
      </c>
      <c r="AR4015" t="s">
        <v>11172</v>
      </c>
      <c r="AT4015" t="s">
        <v>11184</v>
      </c>
      <c r="AU4015">
        <v>0</v>
      </c>
      <c r="AW4015" t="s">
        <v>11187</v>
      </c>
      <c r="AX4015" t="s">
        <v>11212</v>
      </c>
      <c r="AZ4015" t="s">
        <v>11221</v>
      </c>
      <c r="BE4015" t="s">
        <v>13854</v>
      </c>
      <c r="BF4015" t="s">
        <v>14364</v>
      </c>
      <c r="BM4015" t="s">
        <v>15651</v>
      </c>
    </row>
    <row r="4016" spans="1:65">
      <c r="A4016" s="1">
        <f>HYPERLINK("https://lsnyc.legalserver.org/matter/dynamic-profile/view/1901368","19-1901368")</f>
        <v>0</v>
      </c>
      <c r="B4016" t="s">
        <v>212</v>
      </c>
      <c r="C4016" t="s">
        <v>248</v>
      </c>
      <c r="D4016" t="s">
        <v>589</v>
      </c>
      <c r="E4016" t="s">
        <v>497</v>
      </c>
      <c r="F4016" t="s">
        <v>2614</v>
      </c>
      <c r="G4016" t="s">
        <v>4489</v>
      </c>
      <c r="H4016" t="s">
        <v>6088</v>
      </c>
      <c r="I4016" t="s">
        <v>6420</v>
      </c>
      <c r="J4016" t="s">
        <v>7174</v>
      </c>
      <c r="K4016">
        <v>11218</v>
      </c>
      <c r="L4016" t="s">
        <v>7217</v>
      </c>
      <c r="N4016" t="s">
        <v>7237</v>
      </c>
      <c r="O4016" t="s">
        <v>9022</v>
      </c>
      <c r="P4016">
        <v>3</v>
      </c>
      <c r="Q4016">
        <v>2</v>
      </c>
      <c r="R4016">
        <v>80.20999999999999</v>
      </c>
      <c r="U4016">
        <v>24200</v>
      </c>
      <c r="W4016">
        <v>0.8</v>
      </c>
      <c r="X4016" t="s">
        <v>497</v>
      </c>
      <c r="Y4016" t="s">
        <v>212</v>
      </c>
      <c r="AA4016" t="s">
        <v>10974</v>
      </c>
      <c r="AB4016" t="s">
        <v>589</v>
      </c>
      <c r="AD4016" t="s">
        <v>11100</v>
      </c>
      <c r="AF4016" t="s">
        <v>11120</v>
      </c>
      <c r="AH4016" t="s">
        <v>10974</v>
      </c>
      <c r="AI4016" t="s">
        <v>11126</v>
      </c>
      <c r="AK4016" t="s">
        <v>7225</v>
      </c>
      <c r="AL4016" t="s">
        <v>11150</v>
      </c>
      <c r="AM4016">
        <v>0</v>
      </c>
      <c r="AN4016" t="s">
        <v>11151</v>
      </c>
      <c r="AO4016" t="s">
        <v>11153</v>
      </c>
      <c r="AP4016" t="s">
        <v>11155</v>
      </c>
      <c r="AR4016" t="s">
        <v>11172</v>
      </c>
      <c r="AT4016" t="s">
        <v>11184</v>
      </c>
      <c r="AU4016">
        <v>0</v>
      </c>
      <c r="AW4016" t="s">
        <v>11187</v>
      </c>
      <c r="AZ4016" t="s">
        <v>11221</v>
      </c>
      <c r="BD4016" t="s">
        <v>11667</v>
      </c>
      <c r="BF4016" t="s">
        <v>14364</v>
      </c>
      <c r="BM4016" t="s">
        <v>15651</v>
      </c>
    </row>
    <row r="4017" spans="1:65">
      <c r="A4017" s="1">
        <f>HYPERLINK("https://lsnyc.legalserver.org/matter/dynamic-profile/view/1913064","19-1913064")</f>
        <v>0</v>
      </c>
      <c r="B4017" t="s">
        <v>213</v>
      </c>
      <c r="C4017" t="s">
        <v>247</v>
      </c>
      <c r="D4017" t="s">
        <v>336</v>
      </c>
      <c r="F4017" t="s">
        <v>1144</v>
      </c>
      <c r="G4017" t="s">
        <v>4490</v>
      </c>
      <c r="H4017" t="s">
        <v>6089</v>
      </c>
      <c r="I4017" t="s">
        <v>7030</v>
      </c>
      <c r="J4017" t="s">
        <v>7176</v>
      </c>
      <c r="K4017">
        <v>11368</v>
      </c>
      <c r="N4017" t="s">
        <v>7237</v>
      </c>
      <c r="O4017" t="s">
        <v>9763</v>
      </c>
      <c r="P4017">
        <v>1</v>
      </c>
      <c r="Q4017">
        <v>1</v>
      </c>
      <c r="R4017">
        <v>293.32</v>
      </c>
      <c r="U4017">
        <v>49600</v>
      </c>
      <c r="W4017">
        <v>0.3</v>
      </c>
      <c r="X4017" t="s">
        <v>336</v>
      </c>
      <c r="Y4017" t="s">
        <v>10870</v>
      </c>
      <c r="AA4017" t="s">
        <v>10974</v>
      </c>
      <c r="AB4017" t="s">
        <v>336</v>
      </c>
      <c r="AD4017" t="s">
        <v>11098</v>
      </c>
      <c r="AF4017" t="s">
        <v>11122</v>
      </c>
      <c r="AH4017" t="s">
        <v>10974</v>
      </c>
      <c r="AJ4017" t="s">
        <v>11134</v>
      </c>
      <c r="AK4017" t="s">
        <v>7225</v>
      </c>
      <c r="AM4017">
        <v>994</v>
      </c>
      <c r="AN4017" t="s">
        <v>11151</v>
      </c>
      <c r="AO4017" t="s">
        <v>11153</v>
      </c>
      <c r="AQ4017" t="s">
        <v>11157</v>
      </c>
      <c r="AS4017" t="s">
        <v>11175</v>
      </c>
      <c r="AU4017">
        <v>15</v>
      </c>
      <c r="AW4017" t="s">
        <v>11187</v>
      </c>
      <c r="AY4017" t="s">
        <v>11213</v>
      </c>
      <c r="BA4017" t="s">
        <v>11222</v>
      </c>
      <c r="BB4017" t="s">
        <v>11224</v>
      </c>
      <c r="BC4017" t="s">
        <v>11236</v>
      </c>
      <c r="BE4017" t="s">
        <v>13855</v>
      </c>
      <c r="BG4017" t="s">
        <v>15319</v>
      </c>
      <c r="BK4017" t="s">
        <v>11104</v>
      </c>
      <c r="BM4017" t="s">
        <v>15650</v>
      </c>
    </row>
    <row r="4018" spans="1:65">
      <c r="A4018" s="1">
        <f>HYPERLINK("https://lsnyc.legalserver.org/matter/dynamic-profile/view/1914416","19-1914416")</f>
        <v>0</v>
      </c>
      <c r="B4018" t="s">
        <v>213</v>
      </c>
      <c r="C4018" t="s">
        <v>247</v>
      </c>
      <c r="D4018" t="s">
        <v>497</v>
      </c>
      <c r="F4018" t="s">
        <v>2615</v>
      </c>
      <c r="G4018" t="s">
        <v>4491</v>
      </c>
      <c r="H4018" t="s">
        <v>6090</v>
      </c>
      <c r="I4018" t="s">
        <v>6446</v>
      </c>
      <c r="J4018" t="s">
        <v>7189</v>
      </c>
      <c r="K4018">
        <v>11356</v>
      </c>
      <c r="N4018" t="s">
        <v>7237</v>
      </c>
      <c r="O4018" t="s">
        <v>9764</v>
      </c>
      <c r="P4018">
        <v>2</v>
      </c>
      <c r="Q4018">
        <v>2</v>
      </c>
      <c r="R4018">
        <v>93.2</v>
      </c>
      <c r="U4018">
        <v>24000</v>
      </c>
      <c r="W4018">
        <v>2.25</v>
      </c>
      <c r="X4018" t="s">
        <v>528</v>
      </c>
      <c r="Y4018" t="s">
        <v>202</v>
      </c>
      <c r="AA4018" t="s">
        <v>10974</v>
      </c>
      <c r="AD4018" t="s">
        <v>11083</v>
      </c>
      <c r="AF4018" t="s">
        <v>11119</v>
      </c>
      <c r="AG4018" t="s">
        <v>11124</v>
      </c>
      <c r="AJ4018" t="s">
        <v>11138</v>
      </c>
      <c r="AK4018" t="s">
        <v>7225</v>
      </c>
      <c r="AM4018">
        <v>1800</v>
      </c>
      <c r="AO4018">
        <v>2</v>
      </c>
      <c r="AQ4018" t="s">
        <v>11156</v>
      </c>
      <c r="AS4018" t="s">
        <v>11173</v>
      </c>
      <c r="AU4018">
        <v>3</v>
      </c>
      <c r="AW4018" t="s">
        <v>11187</v>
      </c>
      <c r="AY4018" t="s">
        <v>11214</v>
      </c>
      <c r="AZ4018" t="s">
        <v>11221</v>
      </c>
      <c r="BE4018" t="s">
        <v>13856</v>
      </c>
      <c r="BG4018" t="s">
        <v>15320</v>
      </c>
      <c r="BM4018" t="s">
        <v>15650</v>
      </c>
    </row>
    <row r="4019" spans="1:65">
      <c r="A4019" s="1">
        <f>HYPERLINK("https://lsnyc.legalserver.org/matter/dynamic-profile/view/1913067","19-1913067")</f>
        <v>0</v>
      </c>
      <c r="B4019" t="s">
        <v>213</v>
      </c>
      <c r="C4019" t="s">
        <v>247</v>
      </c>
      <c r="D4019" t="s">
        <v>312</v>
      </c>
      <c r="F4019" t="s">
        <v>1158</v>
      </c>
      <c r="G4019" t="s">
        <v>2947</v>
      </c>
      <c r="H4019" t="s">
        <v>4817</v>
      </c>
      <c r="I4019" t="s">
        <v>6444</v>
      </c>
      <c r="J4019" t="s">
        <v>7176</v>
      </c>
      <c r="K4019">
        <v>11368</v>
      </c>
      <c r="N4019" t="s">
        <v>7237</v>
      </c>
      <c r="O4019" t="s">
        <v>7327</v>
      </c>
      <c r="P4019">
        <v>4</v>
      </c>
      <c r="Q4019">
        <v>0</v>
      </c>
      <c r="R4019">
        <v>272.62</v>
      </c>
      <c r="U4019">
        <v>70200</v>
      </c>
      <c r="W4019">
        <v>0.4</v>
      </c>
      <c r="X4019" t="s">
        <v>312</v>
      </c>
      <c r="Y4019" t="s">
        <v>10870</v>
      </c>
      <c r="AA4019" t="s">
        <v>10974</v>
      </c>
      <c r="AB4019" t="s">
        <v>312</v>
      </c>
      <c r="AD4019" t="s">
        <v>11090</v>
      </c>
      <c r="AF4019" t="s">
        <v>10384</v>
      </c>
      <c r="AH4019" t="s">
        <v>10974</v>
      </c>
      <c r="AJ4019" t="s">
        <v>11134</v>
      </c>
      <c r="AK4019" t="s">
        <v>7225</v>
      </c>
      <c r="AM4019">
        <v>2275</v>
      </c>
      <c r="AO4019">
        <v>232</v>
      </c>
      <c r="AQ4019" t="s">
        <v>11157</v>
      </c>
      <c r="AS4019" t="s">
        <v>11173</v>
      </c>
      <c r="AU4019">
        <v>1</v>
      </c>
      <c r="AW4019" t="s">
        <v>11189</v>
      </c>
      <c r="BA4019" t="s">
        <v>11222</v>
      </c>
      <c r="BE4019" t="s">
        <v>11236</v>
      </c>
      <c r="BF4019" t="s">
        <v>14364</v>
      </c>
      <c r="BM4019" t="s">
        <v>15650</v>
      </c>
    </row>
    <row r="4020" spans="1:65">
      <c r="A4020" s="1">
        <f>HYPERLINK("https://lsnyc.legalserver.org/matter/dynamic-profile/view/1897572","19-1897572")</f>
        <v>0</v>
      </c>
      <c r="B4020" t="s">
        <v>213</v>
      </c>
      <c r="C4020" t="s">
        <v>247</v>
      </c>
      <c r="D4020" t="s">
        <v>389</v>
      </c>
      <c r="F4020" t="s">
        <v>2616</v>
      </c>
      <c r="G4020" t="s">
        <v>3152</v>
      </c>
      <c r="H4020" t="s">
        <v>6091</v>
      </c>
      <c r="I4020" t="s">
        <v>7082</v>
      </c>
      <c r="J4020" t="s">
        <v>7178</v>
      </c>
      <c r="K4020">
        <v>11386</v>
      </c>
      <c r="N4020" t="s">
        <v>7237</v>
      </c>
      <c r="O4020" t="s">
        <v>9765</v>
      </c>
      <c r="P4020">
        <v>1</v>
      </c>
      <c r="Q4020">
        <v>0</v>
      </c>
      <c r="R4020">
        <v>376.3</v>
      </c>
      <c r="U4020">
        <v>47000</v>
      </c>
      <c r="W4020">
        <v>85.95999999999999</v>
      </c>
      <c r="X4020" t="s">
        <v>262</v>
      </c>
      <c r="Y4020" t="s">
        <v>217</v>
      </c>
      <c r="AA4020" t="s">
        <v>10974</v>
      </c>
      <c r="AB4020" t="s">
        <v>10823</v>
      </c>
      <c r="AD4020" t="s">
        <v>11098</v>
      </c>
      <c r="AF4020" t="s">
        <v>11122</v>
      </c>
      <c r="AH4020" t="s">
        <v>10974</v>
      </c>
      <c r="AJ4020" t="s">
        <v>11134</v>
      </c>
      <c r="AK4020" t="s">
        <v>7225</v>
      </c>
      <c r="AM4020">
        <v>1260</v>
      </c>
      <c r="AO4020">
        <v>70</v>
      </c>
      <c r="AQ4020" t="s">
        <v>11157</v>
      </c>
      <c r="AS4020" t="s">
        <v>11173</v>
      </c>
      <c r="AU4020">
        <v>19</v>
      </c>
      <c r="AW4020" t="s">
        <v>11187</v>
      </c>
      <c r="AY4020" t="s">
        <v>11213</v>
      </c>
      <c r="BA4020" t="s">
        <v>11222</v>
      </c>
      <c r="BB4020" t="s">
        <v>11224</v>
      </c>
      <c r="BC4020" t="s">
        <v>11236</v>
      </c>
      <c r="BE4020" t="s">
        <v>13857</v>
      </c>
      <c r="BG4020" t="s">
        <v>15319</v>
      </c>
      <c r="BM4020" t="s">
        <v>15650</v>
      </c>
    </row>
    <row r="4021" spans="1:65">
      <c r="A4021" s="1">
        <f>HYPERLINK("https://lsnyc.legalserver.org/matter/dynamic-profile/view/1908549","19-1908549")</f>
        <v>0</v>
      </c>
      <c r="B4021" t="s">
        <v>213</v>
      </c>
      <c r="C4021" t="s">
        <v>247</v>
      </c>
      <c r="D4021" t="s">
        <v>635</v>
      </c>
      <c r="F4021" t="s">
        <v>1561</v>
      </c>
      <c r="G4021" t="s">
        <v>4492</v>
      </c>
      <c r="H4021" t="s">
        <v>6092</v>
      </c>
      <c r="I4021">
        <v>4</v>
      </c>
      <c r="J4021" t="s">
        <v>7195</v>
      </c>
      <c r="K4021">
        <v>11103</v>
      </c>
      <c r="N4021" t="s">
        <v>7237</v>
      </c>
      <c r="O4021" t="s">
        <v>9766</v>
      </c>
      <c r="P4021">
        <v>1</v>
      </c>
      <c r="Q4021">
        <v>0</v>
      </c>
      <c r="R4021">
        <v>192.15</v>
      </c>
      <c r="U4021">
        <v>24000</v>
      </c>
      <c r="W4021">
        <v>2.85</v>
      </c>
      <c r="X4021" t="s">
        <v>426</v>
      </c>
      <c r="Y4021" t="s">
        <v>10873</v>
      </c>
      <c r="AA4021" t="s">
        <v>10974</v>
      </c>
      <c r="AB4021" t="s">
        <v>317</v>
      </c>
      <c r="AD4021" t="s">
        <v>11090</v>
      </c>
      <c r="AF4021" t="s">
        <v>10384</v>
      </c>
      <c r="AH4021" t="s">
        <v>10975</v>
      </c>
      <c r="AJ4021" t="s">
        <v>11147</v>
      </c>
      <c r="AK4021" t="s">
        <v>7225</v>
      </c>
      <c r="AM4021">
        <v>630</v>
      </c>
      <c r="AO4021">
        <v>25</v>
      </c>
      <c r="AQ4021" t="s">
        <v>11157</v>
      </c>
      <c r="AS4021" t="s">
        <v>11104</v>
      </c>
      <c r="AU4021">
        <v>50</v>
      </c>
      <c r="AW4021" t="s">
        <v>11187</v>
      </c>
      <c r="AY4021" t="s">
        <v>11213</v>
      </c>
      <c r="BA4021" t="s">
        <v>11222</v>
      </c>
      <c r="BE4021" t="s">
        <v>13858</v>
      </c>
      <c r="BF4021" t="s">
        <v>14364</v>
      </c>
      <c r="BM4021" t="s">
        <v>15650</v>
      </c>
    </row>
    <row r="4022" spans="1:65">
      <c r="A4022" s="1">
        <f>HYPERLINK("https://lsnyc.legalserver.org/matter/dynamic-profile/view/1900069","19-1900069")</f>
        <v>0</v>
      </c>
      <c r="B4022" t="s">
        <v>213</v>
      </c>
      <c r="C4022" t="s">
        <v>247</v>
      </c>
      <c r="D4022" t="s">
        <v>666</v>
      </c>
      <c r="F4022" t="s">
        <v>2617</v>
      </c>
      <c r="G4022" t="s">
        <v>4493</v>
      </c>
      <c r="H4022" t="s">
        <v>6093</v>
      </c>
      <c r="I4022" t="s">
        <v>6637</v>
      </c>
      <c r="J4022" t="s">
        <v>7178</v>
      </c>
      <c r="K4022">
        <v>11385</v>
      </c>
      <c r="N4022" t="s">
        <v>7237</v>
      </c>
      <c r="O4022" t="s">
        <v>9767</v>
      </c>
      <c r="P4022">
        <v>2</v>
      </c>
      <c r="Q4022">
        <v>1</v>
      </c>
      <c r="R4022">
        <v>0</v>
      </c>
      <c r="U4022">
        <v>0</v>
      </c>
      <c r="W4022">
        <v>48.67</v>
      </c>
      <c r="X4022" t="s">
        <v>528</v>
      </c>
      <c r="Y4022" t="s">
        <v>217</v>
      </c>
      <c r="AA4022" t="s">
        <v>10974</v>
      </c>
      <c r="AB4022" t="s">
        <v>322</v>
      </c>
      <c r="AD4022" t="s">
        <v>11101</v>
      </c>
      <c r="AF4022" t="s">
        <v>11118</v>
      </c>
      <c r="AH4022" t="s">
        <v>10975</v>
      </c>
      <c r="AJ4022" t="s">
        <v>11129</v>
      </c>
      <c r="AK4022" t="s">
        <v>7225</v>
      </c>
      <c r="AM4022">
        <v>204</v>
      </c>
      <c r="AO4022">
        <v>6</v>
      </c>
      <c r="AQ4022" t="s">
        <v>11160</v>
      </c>
      <c r="AS4022" t="s">
        <v>11173</v>
      </c>
      <c r="AU4022">
        <v>52</v>
      </c>
      <c r="AW4022" t="s">
        <v>11187</v>
      </c>
      <c r="AY4022" t="s">
        <v>11213</v>
      </c>
      <c r="BA4022" t="s">
        <v>11222</v>
      </c>
      <c r="BB4022" t="s">
        <v>11224</v>
      </c>
      <c r="BC4022" t="s">
        <v>11236</v>
      </c>
      <c r="BE4022" t="s">
        <v>13859</v>
      </c>
      <c r="BF4022" t="s">
        <v>14364</v>
      </c>
      <c r="BG4022" t="s">
        <v>15321</v>
      </c>
      <c r="BM4022" t="s">
        <v>15650</v>
      </c>
    </row>
    <row r="4023" spans="1:65">
      <c r="A4023" s="1">
        <f>HYPERLINK("https://lsnyc.legalserver.org/matter/dynamic-profile/view/1907120","19-1907120")</f>
        <v>0</v>
      </c>
      <c r="B4023" t="s">
        <v>213</v>
      </c>
      <c r="C4023" t="s">
        <v>247</v>
      </c>
      <c r="D4023" t="s">
        <v>1025</v>
      </c>
      <c r="F4023" t="s">
        <v>1877</v>
      </c>
      <c r="G4023" t="s">
        <v>4494</v>
      </c>
      <c r="H4023" t="s">
        <v>6094</v>
      </c>
      <c r="I4023" t="s">
        <v>7083</v>
      </c>
      <c r="J4023" t="s">
        <v>7176</v>
      </c>
      <c r="K4023">
        <v>11368</v>
      </c>
      <c r="N4023" t="s">
        <v>7237</v>
      </c>
      <c r="O4023" t="s">
        <v>9768</v>
      </c>
      <c r="P4023">
        <v>1</v>
      </c>
      <c r="Q4023">
        <v>0</v>
      </c>
      <c r="R4023">
        <v>240.19</v>
      </c>
      <c r="U4023">
        <v>30000</v>
      </c>
      <c r="W4023">
        <v>20.85</v>
      </c>
      <c r="X4023" t="s">
        <v>293</v>
      </c>
      <c r="Y4023" t="s">
        <v>217</v>
      </c>
      <c r="AA4023" t="s">
        <v>10974</v>
      </c>
      <c r="AD4023" t="s">
        <v>11082</v>
      </c>
      <c r="AF4023" t="s">
        <v>11118</v>
      </c>
      <c r="AH4023" t="s">
        <v>10975</v>
      </c>
      <c r="AI4023" t="s">
        <v>11126</v>
      </c>
      <c r="AK4023" t="s">
        <v>7225</v>
      </c>
      <c r="AM4023">
        <v>932</v>
      </c>
      <c r="AO4023">
        <v>30</v>
      </c>
      <c r="AQ4023" t="s">
        <v>11157</v>
      </c>
      <c r="AS4023" t="s">
        <v>11175</v>
      </c>
      <c r="AU4023">
        <v>42</v>
      </c>
      <c r="AW4023" t="s">
        <v>11187</v>
      </c>
      <c r="AY4023" t="s">
        <v>11213</v>
      </c>
      <c r="BA4023" t="s">
        <v>11222</v>
      </c>
      <c r="BE4023" t="s">
        <v>13860</v>
      </c>
      <c r="BG4023" t="s">
        <v>15322</v>
      </c>
      <c r="BM4023" t="s">
        <v>15650</v>
      </c>
    </row>
    <row r="4024" spans="1:65">
      <c r="A4024" s="1">
        <f>HYPERLINK("https://lsnyc.legalserver.org/matter/dynamic-profile/view/1906212","19-1906212")</f>
        <v>0</v>
      </c>
      <c r="B4024" t="s">
        <v>213</v>
      </c>
      <c r="C4024" t="s">
        <v>247</v>
      </c>
      <c r="D4024" t="s">
        <v>524</v>
      </c>
      <c r="F4024" t="s">
        <v>1122</v>
      </c>
      <c r="G4024" t="s">
        <v>4495</v>
      </c>
      <c r="H4024" t="s">
        <v>6095</v>
      </c>
      <c r="I4024" t="s">
        <v>6626</v>
      </c>
      <c r="J4024" t="s">
        <v>7190</v>
      </c>
      <c r="K4024">
        <v>11377</v>
      </c>
      <c r="N4024" t="s">
        <v>7237</v>
      </c>
      <c r="O4024" t="s">
        <v>9769</v>
      </c>
      <c r="P4024">
        <v>1</v>
      </c>
      <c r="Q4024">
        <v>1</v>
      </c>
      <c r="R4024">
        <v>0</v>
      </c>
      <c r="U4024">
        <v>0</v>
      </c>
      <c r="W4024">
        <v>19.92</v>
      </c>
      <c r="X4024" t="s">
        <v>539</v>
      </c>
      <c r="Y4024" t="s">
        <v>217</v>
      </c>
      <c r="AA4024" t="s">
        <v>10974</v>
      </c>
      <c r="AD4024" t="s">
        <v>11083</v>
      </c>
      <c r="AF4024" t="s">
        <v>11118</v>
      </c>
      <c r="AH4024" t="s">
        <v>10975</v>
      </c>
      <c r="AJ4024" t="s">
        <v>11129</v>
      </c>
      <c r="AK4024" t="s">
        <v>7225</v>
      </c>
      <c r="AM4024">
        <v>1400</v>
      </c>
      <c r="AO4024">
        <v>8</v>
      </c>
      <c r="AQ4024" t="s">
        <v>11156</v>
      </c>
      <c r="AS4024" t="s">
        <v>11173</v>
      </c>
      <c r="AU4024">
        <v>-1</v>
      </c>
      <c r="AW4024" t="s">
        <v>11189</v>
      </c>
      <c r="AY4024" t="s">
        <v>11213</v>
      </c>
      <c r="BA4024" t="s">
        <v>11222</v>
      </c>
      <c r="BD4024" t="s">
        <v>11667</v>
      </c>
      <c r="BF4024" t="s">
        <v>14364</v>
      </c>
      <c r="BM4024" t="s">
        <v>15650</v>
      </c>
    </row>
    <row r="4025" spans="1:65">
      <c r="A4025" s="1">
        <f>HYPERLINK("https://lsnyc.legalserver.org/matter/dynamic-profile/view/1911999","19-1911999")</f>
        <v>0</v>
      </c>
      <c r="B4025" t="s">
        <v>213</v>
      </c>
      <c r="C4025" t="s">
        <v>247</v>
      </c>
      <c r="D4025" t="s">
        <v>341</v>
      </c>
      <c r="F4025" t="s">
        <v>2618</v>
      </c>
      <c r="G4025" t="s">
        <v>4496</v>
      </c>
      <c r="H4025" t="s">
        <v>6096</v>
      </c>
      <c r="J4025" t="s">
        <v>7171</v>
      </c>
      <c r="K4025">
        <v>11373</v>
      </c>
      <c r="N4025" t="s">
        <v>7237</v>
      </c>
      <c r="O4025" t="s">
        <v>9770</v>
      </c>
      <c r="P4025">
        <v>1</v>
      </c>
      <c r="Q4025">
        <v>2</v>
      </c>
      <c r="R4025">
        <v>0</v>
      </c>
      <c r="S4025" t="s">
        <v>10254</v>
      </c>
      <c r="T4025" t="s">
        <v>10275</v>
      </c>
      <c r="U4025">
        <v>0</v>
      </c>
      <c r="W4025">
        <v>0.5</v>
      </c>
      <c r="X4025" t="s">
        <v>341</v>
      </c>
      <c r="Y4025" t="s">
        <v>213</v>
      </c>
      <c r="Z4025" t="s">
        <v>10972</v>
      </c>
      <c r="AA4025" t="s">
        <v>10975</v>
      </c>
      <c r="AD4025" t="s">
        <v>11086</v>
      </c>
      <c r="AF4025" t="s">
        <v>11119</v>
      </c>
      <c r="AH4025" t="s">
        <v>10975</v>
      </c>
      <c r="AJ4025" t="s">
        <v>11133</v>
      </c>
      <c r="AK4025" t="s">
        <v>11149</v>
      </c>
      <c r="AM4025">
        <v>1300</v>
      </c>
      <c r="AO4025">
        <v>3</v>
      </c>
      <c r="AQ4025" t="s">
        <v>11156</v>
      </c>
      <c r="AR4025" t="s">
        <v>11172</v>
      </c>
      <c r="AT4025" t="s">
        <v>11184</v>
      </c>
      <c r="AU4025">
        <v>0</v>
      </c>
      <c r="AW4025" t="s">
        <v>11187</v>
      </c>
      <c r="AX4025" t="s">
        <v>11212</v>
      </c>
      <c r="AZ4025" t="s">
        <v>11221</v>
      </c>
      <c r="BA4025" t="s">
        <v>11173</v>
      </c>
      <c r="BE4025" t="s">
        <v>13861</v>
      </c>
      <c r="BF4025" t="s">
        <v>14364</v>
      </c>
      <c r="BG4025" t="s">
        <v>14410</v>
      </c>
      <c r="BM4025" t="s">
        <v>15650</v>
      </c>
    </row>
    <row r="4026" spans="1:65">
      <c r="A4026" s="1">
        <f>HYPERLINK("https://lsnyc.legalserver.org/matter/dynamic-profile/view/1912582","19-1912582")</f>
        <v>0</v>
      </c>
      <c r="B4026" t="s">
        <v>213</v>
      </c>
      <c r="C4026" t="s">
        <v>247</v>
      </c>
      <c r="D4026" t="s">
        <v>305</v>
      </c>
      <c r="F4026" t="s">
        <v>1394</v>
      </c>
      <c r="G4026" t="s">
        <v>4146</v>
      </c>
      <c r="H4026" t="s">
        <v>6089</v>
      </c>
      <c r="J4026" t="s">
        <v>7176</v>
      </c>
      <c r="K4026">
        <v>11368</v>
      </c>
      <c r="N4026" t="s">
        <v>7237</v>
      </c>
      <c r="O4026" t="s">
        <v>7288</v>
      </c>
      <c r="P4026">
        <v>1</v>
      </c>
      <c r="Q4026">
        <v>0</v>
      </c>
      <c r="R4026">
        <v>0</v>
      </c>
      <c r="U4026">
        <v>0</v>
      </c>
      <c r="W4026">
        <v>0.5</v>
      </c>
      <c r="X4026" t="s">
        <v>305</v>
      </c>
      <c r="Y4026" t="s">
        <v>10870</v>
      </c>
      <c r="AA4026" t="s">
        <v>10974</v>
      </c>
      <c r="AB4026" t="s">
        <v>305</v>
      </c>
      <c r="AD4026" t="s">
        <v>11098</v>
      </c>
      <c r="AF4026" t="s">
        <v>11122</v>
      </c>
      <c r="AH4026" t="s">
        <v>10974</v>
      </c>
      <c r="AJ4026" t="s">
        <v>11134</v>
      </c>
      <c r="AK4026" t="s">
        <v>7225</v>
      </c>
      <c r="AM4026">
        <v>1240</v>
      </c>
      <c r="AN4026" t="s">
        <v>11151</v>
      </c>
      <c r="AO4026" t="s">
        <v>11153</v>
      </c>
      <c r="AQ4026" t="s">
        <v>11157</v>
      </c>
      <c r="AS4026" t="s">
        <v>11173</v>
      </c>
      <c r="AU4026">
        <v>27</v>
      </c>
      <c r="AW4026" t="s">
        <v>11187</v>
      </c>
      <c r="AY4026" t="s">
        <v>11213</v>
      </c>
      <c r="BA4026" t="s">
        <v>11222</v>
      </c>
      <c r="BB4026" t="s">
        <v>11224</v>
      </c>
      <c r="BC4026" t="s">
        <v>11236</v>
      </c>
      <c r="BE4026" t="s">
        <v>11236</v>
      </c>
      <c r="BG4026" t="s">
        <v>15319</v>
      </c>
      <c r="BK4026" t="s">
        <v>11104</v>
      </c>
      <c r="BM4026" t="s">
        <v>15650</v>
      </c>
    </row>
    <row r="4027" spans="1:65">
      <c r="A4027" s="1">
        <f>HYPERLINK("https://lsnyc.legalserver.org/matter/dynamic-profile/view/1898775","19-1898775")</f>
        <v>0</v>
      </c>
      <c r="B4027" t="s">
        <v>213</v>
      </c>
      <c r="C4027" t="s">
        <v>247</v>
      </c>
      <c r="D4027" t="s">
        <v>562</v>
      </c>
      <c r="F4027" t="s">
        <v>1122</v>
      </c>
      <c r="G4027" t="s">
        <v>2877</v>
      </c>
      <c r="H4027" t="s">
        <v>6097</v>
      </c>
      <c r="I4027" t="s">
        <v>7084</v>
      </c>
      <c r="J4027" t="s">
        <v>7203</v>
      </c>
      <c r="K4027">
        <v>11369</v>
      </c>
      <c r="N4027" t="s">
        <v>7237</v>
      </c>
      <c r="O4027" t="s">
        <v>9771</v>
      </c>
      <c r="P4027">
        <v>3</v>
      </c>
      <c r="Q4027">
        <v>0</v>
      </c>
      <c r="R4027">
        <v>84.89</v>
      </c>
      <c r="U4027">
        <v>18108</v>
      </c>
      <c r="W4027">
        <v>47.8</v>
      </c>
      <c r="X4027" t="s">
        <v>426</v>
      </c>
      <c r="Y4027" t="s">
        <v>10939</v>
      </c>
      <c r="AA4027" t="s">
        <v>10974</v>
      </c>
      <c r="AB4027" t="s">
        <v>562</v>
      </c>
      <c r="AD4027" t="s">
        <v>11083</v>
      </c>
      <c r="AF4027" t="s">
        <v>11118</v>
      </c>
      <c r="AH4027" t="s">
        <v>10975</v>
      </c>
      <c r="AJ4027" t="s">
        <v>11138</v>
      </c>
      <c r="AK4027" t="s">
        <v>7225</v>
      </c>
      <c r="AM4027">
        <v>1396</v>
      </c>
      <c r="AO4027">
        <v>2</v>
      </c>
      <c r="AP4027" t="s">
        <v>11155</v>
      </c>
      <c r="AR4027" t="s">
        <v>11172</v>
      </c>
      <c r="AU4027">
        <v>11</v>
      </c>
      <c r="AW4027" t="s">
        <v>11189</v>
      </c>
      <c r="AY4027" t="s">
        <v>11213</v>
      </c>
      <c r="BA4027" t="s">
        <v>11222</v>
      </c>
      <c r="BE4027" t="s">
        <v>13862</v>
      </c>
      <c r="BG4027" t="s">
        <v>15323</v>
      </c>
      <c r="BM4027" t="s">
        <v>15650</v>
      </c>
    </row>
    <row r="4028" spans="1:65">
      <c r="A4028" s="1">
        <f>HYPERLINK("https://lsnyc.legalserver.org/matter/dynamic-profile/view/1915080","19-1915080")</f>
        <v>0</v>
      </c>
      <c r="B4028" t="s">
        <v>213</v>
      </c>
      <c r="C4028" t="s">
        <v>247</v>
      </c>
      <c r="D4028" t="s">
        <v>264</v>
      </c>
      <c r="F4028" t="s">
        <v>1525</v>
      </c>
      <c r="G4028" t="s">
        <v>4497</v>
      </c>
      <c r="H4028" t="s">
        <v>6098</v>
      </c>
      <c r="I4028">
        <v>1039</v>
      </c>
      <c r="J4028" t="s">
        <v>7181</v>
      </c>
      <c r="K4028">
        <v>11101</v>
      </c>
      <c r="N4028" t="s">
        <v>7237</v>
      </c>
      <c r="O4028" t="s">
        <v>8426</v>
      </c>
      <c r="P4028">
        <v>1</v>
      </c>
      <c r="Q4028">
        <v>2</v>
      </c>
      <c r="R4028">
        <v>130.52</v>
      </c>
      <c r="U4028">
        <v>27840</v>
      </c>
      <c r="W4028">
        <v>3.38</v>
      </c>
      <c r="X4028" t="s">
        <v>539</v>
      </c>
      <c r="Y4028" t="s">
        <v>10875</v>
      </c>
      <c r="AA4028" t="s">
        <v>10974</v>
      </c>
      <c r="AD4028" t="s">
        <v>11082</v>
      </c>
      <c r="AF4028" t="s">
        <v>11119</v>
      </c>
      <c r="AH4028" t="s">
        <v>10975</v>
      </c>
      <c r="AJ4028" t="s">
        <v>11138</v>
      </c>
      <c r="AK4028" t="s">
        <v>7225</v>
      </c>
      <c r="AM4028">
        <v>835</v>
      </c>
      <c r="AO4028">
        <v>600</v>
      </c>
      <c r="AQ4028" t="s">
        <v>11157</v>
      </c>
      <c r="AS4028" t="s">
        <v>11175</v>
      </c>
      <c r="AU4028">
        <v>5</v>
      </c>
      <c r="AW4028" t="s">
        <v>11187</v>
      </c>
      <c r="AX4028" t="s">
        <v>11212</v>
      </c>
      <c r="BA4028" t="s">
        <v>11223</v>
      </c>
      <c r="BC4028" t="s">
        <v>11567</v>
      </c>
      <c r="BE4028" t="s">
        <v>13863</v>
      </c>
      <c r="BG4028" t="s">
        <v>15324</v>
      </c>
      <c r="BM4028" t="s">
        <v>15650</v>
      </c>
    </row>
    <row r="4029" spans="1:65">
      <c r="A4029" s="1">
        <f>HYPERLINK("https://lsnyc.legalserver.org/matter/dynamic-profile/view/1913357","19-1913357")</f>
        <v>0</v>
      </c>
      <c r="B4029" t="s">
        <v>213</v>
      </c>
      <c r="C4029" t="s">
        <v>247</v>
      </c>
      <c r="D4029" t="s">
        <v>273</v>
      </c>
      <c r="F4029" t="s">
        <v>1732</v>
      </c>
      <c r="G4029" t="s">
        <v>2921</v>
      </c>
      <c r="H4029" t="s">
        <v>6099</v>
      </c>
      <c r="I4029" t="s">
        <v>6654</v>
      </c>
      <c r="J4029" t="s">
        <v>7212</v>
      </c>
      <c r="K4029">
        <v>11422</v>
      </c>
      <c r="N4029" t="s">
        <v>7237</v>
      </c>
      <c r="O4029" t="s">
        <v>9772</v>
      </c>
      <c r="P4029">
        <v>1</v>
      </c>
      <c r="Q4029">
        <v>0</v>
      </c>
      <c r="R4029">
        <v>120.48</v>
      </c>
      <c r="U4029">
        <v>15048</v>
      </c>
      <c r="W4029">
        <v>1.72</v>
      </c>
      <c r="X4029" t="s">
        <v>669</v>
      </c>
      <c r="Y4029" t="s">
        <v>10875</v>
      </c>
      <c r="AA4029" t="s">
        <v>10974</v>
      </c>
      <c r="AD4029" t="s">
        <v>11083</v>
      </c>
      <c r="AF4029" t="s">
        <v>11119</v>
      </c>
      <c r="AH4029" t="s">
        <v>10975</v>
      </c>
      <c r="AJ4029" t="s">
        <v>11138</v>
      </c>
      <c r="AK4029" t="s">
        <v>7225</v>
      </c>
      <c r="AM4029">
        <v>1300</v>
      </c>
      <c r="AO4029">
        <v>2</v>
      </c>
      <c r="AQ4029" t="s">
        <v>11156</v>
      </c>
      <c r="AS4029" t="s">
        <v>11174</v>
      </c>
      <c r="AU4029">
        <v>13</v>
      </c>
      <c r="AW4029" t="s">
        <v>11187</v>
      </c>
      <c r="AX4029" t="s">
        <v>11212</v>
      </c>
      <c r="BA4029" t="s">
        <v>11222</v>
      </c>
      <c r="BE4029" t="s">
        <v>13864</v>
      </c>
      <c r="BG4029" t="s">
        <v>15325</v>
      </c>
      <c r="BM4029" t="s">
        <v>15650</v>
      </c>
    </row>
    <row r="4030" spans="1:65">
      <c r="A4030" s="1">
        <f>HYPERLINK("https://lsnyc.legalserver.org/matter/dynamic-profile/view/1915295","19-1915295")</f>
        <v>0</v>
      </c>
      <c r="B4030" t="s">
        <v>213</v>
      </c>
      <c r="C4030" t="s">
        <v>247</v>
      </c>
      <c r="D4030" t="s">
        <v>426</v>
      </c>
      <c r="F4030" t="s">
        <v>2146</v>
      </c>
      <c r="G4030" t="s">
        <v>4498</v>
      </c>
      <c r="H4030" t="s">
        <v>6100</v>
      </c>
      <c r="I4030" t="s">
        <v>6408</v>
      </c>
      <c r="J4030" t="s">
        <v>7173</v>
      </c>
      <c r="K4030">
        <v>11354</v>
      </c>
      <c r="N4030" t="s">
        <v>7237</v>
      </c>
      <c r="O4030" t="s">
        <v>9773</v>
      </c>
      <c r="P4030">
        <v>1</v>
      </c>
      <c r="Q4030">
        <v>0</v>
      </c>
      <c r="R4030">
        <v>137.39</v>
      </c>
      <c r="U4030">
        <v>17160</v>
      </c>
      <c r="W4030">
        <v>0.2</v>
      </c>
      <c r="X4030" t="s">
        <v>638</v>
      </c>
      <c r="Y4030" t="s">
        <v>10870</v>
      </c>
      <c r="AA4030" t="s">
        <v>10974</v>
      </c>
      <c r="AB4030" t="s">
        <v>426</v>
      </c>
      <c r="AD4030" t="s">
        <v>11101</v>
      </c>
      <c r="AF4030" t="s">
        <v>11118</v>
      </c>
      <c r="AH4030" t="s">
        <v>10975</v>
      </c>
      <c r="AJ4030" t="s">
        <v>11129</v>
      </c>
      <c r="AK4030" t="s">
        <v>7225</v>
      </c>
      <c r="AM4030">
        <v>923</v>
      </c>
      <c r="AO4030">
        <v>72</v>
      </c>
      <c r="AP4030" t="s">
        <v>11155</v>
      </c>
      <c r="AS4030" t="s">
        <v>11173</v>
      </c>
      <c r="AU4030">
        <v>42</v>
      </c>
      <c r="AW4030" t="s">
        <v>11187</v>
      </c>
      <c r="BA4030" t="s">
        <v>11222</v>
      </c>
      <c r="BE4030" t="s">
        <v>13865</v>
      </c>
      <c r="BF4030" t="s">
        <v>14364</v>
      </c>
      <c r="BM4030" t="s">
        <v>15650</v>
      </c>
    </row>
    <row r="4031" spans="1:65">
      <c r="A4031" s="1">
        <f>HYPERLINK("https://lsnyc.legalserver.org/matter/dynamic-profile/view/1915200","19-1915200")</f>
        <v>0</v>
      </c>
      <c r="B4031" t="s">
        <v>213</v>
      </c>
      <c r="C4031" t="s">
        <v>247</v>
      </c>
      <c r="D4031" t="s">
        <v>1026</v>
      </c>
      <c r="F4031" t="s">
        <v>1119</v>
      </c>
      <c r="G4031" t="s">
        <v>3021</v>
      </c>
      <c r="H4031" t="s">
        <v>6101</v>
      </c>
      <c r="I4031" t="s">
        <v>7085</v>
      </c>
      <c r="J4031" t="s">
        <v>7176</v>
      </c>
      <c r="K4031">
        <v>11368</v>
      </c>
      <c r="N4031" t="s">
        <v>7237</v>
      </c>
      <c r="O4031" t="s">
        <v>9774</v>
      </c>
      <c r="P4031">
        <v>2</v>
      </c>
      <c r="Q4031">
        <v>0</v>
      </c>
      <c r="R4031">
        <v>112.36</v>
      </c>
      <c r="U4031">
        <v>19000</v>
      </c>
      <c r="W4031">
        <v>16.15</v>
      </c>
      <c r="X4031" t="s">
        <v>539</v>
      </c>
      <c r="Y4031" t="s">
        <v>213</v>
      </c>
      <c r="Z4031" t="s">
        <v>10972</v>
      </c>
      <c r="AA4031" t="s">
        <v>10976</v>
      </c>
      <c r="AD4031" t="s">
        <v>11083</v>
      </c>
      <c r="AF4031" t="s">
        <v>11118</v>
      </c>
      <c r="AH4031" t="s">
        <v>10975</v>
      </c>
      <c r="AI4031" t="s">
        <v>11126</v>
      </c>
      <c r="AK4031" t="s">
        <v>7225</v>
      </c>
      <c r="AM4031">
        <v>1188.26</v>
      </c>
      <c r="AN4031" t="s">
        <v>11151</v>
      </c>
      <c r="AO4031" t="s">
        <v>11153</v>
      </c>
      <c r="AQ4031" t="s">
        <v>11157</v>
      </c>
      <c r="AR4031" t="s">
        <v>11172</v>
      </c>
      <c r="AU4031">
        <v>22</v>
      </c>
      <c r="AW4031" t="s">
        <v>11189</v>
      </c>
      <c r="AX4031" t="s">
        <v>11212</v>
      </c>
      <c r="AZ4031" t="s">
        <v>11221</v>
      </c>
      <c r="BE4031" t="s">
        <v>13866</v>
      </c>
      <c r="BG4031" t="s">
        <v>15326</v>
      </c>
      <c r="BM4031" t="s">
        <v>15650</v>
      </c>
    </row>
    <row r="4032" spans="1:65">
      <c r="A4032" s="1">
        <f>HYPERLINK("https://lsnyc.legalserver.org/matter/dynamic-profile/view/1872303","18-1872303")</f>
        <v>0</v>
      </c>
      <c r="B4032" t="s">
        <v>213</v>
      </c>
      <c r="C4032" t="s">
        <v>247</v>
      </c>
      <c r="D4032" t="s">
        <v>773</v>
      </c>
      <c r="F4032" t="s">
        <v>1183</v>
      </c>
      <c r="G4032" t="s">
        <v>3080</v>
      </c>
      <c r="H4032" t="s">
        <v>4789</v>
      </c>
      <c r="I4032" t="s">
        <v>6440</v>
      </c>
      <c r="J4032" t="s">
        <v>7172</v>
      </c>
      <c r="K4032">
        <v>11691</v>
      </c>
      <c r="N4032" t="s">
        <v>7237</v>
      </c>
      <c r="O4032" t="s">
        <v>8293</v>
      </c>
      <c r="P4032">
        <v>3</v>
      </c>
      <c r="Q4032">
        <v>0</v>
      </c>
      <c r="R4032">
        <v>23.77</v>
      </c>
      <c r="U4032">
        <v>4940</v>
      </c>
      <c r="W4032">
        <v>17.96</v>
      </c>
      <c r="X4032" t="s">
        <v>336</v>
      </c>
      <c r="Y4032" t="s">
        <v>10870</v>
      </c>
      <c r="AA4032" t="s">
        <v>10974</v>
      </c>
      <c r="AB4032" t="s">
        <v>773</v>
      </c>
      <c r="AD4032" t="s">
        <v>11083</v>
      </c>
      <c r="AF4032" t="s">
        <v>11118</v>
      </c>
      <c r="AH4032" t="s">
        <v>10975</v>
      </c>
      <c r="AJ4032" t="s">
        <v>11129</v>
      </c>
      <c r="AK4032" t="s">
        <v>7225</v>
      </c>
      <c r="AM4032">
        <v>380</v>
      </c>
      <c r="AO4032">
        <v>231</v>
      </c>
      <c r="AQ4032" t="s">
        <v>11158</v>
      </c>
      <c r="AS4032" t="s">
        <v>11173</v>
      </c>
      <c r="AU4032">
        <v>19</v>
      </c>
      <c r="AW4032" t="s">
        <v>11187</v>
      </c>
      <c r="AY4032" t="s">
        <v>11213</v>
      </c>
      <c r="AZ4032" t="s">
        <v>11221</v>
      </c>
      <c r="BC4032" t="s">
        <v>11568</v>
      </c>
      <c r="BE4032" t="s">
        <v>13867</v>
      </c>
      <c r="BF4032" t="s">
        <v>14364</v>
      </c>
      <c r="BG4032" t="s">
        <v>15327</v>
      </c>
      <c r="BM4032" t="s">
        <v>15650</v>
      </c>
    </row>
    <row r="4033" spans="1:65">
      <c r="A4033" s="1">
        <f>HYPERLINK("https://lsnyc.legalserver.org/matter/dynamic-profile/view/1912929","19-1912929")</f>
        <v>0</v>
      </c>
      <c r="B4033" t="s">
        <v>213</v>
      </c>
      <c r="C4033" t="s">
        <v>247</v>
      </c>
      <c r="D4033" t="s">
        <v>305</v>
      </c>
      <c r="F4033" t="s">
        <v>2619</v>
      </c>
      <c r="G4033" t="s">
        <v>4499</v>
      </c>
      <c r="H4033" t="s">
        <v>6102</v>
      </c>
      <c r="I4033" t="s">
        <v>7005</v>
      </c>
      <c r="J4033" t="s">
        <v>7176</v>
      </c>
      <c r="K4033">
        <v>11368</v>
      </c>
      <c r="N4033" t="s">
        <v>7237</v>
      </c>
      <c r="O4033" t="s">
        <v>9775</v>
      </c>
      <c r="P4033">
        <v>1</v>
      </c>
      <c r="Q4033">
        <v>0</v>
      </c>
      <c r="R4033">
        <v>320.26</v>
      </c>
      <c r="U4033">
        <v>40000</v>
      </c>
      <c r="W4033">
        <v>0.3</v>
      </c>
      <c r="X4033" t="s">
        <v>305</v>
      </c>
      <c r="Y4033" t="s">
        <v>10870</v>
      </c>
      <c r="AA4033" t="s">
        <v>10974</v>
      </c>
      <c r="AB4033" t="s">
        <v>305</v>
      </c>
      <c r="AD4033" t="s">
        <v>11098</v>
      </c>
      <c r="AF4033" t="s">
        <v>11122</v>
      </c>
      <c r="AH4033" t="s">
        <v>10974</v>
      </c>
      <c r="AJ4033" t="s">
        <v>11134</v>
      </c>
      <c r="AK4033" t="s">
        <v>7225</v>
      </c>
      <c r="AM4033">
        <v>1000</v>
      </c>
      <c r="AN4033" t="s">
        <v>11151</v>
      </c>
      <c r="AO4033" t="s">
        <v>11153</v>
      </c>
      <c r="AQ4033" t="s">
        <v>11157</v>
      </c>
      <c r="AS4033" t="s">
        <v>11173</v>
      </c>
      <c r="AU4033">
        <v>40</v>
      </c>
      <c r="AW4033" t="s">
        <v>11187</v>
      </c>
      <c r="AY4033" t="s">
        <v>11213</v>
      </c>
      <c r="BA4033" t="s">
        <v>11222</v>
      </c>
      <c r="BB4033" t="s">
        <v>11224</v>
      </c>
      <c r="BC4033" t="s">
        <v>11236</v>
      </c>
      <c r="BE4033" t="s">
        <v>11236</v>
      </c>
      <c r="BG4033" t="s">
        <v>15319</v>
      </c>
      <c r="BK4033" t="s">
        <v>11104</v>
      </c>
      <c r="BM4033" t="s">
        <v>15650</v>
      </c>
    </row>
    <row r="4034" spans="1:65">
      <c r="A4034" s="1">
        <f>HYPERLINK("https://lsnyc.legalserver.org/matter/dynamic-profile/view/1873379","18-1873379")</f>
        <v>0</v>
      </c>
      <c r="B4034" t="s">
        <v>214</v>
      </c>
      <c r="C4034" t="s">
        <v>247</v>
      </c>
      <c r="D4034" t="s">
        <v>1027</v>
      </c>
      <c r="F4034" t="s">
        <v>1759</v>
      </c>
      <c r="G4034" t="s">
        <v>4048</v>
      </c>
      <c r="H4034" t="s">
        <v>6103</v>
      </c>
      <c r="I4034" t="s">
        <v>6654</v>
      </c>
      <c r="J4034" t="s">
        <v>7194</v>
      </c>
      <c r="K4034">
        <v>11692</v>
      </c>
      <c r="N4034" t="s">
        <v>7237</v>
      </c>
      <c r="O4034" t="s">
        <v>9776</v>
      </c>
      <c r="P4034">
        <v>3</v>
      </c>
      <c r="Q4034">
        <v>1</v>
      </c>
      <c r="R4034">
        <v>0</v>
      </c>
      <c r="U4034">
        <v>0</v>
      </c>
      <c r="W4034">
        <v>1.5</v>
      </c>
      <c r="X4034" t="s">
        <v>596</v>
      </c>
      <c r="Y4034" t="s">
        <v>10940</v>
      </c>
      <c r="AA4034" t="s">
        <v>10974</v>
      </c>
      <c r="AB4034" t="s">
        <v>1027</v>
      </c>
      <c r="AD4034" t="s">
        <v>11083</v>
      </c>
      <c r="AF4034" t="s">
        <v>11119</v>
      </c>
      <c r="AH4034" t="s">
        <v>10975</v>
      </c>
      <c r="AJ4034" t="s">
        <v>11138</v>
      </c>
      <c r="AK4034" t="s">
        <v>7225</v>
      </c>
      <c r="AM4034">
        <v>2000</v>
      </c>
      <c r="AO4034">
        <v>2</v>
      </c>
      <c r="AQ4034" t="s">
        <v>11156</v>
      </c>
      <c r="AS4034" t="s">
        <v>11173</v>
      </c>
      <c r="AU4034">
        <v>3</v>
      </c>
      <c r="AW4034" t="s">
        <v>11187</v>
      </c>
      <c r="AY4034" t="s">
        <v>11218</v>
      </c>
      <c r="AZ4034" t="s">
        <v>11221</v>
      </c>
      <c r="BC4034" t="s">
        <v>11173</v>
      </c>
      <c r="BE4034" t="s">
        <v>13868</v>
      </c>
      <c r="BG4034" t="s">
        <v>15328</v>
      </c>
      <c r="BM4034" t="s">
        <v>15650</v>
      </c>
    </row>
    <row r="4035" spans="1:65">
      <c r="A4035" s="1">
        <f>HYPERLINK("https://lsnyc.legalserver.org/matter/dynamic-profile/view/1877313","18-1877313")</f>
        <v>0</v>
      </c>
      <c r="B4035" t="s">
        <v>214</v>
      </c>
      <c r="C4035" t="s">
        <v>247</v>
      </c>
      <c r="D4035" t="s">
        <v>284</v>
      </c>
      <c r="F4035" t="s">
        <v>2290</v>
      </c>
      <c r="G4035" t="s">
        <v>4500</v>
      </c>
      <c r="H4035" t="s">
        <v>6104</v>
      </c>
      <c r="I4035" t="s">
        <v>6807</v>
      </c>
      <c r="J4035" t="s">
        <v>7172</v>
      </c>
      <c r="K4035">
        <v>11691</v>
      </c>
      <c r="N4035" t="s">
        <v>7237</v>
      </c>
      <c r="O4035" t="s">
        <v>9357</v>
      </c>
      <c r="P4035">
        <v>3</v>
      </c>
      <c r="Q4035">
        <v>0</v>
      </c>
      <c r="R4035">
        <v>126.29</v>
      </c>
      <c r="U4035">
        <v>26244</v>
      </c>
      <c r="W4035">
        <v>2.1</v>
      </c>
      <c r="X4035" t="s">
        <v>327</v>
      </c>
      <c r="Y4035" t="s">
        <v>202</v>
      </c>
      <c r="AA4035" t="s">
        <v>10974</v>
      </c>
      <c r="AB4035" t="s">
        <v>609</v>
      </c>
      <c r="AD4035" t="s">
        <v>11083</v>
      </c>
      <c r="AF4035" t="s">
        <v>11119</v>
      </c>
      <c r="AH4035" t="s">
        <v>10975</v>
      </c>
      <c r="AJ4035" t="s">
        <v>11138</v>
      </c>
      <c r="AK4035" t="s">
        <v>7225</v>
      </c>
      <c r="AM4035">
        <v>1500</v>
      </c>
      <c r="AO4035">
        <v>2</v>
      </c>
      <c r="AQ4035" t="s">
        <v>11156</v>
      </c>
      <c r="AS4035" t="s">
        <v>11174</v>
      </c>
      <c r="AU4035">
        <v>15</v>
      </c>
      <c r="AW4035" t="s">
        <v>11187</v>
      </c>
      <c r="AY4035" t="s">
        <v>11213</v>
      </c>
      <c r="AZ4035" t="s">
        <v>11221</v>
      </c>
      <c r="BE4035" t="s">
        <v>13869</v>
      </c>
      <c r="BG4035" t="s">
        <v>15329</v>
      </c>
      <c r="BM4035" t="s">
        <v>15650</v>
      </c>
    </row>
    <row r="4036" spans="1:65">
      <c r="A4036" s="1">
        <f>HYPERLINK("https://lsnyc.legalserver.org/matter/dynamic-profile/view/1875076","18-1875076")</f>
        <v>0</v>
      </c>
      <c r="B4036" t="s">
        <v>214</v>
      </c>
      <c r="C4036" t="s">
        <v>247</v>
      </c>
      <c r="D4036" t="s">
        <v>1028</v>
      </c>
      <c r="F4036" t="s">
        <v>2620</v>
      </c>
      <c r="G4036" t="s">
        <v>4501</v>
      </c>
      <c r="H4036" t="s">
        <v>6105</v>
      </c>
      <c r="I4036" t="s">
        <v>6417</v>
      </c>
      <c r="J4036" t="s">
        <v>7172</v>
      </c>
      <c r="K4036">
        <v>11691</v>
      </c>
      <c r="N4036" t="s">
        <v>7237</v>
      </c>
      <c r="O4036" t="s">
        <v>9777</v>
      </c>
      <c r="P4036">
        <v>1</v>
      </c>
      <c r="Q4036">
        <v>0</v>
      </c>
      <c r="R4036">
        <v>115.32</v>
      </c>
      <c r="U4036">
        <v>14000</v>
      </c>
      <c r="W4036">
        <v>2.25</v>
      </c>
      <c r="X4036" t="s">
        <v>596</v>
      </c>
      <c r="Y4036" t="s">
        <v>10940</v>
      </c>
      <c r="AA4036" t="s">
        <v>10974</v>
      </c>
      <c r="AB4036" t="s">
        <v>1028</v>
      </c>
      <c r="AD4036" t="s">
        <v>11083</v>
      </c>
      <c r="AF4036" t="s">
        <v>11119</v>
      </c>
      <c r="AH4036" t="s">
        <v>10975</v>
      </c>
      <c r="AJ4036" t="s">
        <v>11138</v>
      </c>
      <c r="AK4036" t="s">
        <v>7225</v>
      </c>
      <c r="AM4036">
        <v>940</v>
      </c>
      <c r="AO4036">
        <v>68</v>
      </c>
      <c r="AQ4036" t="s">
        <v>11157</v>
      </c>
      <c r="AS4036" t="s">
        <v>11173</v>
      </c>
      <c r="AU4036">
        <v>6</v>
      </c>
      <c r="AW4036" t="s">
        <v>11187</v>
      </c>
      <c r="AY4036" t="s">
        <v>11213</v>
      </c>
      <c r="AZ4036" t="s">
        <v>11221</v>
      </c>
      <c r="BC4036" t="s">
        <v>11173</v>
      </c>
      <c r="BE4036" t="s">
        <v>13870</v>
      </c>
      <c r="BG4036" t="s">
        <v>15330</v>
      </c>
      <c r="BM4036" t="s">
        <v>15650</v>
      </c>
    </row>
    <row r="4037" spans="1:65">
      <c r="A4037" s="1">
        <f>HYPERLINK("https://lsnyc.legalserver.org/matter/dynamic-profile/view/1873213","18-1873213")</f>
        <v>0</v>
      </c>
      <c r="B4037" t="s">
        <v>214</v>
      </c>
      <c r="C4037" t="s">
        <v>247</v>
      </c>
      <c r="D4037" t="s">
        <v>366</v>
      </c>
      <c r="F4037" t="s">
        <v>2621</v>
      </c>
      <c r="G4037" t="s">
        <v>4502</v>
      </c>
      <c r="H4037" t="s">
        <v>6106</v>
      </c>
      <c r="J4037" t="s">
        <v>7172</v>
      </c>
      <c r="K4037">
        <v>11691</v>
      </c>
      <c r="N4037" t="s">
        <v>7237</v>
      </c>
      <c r="O4037" t="s">
        <v>9778</v>
      </c>
      <c r="P4037">
        <v>2</v>
      </c>
      <c r="Q4037">
        <v>1</v>
      </c>
      <c r="R4037">
        <v>86.62</v>
      </c>
      <c r="T4037" t="s">
        <v>10279</v>
      </c>
      <c r="U4037">
        <v>18000</v>
      </c>
      <c r="W4037">
        <v>1.85</v>
      </c>
      <c r="X4037" t="s">
        <v>596</v>
      </c>
      <c r="Y4037" t="s">
        <v>10870</v>
      </c>
      <c r="AA4037" t="s">
        <v>10974</v>
      </c>
      <c r="AB4037" t="s">
        <v>11004</v>
      </c>
      <c r="AD4037" t="s">
        <v>11083</v>
      </c>
      <c r="AF4037" t="s">
        <v>11119</v>
      </c>
      <c r="AH4037" t="s">
        <v>10975</v>
      </c>
      <c r="AJ4037" t="s">
        <v>11138</v>
      </c>
      <c r="AK4037" t="s">
        <v>7225</v>
      </c>
      <c r="AM4037">
        <v>500</v>
      </c>
      <c r="AO4037">
        <v>2</v>
      </c>
      <c r="AQ4037" t="s">
        <v>11156</v>
      </c>
      <c r="AS4037" t="s">
        <v>11173</v>
      </c>
      <c r="AU4037">
        <v>3</v>
      </c>
      <c r="AW4037" t="s">
        <v>11187</v>
      </c>
      <c r="AY4037" t="s">
        <v>11213</v>
      </c>
      <c r="AZ4037" t="s">
        <v>11221</v>
      </c>
      <c r="BB4037" t="s">
        <v>11224</v>
      </c>
      <c r="BC4037" t="s">
        <v>11333</v>
      </c>
      <c r="BE4037" t="s">
        <v>13871</v>
      </c>
      <c r="BG4037" t="s">
        <v>15331</v>
      </c>
      <c r="BM4037" t="s">
        <v>15650</v>
      </c>
    </row>
    <row r="4038" spans="1:65">
      <c r="A4038" s="1">
        <f>HYPERLINK("https://lsnyc.legalserver.org/matter/dynamic-profile/view/1868295","18-1868295")</f>
        <v>0</v>
      </c>
      <c r="B4038" t="s">
        <v>214</v>
      </c>
      <c r="C4038" t="s">
        <v>247</v>
      </c>
      <c r="D4038" t="s">
        <v>943</v>
      </c>
      <c r="F4038" t="s">
        <v>1632</v>
      </c>
      <c r="G4038" t="s">
        <v>3349</v>
      </c>
      <c r="H4038" t="s">
        <v>6107</v>
      </c>
      <c r="J4038" t="s">
        <v>7172</v>
      </c>
      <c r="K4038">
        <v>11691</v>
      </c>
      <c r="N4038" t="s">
        <v>7237</v>
      </c>
      <c r="O4038" t="s">
        <v>9779</v>
      </c>
      <c r="P4038">
        <v>1</v>
      </c>
      <c r="Q4038">
        <v>2</v>
      </c>
      <c r="R4038">
        <v>125.12</v>
      </c>
      <c r="U4038">
        <v>26000</v>
      </c>
      <c r="W4038">
        <v>1.5</v>
      </c>
      <c r="X4038" t="s">
        <v>596</v>
      </c>
      <c r="Y4038" t="s">
        <v>10870</v>
      </c>
      <c r="AA4038" t="s">
        <v>10974</v>
      </c>
      <c r="AB4038" t="s">
        <v>364</v>
      </c>
      <c r="AD4038" t="s">
        <v>11082</v>
      </c>
      <c r="AF4038" t="s">
        <v>11119</v>
      </c>
      <c r="AH4038" t="s">
        <v>10975</v>
      </c>
      <c r="AJ4038" t="s">
        <v>11138</v>
      </c>
      <c r="AK4038" t="s">
        <v>7225</v>
      </c>
      <c r="AM4038">
        <v>1187</v>
      </c>
      <c r="AO4038">
        <v>301</v>
      </c>
      <c r="AQ4038" t="s">
        <v>11164</v>
      </c>
      <c r="AS4038" t="s">
        <v>11173</v>
      </c>
      <c r="AU4038">
        <v>3</v>
      </c>
      <c r="AW4038" t="s">
        <v>11187</v>
      </c>
      <c r="AY4038" t="s">
        <v>11213</v>
      </c>
      <c r="AZ4038" t="s">
        <v>11221</v>
      </c>
      <c r="BE4038" t="s">
        <v>13872</v>
      </c>
      <c r="BG4038" t="s">
        <v>15332</v>
      </c>
      <c r="BM4038" t="s">
        <v>15650</v>
      </c>
    </row>
    <row r="4039" spans="1:65">
      <c r="A4039" s="1">
        <f>HYPERLINK("https://lsnyc.legalserver.org/matter/dynamic-profile/view/1872017","18-1872017")</f>
        <v>0</v>
      </c>
      <c r="B4039" t="s">
        <v>214</v>
      </c>
      <c r="C4039" t="s">
        <v>247</v>
      </c>
      <c r="D4039" t="s">
        <v>657</v>
      </c>
      <c r="F4039" t="s">
        <v>1406</v>
      </c>
      <c r="G4039" t="s">
        <v>2201</v>
      </c>
      <c r="H4039" t="s">
        <v>6108</v>
      </c>
      <c r="J4039" t="s">
        <v>7172</v>
      </c>
      <c r="K4039">
        <v>11691</v>
      </c>
      <c r="N4039" t="s">
        <v>7237</v>
      </c>
      <c r="O4039" t="s">
        <v>9780</v>
      </c>
      <c r="P4039">
        <v>1</v>
      </c>
      <c r="Q4039">
        <v>3</v>
      </c>
      <c r="R4039">
        <v>138.65</v>
      </c>
      <c r="T4039" t="s">
        <v>10279</v>
      </c>
      <c r="U4039">
        <v>34800</v>
      </c>
      <c r="W4039">
        <v>1.2</v>
      </c>
      <c r="X4039" t="s">
        <v>605</v>
      </c>
      <c r="Y4039" t="s">
        <v>10870</v>
      </c>
      <c r="AA4039" t="s">
        <v>10974</v>
      </c>
      <c r="AB4039" t="s">
        <v>657</v>
      </c>
      <c r="AD4039" t="s">
        <v>11083</v>
      </c>
      <c r="AF4039" t="s">
        <v>11119</v>
      </c>
      <c r="AH4039" t="s">
        <v>10975</v>
      </c>
      <c r="AJ4039" t="s">
        <v>11138</v>
      </c>
      <c r="AK4039" t="s">
        <v>7225</v>
      </c>
      <c r="AM4039">
        <v>2100</v>
      </c>
      <c r="AO4039">
        <v>20</v>
      </c>
      <c r="AQ4039" t="s">
        <v>11156</v>
      </c>
      <c r="AS4039" t="s">
        <v>11174</v>
      </c>
      <c r="AU4039">
        <v>3</v>
      </c>
      <c r="AW4039" t="s">
        <v>11187</v>
      </c>
      <c r="AY4039" t="s">
        <v>11216</v>
      </c>
      <c r="AZ4039" t="s">
        <v>11221</v>
      </c>
      <c r="BB4039" t="s">
        <v>11224</v>
      </c>
      <c r="BC4039" t="s">
        <v>11333</v>
      </c>
      <c r="BE4039" t="s">
        <v>13873</v>
      </c>
      <c r="BG4039" t="s">
        <v>15333</v>
      </c>
      <c r="BM4039" t="s">
        <v>15650</v>
      </c>
    </row>
    <row r="4040" spans="1:65">
      <c r="A4040" s="1">
        <f>HYPERLINK("https://lsnyc.legalserver.org/matter/dynamic-profile/view/1913825","19-1913825")</f>
        <v>0</v>
      </c>
      <c r="B4040" t="s">
        <v>214</v>
      </c>
      <c r="C4040" t="s">
        <v>247</v>
      </c>
      <c r="D4040" t="s">
        <v>735</v>
      </c>
      <c r="F4040" t="s">
        <v>1169</v>
      </c>
      <c r="G4040" t="s">
        <v>4503</v>
      </c>
      <c r="H4040" t="s">
        <v>6109</v>
      </c>
      <c r="I4040" t="s">
        <v>6432</v>
      </c>
      <c r="J4040" t="s">
        <v>7173</v>
      </c>
      <c r="K4040">
        <v>11358</v>
      </c>
      <c r="N4040" t="s">
        <v>7237</v>
      </c>
      <c r="O4040" t="s">
        <v>9781</v>
      </c>
      <c r="P4040">
        <v>1</v>
      </c>
      <c r="Q4040">
        <v>2</v>
      </c>
      <c r="R4040">
        <v>0</v>
      </c>
      <c r="U4040">
        <v>0</v>
      </c>
      <c r="W4040">
        <v>2.43</v>
      </c>
      <c r="X4040" t="s">
        <v>266</v>
      </c>
      <c r="Y4040" t="s">
        <v>10875</v>
      </c>
      <c r="AA4040" t="s">
        <v>10974</v>
      </c>
      <c r="AD4040" t="s">
        <v>11082</v>
      </c>
      <c r="AF4040" t="s">
        <v>11121</v>
      </c>
      <c r="AH4040" t="s">
        <v>10975</v>
      </c>
      <c r="AJ4040" t="s">
        <v>11138</v>
      </c>
      <c r="AK4040" t="s">
        <v>7225</v>
      </c>
      <c r="AM4040">
        <v>1850</v>
      </c>
      <c r="AO4040">
        <v>6</v>
      </c>
      <c r="AQ4040" t="s">
        <v>11164</v>
      </c>
      <c r="AS4040" t="s">
        <v>11173</v>
      </c>
      <c r="AU4040">
        <v>1</v>
      </c>
      <c r="AW4040" t="s">
        <v>11187</v>
      </c>
      <c r="AX4040" t="s">
        <v>11212</v>
      </c>
      <c r="BA4040" t="s">
        <v>11222</v>
      </c>
      <c r="BE4040" t="s">
        <v>13874</v>
      </c>
      <c r="BG4040" t="s">
        <v>15334</v>
      </c>
      <c r="BM4040" t="s">
        <v>15650</v>
      </c>
    </row>
    <row r="4041" spans="1:65">
      <c r="A4041" s="1">
        <f>HYPERLINK("https://lsnyc.legalserver.org/matter/dynamic-profile/view/1878708","18-1878708")</f>
        <v>0</v>
      </c>
      <c r="B4041" t="s">
        <v>214</v>
      </c>
      <c r="C4041" t="s">
        <v>247</v>
      </c>
      <c r="D4041" t="s">
        <v>543</v>
      </c>
      <c r="F4041" t="s">
        <v>2622</v>
      </c>
      <c r="G4041" t="s">
        <v>4504</v>
      </c>
      <c r="H4041" t="s">
        <v>5585</v>
      </c>
      <c r="I4041">
        <v>405</v>
      </c>
      <c r="J4041" t="s">
        <v>7194</v>
      </c>
      <c r="K4041">
        <v>11692</v>
      </c>
      <c r="N4041" t="s">
        <v>7237</v>
      </c>
      <c r="O4041" t="s">
        <v>9782</v>
      </c>
      <c r="P4041">
        <v>2</v>
      </c>
      <c r="Q4041">
        <v>0</v>
      </c>
      <c r="R4041">
        <v>116.65</v>
      </c>
      <c r="U4041">
        <v>19200</v>
      </c>
      <c r="W4041">
        <v>1.25</v>
      </c>
      <c r="X4041" t="s">
        <v>596</v>
      </c>
      <c r="Y4041" t="s">
        <v>10940</v>
      </c>
      <c r="AA4041" t="s">
        <v>10974</v>
      </c>
      <c r="AB4041" t="s">
        <v>543</v>
      </c>
      <c r="AD4041" t="s">
        <v>11082</v>
      </c>
      <c r="AF4041" t="s">
        <v>11119</v>
      </c>
      <c r="AH4041" t="s">
        <v>10975</v>
      </c>
      <c r="AJ4041" t="s">
        <v>11138</v>
      </c>
      <c r="AK4041" t="s">
        <v>7225</v>
      </c>
      <c r="AM4041">
        <v>1500</v>
      </c>
      <c r="AO4041">
        <v>103</v>
      </c>
      <c r="AQ4041" t="s">
        <v>11162</v>
      </c>
      <c r="AS4041" t="s">
        <v>11174</v>
      </c>
      <c r="AU4041">
        <v>32</v>
      </c>
      <c r="AW4041" t="s">
        <v>11187</v>
      </c>
      <c r="AY4041" t="s">
        <v>11213</v>
      </c>
      <c r="AZ4041" t="s">
        <v>11221</v>
      </c>
      <c r="BC4041" t="s">
        <v>11569</v>
      </c>
      <c r="BE4041" t="s">
        <v>13875</v>
      </c>
      <c r="BG4041" t="s">
        <v>15335</v>
      </c>
      <c r="BM4041" t="s">
        <v>15650</v>
      </c>
    </row>
    <row r="4042" spans="1:65">
      <c r="A4042" s="1">
        <f>HYPERLINK("https://lsnyc.legalserver.org/matter/dynamic-profile/view/1890870","19-1890870")</f>
        <v>0</v>
      </c>
      <c r="B4042" t="s">
        <v>214</v>
      </c>
      <c r="C4042" t="s">
        <v>247</v>
      </c>
      <c r="D4042" t="s">
        <v>928</v>
      </c>
      <c r="F4042" t="s">
        <v>1122</v>
      </c>
      <c r="G4042" t="s">
        <v>3362</v>
      </c>
      <c r="H4042" t="s">
        <v>6110</v>
      </c>
      <c r="I4042" t="s">
        <v>6413</v>
      </c>
      <c r="J4042" t="s">
        <v>7172</v>
      </c>
      <c r="K4042">
        <v>11691</v>
      </c>
      <c r="N4042" t="s">
        <v>7237</v>
      </c>
      <c r="O4042" t="s">
        <v>9783</v>
      </c>
      <c r="P4042">
        <v>3</v>
      </c>
      <c r="Q4042">
        <v>0</v>
      </c>
      <c r="R4042">
        <v>0</v>
      </c>
      <c r="U4042">
        <v>0</v>
      </c>
      <c r="W4042">
        <v>0.5</v>
      </c>
      <c r="X4042" t="s">
        <v>928</v>
      </c>
      <c r="Y4042" t="s">
        <v>10940</v>
      </c>
      <c r="AA4042" t="s">
        <v>10974</v>
      </c>
      <c r="AB4042" t="s">
        <v>928</v>
      </c>
      <c r="AD4042" t="s">
        <v>11082</v>
      </c>
      <c r="AF4042" t="s">
        <v>11119</v>
      </c>
      <c r="AH4042" t="s">
        <v>10975</v>
      </c>
      <c r="AJ4042" t="s">
        <v>11138</v>
      </c>
      <c r="AK4042" t="s">
        <v>7225</v>
      </c>
      <c r="AM4042">
        <v>1085</v>
      </c>
      <c r="AO4042">
        <v>84</v>
      </c>
      <c r="AQ4042" t="s">
        <v>11157</v>
      </c>
      <c r="AS4042" t="s">
        <v>11173</v>
      </c>
      <c r="AU4042">
        <v>25</v>
      </c>
      <c r="AW4042" t="s">
        <v>11189</v>
      </c>
      <c r="AY4042" t="s">
        <v>11216</v>
      </c>
      <c r="AZ4042" t="s">
        <v>11221</v>
      </c>
      <c r="BC4042" t="s">
        <v>11570</v>
      </c>
      <c r="BE4042" t="s">
        <v>11236</v>
      </c>
      <c r="BG4042" t="s">
        <v>15336</v>
      </c>
      <c r="BM4042" t="s">
        <v>15650</v>
      </c>
    </row>
    <row r="4043" spans="1:65">
      <c r="A4043" s="1">
        <f>HYPERLINK("https://lsnyc.legalserver.org/matter/dynamic-profile/view/1867563","18-1867563")</f>
        <v>0</v>
      </c>
      <c r="B4043" t="s">
        <v>215</v>
      </c>
      <c r="C4043" t="s">
        <v>247</v>
      </c>
      <c r="D4043" t="s">
        <v>683</v>
      </c>
      <c r="F4043" t="s">
        <v>2623</v>
      </c>
      <c r="G4043" t="s">
        <v>4505</v>
      </c>
      <c r="H4043" t="s">
        <v>5194</v>
      </c>
      <c r="I4043" t="s">
        <v>7086</v>
      </c>
      <c r="J4043" t="s">
        <v>7177</v>
      </c>
      <c r="K4043">
        <v>11432</v>
      </c>
      <c r="N4043" t="s">
        <v>7237</v>
      </c>
      <c r="O4043" t="s">
        <v>8420</v>
      </c>
      <c r="P4043">
        <v>2</v>
      </c>
      <c r="Q4043">
        <v>3</v>
      </c>
      <c r="R4043">
        <v>122.37</v>
      </c>
      <c r="S4043" t="s">
        <v>10263</v>
      </c>
      <c r="U4043">
        <v>36000</v>
      </c>
      <c r="W4043">
        <v>7.75</v>
      </c>
      <c r="X4043" t="s">
        <v>296</v>
      </c>
      <c r="Y4043" t="s">
        <v>10870</v>
      </c>
      <c r="AA4043" t="s">
        <v>10974</v>
      </c>
      <c r="AB4043" t="s">
        <v>683</v>
      </c>
      <c r="AD4043" t="s">
        <v>11097</v>
      </c>
      <c r="AF4043" t="s">
        <v>11118</v>
      </c>
      <c r="AH4043" t="s">
        <v>10975</v>
      </c>
      <c r="AJ4043" t="s">
        <v>11129</v>
      </c>
      <c r="AK4043" t="s">
        <v>7225</v>
      </c>
      <c r="AM4043">
        <v>1226.89</v>
      </c>
      <c r="AO4043">
        <v>185</v>
      </c>
      <c r="AQ4043" t="s">
        <v>11157</v>
      </c>
      <c r="AS4043" t="s">
        <v>11173</v>
      </c>
      <c r="AU4043">
        <v>5</v>
      </c>
      <c r="AW4043" t="s">
        <v>11198</v>
      </c>
      <c r="AZ4043" t="s">
        <v>11221</v>
      </c>
      <c r="BE4043" t="s">
        <v>13876</v>
      </c>
      <c r="BF4043" t="s">
        <v>14364</v>
      </c>
      <c r="BG4043" t="s">
        <v>15337</v>
      </c>
      <c r="BM4043" t="s">
        <v>15650</v>
      </c>
    </row>
    <row r="4044" spans="1:65">
      <c r="A4044" s="1">
        <f>HYPERLINK("https://lsnyc.legalserver.org/matter/dynamic-profile/view/1912664","19-1912664")</f>
        <v>0</v>
      </c>
      <c r="B4044" t="s">
        <v>215</v>
      </c>
      <c r="C4044" t="s">
        <v>247</v>
      </c>
      <c r="D4044" t="s">
        <v>634</v>
      </c>
      <c r="F4044" t="s">
        <v>1208</v>
      </c>
      <c r="G4044" t="s">
        <v>3394</v>
      </c>
      <c r="H4044" t="s">
        <v>6089</v>
      </c>
      <c r="I4044" t="s">
        <v>6438</v>
      </c>
      <c r="J4044" t="s">
        <v>7176</v>
      </c>
      <c r="K4044">
        <v>11368</v>
      </c>
      <c r="N4044" t="s">
        <v>7237</v>
      </c>
      <c r="O4044" t="s">
        <v>9784</v>
      </c>
      <c r="P4044">
        <v>3</v>
      </c>
      <c r="Q4044">
        <v>0</v>
      </c>
      <c r="R4044">
        <v>234.41</v>
      </c>
      <c r="U4044">
        <v>50000</v>
      </c>
      <c r="W4044">
        <v>5.7</v>
      </c>
      <c r="X4044" t="s">
        <v>548</v>
      </c>
      <c r="Y4044" t="s">
        <v>215</v>
      </c>
      <c r="Z4044" t="s">
        <v>10973</v>
      </c>
      <c r="AA4044" t="s">
        <v>10975</v>
      </c>
      <c r="AB4044" t="s">
        <v>634</v>
      </c>
      <c r="AD4044" t="s">
        <v>11082</v>
      </c>
      <c r="AF4044" t="s">
        <v>11118</v>
      </c>
      <c r="AH4044" t="s">
        <v>10975</v>
      </c>
      <c r="AJ4044" t="s">
        <v>11134</v>
      </c>
      <c r="AK4044" t="s">
        <v>7225</v>
      </c>
      <c r="AM4044">
        <v>1694.28</v>
      </c>
      <c r="AO4044">
        <v>237</v>
      </c>
      <c r="AQ4044" t="s">
        <v>11157</v>
      </c>
      <c r="AR4044" t="s">
        <v>11172</v>
      </c>
      <c r="AU4044">
        <v>19</v>
      </c>
      <c r="AW4044" t="s">
        <v>11187</v>
      </c>
      <c r="AY4044" t="s">
        <v>11213</v>
      </c>
      <c r="BA4044" t="s">
        <v>11222</v>
      </c>
      <c r="BE4044" t="s">
        <v>13877</v>
      </c>
      <c r="BG4044" t="s">
        <v>15338</v>
      </c>
      <c r="BM4044" t="s">
        <v>15650</v>
      </c>
    </row>
    <row r="4045" spans="1:65">
      <c r="A4045" s="1">
        <f>HYPERLINK("https://lsnyc.legalserver.org/matter/dynamic-profile/view/1898298","19-1898298")</f>
        <v>0</v>
      </c>
      <c r="B4045" t="s">
        <v>215</v>
      </c>
      <c r="C4045" t="s">
        <v>247</v>
      </c>
      <c r="D4045" t="s">
        <v>591</v>
      </c>
      <c r="F4045" t="s">
        <v>2624</v>
      </c>
      <c r="G4045" t="s">
        <v>4506</v>
      </c>
      <c r="H4045" t="s">
        <v>6111</v>
      </c>
      <c r="I4045" t="s">
        <v>6549</v>
      </c>
      <c r="J4045" t="s">
        <v>7176</v>
      </c>
      <c r="K4045">
        <v>11368</v>
      </c>
      <c r="N4045" t="s">
        <v>7237</v>
      </c>
      <c r="O4045" t="s">
        <v>9785</v>
      </c>
      <c r="P4045">
        <v>2</v>
      </c>
      <c r="Q4045">
        <v>0</v>
      </c>
      <c r="R4045">
        <v>92.91</v>
      </c>
      <c r="U4045">
        <v>15711</v>
      </c>
      <c r="W4045">
        <v>0.1</v>
      </c>
      <c r="X4045" t="s">
        <v>10819</v>
      </c>
      <c r="Y4045" t="s">
        <v>215</v>
      </c>
      <c r="AA4045" t="s">
        <v>10974</v>
      </c>
      <c r="AB4045" t="s">
        <v>591</v>
      </c>
      <c r="AD4045" t="s">
        <v>11098</v>
      </c>
      <c r="AF4045" t="s">
        <v>11122</v>
      </c>
      <c r="AH4045" t="s">
        <v>10974</v>
      </c>
      <c r="AJ4045" t="s">
        <v>11104</v>
      </c>
      <c r="AK4045" t="s">
        <v>7225</v>
      </c>
      <c r="AM4045">
        <v>1022</v>
      </c>
      <c r="AO4045">
        <v>231</v>
      </c>
      <c r="AQ4045" t="s">
        <v>11157</v>
      </c>
      <c r="AS4045" t="s">
        <v>11175</v>
      </c>
      <c r="AU4045">
        <v>37</v>
      </c>
      <c r="AW4045" t="s">
        <v>11187</v>
      </c>
      <c r="AY4045" t="s">
        <v>11213</v>
      </c>
      <c r="BA4045" t="s">
        <v>11222</v>
      </c>
      <c r="BB4045" t="s">
        <v>11224</v>
      </c>
      <c r="BC4045" t="s">
        <v>11236</v>
      </c>
      <c r="BE4045" t="s">
        <v>13878</v>
      </c>
      <c r="BG4045" t="s">
        <v>15319</v>
      </c>
      <c r="BM4045" t="s">
        <v>15650</v>
      </c>
    </row>
    <row r="4046" spans="1:65">
      <c r="A4046" s="1">
        <f>HYPERLINK("https://lsnyc.legalserver.org/matter/dynamic-profile/view/1911517","19-1911517")</f>
        <v>0</v>
      </c>
      <c r="B4046" t="s">
        <v>215</v>
      </c>
      <c r="C4046" t="s">
        <v>247</v>
      </c>
      <c r="D4046" t="s">
        <v>564</v>
      </c>
      <c r="F4046" t="s">
        <v>1587</v>
      </c>
      <c r="G4046" t="s">
        <v>3654</v>
      </c>
      <c r="H4046" t="s">
        <v>6112</v>
      </c>
      <c r="I4046" t="s">
        <v>6491</v>
      </c>
      <c r="J4046" t="s">
        <v>7172</v>
      </c>
      <c r="K4046">
        <v>11691</v>
      </c>
      <c r="N4046" t="s">
        <v>7237</v>
      </c>
      <c r="O4046" t="s">
        <v>9786</v>
      </c>
      <c r="P4046">
        <v>1</v>
      </c>
      <c r="Q4046">
        <v>0</v>
      </c>
      <c r="R4046">
        <v>192.15</v>
      </c>
      <c r="U4046">
        <v>24000</v>
      </c>
      <c r="W4046">
        <v>30.13</v>
      </c>
      <c r="X4046" t="s">
        <v>638</v>
      </c>
      <c r="Y4046" t="s">
        <v>10875</v>
      </c>
      <c r="AA4046" t="s">
        <v>10974</v>
      </c>
      <c r="AD4046" t="s">
        <v>11082</v>
      </c>
      <c r="AF4046" t="s">
        <v>11118</v>
      </c>
      <c r="AH4046" t="s">
        <v>10975</v>
      </c>
      <c r="AJ4046" t="s">
        <v>11138</v>
      </c>
      <c r="AK4046" t="s">
        <v>7225</v>
      </c>
      <c r="AM4046">
        <v>1556</v>
      </c>
      <c r="AO4046">
        <v>24</v>
      </c>
      <c r="AP4046" t="s">
        <v>11155</v>
      </c>
      <c r="AS4046" t="s">
        <v>11173</v>
      </c>
      <c r="AU4046">
        <v>6</v>
      </c>
      <c r="AW4046" t="s">
        <v>11187</v>
      </c>
      <c r="AY4046" t="s">
        <v>11213</v>
      </c>
      <c r="BA4046" t="s">
        <v>11222</v>
      </c>
      <c r="BE4046" t="s">
        <v>13879</v>
      </c>
      <c r="BG4046" t="s">
        <v>15339</v>
      </c>
      <c r="BM4046" t="s">
        <v>15650</v>
      </c>
    </row>
    <row r="4047" spans="1:65">
      <c r="A4047" s="1">
        <f>HYPERLINK("https://lsnyc.legalserver.org/matter/dynamic-profile/view/0821446","16-0821446")</f>
        <v>0</v>
      </c>
      <c r="B4047" t="s">
        <v>215</v>
      </c>
      <c r="C4047" t="s">
        <v>247</v>
      </c>
      <c r="D4047" t="s">
        <v>622</v>
      </c>
      <c r="F4047" t="s">
        <v>2625</v>
      </c>
      <c r="G4047" t="s">
        <v>2474</v>
      </c>
      <c r="H4047" t="s">
        <v>6113</v>
      </c>
      <c r="I4047" t="s">
        <v>6404</v>
      </c>
      <c r="J4047" t="s">
        <v>7177</v>
      </c>
      <c r="K4047">
        <v>11432</v>
      </c>
      <c r="N4047" t="s">
        <v>7237</v>
      </c>
      <c r="O4047" t="s">
        <v>9787</v>
      </c>
      <c r="P4047">
        <v>4</v>
      </c>
      <c r="Q4047">
        <v>1</v>
      </c>
      <c r="R4047">
        <v>98.45</v>
      </c>
      <c r="S4047" t="s">
        <v>10263</v>
      </c>
      <c r="U4047">
        <v>28000</v>
      </c>
      <c r="W4047">
        <v>1.5</v>
      </c>
      <c r="X4047" t="s">
        <v>566</v>
      </c>
      <c r="Y4047" t="s">
        <v>10928</v>
      </c>
      <c r="AA4047" t="s">
        <v>10974</v>
      </c>
      <c r="AB4047" t="s">
        <v>809</v>
      </c>
      <c r="AD4047" t="s">
        <v>11085</v>
      </c>
      <c r="AF4047" t="s">
        <v>11118</v>
      </c>
      <c r="AH4047" t="s">
        <v>10974</v>
      </c>
      <c r="AJ4047" t="s">
        <v>11129</v>
      </c>
      <c r="AK4047" t="s">
        <v>7225</v>
      </c>
      <c r="AM4047">
        <v>1450</v>
      </c>
      <c r="AO4047">
        <v>190</v>
      </c>
      <c r="AQ4047" t="s">
        <v>11157</v>
      </c>
      <c r="AS4047" t="s">
        <v>11173</v>
      </c>
      <c r="AU4047">
        <v>10</v>
      </c>
      <c r="AW4047" t="s">
        <v>11198</v>
      </c>
      <c r="AZ4047" t="s">
        <v>11221</v>
      </c>
      <c r="BB4047" t="s">
        <v>11224</v>
      </c>
      <c r="BC4047" t="s">
        <v>11333</v>
      </c>
      <c r="BE4047" t="s">
        <v>13880</v>
      </c>
      <c r="BF4047" t="s">
        <v>14364</v>
      </c>
      <c r="BG4047" t="s">
        <v>14767</v>
      </c>
      <c r="BM4047" t="s">
        <v>15650</v>
      </c>
    </row>
    <row r="4048" spans="1:65">
      <c r="A4048" s="1">
        <f>HYPERLINK("https://lsnyc.legalserver.org/matter/dynamic-profile/view/1837263","17-1837263")</f>
        <v>0</v>
      </c>
      <c r="B4048" t="s">
        <v>215</v>
      </c>
      <c r="C4048" t="s">
        <v>247</v>
      </c>
      <c r="D4048" t="s">
        <v>1029</v>
      </c>
      <c r="F4048" t="s">
        <v>2117</v>
      </c>
      <c r="G4048" t="s">
        <v>4507</v>
      </c>
      <c r="H4048" t="s">
        <v>5194</v>
      </c>
      <c r="J4048" t="s">
        <v>7177</v>
      </c>
      <c r="K4048">
        <v>11432</v>
      </c>
      <c r="N4048" t="s">
        <v>7237</v>
      </c>
      <c r="O4048" t="s">
        <v>7926</v>
      </c>
      <c r="P4048">
        <v>2</v>
      </c>
      <c r="Q4048">
        <v>3</v>
      </c>
      <c r="R4048">
        <v>145.93</v>
      </c>
      <c r="S4048" t="s">
        <v>10263</v>
      </c>
      <c r="U4048">
        <v>42000</v>
      </c>
      <c r="W4048">
        <v>689.24</v>
      </c>
      <c r="X4048" t="s">
        <v>554</v>
      </c>
      <c r="Y4048" t="s">
        <v>10926</v>
      </c>
      <c r="Z4048" t="s">
        <v>10972</v>
      </c>
      <c r="AA4048" t="s">
        <v>10976</v>
      </c>
      <c r="AB4048" t="s">
        <v>809</v>
      </c>
      <c r="AD4048" t="s">
        <v>11085</v>
      </c>
      <c r="AF4048" t="s">
        <v>11118</v>
      </c>
      <c r="AH4048" t="s">
        <v>10974</v>
      </c>
      <c r="AJ4048" t="s">
        <v>11129</v>
      </c>
      <c r="AK4048" t="s">
        <v>7225</v>
      </c>
      <c r="AM4048">
        <v>1405</v>
      </c>
      <c r="AO4048">
        <v>190</v>
      </c>
      <c r="AQ4048" t="s">
        <v>11157</v>
      </c>
      <c r="AS4048" t="s">
        <v>11173</v>
      </c>
      <c r="AU4048">
        <v>3</v>
      </c>
      <c r="AW4048" t="s">
        <v>11198</v>
      </c>
      <c r="AZ4048" t="s">
        <v>11221</v>
      </c>
      <c r="BC4048" t="s">
        <v>11228</v>
      </c>
      <c r="BE4048" t="s">
        <v>13043</v>
      </c>
      <c r="BF4048" t="s">
        <v>14364</v>
      </c>
      <c r="BG4048" t="s">
        <v>14767</v>
      </c>
      <c r="BM4048" t="s">
        <v>15650</v>
      </c>
    </row>
    <row r="4049" spans="1:65">
      <c r="A4049" s="1">
        <f>HYPERLINK("https://lsnyc.legalserver.org/matter/dynamic-profile/view/1839206","17-1839206")</f>
        <v>0</v>
      </c>
      <c r="B4049" t="s">
        <v>215</v>
      </c>
      <c r="C4049" t="s">
        <v>247</v>
      </c>
      <c r="D4049" t="s">
        <v>983</v>
      </c>
      <c r="F4049" t="s">
        <v>2623</v>
      </c>
      <c r="G4049" t="s">
        <v>4505</v>
      </c>
      <c r="H4049" t="s">
        <v>5194</v>
      </c>
      <c r="I4049" t="s">
        <v>7086</v>
      </c>
      <c r="J4049" t="s">
        <v>7177</v>
      </c>
      <c r="K4049">
        <v>11432</v>
      </c>
      <c r="N4049" t="s">
        <v>7237</v>
      </c>
      <c r="O4049" t="s">
        <v>8420</v>
      </c>
      <c r="P4049">
        <v>2</v>
      </c>
      <c r="Q4049">
        <v>3</v>
      </c>
      <c r="R4049">
        <v>125.09</v>
      </c>
      <c r="S4049" t="s">
        <v>10263</v>
      </c>
      <c r="U4049">
        <v>36000</v>
      </c>
      <c r="W4049">
        <v>1.7</v>
      </c>
      <c r="X4049" t="s">
        <v>566</v>
      </c>
      <c r="Y4049" t="s">
        <v>10928</v>
      </c>
      <c r="AA4049" t="s">
        <v>10974</v>
      </c>
      <c r="AB4049" t="s">
        <v>809</v>
      </c>
      <c r="AD4049" t="s">
        <v>11085</v>
      </c>
      <c r="AF4049" t="s">
        <v>11118</v>
      </c>
      <c r="AH4049" t="s">
        <v>10974</v>
      </c>
      <c r="AJ4049" t="s">
        <v>11129</v>
      </c>
      <c r="AK4049" t="s">
        <v>7225</v>
      </c>
      <c r="AM4049">
        <v>1226.89</v>
      </c>
      <c r="AO4049">
        <v>185</v>
      </c>
      <c r="AQ4049" t="s">
        <v>11157</v>
      </c>
      <c r="AS4049" t="s">
        <v>11173</v>
      </c>
      <c r="AU4049">
        <v>5</v>
      </c>
      <c r="AW4049" t="s">
        <v>11198</v>
      </c>
      <c r="AZ4049" t="s">
        <v>11221</v>
      </c>
      <c r="BB4049" t="s">
        <v>11224</v>
      </c>
      <c r="BC4049" t="s">
        <v>11333</v>
      </c>
      <c r="BE4049" t="s">
        <v>13876</v>
      </c>
      <c r="BF4049" t="s">
        <v>14364</v>
      </c>
      <c r="BG4049" t="s">
        <v>14767</v>
      </c>
      <c r="BM4049" t="s">
        <v>15650</v>
      </c>
    </row>
    <row r="4050" spans="1:65">
      <c r="A4050" s="1">
        <f>HYPERLINK("https://lsnyc.legalserver.org/matter/dynamic-profile/view/1838002","17-1838002")</f>
        <v>0</v>
      </c>
      <c r="B4050" t="s">
        <v>215</v>
      </c>
      <c r="C4050" t="s">
        <v>247</v>
      </c>
      <c r="D4050" t="s">
        <v>376</v>
      </c>
      <c r="F4050" t="s">
        <v>1649</v>
      </c>
      <c r="G4050" t="s">
        <v>3411</v>
      </c>
      <c r="H4050" t="s">
        <v>5346</v>
      </c>
      <c r="I4050" t="s">
        <v>6417</v>
      </c>
      <c r="J4050" t="s">
        <v>7177</v>
      </c>
      <c r="K4050">
        <v>11432</v>
      </c>
      <c r="N4050" t="s">
        <v>7237</v>
      </c>
      <c r="O4050" t="s">
        <v>7983</v>
      </c>
      <c r="P4050">
        <v>2</v>
      </c>
      <c r="Q4050">
        <v>2</v>
      </c>
      <c r="R4050">
        <v>170.73</v>
      </c>
      <c r="S4050" t="s">
        <v>10263</v>
      </c>
      <c r="U4050">
        <v>42000</v>
      </c>
      <c r="W4050">
        <v>0.3</v>
      </c>
      <c r="X4050" t="s">
        <v>566</v>
      </c>
      <c r="Y4050" t="s">
        <v>10928</v>
      </c>
      <c r="AA4050" t="s">
        <v>10974</v>
      </c>
      <c r="AB4050" t="s">
        <v>809</v>
      </c>
      <c r="AD4050" t="s">
        <v>11085</v>
      </c>
      <c r="AF4050" t="s">
        <v>11118</v>
      </c>
      <c r="AH4050" t="s">
        <v>10974</v>
      </c>
      <c r="AJ4050" t="s">
        <v>11129</v>
      </c>
      <c r="AK4050" t="s">
        <v>7225</v>
      </c>
      <c r="AM4050">
        <v>1150</v>
      </c>
      <c r="AO4050">
        <v>168</v>
      </c>
      <c r="AQ4050" t="s">
        <v>11157</v>
      </c>
      <c r="AS4050" t="s">
        <v>11173</v>
      </c>
      <c r="AU4050">
        <v>9</v>
      </c>
      <c r="AW4050" t="s">
        <v>11198</v>
      </c>
      <c r="AZ4050" t="s">
        <v>11221</v>
      </c>
      <c r="BE4050" t="s">
        <v>12310</v>
      </c>
      <c r="BF4050" t="s">
        <v>14364</v>
      </c>
      <c r="BG4050" t="s">
        <v>14767</v>
      </c>
      <c r="BM4050" t="s">
        <v>15650</v>
      </c>
    </row>
    <row r="4051" spans="1:65">
      <c r="A4051" s="1">
        <f>HYPERLINK("https://lsnyc.legalserver.org/matter/dynamic-profile/view/1867579","18-1867579")</f>
        <v>0</v>
      </c>
      <c r="B4051" t="s">
        <v>215</v>
      </c>
      <c r="C4051" t="s">
        <v>247</v>
      </c>
      <c r="D4051" t="s">
        <v>683</v>
      </c>
      <c r="F4051" t="s">
        <v>2623</v>
      </c>
      <c r="G4051" t="s">
        <v>4505</v>
      </c>
      <c r="H4051" t="s">
        <v>5194</v>
      </c>
      <c r="I4051" t="s">
        <v>7086</v>
      </c>
      <c r="J4051" t="s">
        <v>7177</v>
      </c>
      <c r="K4051">
        <v>11432</v>
      </c>
      <c r="N4051" t="s">
        <v>7237</v>
      </c>
      <c r="O4051" t="s">
        <v>8420</v>
      </c>
      <c r="P4051">
        <v>2</v>
      </c>
      <c r="Q4051">
        <v>3</v>
      </c>
      <c r="R4051">
        <v>122.37</v>
      </c>
      <c r="S4051" t="s">
        <v>10263</v>
      </c>
      <c r="U4051">
        <v>36000</v>
      </c>
      <c r="W4051">
        <v>134.4</v>
      </c>
      <c r="X4051" t="s">
        <v>10264</v>
      </c>
      <c r="Y4051" t="s">
        <v>10870</v>
      </c>
      <c r="AA4051" t="s">
        <v>10974</v>
      </c>
      <c r="AB4051" t="s">
        <v>683</v>
      </c>
      <c r="AD4051" t="s">
        <v>11084</v>
      </c>
      <c r="AF4051" t="s">
        <v>11118</v>
      </c>
      <c r="AH4051" t="s">
        <v>10975</v>
      </c>
      <c r="AJ4051" t="s">
        <v>11129</v>
      </c>
      <c r="AK4051" t="s">
        <v>7225</v>
      </c>
      <c r="AM4051">
        <v>1226.89</v>
      </c>
      <c r="AO4051">
        <v>185</v>
      </c>
      <c r="AQ4051" t="s">
        <v>11157</v>
      </c>
      <c r="AS4051" t="s">
        <v>11173</v>
      </c>
      <c r="AU4051">
        <v>5</v>
      </c>
      <c r="AW4051" t="s">
        <v>11198</v>
      </c>
      <c r="AZ4051" t="s">
        <v>11221</v>
      </c>
      <c r="BE4051" t="s">
        <v>13876</v>
      </c>
      <c r="BF4051" t="s">
        <v>14364</v>
      </c>
      <c r="BG4051" t="s">
        <v>15340</v>
      </c>
      <c r="BM4051" t="s">
        <v>15650</v>
      </c>
    </row>
    <row r="4052" spans="1:65">
      <c r="A4052" s="1">
        <f>HYPERLINK("https://lsnyc.legalserver.org/matter/dynamic-profile/view/1908658","19-1908658")</f>
        <v>0</v>
      </c>
      <c r="B4052" t="s">
        <v>215</v>
      </c>
      <c r="C4052" t="s">
        <v>247</v>
      </c>
      <c r="D4052" t="s">
        <v>421</v>
      </c>
      <c r="F4052" t="s">
        <v>2626</v>
      </c>
      <c r="G4052" t="s">
        <v>4508</v>
      </c>
      <c r="H4052" t="s">
        <v>5304</v>
      </c>
      <c r="I4052">
        <v>314</v>
      </c>
      <c r="J4052" t="s">
        <v>7173</v>
      </c>
      <c r="K4052">
        <v>11354</v>
      </c>
      <c r="N4052" t="s">
        <v>7237</v>
      </c>
      <c r="O4052" t="s">
        <v>9788</v>
      </c>
      <c r="P4052">
        <v>1</v>
      </c>
      <c r="Q4052">
        <v>0</v>
      </c>
      <c r="R4052">
        <v>94.83</v>
      </c>
      <c r="U4052">
        <v>11844</v>
      </c>
      <c r="W4052">
        <v>4.65</v>
      </c>
      <c r="X4052" t="s">
        <v>266</v>
      </c>
      <c r="Y4052" t="s">
        <v>169</v>
      </c>
      <c r="AA4052" t="s">
        <v>10974</v>
      </c>
      <c r="AB4052" t="s">
        <v>421</v>
      </c>
      <c r="AD4052" t="s">
        <v>11082</v>
      </c>
      <c r="AF4052" t="s">
        <v>11118</v>
      </c>
      <c r="AH4052" t="s">
        <v>10975</v>
      </c>
      <c r="AJ4052" t="s">
        <v>11131</v>
      </c>
      <c r="AK4052" t="s">
        <v>7225</v>
      </c>
      <c r="AM4052">
        <v>1150.87</v>
      </c>
      <c r="AO4052">
        <v>79</v>
      </c>
      <c r="AQ4052" t="s">
        <v>11157</v>
      </c>
      <c r="AS4052" t="s">
        <v>11175</v>
      </c>
      <c r="AU4052">
        <v>30</v>
      </c>
      <c r="AW4052" t="s">
        <v>11203</v>
      </c>
      <c r="AY4052" t="s">
        <v>11213</v>
      </c>
      <c r="AZ4052" t="s">
        <v>11221</v>
      </c>
      <c r="BE4052" t="s">
        <v>13881</v>
      </c>
      <c r="BG4052" t="s">
        <v>15341</v>
      </c>
      <c r="BK4052" t="s">
        <v>15620</v>
      </c>
      <c r="BM4052" t="s">
        <v>15650</v>
      </c>
    </row>
    <row r="4053" spans="1:65">
      <c r="A4053" s="1">
        <f>HYPERLINK("https://lsnyc.legalserver.org/matter/dynamic-profile/view/1900249","19-1900249")</f>
        <v>0</v>
      </c>
      <c r="B4053" t="s">
        <v>216</v>
      </c>
      <c r="C4053" t="s">
        <v>246</v>
      </c>
      <c r="D4053" t="s">
        <v>1030</v>
      </c>
      <c r="F4053" t="s">
        <v>2627</v>
      </c>
      <c r="G4053" t="s">
        <v>4509</v>
      </c>
      <c r="H4053" t="s">
        <v>6114</v>
      </c>
      <c r="I4053">
        <v>2</v>
      </c>
      <c r="J4053" t="s">
        <v>7170</v>
      </c>
      <c r="K4053">
        <v>10451</v>
      </c>
      <c r="N4053" t="s">
        <v>7237</v>
      </c>
      <c r="O4053" t="s">
        <v>7499</v>
      </c>
      <c r="P4053">
        <v>1</v>
      </c>
      <c r="Q4053">
        <v>1</v>
      </c>
      <c r="R4053">
        <v>21.29</v>
      </c>
      <c r="U4053">
        <v>3600</v>
      </c>
      <c r="W4053">
        <v>0.4</v>
      </c>
      <c r="X4053" t="s">
        <v>560</v>
      </c>
      <c r="Y4053" t="s">
        <v>216</v>
      </c>
      <c r="Z4053" t="s">
        <v>10972</v>
      </c>
      <c r="AA4053" t="s">
        <v>10976</v>
      </c>
      <c r="AC4053" t="s">
        <v>11081</v>
      </c>
      <c r="AE4053" t="s">
        <v>11117</v>
      </c>
      <c r="AG4053" t="s">
        <v>11124</v>
      </c>
      <c r="AJ4053" t="s">
        <v>11135</v>
      </c>
      <c r="AK4053" t="s">
        <v>7225</v>
      </c>
      <c r="AM4053">
        <v>1600</v>
      </c>
      <c r="AN4053" t="s">
        <v>11151</v>
      </c>
      <c r="AO4053" t="s">
        <v>11153</v>
      </c>
      <c r="AP4053" t="s">
        <v>11155</v>
      </c>
      <c r="AS4053" t="s">
        <v>11173</v>
      </c>
      <c r="AU4053">
        <v>10</v>
      </c>
      <c r="AW4053" t="s">
        <v>11187</v>
      </c>
      <c r="AX4053" t="s">
        <v>11212</v>
      </c>
      <c r="AZ4053" t="s">
        <v>11221</v>
      </c>
      <c r="BE4053" t="s">
        <v>11236</v>
      </c>
      <c r="BF4053" t="s">
        <v>14364</v>
      </c>
      <c r="BM4053" t="s">
        <v>15650</v>
      </c>
    </row>
    <row r="4054" spans="1:65">
      <c r="A4054" s="1">
        <f>HYPERLINK("https://lsnyc.legalserver.org/matter/dynamic-profile/view/1907628","19-1907628")</f>
        <v>0</v>
      </c>
      <c r="B4054" t="s">
        <v>217</v>
      </c>
      <c r="C4054" t="s">
        <v>247</v>
      </c>
      <c r="D4054" t="s">
        <v>544</v>
      </c>
      <c r="F4054" t="s">
        <v>1525</v>
      </c>
      <c r="G4054" t="s">
        <v>4434</v>
      </c>
      <c r="H4054" t="s">
        <v>6115</v>
      </c>
      <c r="I4054" t="s">
        <v>7087</v>
      </c>
      <c r="J4054" t="s">
        <v>7176</v>
      </c>
      <c r="K4054">
        <v>11368</v>
      </c>
      <c r="N4054" t="s">
        <v>7237</v>
      </c>
      <c r="P4054">
        <v>1</v>
      </c>
      <c r="Q4054">
        <v>0</v>
      </c>
      <c r="R4054">
        <v>280.22</v>
      </c>
      <c r="U4054">
        <v>35000</v>
      </c>
      <c r="W4054">
        <v>0</v>
      </c>
      <c r="Y4054" t="s">
        <v>10875</v>
      </c>
      <c r="Z4054" t="s">
        <v>10972</v>
      </c>
      <c r="AA4054" t="s">
        <v>10976</v>
      </c>
      <c r="AD4054" t="s">
        <v>11098</v>
      </c>
      <c r="AE4054" t="s">
        <v>11117</v>
      </c>
      <c r="AG4054" t="s">
        <v>11124</v>
      </c>
      <c r="AI4054" t="s">
        <v>11126</v>
      </c>
      <c r="AK4054" t="s">
        <v>7225</v>
      </c>
      <c r="AM4054">
        <v>1240.73</v>
      </c>
      <c r="AN4054" t="s">
        <v>11151</v>
      </c>
      <c r="AO4054" t="s">
        <v>11153</v>
      </c>
      <c r="AP4054" t="s">
        <v>11155</v>
      </c>
      <c r="AS4054" t="s">
        <v>11173</v>
      </c>
      <c r="AU4054">
        <v>33</v>
      </c>
      <c r="AW4054" t="s">
        <v>11187</v>
      </c>
      <c r="AX4054" t="s">
        <v>11212</v>
      </c>
      <c r="AZ4054" t="s">
        <v>11221</v>
      </c>
      <c r="BE4054" t="s">
        <v>13882</v>
      </c>
      <c r="BF4054" t="s">
        <v>14364</v>
      </c>
      <c r="BM4054" t="s">
        <v>15650</v>
      </c>
    </row>
    <row r="4055" spans="1:65">
      <c r="A4055" s="1">
        <f>HYPERLINK("https://lsnyc.legalserver.org/matter/dynamic-profile/view/1900774","19-1900774")</f>
        <v>0</v>
      </c>
      <c r="B4055" t="s">
        <v>217</v>
      </c>
      <c r="C4055" t="s">
        <v>247</v>
      </c>
      <c r="D4055" t="s">
        <v>1031</v>
      </c>
      <c r="F4055" t="s">
        <v>2628</v>
      </c>
      <c r="G4055" t="s">
        <v>3054</v>
      </c>
      <c r="H4055" t="s">
        <v>6116</v>
      </c>
      <c r="I4055" t="s">
        <v>7088</v>
      </c>
      <c r="J4055" t="s">
        <v>7176</v>
      </c>
      <c r="K4055">
        <v>11368</v>
      </c>
      <c r="N4055" t="s">
        <v>7237</v>
      </c>
      <c r="O4055" t="s">
        <v>9789</v>
      </c>
      <c r="P4055">
        <v>1</v>
      </c>
      <c r="Q4055">
        <v>0</v>
      </c>
      <c r="R4055">
        <v>129.7</v>
      </c>
      <c r="U4055">
        <v>16200</v>
      </c>
      <c r="W4055">
        <v>5.76</v>
      </c>
      <c r="X4055" t="s">
        <v>598</v>
      </c>
      <c r="Y4055" t="s">
        <v>217</v>
      </c>
      <c r="AA4055" t="s">
        <v>10974</v>
      </c>
      <c r="AB4055" t="s">
        <v>337</v>
      </c>
      <c r="AD4055" t="s">
        <v>11098</v>
      </c>
      <c r="AF4055" t="s">
        <v>11122</v>
      </c>
      <c r="AH4055" t="s">
        <v>10974</v>
      </c>
      <c r="AJ4055" t="s">
        <v>11104</v>
      </c>
      <c r="AK4055" t="s">
        <v>7225</v>
      </c>
      <c r="AM4055">
        <v>940</v>
      </c>
      <c r="AO4055">
        <v>50</v>
      </c>
      <c r="AQ4055" t="s">
        <v>11157</v>
      </c>
      <c r="AS4055" t="s">
        <v>11173</v>
      </c>
      <c r="AU4055">
        <v>19</v>
      </c>
      <c r="AW4055" t="s">
        <v>11187</v>
      </c>
      <c r="AY4055" t="s">
        <v>11213</v>
      </c>
      <c r="BA4055" t="s">
        <v>11222</v>
      </c>
      <c r="BB4055" t="s">
        <v>11224</v>
      </c>
      <c r="BC4055" t="s">
        <v>11236</v>
      </c>
      <c r="BE4055" t="s">
        <v>13883</v>
      </c>
      <c r="BG4055" t="s">
        <v>15342</v>
      </c>
      <c r="BK4055" t="s">
        <v>11104</v>
      </c>
      <c r="BM4055" t="s">
        <v>15650</v>
      </c>
    </row>
    <row r="4056" spans="1:65">
      <c r="A4056" s="1">
        <f>HYPERLINK("https://lsnyc.legalserver.org/matter/dynamic-profile/view/1897503","19-1897503")</f>
        <v>0</v>
      </c>
      <c r="B4056" t="s">
        <v>217</v>
      </c>
      <c r="C4056" t="s">
        <v>247</v>
      </c>
      <c r="D4056" t="s">
        <v>664</v>
      </c>
      <c r="F4056" t="s">
        <v>1519</v>
      </c>
      <c r="G4056" t="s">
        <v>4130</v>
      </c>
      <c r="H4056" t="s">
        <v>5581</v>
      </c>
      <c r="I4056" t="s">
        <v>7089</v>
      </c>
      <c r="J4056" t="s">
        <v>7176</v>
      </c>
      <c r="K4056">
        <v>11368</v>
      </c>
      <c r="N4056" t="s">
        <v>7237</v>
      </c>
      <c r="O4056" t="s">
        <v>9790</v>
      </c>
      <c r="P4056">
        <v>1</v>
      </c>
      <c r="Q4056">
        <v>0</v>
      </c>
      <c r="R4056">
        <v>168.13</v>
      </c>
      <c r="U4056">
        <v>21000</v>
      </c>
      <c r="W4056">
        <v>0.5</v>
      </c>
      <c r="X4056" t="s">
        <v>629</v>
      </c>
      <c r="Y4056" t="s">
        <v>217</v>
      </c>
      <c r="AA4056" t="s">
        <v>10974</v>
      </c>
      <c r="AB4056" t="s">
        <v>10823</v>
      </c>
      <c r="AD4056" t="s">
        <v>11098</v>
      </c>
      <c r="AF4056" t="s">
        <v>11122</v>
      </c>
      <c r="AH4056" t="s">
        <v>10974</v>
      </c>
      <c r="AJ4056" t="s">
        <v>11104</v>
      </c>
      <c r="AK4056" t="s">
        <v>7225</v>
      </c>
      <c r="AM4056">
        <v>1290</v>
      </c>
      <c r="AO4056">
        <v>70</v>
      </c>
      <c r="AQ4056" t="s">
        <v>11157</v>
      </c>
      <c r="AS4056" t="s">
        <v>11173</v>
      </c>
      <c r="AU4056">
        <v>45</v>
      </c>
      <c r="AW4056" t="s">
        <v>11187</v>
      </c>
      <c r="AY4056" t="s">
        <v>11213</v>
      </c>
      <c r="BA4056" t="s">
        <v>11222</v>
      </c>
      <c r="BB4056" t="s">
        <v>11224</v>
      </c>
      <c r="BC4056" t="s">
        <v>11236</v>
      </c>
      <c r="BE4056" t="s">
        <v>13884</v>
      </c>
      <c r="BG4056" t="s">
        <v>15343</v>
      </c>
      <c r="BM4056" t="s">
        <v>15650</v>
      </c>
    </row>
    <row r="4057" spans="1:65">
      <c r="A4057" s="1">
        <f>HYPERLINK("https://lsnyc.legalserver.org/matter/dynamic-profile/view/1873655","18-1873655")</f>
        <v>0</v>
      </c>
      <c r="B4057" t="s">
        <v>217</v>
      </c>
      <c r="C4057" t="s">
        <v>247</v>
      </c>
      <c r="D4057" t="s">
        <v>802</v>
      </c>
      <c r="F4057" t="s">
        <v>1459</v>
      </c>
      <c r="G4057" t="s">
        <v>4135</v>
      </c>
      <c r="H4057" t="s">
        <v>6117</v>
      </c>
      <c r="I4057" t="s">
        <v>7090</v>
      </c>
      <c r="J4057" t="s">
        <v>7172</v>
      </c>
      <c r="K4057">
        <v>11691</v>
      </c>
      <c r="N4057" t="s">
        <v>7237</v>
      </c>
      <c r="O4057" t="s">
        <v>9791</v>
      </c>
      <c r="P4057">
        <v>3</v>
      </c>
      <c r="Q4057">
        <v>1</v>
      </c>
      <c r="R4057">
        <v>62.15</v>
      </c>
      <c r="U4057">
        <v>15600</v>
      </c>
      <c r="W4057">
        <v>2.6</v>
      </c>
      <c r="X4057" t="s">
        <v>467</v>
      </c>
      <c r="Y4057" t="s">
        <v>217</v>
      </c>
      <c r="AA4057" t="s">
        <v>10974</v>
      </c>
      <c r="AB4057" t="s">
        <v>11004</v>
      </c>
      <c r="AD4057" t="s">
        <v>11083</v>
      </c>
      <c r="AF4057" t="s">
        <v>11119</v>
      </c>
      <c r="AH4057" t="s">
        <v>10975</v>
      </c>
      <c r="AJ4057" t="s">
        <v>11136</v>
      </c>
      <c r="AK4057" t="s">
        <v>7225</v>
      </c>
      <c r="AM4057">
        <v>1836</v>
      </c>
      <c r="AO4057">
        <v>3</v>
      </c>
      <c r="AQ4057" t="s">
        <v>11156</v>
      </c>
      <c r="AS4057" t="s">
        <v>11174</v>
      </c>
      <c r="AU4057">
        <v>3</v>
      </c>
      <c r="AW4057" t="s">
        <v>11187</v>
      </c>
      <c r="AY4057" t="s">
        <v>11215</v>
      </c>
      <c r="AZ4057" t="s">
        <v>11221</v>
      </c>
      <c r="BE4057" t="s">
        <v>13885</v>
      </c>
      <c r="BG4057" t="s">
        <v>15344</v>
      </c>
      <c r="BM4057" t="s">
        <v>15650</v>
      </c>
    </row>
    <row r="4058" spans="1:65">
      <c r="A4058" s="1">
        <f>HYPERLINK("https://lsnyc.legalserver.org/matter/dynamic-profile/view/1907462","19-1907462")</f>
        <v>0</v>
      </c>
      <c r="B4058" t="s">
        <v>217</v>
      </c>
      <c r="C4058" t="s">
        <v>247</v>
      </c>
      <c r="D4058" t="s">
        <v>362</v>
      </c>
      <c r="F4058" t="s">
        <v>1799</v>
      </c>
      <c r="G4058" t="s">
        <v>2984</v>
      </c>
      <c r="H4058" t="s">
        <v>6118</v>
      </c>
      <c r="J4058" t="s">
        <v>7209</v>
      </c>
      <c r="K4058">
        <v>11429</v>
      </c>
      <c r="N4058" t="s">
        <v>7237</v>
      </c>
      <c r="O4058" t="s">
        <v>9792</v>
      </c>
      <c r="P4058">
        <v>1</v>
      </c>
      <c r="Q4058">
        <v>2</v>
      </c>
      <c r="R4058">
        <v>93.76000000000001</v>
      </c>
      <c r="U4058">
        <v>20000</v>
      </c>
      <c r="W4058">
        <v>2.45</v>
      </c>
      <c r="X4058" t="s">
        <v>421</v>
      </c>
      <c r="Y4058" t="s">
        <v>10870</v>
      </c>
      <c r="AA4058" t="s">
        <v>10974</v>
      </c>
      <c r="AB4058" t="s">
        <v>362</v>
      </c>
      <c r="AD4058" t="s">
        <v>11083</v>
      </c>
      <c r="AF4058" t="s">
        <v>11119</v>
      </c>
      <c r="AH4058" t="s">
        <v>10975</v>
      </c>
      <c r="AJ4058" t="s">
        <v>11138</v>
      </c>
      <c r="AK4058" t="s">
        <v>7225</v>
      </c>
      <c r="AM4058">
        <v>450</v>
      </c>
      <c r="AO4058">
        <v>2</v>
      </c>
      <c r="AQ4058" t="s">
        <v>11164</v>
      </c>
      <c r="AS4058" t="s">
        <v>11173</v>
      </c>
      <c r="AU4058">
        <v>2</v>
      </c>
      <c r="AW4058" t="s">
        <v>11187</v>
      </c>
      <c r="AY4058" t="s">
        <v>11214</v>
      </c>
      <c r="BA4058" t="s">
        <v>11222</v>
      </c>
      <c r="BB4058" t="s">
        <v>11224</v>
      </c>
      <c r="BC4058" t="s">
        <v>11236</v>
      </c>
      <c r="BE4058" t="s">
        <v>11236</v>
      </c>
      <c r="BG4058" t="s">
        <v>15345</v>
      </c>
      <c r="BM4058" t="s">
        <v>15650</v>
      </c>
    </row>
    <row r="4059" spans="1:65">
      <c r="A4059" s="1">
        <f>HYPERLINK("https://lsnyc.legalserver.org/matter/dynamic-profile/view/1896719","19-1896719")</f>
        <v>0</v>
      </c>
      <c r="B4059" t="s">
        <v>217</v>
      </c>
      <c r="C4059" t="s">
        <v>247</v>
      </c>
      <c r="D4059" t="s">
        <v>585</v>
      </c>
      <c r="F4059" t="s">
        <v>2629</v>
      </c>
      <c r="G4059" t="s">
        <v>4510</v>
      </c>
      <c r="H4059" t="s">
        <v>6119</v>
      </c>
      <c r="J4059" t="s">
        <v>7177</v>
      </c>
      <c r="K4059">
        <v>11435</v>
      </c>
      <c r="N4059" t="s">
        <v>7237</v>
      </c>
      <c r="O4059" t="s">
        <v>9793</v>
      </c>
      <c r="P4059">
        <v>1</v>
      </c>
      <c r="Q4059">
        <v>2</v>
      </c>
      <c r="R4059">
        <v>146.27</v>
      </c>
      <c r="U4059">
        <v>31200</v>
      </c>
      <c r="W4059">
        <v>2.25</v>
      </c>
      <c r="X4059" t="s">
        <v>511</v>
      </c>
      <c r="Y4059" t="s">
        <v>217</v>
      </c>
      <c r="AA4059" t="s">
        <v>10974</v>
      </c>
      <c r="AB4059" t="s">
        <v>10823</v>
      </c>
      <c r="AD4059" t="s">
        <v>11098</v>
      </c>
      <c r="AF4059" t="s">
        <v>11120</v>
      </c>
      <c r="AH4059" t="s">
        <v>10975</v>
      </c>
      <c r="AI4059" t="s">
        <v>11126</v>
      </c>
      <c r="AK4059" t="s">
        <v>7225</v>
      </c>
      <c r="AM4059">
        <v>950</v>
      </c>
      <c r="AO4059">
        <v>10</v>
      </c>
      <c r="AQ4059" t="s">
        <v>11164</v>
      </c>
      <c r="AR4059" t="s">
        <v>11172</v>
      </c>
      <c r="AU4059">
        <v>15</v>
      </c>
      <c r="AW4059" t="s">
        <v>11187</v>
      </c>
      <c r="AY4059" t="s">
        <v>11213</v>
      </c>
      <c r="BA4059" t="s">
        <v>11222</v>
      </c>
      <c r="BE4059" t="s">
        <v>13886</v>
      </c>
      <c r="BF4059" t="s">
        <v>14364</v>
      </c>
      <c r="BM4059" t="s">
        <v>15650</v>
      </c>
    </row>
    <row r="4060" spans="1:65">
      <c r="A4060" s="1">
        <f>HYPERLINK("https://lsnyc.legalserver.org/matter/dynamic-profile/view/1900699","19-1900699")</f>
        <v>0</v>
      </c>
      <c r="B4060" t="s">
        <v>217</v>
      </c>
      <c r="C4060" t="s">
        <v>247</v>
      </c>
      <c r="D4060" t="s">
        <v>582</v>
      </c>
      <c r="E4060" t="s">
        <v>426</v>
      </c>
      <c r="F4060" t="s">
        <v>2630</v>
      </c>
      <c r="G4060" t="s">
        <v>4511</v>
      </c>
      <c r="H4060" t="s">
        <v>6120</v>
      </c>
      <c r="J4060" t="s">
        <v>7187</v>
      </c>
      <c r="K4060">
        <v>11415</v>
      </c>
      <c r="L4060" t="s">
        <v>7217</v>
      </c>
      <c r="N4060" t="s">
        <v>7237</v>
      </c>
      <c r="O4060" t="s">
        <v>8139</v>
      </c>
      <c r="P4060">
        <v>2</v>
      </c>
      <c r="Q4060">
        <v>3</v>
      </c>
      <c r="R4060">
        <v>39.77</v>
      </c>
      <c r="U4060">
        <v>12000</v>
      </c>
      <c r="W4060">
        <v>2.8</v>
      </c>
      <c r="X4060" t="s">
        <v>449</v>
      </c>
      <c r="Y4060" t="s">
        <v>217</v>
      </c>
      <c r="AA4060" t="s">
        <v>10974</v>
      </c>
      <c r="AB4060" t="s">
        <v>570</v>
      </c>
      <c r="AD4060" t="s">
        <v>11086</v>
      </c>
      <c r="AF4060" t="s">
        <v>11120</v>
      </c>
      <c r="AH4060" t="s">
        <v>10975</v>
      </c>
      <c r="AJ4060" t="s">
        <v>11129</v>
      </c>
      <c r="AK4060" t="s">
        <v>7225</v>
      </c>
      <c r="AM4060">
        <v>1800</v>
      </c>
      <c r="AO4060">
        <v>50</v>
      </c>
      <c r="AQ4060" t="s">
        <v>11157</v>
      </c>
      <c r="AS4060" t="s">
        <v>11176</v>
      </c>
      <c r="AU4060">
        <v>4</v>
      </c>
      <c r="AW4060" t="s">
        <v>11196</v>
      </c>
      <c r="AY4060" t="s">
        <v>11213</v>
      </c>
      <c r="BA4060" t="s">
        <v>11222</v>
      </c>
      <c r="BC4060" t="s">
        <v>11571</v>
      </c>
      <c r="BE4060" t="s">
        <v>13887</v>
      </c>
      <c r="BF4060" t="s">
        <v>14364</v>
      </c>
      <c r="BM4060" t="s">
        <v>15651</v>
      </c>
    </row>
    <row r="4061" spans="1:65">
      <c r="A4061" s="1">
        <f>HYPERLINK("https://lsnyc.legalserver.org/matter/dynamic-profile/view/1875703","18-1875703")</f>
        <v>0</v>
      </c>
      <c r="B4061" t="s">
        <v>217</v>
      </c>
      <c r="C4061" t="s">
        <v>247</v>
      </c>
      <c r="D4061" t="s">
        <v>487</v>
      </c>
      <c r="F4061" t="s">
        <v>2631</v>
      </c>
      <c r="G4061" t="s">
        <v>4512</v>
      </c>
      <c r="H4061" t="s">
        <v>6121</v>
      </c>
      <c r="I4061" t="s">
        <v>6413</v>
      </c>
      <c r="J4061" t="s">
        <v>7172</v>
      </c>
      <c r="K4061">
        <v>11691</v>
      </c>
      <c r="M4061" t="s">
        <v>7225</v>
      </c>
      <c r="N4061" t="s">
        <v>7237</v>
      </c>
      <c r="O4061" t="s">
        <v>9794</v>
      </c>
      <c r="P4061">
        <v>3</v>
      </c>
      <c r="Q4061">
        <v>0</v>
      </c>
      <c r="R4061">
        <v>172.72</v>
      </c>
      <c r="U4061">
        <v>35892</v>
      </c>
      <c r="W4061">
        <v>1.45</v>
      </c>
      <c r="X4061" t="s">
        <v>637</v>
      </c>
      <c r="Y4061" t="s">
        <v>202</v>
      </c>
      <c r="AA4061" t="s">
        <v>10974</v>
      </c>
      <c r="AB4061" t="s">
        <v>487</v>
      </c>
      <c r="AD4061" t="s">
        <v>11082</v>
      </c>
      <c r="AF4061" t="s">
        <v>11119</v>
      </c>
      <c r="AH4061" t="s">
        <v>10975</v>
      </c>
      <c r="AJ4061" t="s">
        <v>11138</v>
      </c>
      <c r="AK4061" t="s">
        <v>7225</v>
      </c>
      <c r="AM4061">
        <v>1461</v>
      </c>
      <c r="AO4061">
        <v>60</v>
      </c>
      <c r="AQ4061" t="s">
        <v>11157</v>
      </c>
      <c r="AS4061" t="s">
        <v>11173</v>
      </c>
      <c r="AU4061">
        <v>6</v>
      </c>
      <c r="AW4061" t="s">
        <v>11187</v>
      </c>
      <c r="AY4061" t="s">
        <v>11213</v>
      </c>
      <c r="AZ4061" t="s">
        <v>11221</v>
      </c>
      <c r="BC4061" t="s">
        <v>11572</v>
      </c>
      <c r="BE4061" t="s">
        <v>13888</v>
      </c>
      <c r="BG4061" t="s">
        <v>15346</v>
      </c>
      <c r="BM4061" t="s">
        <v>15650</v>
      </c>
    </row>
    <row r="4062" spans="1:65">
      <c r="A4062" s="1">
        <f>HYPERLINK("https://lsnyc.legalserver.org/matter/dynamic-profile/view/1874432","18-1874432")</f>
        <v>0</v>
      </c>
      <c r="B4062" t="s">
        <v>217</v>
      </c>
      <c r="C4062" t="s">
        <v>247</v>
      </c>
      <c r="D4062" t="s">
        <v>876</v>
      </c>
      <c r="F4062" t="s">
        <v>2110</v>
      </c>
      <c r="G4062" t="s">
        <v>2888</v>
      </c>
      <c r="H4062" t="s">
        <v>6122</v>
      </c>
      <c r="I4062" t="s">
        <v>6654</v>
      </c>
      <c r="J4062" t="s">
        <v>7172</v>
      </c>
      <c r="K4062">
        <v>11692</v>
      </c>
      <c r="N4062" t="s">
        <v>7237</v>
      </c>
      <c r="O4062" t="s">
        <v>9795</v>
      </c>
      <c r="P4062">
        <v>3</v>
      </c>
      <c r="Q4062">
        <v>4</v>
      </c>
      <c r="R4062">
        <v>0</v>
      </c>
      <c r="U4062">
        <v>0</v>
      </c>
      <c r="W4062">
        <v>0.1</v>
      </c>
      <c r="X4062" t="s">
        <v>299</v>
      </c>
      <c r="Y4062" t="s">
        <v>217</v>
      </c>
      <c r="AA4062" t="s">
        <v>10974</v>
      </c>
      <c r="AB4062" t="s">
        <v>876</v>
      </c>
      <c r="AD4062" t="s">
        <v>11082</v>
      </c>
      <c r="AF4062" t="s">
        <v>11119</v>
      </c>
      <c r="AH4062" t="s">
        <v>10975</v>
      </c>
      <c r="AJ4062" t="s">
        <v>11138</v>
      </c>
      <c r="AK4062" t="s">
        <v>7225</v>
      </c>
      <c r="AM4062">
        <v>1930</v>
      </c>
      <c r="AO4062">
        <v>3</v>
      </c>
      <c r="AQ4062" t="s">
        <v>11164</v>
      </c>
      <c r="AS4062" t="s">
        <v>11174</v>
      </c>
      <c r="AU4062">
        <v>5</v>
      </c>
      <c r="AW4062" t="s">
        <v>11187</v>
      </c>
      <c r="AY4062" t="s">
        <v>11214</v>
      </c>
      <c r="AZ4062" t="s">
        <v>11221</v>
      </c>
      <c r="BE4062" t="s">
        <v>13889</v>
      </c>
      <c r="BG4062" t="s">
        <v>15347</v>
      </c>
      <c r="BM4062" t="s">
        <v>15650</v>
      </c>
    </row>
    <row r="4063" spans="1:65">
      <c r="A4063" s="1">
        <f>HYPERLINK("https://lsnyc.legalserver.org/matter/dynamic-profile/view/1899402","19-1899402")</f>
        <v>0</v>
      </c>
      <c r="B4063" t="s">
        <v>217</v>
      </c>
      <c r="C4063" t="s">
        <v>247</v>
      </c>
      <c r="D4063" t="s">
        <v>1032</v>
      </c>
      <c r="F4063" t="s">
        <v>2632</v>
      </c>
      <c r="G4063" t="s">
        <v>4513</v>
      </c>
      <c r="H4063" t="s">
        <v>6123</v>
      </c>
      <c r="J4063" t="s">
        <v>7177</v>
      </c>
      <c r="K4063">
        <v>11436</v>
      </c>
      <c r="N4063" t="s">
        <v>7237</v>
      </c>
      <c r="O4063" t="s">
        <v>9796</v>
      </c>
      <c r="P4063">
        <v>1</v>
      </c>
      <c r="Q4063">
        <v>0</v>
      </c>
      <c r="R4063">
        <v>22.1</v>
      </c>
      <c r="U4063">
        <v>2760</v>
      </c>
      <c r="W4063">
        <v>1.4</v>
      </c>
      <c r="X4063" t="s">
        <v>866</v>
      </c>
      <c r="Y4063" t="s">
        <v>10939</v>
      </c>
      <c r="AA4063" t="s">
        <v>10974</v>
      </c>
      <c r="AB4063" t="s">
        <v>1032</v>
      </c>
      <c r="AD4063" t="s">
        <v>11083</v>
      </c>
      <c r="AF4063" t="s">
        <v>11119</v>
      </c>
      <c r="AH4063" t="s">
        <v>10975</v>
      </c>
      <c r="AJ4063" t="s">
        <v>11138</v>
      </c>
      <c r="AK4063" t="s">
        <v>7225</v>
      </c>
      <c r="AM4063">
        <v>900</v>
      </c>
      <c r="AO4063">
        <v>4</v>
      </c>
      <c r="AQ4063" t="s">
        <v>11156</v>
      </c>
      <c r="AR4063" t="s">
        <v>11172</v>
      </c>
      <c r="AU4063">
        <v>1</v>
      </c>
      <c r="AW4063" t="s">
        <v>11187</v>
      </c>
      <c r="AY4063" t="s">
        <v>11216</v>
      </c>
      <c r="BA4063" t="s">
        <v>11222</v>
      </c>
      <c r="BE4063" t="s">
        <v>13890</v>
      </c>
      <c r="BG4063" t="s">
        <v>15348</v>
      </c>
      <c r="BM4063" t="s">
        <v>15650</v>
      </c>
    </row>
    <row r="4064" spans="1:65">
      <c r="A4064" s="1">
        <f>HYPERLINK("https://lsnyc.legalserver.org/matter/dynamic-profile/view/1897589","19-1897589")</f>
        <v>0</v>
      </c>
      <c r="B4064" t="s">
        <v>217</v>
      </c>
      <c r="C4064" t="s">
        <v>247</v>
      </c>
      <c r="D4064" t="s">
        <v>389</v>
      </c>
      <c r="F4064" t="s">
        <v>2633</v>
      </c>
      <c r="G4064" t="s">
        <v>3079</v>
      </c>
      <c r="H4064" t="s">
        <v>6116</v>
      </c>
      <c r="I4064" t="s">
        <v>7083</v>
      </c>
      <c r="J4064" t="s">
        <v>7176</v>
      </c>
      <c r="K4064">
        <v>11368</v>
      </c>
      <c r="N4064" t="s">
        <v>7237</v>
      </c>
      <c r="O4064" t="s">
        <v>9797</v>
      </c>
      <c r="P4064">
        <v>1</v>
      </c>
      <c r="Q4064">
        <v>0</v>
      </c>
      <c r="R4064">
        <v>400.32</v>
      </c>
      <c r="U4064">
        <v>50000</v>
      </c>
      <c r="W4064">
        <v>0</v>
      </c>
      <c r="Y4064" t="s">
        <v>217</v>
      </c>
      <c r="AA4064" t="s">
        <v>10974</v>
      </c>
      <c r="AB4064" t="s">
        <v>594</v>
      </c>
      <c r="AD4064" t="s">
        <v>11098</v>
      </c>
      <c r="AF4064" t="s">
        <v>11122</v>
      </c>
      <c r="AH4064" t="s">
        <v>10974</v>
      </c>
      <c r="AJ4064" t="s">
        <v>11104</v>
      </c>
      <c r="AK4064" t="s">
        <v>7225</v>
      </c>
      <c r="AM4064">
        <v>1252.55</v>
      </c>
      <c r="AO4064">
        <v>70</v>
      </c>
      <c r="AQ4064" t="s">
        <v>11157</v>
      </c>
      <c r="AS4064" t="s">
        <v>11173</v>
      </c>
      <c r="AU4064">
        <v>43</v>
      </c>
      <c r="AV4064" t="s">
        <v>11186</v>
      </c>
      <c r="AY4064" t="s">
        <v>11213</v>
      </c>
      <c r="BA4064" t="s">
        <v>11222</v>
      </c>
      <c r="BB4064" t="s">
        <v>11224</v>
      </c>
      <c r="BC4064" t="s">
        <v>11236</v>
      </c>
      <c r="BE4064" t="s">
        <v>13891</v>
      </c>
      <c r="BG4064" t="s">
        <v>15342</v>
      </c>
      <c r="BM4064" t="s">
        <v>15650</v>
      </c>
    </row>
    <row r="4065" spans="1:67">
      <c r="A4065" s="1">
        <f>HYPERLINK("https://lsnyc.legalserver.org/matter/dynamic-profile/view/1902898","19-1902898")</f>
        <v>0</v>
      </c>
      <c r="B4065" t="s">
        <v>217</v>
      </c>
      <c r="C4065" t="s">
        <v>247</v>
      </c>
      <c r="D4065" t="s">
        <v>322</v>
      </c>
      <c r="F4065" t="s">
        <v>1310</v>
      </c>
      <c r="G4065" t="s">
        <v>4514</v>
      </c>
      <c r="H4065" t="s">
        <v>6116</v>
      </c>
      <c r="I4065" t="s">
        <v>7072</v>
      </c>
      <c r="J4065" t="s">
        <v>7176</v>
      </c>
      <c r="K4065">
        <v>11368</v>
      </c>
      <c r="N4065" t="s">
        <v>7237</v>
      </c>
      <c r="O4065" t="s">
        <v>9798</v>
      </c>
      <c r="P4065">
        <v>2</v>
      </c>
      <c r="Q4065">
        <v>1</v>
      </c>
      <c r="R4065">
        <v>75.39</v>
      </c>
      <c r="U4065">
        <v>16080</v>
      </c>
      <c r="W4065">
        <v>1</v>
      </c>
      <c r="X4065" t="s">
        <v>322</v>
      </c>
      <c r="Y4065" t="s">
        <v>217</v>
      </c>
      <c r="AA4065" t="s">
        <v>10974</v>
      </c>
      <c r="AB4065" t="s">
        <v>571</v>
      </c>
      <c r="AD4065" t="s">
        <v>11098</v>
      </c>
      <c r="AF4065" t="s">
        <v>11122</v>
      </c>
      <c r="AH4065" t="s">
        <v>10974</v>
      </c>
      <c r="AJ4065" t="s">
        <v>11129</v>
      </c>
      <c r="AK4065" t="s">
        <v>7225</v>
      </c>
      <c r="AM4065">
        <v>1240</v>
      </c>
      <c r="AO4065">
        <v>230</v>
      </c>
      <c r="AQ4065" t="s">
        <v>11157</v>
      </c>
      <c r="AS4065" t="s">
        <v>11173</v>
      </c>
      <c r="AU4065">
        <v>24</v>
      </c>
      <c r="AV4065" t="s">
        <v>11186</v>
      </c>
      <c r="AY4065" t="s">
        <v>11213</v>
      </c>
      <c r="AZ4065" t="s">
        <v>11221</v>
      </c>
      <c r="BB4065" t="s">
        <v>11224</v>
      </c>
      <c r="BC4065" t="s">
        <v>11236</v>
      </c>
      <c r="BE4065" t="s">
        <v>13892</v>
      </c>
      <c r="BG4065" t="s">
        <v>15342</v>
      </c>
      <c r="BM4065" t="s">
        <v>15650</v>
      </c>
    </row>
    <row r="4066" spans="1:67">
      <c r="A4066" s="1">
        <f>HYPERLINK("https://lsnyc.legalserver.org/matter/dynamic-profile/view/1879536","18-1879536")</f>
        <v>0</v>
      </c>
      <c r="B4066" t="s">
        <v>217</v>
      </c>
      <c r="C4066" t="s">
        <v>247</v>
      </c>
      <c r="D4066" t="s">
        <v>600</v>
      </c>
      <c r="F4066" t="s">
        <v>2634</v>
      </c>
      <c r="G4066" t="s">
        <v>4515</v>
      </c>
      <c r="H4066" t="s">
        <v>6124</v>
      </c>
      <c r="I4066">
        <v>302</v>
      </c>
      <c r="J4066" t="s">
        <v>7194</v>
      </c>
      <c r="K4066">
        <v>11692</v>
      </c>
      <c r="N4066" t="s">
        <v>7237</v>
      </c>
      <c r="O4066" t="s">
        <v>9799</v>
      </c>
      <c r="P4066">
        <v>4</v>
      </c>
      <c r="Q4066">
        <v>0</v>
      </c>
      <c r="R4066">
        <v>159.4</v>
      </c>
      <c r="U4066">
        <v>40010</v>
      </c>
      <c r="W4066">
        <v>2.17</v>
      </c>
      <c r="X4066" t="s">
        <v>304</v>
      </c>
      <c r="Y4066" t="s">
        <v>202</v>
      </c>
      <c r="AA4066" t="s">
        <v>10974</v>
      </c>
      <c r="AB4066" t="s">
        <v>600</v>
      </c>
      <c r="AD4066" t="s">
        <v>11082</v>
      </c>
      <c r="AF4066" t="s">
        <v>11119</v>
      </c>
      <c r="AH4066" t="s">
        <v>10975</v>
      </c>
      <c r="AJ4066" t="s">
        <v>11138</v>
      </c>
      <c r="AK4066" t="s">
        <v>7225</v>
      </c>
      <c r="AM4066">
        <v>1325</v>
      </c>
      <c r="AO4066">
        <v>8</v>
      </c>
      <c r="AQ4066" t="s">
        <v>11157</v>
      </c>
      <c r="AS4066" t="s">
        <v>11173</v>
      </c>
      <c r="AU4066">
        <v>20</v>
      </c>
      <c r="AW4066" t="s">
        <v>11187</v>
      </c>
      <c r="AY4066" t="s">
        <v>11215</v>
      </c>
      <c r="AZ4066" t="s">
        <v>11221</v>
      </c>
      <c r="BC4066" t="s">
        <v>11573</v>
      </c>
      <c r="BE4066" t="s">
        <v>13893</v>
      </c>
      <c r="BG4066" t="s">
        <v>15349</v>
      </c>
      <c r="BM4066" t="s">
        <v>15650</v>
      </c>
    </row>
    <row r="4067" spans="1:67">
      <c r="A4067" s="1">
        <f>HYPERLINK("https://lsnyc.legalserver.org/matter/dynamic-profile/view/1897510","19-1897510")</f>
        <v>0</v>
      </c>
      <c r="B4067" t="s">
        <v>217</v>
      </c>
      <c r="C4067" t="s">
        <v>247</v>
      </c>
      <c r="D4067" t="s">
        <v>664</v>
      </c>
      <c r="F4067" t="s">
        <v>1860</v>
      </c>
      <c r="G4067" t="s">
        <v>4516</v>
      </c>
      <c r="H4067" t="s">
        <v>6115</v>
      </c>
      <c r="I4067" t="s">
        <v>6438</v>
      </c>
      <c r="J4067" t="s">
        <v>7176</v>
      </c>
      <c r="K4067">
        <v>11368</v>
      </c>
      <c r="N4067" t="s">
        <v>7237</v>
      </c>
      <c r="O4067" t="s">
        <v>9800</v>
      </c>
      <c r="P4067">
        <v>1</v>
      </c>
      <c r="Q4067">
        <v>0</v>
      </c>
      <c r="R4067">
        <v>520.42</v>
      </c>
      <c r="U4067">
        <v>65000</v>
      </c>
      <c r="W4067">
        <v>0</v>
      </c>
      <c r="Y4067" t="s">
        <v>217</v>
      </c>
      <c r="AA4067" t="s">
        <v>10974</v>
      </c>
      <c r="AB4067" t="s">
        <v>10823</v>
      </c>
      <c r="AD4067" t="s">
        <v>11098</v>
      </c>
      <c r="AF4067" t="s">
        <v>11122</v>
      </c>
      <c r="AH4067" t="s">
        <v>10974</v>
      </c>
      <c r="AJ4067" t="s">
        <v>11104</v>
      </c>
      <c r="AK4067" t="s">
        <v>7225</v>
      </c>
      <c r="AM4067">
        <v>1586</v>
      </c>
      <c r="AO4067">
        <v>50</v>
      </c>
      <c r="AQ4067" t="s">
        <v>11157</v>
      </c>
      <c r="AS4067" t="s">
        <v>11173</v>
      </c>
      <c r="AU4067">
        <v>19</v>
      </c>
      <c r="AW4067" t="s">
        <v>11187</v>
      </c>
      <c r="AY4067" t="s">
        <v>11213</v>
      </c>
      <c r="BA4067" t="s">
        <v>11222</v>
      </c>
      <c r="BB4067" t="s">
        <v>11224</v>
      </c>
      <c r="BC4067" t="s">
        <v>11236</v>
      </c>
      <c r="BE4067" t="s">
        <v>13894</v>
      </c>
      <c r="BG4067" t="s">
        <v>15319</v>
      </c>
      <c r="BM4067" t="s">
        <v>15650</v>
      </c>
    </row>
    <row r="4068" spans="1:67">
      <c r="A4068" s="1">
        <f>HYPERLINK("https://lsnyc.legalserver.org/matter/dynamic-profile/view/1872098","18-1872098")</f>
        <v>0</v>
      </c>
      <c r="B4068" t="s">
        <v>218</v>
      </c>
      <c r="C4068" t="s">
        <v>247</v>
      </c>
      <c r="D4068" t="s">
        <v>618</v>
      </c>
      <c r="F4068" t="s">
        <v>2555</v>
      </c>
      <c r="G4068" t="s">
        <v>4416</v>
      </c>
      <c r="H4068" t="s">
        <v>6017</v>
      </c>
      <c r="I4068" t="s">
        <v>6468</v>
      </c>
      <c r="J4068" t="s">
        <v>7195</v>
      </c>
      <c r="K4068">
        <v>11106</v>
      </c>
      <c r="N4068" t="s">
        <v>7237</v>
      </c>
      <c r="O4068" t="s">
        <v>9656</v>
      </c>
      <c r="P4068">
        <v>6</v>
      </c>
      <c r="Q4068">
        <v>4</v>
      </c>
      <c r="R4068">
        <v>51.78</v>
      </c>
      <c r="S4068" t="s">
        <v>10254</v>
      </c>
      <c r="T4068" t="s">
        <v>10275</v>
      </c>
      <c r="U4068">
        <v>26420</v>
      </c>
      <c r="W4068">
        <v>9.33</v>
      </c>
      <c r="X4068" t="s">
        <v>528</v>
      </c>
      <c r="Y4068" t="s">
        <v>10940</v>
      </c>
      <c r="AA4068" t="s">
        <v>10974</v>
      </c>
      <c r="AB4068" t="s">
        <v>10255</v>
      </c>
      <c r="AD4068" t="s">
        <v>11082</v>
      </c>
      <c r="AF4068" t="s">
        <v>11118</v>
      </c>
      <c r="AH4068" t="s">
        <v>10975</v>
      </c>
      <c r="AJ4068" t="s">
        <v>11133</v>
      </c>
      <c r="AK4068" t="s">
        <v>11149</v>
      </c>
      <c r="AM4068">
        <v>1100</v>
      </c>
      <c r="AO4068">
        <v>40</v>
      </c>
      <c r="AQ4068" t="s">
        <v>11157</v>
      </c>
      <c r="AS4068" t="s">
        <v>11173</v>
      </c>
      <c r="AU4068">
        <v>25</v>
      </c>
      <c r="AW4068" t="s">
        <v>11196</v>
      </c>
      <c r="AY4068" t="s">
        <v>11214</v>
      </c>
      <c r="AZ4068" t="s">
        <v>11221</v>
      </c>
      <c r="BE4068" t="s">
        <v>13757</v>
      </c>
      <c r="BG4068" t="s">
        <v>15269</v>
      </c>
      <c r="BI4068" t="s">
        <v>15606</v>
      </c>
      <c r="BK4068" t="s">
        <v>11104</v>
      </c>
      <c r="BM4068" t="s">
        <v>15650</v>
      </c>
      <c r="BN4068" t="s">
        <v>15652</v>
      </c>
      <c r="BO4068" t="s">
        <v>15734</v>
      </c>
    </row>
    <row r="4069" spans="1:67">
      <c r="A4069" s="1">
        <f>HYPERLINK("https://lsnyc.legalserver.org/matter/dynamic-profile/view/1844065","17-1844065")</f>
        <v>0</v>
      </c>
      <c r="B4069" t="s">
        <v>218</v>
      </c>
      <c r="C4069" t="s">
        <v>247</v>
      </c>
      <c r="D4069" t="s">
        <v>927</v>
      </c>
      <c r="F4069" t="s">
        <v>2635</v>
      </c>
      <c r="G4069" t="s">
        <v>4517</v>
      </c>
      <c r="H4069" t="s">
        <v>6125</v>
      </c>
      <c r="I4069" t="s">
        <v>6551</v>
      </c>
      <c r="J4069" t="s">
        <v>7173</v>
      </c>
      <c r="K4069">
        <v>11367</v>
      </c>
      <c r="N4069" t="s">
        <v>7237</v>
      </c>
      <c r="O4069" t="s">
        <v>7364</v>
      </c>
      <c r="P4069">
        <v>2</v>
      </c>
      <c r="Q4069">
        <v>0</v>
      </c>
      <c r="R4069">
        <v>54.16</v>
      </c>
      <c r="T4069" t="s">
        <v>10280</v>
      </c>
      <c r="U4069">
        <v>10236</v>
      </c>
      <c r="W4069">
        <v>29.55</v>
      </c>
      <c r="X4069" t="s">
        <v>360</v>
      </c>
      <c r="Y4069" t="s">
        <v>218</v>
      </c>
      <c r="AA4069" t="s">
        <v>10974</v>
      </c>
      <c r="AB4069" t="s">
        <v>898</v>
      </c>
      <c r="AD4069" t="s">
        <v>11082</v>
      </c>
      <c r="AF4069" t="s">
        <v>11118</v>
      </c>
      <c r="AH4069" t="s">
        <v>10975</v>
      </c>
      <c r="AJ4069" t="s">
        <v>11129</v>
      </c>
      <c r="AK4069" t="s">
        <v>7225</v>
      </c>
      <c r="AM4069">
        <v>1029</v>
      </c>
      <c r="AO4069">
        <v>144</v>
      </c>
      <c r="AQ4069" t="s">
        <v>11157</v>
      </c>
      <c r="AS4069" t="s">
        <v>11173</v>
      </c>
      <c r="AU4069">
        <v>18</v>
      </c>
      <c r="AW4069" t="s">
        <v>11191</v>
      </c>
      <c r="AZ4069" t="s">
        <v>11221</v>
      </c>
      <c r="BB4069" t="s">
        <v>11224</v>
      </c>
      <c r="BC4069" t="s">
        <v>11574</v>
      </c>
      <c r="BE4069" t="s">
        <v>13895</v>
      </c>
      <c r="BF4069" t="s">
        <v>14364</v>
      </c>
      <c r="BG4069" t="s">
        <v>15350</v>
      </c>
      <c r="BM4069" t="s">
        <v>15650</v>
      </c>
    </row>
    <row r="4070" spans="1:67">
      <c r="A4070" s="1">
        <f>HYPERLINK("https://lsnyc.legalserver.org/matter/dynamic-profile/view/0795748","16-0795748")</f>
        <v>0</v>
      </c>
      <c r="B4070" t="s">
        <v>218</v>
      </c>
      <c r="C4070" t="s">
        <v>247</v>
      </c>
      <c r="D4070" t="s">
        <v>867</v>
      </c>
      <c r="F4070" t="s">
        <v>2636</v>
      </c>
      <c r="G4070" t="s">
        <v>4057</v>
      </c>
      <c r="H4070" t="s">
        <v>6126</v>
      </c>
      <c r="J4070" t="s">
        <v>7182</v>
      </c>
      <c r="K4070">
        <v>11101</v>
      </c>
      <c r="N4070" t="s">
        <v>7237</v>
      </c>
      <c r="O4070" t="s">
        <v>9801</v>
      </c>
      <c r="P4070">
        <v>1</v>
      </c>
      <c r="Q4070">
        <v>0</v>
      </c>
      <c r="R4070">
        <v>132.54</v>
      </c>
      <c r="U4070">
        <v>15600</v>
      </c>
      <c r="W4070">
        <v>8.800000000000001</v>
      </c>
      <c r="X4070" t="s">
        <v>10851</v>
      </c>
      <c r="Y4070" t="s">
        <v>202</v>
      </c>
      <c r="Z4070" t="s">
        <v>10973</v>
      </c>
      <c r="AA4070" t="s">
        <v>10975</v>
      </c>
      <c r="AB4070" t="s">
        <v>867</v>
      </c>
      <c r="AD4070" t="s">
        <v>11082</v>
      </c>
      <c r="AF4070" t="s">
        <v>11118</v>
      </c>
      <c r="AH4070" t="s">
        <v>10975</v>
      </c>
      <c r="AJ4070" t="s">
        <v>11129</v>
      </c>
      <c r="AK4070" t="s">
        <v>7225</v>
      </c>
      <c r="AM4070">
        <v>1180</v>
      </c>
      <c r="AO4070">
        <v>48</v>
      </c>
      <c r="AQ4070" t="s">
        <v>11157</v>
      </c>
      <c r="AS4070" t="s">
        <v>11173</v>
      </c>
      <c r="AU4070">
        <v>10</v>
      </c>
      <c r="AW4070" t="s">
        <v>11187</v>
      </c>
      <c r="AZ4070" t="s">
        <v>11221</v>
      </c>
      <c r="BC4070" t="s">
        <v>11575</v>
      </c>
      <c r="BE4070" t="s">
        <v>13896</v>
      </c>
      <c r="BF4070" t="s">
        <v>14364</v>
      </c>
      <c r="BG4070" t="s">
        <v>15351</v>
      </c>
      <c r="BM4070" t="s">
        <v>15650</v>
      </c>
    </row>
    <row r="4071" spans="1:67">
      <c r="A4071" s="1">
        <f>HYPERLINK("https://lsnyc.legalserver.org/matter/dynamic-profile/view/1871508","18-1871508")</f>
        <v>0</v>
      </c>
      <c r="B4071" t="s">
        <v>218</v>
      </c>
      <c r="C4071" t="s">
        <v>247</v>
      </c>
      <c r="D4071" t="s">
        <v>620</v>
      </c>
      <c r="F4071" t="s">
        <v>1139</v>
      </c>
      <c r="G4071" t="s">
        <v>3021</v>
      </c>
      <c r="H4071" t="s">
        <v>5764</v>
      </c>
      <c r="I4071" t="s">
        <v>7091</v>
      </c>
      <c r="J4071" t="s">
        <v>7172</v>
      </c>
      <c r="K4071">
        <v>11691</v>
      </c>
      <c r="N4071" t="s">
        <v>7237</v>
      </c>
      <c r="O4071" t="s">
        <v>9802</v>
      </c>
      <c r="P4071">
        <v>2</v>
      </c>
      <c r="Q4071">
        <v>1</v>
      </c>
      <c r="R4071">
        <v>105.4</v>
      </c>
      <c r="U4071">
        <v>21902.4</v>
      </c>
      <c r="W4071">
        <v>5.8</v>
      </c>
      <c r="X4071" t="s">
        <v>789</v>
      </c>
      <c r="Y4071" t="s">
        <v>10870</v>
      </c>
      <c r="AA4071" t="s">
        <v>10974</v>
      </c>
      <c r="AB4071" t="s">
        <v>620</v>
      </c>
      <c r="AD4071" t="s">
        <v>11082</v>
      </c>
      <c r="AF4071" t="s">
        <v>11118</v>
      </c>
      <c r="AH4071" t="s">
        <v>10975</v>
      </c>
      <c r="AJ4071" t="s">
        <v>11138</v>
      </c>
      <c r="AK4071" t="s">
        <v>7225</v>
      </c>
      <c r="AM4071">
        <v>443</v>
      </c>
      <c r="AO4071">
        <v>144</v>
      </c>
      <c r="AQ4071" t="s">
        <v>11161</v>
      </c>
      <c r="AS4071" t="s">
        <v>11104</v>
      </c>
      <c r="AU4071">
        <v>10</v>
      </c>
      <c r="AW4071" t="s">
        <v>11187</v>
      </c>
      <c r="AY4071" t="s">
        <v>11213</v>
      </c>
      <c r="AZ4071" t="s">
        <v>11221</v>
      </c>
      <c r="BE4071" t="s">
        <v>13897</v>
      </c>
      <c r="BG4071" t="s">
        <v>15352</v>
      </c>
      <c r="BI4071" t="s">
        <v>15606</v>
      </c>
      <c r="BK4071" t="s">
        <v>11104</v>
      </c>
      <c r="BM4071" t="s">
        <v>15650</v>
      </c>
      <c r="BN4071" t="s">
        <v>15652</v>
      </c>
      <c r="BO4071" t="s">
        <v>15735</v>
      </c>
    </row>
    <row r="4072" spans="1:67">
      <c r="A4072" s="1">
        <f>HYPERLINK("https://lsnyc.legalserver.org/matter/dynamic-profile/view/1898056","19-1898056")</f>
        <v>0</v>
      </c>
      <c r="B4072" t="s">
        <v>218</v>
      </c>
      <c r="C4072" t="s">
        <v>247</v>
      </c>
      <c r="D4072" t="s">
        <v>594</v>
      </c>
      <c r="F4072" t="s">
        <v>2637</v>
      </c>
      <c r="G4072" t="s">
        <v>4518</v>
      </c>
      <c r="H4072" t="s">
        <v>6127</v>
      </c>
      <c r="I4072" t="s">
        <v>6466</v>
      </c>
      <c r="J4072" t="s">
        <v>7213</v>
      </c>
      <c r="K4072">
        <v>11418</v>
      </c>
      <c r="N4072" t="s">
        <v>7237</v>
      </c>
      <c r="O4072" t="s">
        <v>9803</v>
      </c>
      <c r="P4072">
        <v>3</v>
      </c>
      <c r="Q4072">
        <v>5</v>
      </c>
      <c r="R4072">
        <v>61.9</v>
      </c>
      <c r="U4072">
        <v>26884</v>
      </c>
      <c r="W4072">
        <v>0.6</v>
      </c>
      <c r="X4072" t="s">
        <v>866</v>
      </c>
      <c r="Y4072" t="s">
        <v>10939</v>
      </c>
      <c r="AA4072" t="s">
        <v>10974</v>
      </c>
      <c r="AB4072" t="s">
        <v>594</v>
      </c>
      <c r="AD4072" t="s">
        <v>11083</v>
      </c>
      <c r="AF4072" t="s">
        <v>11119</v>
      </c>
      <c r="AH4072" t="s">
        <v>10975</v>
      </c>
      <c r="AJ4072" t="s">
        <v>11138</v>
      </c>
      <c r="AK4072" t="s">
        <v>7225</v>
      </c>
      <c r="AM4072">
        <v>2224</v>
      </c>
      <c r="AO4072">
        <v>2</v>
      </c>
      <c r="AQ4072" t="s">
        <v>11156</v>
      </c>
      <c r="AS4072" t="s">
        <v>11173</v>
      </c>
      <c r="AU4072">
        <v>1</v>
      </c>
      <c r="AW4072" t="s">
        <v>11187</v>
      </c>
      <c r="AY4072" t="s">
        <v>11213</v>
      </c>
      <c r="BA4072" t="s">
        <v>11222</v>
      </c>
      <c r="BB4072" t="s">
        <v>11224</v>
      </c>
      <c r="BC4072" t="s">
        <v>11236</v>
      </c>
      <c r="BE4072" t="s">
        <v>13898</v>
      </c>
      <c r="BG4072" t="s">
        <v>15353</v>
      </c>
      <c r="BM4072" t="s">
        <v>15650</v>
      </c>
    </row>
    <row r="4073" spans="1:67">
      <c r="A4073" s="1">
        <f>HYPERLINK("https://lsnyc.legalserver.org/matter/dynamic-profile/view/1880157","18-1880157")</f>
        <v>0</v>
      </c>
      <c r="B4073" t="s">
        <v>218</v>
      </c>
      <c r="C4073" t="s">
        <v>247</v>
      </c>
      <c r="D4073" t="s">
        <v>531</v>
      </c>
      <c r="F4073" t="s">
        <v>1277</v>
      </c>
      <c r="G4073" t="s">
        <v>4519</v>
      </c>
      <c r="H4073" t="s">
        <v>5193</v>
      </c>
      <c r="I4073" t="s">
        <v>6529</v>
      </c>
      <c r="J4073" t="s">
        <v>7184</v>
      </c>
      <c r="K4073">
        <v>11372</v>
      </c>
      <c r="N4073" t="s">
        <v>7237</v>
      </c>
      <c r="O4073" t="s">
        <v>9804</v>
      </c>
      <c r="P4073">
        <v>2</v>
      </c>
      <c r="Q4073">
        <v>3</v>
      </c>
      <c r="R4073">
        <v>203.94</v>
      </c>
      <c r="S4073" t="s">
        <v>605</v>
      </c>
      <c r="T4073" t="s">
        <v>10276</v>
      </c>
      <c r="U4073">
        <v>60000</v>
      </c>
      <c r="W4073">
        <v>19.9</v>
      </c>
      <c r="X4073" t="s">
        <v>370</v>
      </c>
      <c r="Y4073" t="s">
        <v>10870</v>
      </c>
      <c r="AA4073" t="s">
        <v>10974</v>
      </c>
      <c r="AB4073" t="s">
        <v>473</v>
      </c>
      <c r="AD4073" t="s">
        <v>11082</v>
      </c>
      <c r="AF4073" t="s">
        <v>11118</v>
      </c>
      <c r="AH4073" t="s">
        <v>10975</v>
      </c>
      <c r="AJ4073" t="s">
        <v>11129</v>
      </c>
      <c r="AK4073" t="s">
        <v>7225</v>
      </c>
      <c r="AM4073">
        <v>2350</v>
      </c>
      <c r="AO4073">
        <v>60</v>
      </c>
      <c r="AQ4073" t="s">
        <v>11165</v>
      </c>
      <c r="AS4073" t="s">
        <v>11173</v>
      </c>
      <c r="AU4073">
        <v>11</v>
      </c>
      <c r="AW4073" t="s">
        <v>11187</v>
      </c>
      <c r="AY4073" t="s">
        <v>11213</v>
      </c>
      <c r="AZ4073" t="s">
        <v>11221</v>
      </c>
      <c r="BE4073" t="s">
        <v>13899</v>
      </c>
      <c r="BF4073" t="s">
        <v>14364</v>
      </c>
      <c r="BG4073" t="s">
        <v>15354</v>
      </c>
      <c r="BI4073" t="s">
        <v>15611</v>
      </c>
      <c r="BK4073" t="s">
        <v>15618</v>
      </c>
      <c r="BM4073" t="s">
        <v>15650</v>
      </c>
      <c r="BN4073" t="s">
        <v>15652</v>
      </c>
      <c r="BO4073" t="s">
        <v>15736</v>
      </c>
    </row>
    <row r="4074" spans="1:67">
      <c r="A4074" s="1">
        <f>HYPERLINK("https://lsnyc.legalserver.org/matter/dynamic-profile/view/1875194","18-1875194")</f>
        <v>0</v>
      </c>
      <c r="B4074" t="s">
        <v>218</v>
      </c>
      <c r="C4074" t="s">
        <v>247</v>
      </c>
      <c r="D4074" t="s">
        <v>844</v>
      </c>
      <c r="F4074" t="s">
        <v>1354</v>
      </c>
      <c r="G4074" t="s">
        <v>3836</v>
      </c>
      <c r="H4074" t="s">
        <v>6128</v>
      </c>
      <c r="I4074" t="s">
        <v>6671</v>
      </c>
      <c r="J4074" t="s">
        <v>7214</v>
      </c>
      <c r="K4074">
        <v>11426</v>
      </c>
      <c r="N4074" t="s">
        <v>7237</v>
      </c>
      <c r="O4074" t="s">
        <v>9805</v>
      </c>
      <c r="P4074">
        <v>1</v>
      </c>
      <c r="Q4074">
        <v>0</v>
      </c>
      <c r="R4074">
        <v>57.53</v>
      </c>
      <c r="U4074">
        <v>6984</v>
      </c>
      <c r="W4074">
        <v>1.2</v>
      </c>
      <c r="X4074" t="s">
        <v>778</v>
      </c>
      <c r="Y4074" t="s">
        <v>10870</v>
      </c>
      <c r="AA4074" t="s">
        <v>10974</v>
      </c>
      <c r="AB4074" t="s">
        <v>844</v>
      </c>
      <c r="AD4074" t="s">
        <v>11083</v>
      </c>
      <c r="AF4074" t="s">
        <v>11118</v>
      </c>
      <c r="AH4074" t="s">
        <v>10975</v>
      </c>
      <c r="AJ4074" t="s">
        <v>11138</v>
      </c>
      <c r="AK4074" t="s">
        <v>7225</v>
      </c>
      <c r="AM4074">
        <v>850</v>
      </c>
      <c r="AO4074">
        <v>3</v>
      </c>
      <c r="AQ4074" t="s">
        <v>11156</v>
      </c>
      <c r="AS4074" t="s">
        <v>11173</v>
      </c>
      <c r="AU4074">
        <v>8</v>
      </c>
      <c r="AW4074" t="s">
        <v>11187</v>
      </c>
      <c r="AY4074" t="s">
        <v>11213</v>
      </c>
      <c r="AZ4074" t="s">
        <v>11221</v>
      </c>
      <c r="BC4074" t="s">
        <v>11576</v>
      </c>
      <c r="BE4074" t="s">
        <v>13900</v>
      </c>
      <c r="BG4074" t="s">
        <v>15355</v>
      </c>
      <c r="BI4074" t="s">
        <v>15611</v>
      </c>
      <c r="BK4074" t="s">
        <v>15618</v>
      </c>
      <c r="BM4074" t="s">
        <v>15650</v>
      </c>
      <c r="BN4074" t="s">
        <v>15652</v>
      </c>
      <c r="BO4074" t="s">
        <v>15737</v>
      </c>
    </row>
    <row r="4075" spans="1:67">
      <c r="A4075" s="1">
        <f>HYPERLINK("https://lsnyc.legalserver.org/matter/dynamic-profile/view/1841799","17-1841799")</f>
        <v>0</v>
      </c>
      <c r="B4075" t="s">
        <v>218</v>
      </c>
      <c r="C4075" t="s">
        <v>247</v>
      </c>
      <c r="D4075" t="s">
        <v>496</v>
      </c>
      <c r="F4075" t="s">
        <v>2638</v>
      </c>
      <c r="G4075" t="s">
        <v>4520</v>
      </c>
      <c r="H4075" t="s">
        <v>6129</v>
      </c>
      <c r="I4075" t="s">
        <v>6482</v>
      </c>
      <c r="J4075" t="s">
        <v>7178</v>
      </c>
      <c r="K4075">
        <v>11385</v>
      </c>
      <c r="N4075" t="s">
        <v>7237</v>
      </c>
      <c r="O4075" t="s">
        <v>9806</v>
      </c>
      <c r="P4075">
        <v>1</v>
      </c>
      <c r="Q4075">
        <v>0</v>
      </c>
      <c r="R4075">
        <v>83.88</v>
      </c>
      <c r="U4075">
        <v>10116</v>
      </c>
      <c r="W4075">
        <v>2</v>
      </c>
      <c r="X4075" t="s">
        <v>496</v>
      </c>
      <c r="Y4075" t="s">
        <v>10965</v>
      </c>
      <c r="Z4075" t="s">
        <v>10972</v>
      </c>
      <c r="AA4075" t="s">
        <v>10976</v>
      </c>
      <c r="AC4075" t="s">
        <v>11081</v>
      </c>
      <c r="AE4075" t="s">
        <v>11117</v>
      </c>
      <c r="AG4075" t="s">
        <v>11124</v>
      </c>
      <c r="AI4075" t="s">
        <v>11126</v>
      </c>
      <c r="AK4075" t="s">
        <v>7225</v>
      </c>
      <c r="AL4075" t="s">
        <v>11150</v>
      </c>
      <c r="AM4075">
        <v>0</v>
      </c>
      <c r="AO4075">
        <v>6</v>
      </c>
      <c r="AP4075" t="s">
        <v>11155</v>
      </c>
      <c r="AR4075" t="s">
        <v>11172</v>
      </c>
      <c r="AU4075">
        <v>33</v>
      </c>
      <c r="AW4075" t="s">
        <v>11187</v>
      </c>
      <c r="AX4075" t="s">
        <v>11212</v>
      </c>
      <c r="AZ4075" t="s">
        <v>11221</v>
      </c>
      <c r="BE4075" t="s">
        <v>13901</v>
      </c>
      <c r="BF4075" t="s">
        <v>14364</v>
      </c>
      <c r="BM4075" t="s">
        <v>15650</v>
      </c>
    </row>
    <row r="4076" spans="1:67">
      <c r="A4076" s="1">
        <f>HYPERLINK("https://lsnyc.legalserver.org/matter/dynamic-profile/view/1874606","18-1874606")</f>
        <v>0</v>
      </c>
      <c r="B4076" t="s">
        <v>218</v>
      </c>
      <c r="C4076" t="s">
        <v>247</v>
      </c>
      <c r="D4076" t="s">
        <v>878</v>
      </c>
      <c r="F4076" t="s">
        <v>2639</v>
      </c>
      <c r="G4076" t="s">
        <v>4521</v>
      </c>
      <c r="H4076" t="s">
        <v>5585</v>
      </c>
      <c r="I4076">
        <v>1001</v>
      </c>
      <c r="J4076" t="s">
        <v>7194</v>
      </c>
      <c r="K4076">
        <v>11692</v>
      </c>
      <c r="N4076" t="s">
        <v>7237</v>
      </c>
      <c r="O4076" t="s">
        <v>7295</v>
      </c>
      <c r="P4076">
        <v>1</v>
      </c>
      <c r="Q4076">
        <v>2</v>
      </c>
      <c r="R4076">
        <v>82.58</v>
      </c>
      <c r="U4076">
        <v>17160</v>
      </c>
      <c r="W4076">
        <v>30.3</v>
      </c>
      <c r="X4076" t="s">
        <v>380</v>
      </c>
      <c r="Y4076" t="s">
        <v>10940</v>
      </c>
      <c r="AA4076" t="s">
        <v>10974</v>
      </c>
      <c r="AB4076" t="s">
        <v>878</v>
      </c>
      <c r="AD4076" t="s">
        <v>11082</v>
      </c>
      <c r="AF4076" t="s">
        <v>11118</v>
      </c>
      <c r="AH4076" t="s">
        <v>10975</v>
      </c>
      <c r="AJ4076" t="s">
        <v>11138</v>
      </c>
      <c r="AK4076" t="s">
        <v>7225</v>
      </c>
      <c r="AM4076">
        <v>1820</v>
      </c>
      <c r="AO4076">
        <v>103</v>
      </c>
      <c r="AQ4076" t="s">
        <v>11161</v>
      </c>
      <c r="AS4076" t="s">
        <v>11174</v>
      </c>
      <c r="AU4076">
        <v>14</v>
      </c>
      <c r="AW4076" t="s">
        <v>11187</v>
      </c>
      <c r="AY4076" t="s">
        <v>11216</v>
      </c>
      <c r="AZ4076" t="s">
        <v>11221</v>
      </c>
      <c r="BC4076" t="s">
        <v>11173</v>
      </c>
      <c r="BE4076" t="s">
        <v>13902</v>
      </c>
      <c r="BG4076" t="s">
        <v>15356</v>
      </c>
      <c r="BI4076" t="s">
        <v>15606</v>
      </c>
      <c r="BK4076" t="s">
        <v>11104</v>
      </c>
      <c r="BM4076" t="s">
        <v>15650</v>
      </c>
      <c r="BN4076" t="s">
        <v>15652</v>
      </c>
      <c r="BO4076" t="s">
        <v>15738</v>
      </c>
    </row>
    <row r="4077" spans="1:67">
      <c r="A4077" s="1">
        <f>HYPERLINK("https://lsnyc.legalserver.org/matter/dynamic-profile/view/0788392","15-0788392")</f>
        <v>0</v>
      </c>
      <c r="B4077" t="s">
        <v>218</v>
      </c>
      <c r="C4077" t="s">
        <v>247</v>
      </c>
      <c r="D4077" t="s">
        <v>1033</v>
      </c>
      <c r="F4077" t="s">
        <v>1983</v>
      </c>
      <c r="G4077" t="s">
        <v>4522</v>
      </c>
      <c r="H4077" t="s">
        <v>6130</v>
      </c>
      <c r="I4077" t="s">
        <v>6640</v>
      </c>
      <c r="J4077" t="s">
        <v>7182</v>
      </c>
      <c r="K4077">
        <v>11101</v>
      </c>
      <c r="N4077" t="s">
        <v>7237</v>
      </c>
      <c r="O4077" t="s">
        <v>9807</v>
      </c>
      <c r="P4077">
        <v>1</v>
      </c>
      <c r="Q4077">
        <v>0</v>
      </c>
      <c r="R4077">
        <v>107.9</v>
      </c>
      <c r="U4077">
        <v>12700</v>
      </c>
      <c r="W4077">
        <v>7.3</v>
      </c>
      <c r="X4077" t="s">
        <v>1024</v>
      </c>
      <c r="Y4077" t="s">
        <v>231</v>
      </c>
      <c r="AA4077" t="s">
        <v>10974</v>
      </c>
      <c r="AB4077" t="s">
        <v>1033</v>
      </c>
      <c r="AD4077" t="s">
        <v>11096</v>
      </c>
      <c r="AF4077" t="s">
        <v>11120</v>
      </c>
      <c r="AH4077" t="s">
        <v>10975</v>
      </c>
      <c r="AJ4077" t="s">
        <v>11141</v>
      </c>
      <c r="AK4077" t="s">
        <v>7225</v>
      </c>
      <c r="AM4077">
        <v>1311.51</v>
      </c>
      <c r="AO4077">
        <v>8</v>
      </c>
      <c r="AQ4077" t="s">
        <v>11157</v>
      </c>
      <c r="AR4077" t="s">
        <v>11172</v>
      </c>
      <c r="AU4077">
        <v>12</v>
      </c>
      <c r="AW4077" t="s">
        <v>11187</v>
      </c>
      <c r="AZ4077" t="s">
        <v>11221</v>
      </c>
      <c r="BC4077" t="s">
        <v>11228</v>
      </c>
      <c r="BE4077" t="s">
        <v>13903</v>
      </c>
      <c r="BG4077" t="s">
        <v>15357</v>
      </c>
      <c r="BM4077" t="s">
        <v>15650</v>
      </c>
    </row>
    <row r="4078" spans="1:67">
      <c r="A4078" s="1">
        <f>HYPERLINK("https://lsnyc.legalserver.org/matter/dynamic-profile/view/1861031","18-1861031")</f>
        <v>0</v>
      </c>
      <c r="B4078" t="s">
        <v>218</v>
      </c>
      <c r="C4078" t="s">
        <v>247</v>
      </c>
      <c r="D4078" t="s">
        <v>419</v>
      </c>
      <c r="F4078" t="s">
        <v>2640</v>
      </c>
      <c r="G4078" t="s">
        <v>1624</v>
      </c>
      <c r="H4078" t="s">
        <v>6131</v>
      </c>
      <c r="I4078" t="s">
        <v>7092</v>
      </c>
      <c r="J4078" t="s">
        <v>7172</v>
      </c>
      <c r="K4078">
        <v>11691</v>
      </c>
      <c r="N4078" t="s">
        <v>7237</v>
      </c>
      <c r="O4078" t="s">
        <v>9808</v>
      </c>
      <c r="P4078">
        <v>2</v>
      </c>
      <c r="Q4078">
        <v>0</v>
      </c>
      <c r="R4078">
        <v>147.85</v>
      </c>
      <c r="U4078">
        <v>24336</v>
      </c>
      <c r="W4078">
        <v>5.4</v>
      </c>
      <c r="X4078" t="s">
        <v>10852</v>
      </c>
      <c r="Y4078" t="s">
        <v>202</v>
      </c>
      <c r="AA4078" t="s">
        <v>10974</v>
      </c>
      <c r="AB4078" t="s">
        <v>419</v>
      </c>
      <c r="AD4078" t="s">
        <v>11082</v>
      </c>
      <c r="AF4078" t="s">
        <v>11118</v>
      </c>
      <c r="AH4078" t="s">
        <v>10975</v>
      </c>
      <c r="AJ4078" t="s">
        <v>11129</v>
      </c>
      <c r="AK4078" t="s">
        <v>7225</v>
      </c>
      <c r="AM4078">
        <v>850</v>
      </c>
      <c r="AO4078">
        <v>100</v>
      </c>
      <c r="AQ4078" t="s">
        <v>11157</v>
      </c>
      <c r="AS4078" t="s">
        <v>11173</v>
      </c>
      <c r="AU4078">
        <v>10</v>
      </c>
      <c r="AW4078" t="s">
        <v>11187</v>
      </c>
      <c r="AZ4078" t="s">
        <v>11221</v>
      </c>
      <c r="BC4078" t="s">
        <v>11577</v>
      </c>
      <c r="BE4078" t="s">
        <v>13904</v>
      </c>
      <c r="BG4078" t="s">
        <v>15358</v>
      </c>
      <c r="BM4078" t="s">
        <v>15650</v>
      </c>
    </row>
    <row r="4079" spans="1:67">
      <c r="A4079" s="1">
        <f>HYPERLINK("https://lsnyc.legalserver.org/matter/dynamic-profile/view/0798555","16-0798555")</f>
        <v>0</v>
      </c>
      <c r="B4079" t="s">
        <v>218</v>
      </c>
      <c r="C4079" t="s">
        <v>247</v>
      </c>
      <c r="D4079" t="s">
        <v>255</v>
      </c>
      <c r="F4079" t="s">
        <v>1759</v>
      </c>
      <c r="G4079" t="s">
        <v>3864</v>
      </c>
      <c r="H4079" t="s">
        <v>5528</v>
      </c>
      <c r="I4079" t="s">
        <v>7093</v>
      </c>
      <c r="J4079" t="s">
        <v>7178</v>
      </c>
      <c r="K4079">
        <v>11385</v>
      </c>
      <c r="M4079" t="s">
        <v>7229</v>
      </c>
      <c r="N4079" t="s">
        <v>7237</v>
      </c>
      <c r="O4079" t="s">
        <v>8713</v>
      </c>
      <c r="P4079">
        <v>3</v>
      </c>
      <c r="Q4079">
        <v>1</v>
      </c>
      <c r="R4079">
        <v>14.98</v>
      </c>
      <c r="U4079">
        <v>3640</v>
      </c>
      <c r="V4079" t="s">
        <v>10414</v>
      </c>
      <c r="W4079">
        <v>28</v>
      </c>
      <c r="X4079" t="s">
        <v>10853</v>
      </c>
      <c r="Y4079" t="s">
        <v>202</v>
      </c>
      <c r="AA4079" t="s">
        <v>10974</v>
      </c>
      <c r="AB4079" t="s">
        <v>410</v>
      </c>
      <c r="AD4079" t="s">
        <v>11101</v>
      </c>
      <c r="AF4079" t="s">
        <v>11118</v>
      </c>
      <c r="AH4079" t="s">
        <v>10975</v>
      </c>
      <c r="AJ4079" t="s">
        <v>11140</v>
      </c>
      <c r="AK4079" t="s">
        <v>7225</v>
      </c>
      <c r="AM4079">
        <v>1469.71</v>
      </c>
      <c r="AO4079">
        <v>6</v>
      </c>
      <c r="AP4079" t="s">
        <v>11155</v>
      </c>
      <c r="AS4079" t="s">
        <v>11174</v>
      </c>
      <c r="AU4079">
        <v>9</v>
      </c>
      <c r="AW4079" t="s">
        <v>11187</v>
      </c>
      <c r="AZ4079" t="s">
        <v>11221</v>
      </c>
      <c r="BC4079" t="s">
        <v>11578</v>
      </c>
      <c r="BE4079" t="s">
        <v>12975</v>
      </c>
      <c r="BF4079" t="s">
        <v>14364</v>
      </c>
      <c r="BG4079" t="s">
        <v>15359</v>
      </c>
      <c r="BM4079" t="s">
        <v>15650</v>
      </c>
    </row>
    <row r="4080" spans="1:67">
      <c r="A4080" s="1">
        <f>HYPERLINK("https://lsnyc.legalserver.org/matter/dynamic-profile/view/1865543","18-1865543")</f>
        <v>0</v>
      </c>
      <c r="B4080" t="s">
        <v>218</v>
      </c>
      <c r="C4080" t="s">
        <v>247</v>
      </c>
      <c r="D4080" t="s">
        <v>759</v>
      </c>
      <c r="F4080" t="s">
        <v>1314</v>
      </c>
      <c r="G4080" t="s">
        <v>4523</v>
      </c>
      <c r="H4080" t="s">
        <v>6132</v>
      </c>
      <c r="I4080" t="s">
        <v>7094</v>
      </c>
      <c r="J4080" t="s">
        <v>7177</v>
      </c>
      <c r="K4080">
        <v>11434</v>
      </c>
      <c r="N4080" t="s">
        <v>7237</v>
      </c>
      <c r="O4080" t="s">
        <v>9150</v>
      </c>
      <c r="P4080">
        <v>1</v>
      </c>
      <c r="Q4080">
        <v>4</v>
      </c>
      <c r="R4080">
        <v>97.89</v>
      </c>
      <c r="S4080" t="s">
        <v>10254</v>
      </c>
      <c r="T4080" t="s">
        <v>10275</v>
      </c>
      <c r="U4080">
        <v>28800</v>
      </c>
      <c r="W4080">
        <v>3.93</v>
      </c>
      <c r="X4080" t="s">
        <v>539</v>
      </c>
      <c r="Y4080" t="s">
        <v>169</v>
      </c>
      <c r="AA4080" t="s">
        <v>10974</v>
      </c>
      <c r="AB4080" t="s">
        <v>759</v>
      </c>
      <c r="AD4080" t="s">
        <v>11082</v>
      </c>
      <c r="AF4080" t="s">
        <v>11118</v>
      </c>
      <c r="AH4080" t="s">
        <v>10975</v>
      </c>
      <c r="AJ4080" t="s">
        <v>11133</v>
      </c>
      <c r="AK4080" t="s">
        <v>11149</v>
      </c>
      <c r="AL4080" t="s">
        <v>11150</v>
      </c>
      <c r="AM4080">
        <v>0</v>
      </c>
      <c r="AO4080">
        <v>2</v>
      </c>
      <c r="AQ4080" t="s">
        <v>11156</v>
      </c>
      <c r="AS4080" t="s">
        <v>11173</v>
      </c>
      <c r="AU4080">
        <v>8</v>
      </c>
      <c r="AW4080" t="s">
        <v>11187</v>
      </c>
      <c r="AZ4080" t="s">
        <v>11221</v>
      </c>
      <c r="BC4080" t="s">
        <v>11228</v>
      </c>
      <c r="BE4080" t="s">
        <v>13905</v>
      </c>
      <c r="BG4080" t="s">
        <v>15360</v>
      </c>
      <c r="BI4080" t="s">
        <v>15611</v>
      </c>
      <c r="BK4080" t="s">
        <v>15618</v>
      </c>
      <c r="BM4080" t="s">
        <v>15650</v>
      </c>
      <c r="BN4080" t="s">
        <v>15652</v>
      </c>
      <c r="BO4080" t="s">
        <v>15739</v>
      </c>
    </row>
    <row r="4081" spans="1:67">
      <c r="A4081" s="1">
        <f>HYPERLINK("https://lsnyc.legalserver.org/matter/dynamic-profile/view/1859588","18-1859588")</f>
        <v>0</v>
      </c>
      <c r="B4081" t="s">
        <v>218</v>
      </c>
      <c r="C4081" t="s">
        <v>247</v>
      </c>
      <c r="D4081" t="s">
        <v>453</v>
      </c>
      <c r="F4081" t="s">
        <v>2641</v>
      </c>
      <c r="G4081" t="s">
        <v>4524</v>
      </c>
      <c r="H4081" t="s">
        <v>6133</v>
      </c>
      <c r="I4081">
        <v>414</v>
      </c>
      <c r="J4081" t="s">
        <v>7181</v>
      </c>
      <c r="K4081">
        <v>11101</v>
      </c>
      <c r="N4081" t="s">
        <v>7237</v>
      </c>
      <c r="O4081" t="s">
        <v>9809</v>
      </c>
      <c r="P4081">
        <v>2</v>
      </c>
      <c r="Q4081">
        <v>0</v>
      </c>
      <c r="R4081">
        <v>108.63</v>
      </c>
      <c r="U4081">
        <v>17880</v>
      </c>
      <c r="V4081" t="s">
        <v>10283</v>
      </c>
      <c r="W4081">
        <v>40.8</v>
      </c>
      <c r="X4081" t="s">
        <v>266</v>
      </c>
      <c r="Y4081" t="s">
        <v>175</v>
      </c>
      <c r="AA4081" t="s">
        <v>10974</v>
      </c>
      <c r="AB4081" t="s">
        <v>936</v>
      </c>
      <c r="AD4081" t="s">
        <v>11082</v>
      </c>
      <c r="AF4081" t="s">
        <v>11118</v>
      </c>
      <c r="AH4081" t="s">
        <v>10975</v>
      </c>
      <c r="AJ4081" t="s">
        <v>11138</v>
      </c>
      <c r="AK4081" t="s">
        <v>7225</v>
      </c>
      <c r="AM4081">
        <v>850</v>
      </c>
      <c r="AO4081">
        <v>175</v>
      </c>
      <c r="AQ4081" t="s">
        <v>11157</v>
      </c>
      <c r="AS4081" t="s">
        <v>11178</v>
      </c>
      <c r="AU4081">
        <v>-1</v>
      </c>
      <c r="AW4081" t="s">
        <v>11187</v>
      </c>
      <c r="AZ4081" t="s">
        <v>11221</v>
      </c>
      <c r="BC4081" t="s">
        <v>11579</v>
      </c>
      <c r="BE4081" t="s">
        <v>13906</v>
      </c>
      <c r="BG4081" t="s">
        <v>15361</v>
      </c>
      <c r="BM4081" t="s">
        <v>15650</v>
      </c>
    </row>
    <row r="4082" spans="1:67">
      <c r="A4082" s="1">
        <f>HYPERLINK("https://lsnyc.legalserver.org/matter/dynamic-profile/view/1861081","18-1861081")</f>
        <v>0</v>
      </c>
      <c r="B4082" t="s">
        <v>218</v>
      </c>
      <c r="C4082" t="s">
        <v>247</v>
      </c>
      <c r="D4082" t="s">
        <v>419</v>
      </c>
      <c r="F4082" t="s">
        <v>2066</v>
      </c>
      <c r="G4082" t="s">
        <v>4525</v>
      </c>
      <c r="H4082" t="s">
        <v>6134</v>
      </c>
      <c r="I4082" t="s">
        <v>6875</v>
      </c>
      <c r="J4082" t="s">
        <v>7203</v>
      </c>
      <c r="K4082">
        <v>11369</v>
      </c>
      <c r="N4082" t="s">
        <v>7237</v>
      </c>
      <c r="O4082" t="s">
        <v>9810</v>
      </c>
      <c r="P4082">
        <v>1</v>
      </c>
      <c r="Q4082">
        <v>0</v>
      </c>
      <c r="R4082">
        <v>77.06</v>
      </c>
      <c r="U4082">
        <v>9355.200000000001</v>
      </c>
      <c r="W4082">
        <v>15.35</v>
      </c>
      <c r="X4082" t="s">
        <v>572</v>
      </c>
      <c r="Y4082" t="s">
        <v>218</v>
      </c>
      <c r="AA4082" t="s">
        <v>10974</v>
      </c>
      <c r="AB4082" t="s">
        <v>419</v>
      </c>
      <c r="AD4082" t="s">
        <v>11082</v>
      </c>
      <c r="AF4082" t="s">
        <v>11118</v>
      </c>
      <c r="AH4082" t="s">
        <v>10975</v>
      </c>
      <c r="AJ4082" t="s">
        <v>11129</v>
      </c>
      <c r="AK4082" t="s">
        <v>7225</v>
      </c>
      <c r="AM4082">
        <v>800</v>
      </c>
      <c r="AO4082">
        <v>60</v>
      </c>
      <c r="AQ4082" t="s">
        <v>11164</v>
      </c>
      <c r="AS4082" t="s">
        <v>11104</v>
      </c>
      <c r="AU4082">
        <v>6</v>
      </c>
      <c r="AW4082" t="s">
        <v>11187</v>
      </c>
      <c r="AZ4082" t="s">
        <v>11221</v>
      </c>
      <c r="BC4082" t="s">
        <v>11228</v>
      </c>
      <c r="BE4082" t="s">
        <v>13907</v>
      </c>
      <c r="BF4082" t="s">
        <v>14364</v>
      </c>
      <c r="BG4082" t="s">
        <v>15362</v>
      </c>
      <c r="BM4082" t="s">
        <v>15650</v>
      </c>
    </row>
    <row r="4083" spans="1:67">
      <c r="A4083" s="1">
        <f>HYPERLINK("https://lsnyc.legalserver.org/matter/dynamic-profile/view/1869741","18-1869741")</f>
        <v>0</v>
      </c>
      <c r="B4083" t="s">
        <v>218</v>
      </c>
      <c r="C4083" t="s">
        <v>247</v>
      </c>
      <c r="D4083" t="s">
        <v>724</v>
      </c>
      <c r="F4083" t="s">
        <v>2642</v>
      </c>
      <c r="G4083" t="s">
        <v>4526</v>
      </c>
      <c r="H4083" t="s">
        <v>6135</v>
      </c>
      <c r="I4083" t="s">
        <v>6415</v>
      </c>
      <c r="J4083" t="s">
        <v>7172</v>
      </c>
      <c r="K4083">
        <v>11691</v>
      </c>
      <c r="N4083" t="s">
        <v>7237</v>
      </c>
      <c r="O4083" t="s">
        <v>9281</v>
      </c>
      <c r="P4083">
        <v>1</v>
      </c>
      <c r="Q4083">
        <v>1</v>
      </c>
      <c r="R4083">
        <v>18.32</v>
      </c>
      <c r="U4083">
        <v>3016</v>
      </c>
      <c r="W4083">
        <v>14.1</v>
      </c>
      <c r="X4083" t="s">
        <v>547</v>
      </c>
      <c r="Y4083" t="s">
        <v>10959</v>
      </c>
      <c r="AA4083" t="s">
        <v>10974</v>
      </c>
      <c r="AB4083" t="s">
        <v>724</v>
      </c>
      <c r="AD4083" t="s">
        <v>11082</v>
      </c>
      <c r="AF4083" t="s">
        <v>11118</v>
      </c>
      <c r="AH4083" t="s">
        <v>10975</v>
      </c>
      <c r="AJ4083" t="s">
        <v>11138</v>
      </c>
      <c r="AK4083" t="s">
        <v>7225</v>
      </c>
      <c r="AM4083">
        <v>1043.08</v>
      </c>
      <c r="AO4083">
        <v>20</v>
      </c>
      <c r="AQ4083" t="s">
        <v>11157</v>
      </c>
      <c r="AS4083" t="s">
        <v>11176</v>
      </c>
      <c r="AU4083">
        <v>6</v>
      </c>
      <c r="AW4083" t="s">
        <v>11187</v>
      </c>
      <c r="AZ4083" t="s">
        <v>11221</v>
      </c>
      <c r="BC4083" t="s">
        <v>11580</v>
      </c>
      <c r="BE4083" t="s">
        <v>13908</v>
      </c>
      <c r="BG4083" t="s">
        <v>15363</v>
      </c>
      <c r="BM4083" t="s">
        <v>15650</v>
      </c>
    </row>
    <row r="4084" spans="1:67">
      <c r="A4084" s="1">
        <f>HYPERLINK("https://lsnyc.legalserver.org/matter/dynamic-profile/view/1868991","18-1868991")</f>
        <v>0</v>
      </c>
      <c r="B4084" t="s">
        <v>218</v>
      </c>
      <c r="C4084" t="s">
        <v>247</v>
      </c>
      <c r="D4084" t="s">
        <v>1034</v>
      </c>
      <c r="F4084" t="s">
        <v>1832</v>
      </c>
      <c r="G4084" t="s">
        <v>3051</v>
      </c>
      <c r="H4084" t="s">
        <v>5194</v>
      </c>
      <c r="I4084" t="s">
        <v>6491</v>
      </c>
      <c r="J4084" t="s">
        <v>7177</v>
      </c>
      <c r="K4084">
        <v>11432</v>
      </c>
      <c r="N4084" t="s">
        <v>7237</v>
      </c>
      <c r="O4084" t="s">
        <v>8287</v>
      </c>
      <c r="P4084">
        <v>2</v>
      </c>
      <c r="Q4084">
        <v>0</v>
      </c>
      <c r="R4084">
        <v>121.51</v>
      </c>
      <c r="U4084">
        <v>20000</v>
      </c>
      <c r="W4084">
        <v>87.95999999999999</v>
      </c>
      <c r="X4084" t="s">
        <v>333</v>
      </c>
      <c r="Y4084" t="s">
        <v>128</v>
      </c>
      <c r="AA4084" t="s">
        <v>10974</v>
      </c>
      <c r="AB4084" t="s">
        <v>1034</v>
      </c>
      <c r="AD4084" t="s">
        <v>11108</v>
      </c>
      <c r="AF4084" t="s">
        <v>11118</v>
      </c>
      <c r="AH4084" t="s">
        <v>10975</v>
      </c>
      <c r="AJ4084" t="s">
        <v>11129</v>
      </c>
      <c r="AK4084" t="s">
        <v>7225</v>
      </c>
      <c r="AM4084">
        <v>1175</v>
      </c>
      <c r="AO4084">
        <v>180</v>
      </c>
      <c r="AQ4084" t="s">
        <v>11157</v>
      </c>
      <c r="AS4084" t="s">
        <v>11173</v>
      </c>
      <c r="AU4084">
        <v>9</v>
      </c>
      <c r="AW4084" t="s">
        <v>11198</v>
      </c>
      <c r="AZ4084" t="s">
        <v>11221</v>
      </c>
      <c r="BE4084" t="s">
        <v>12578</v>
      </c>
      <c r="BF4084" t="s">
        <v>14364</v>
      </c>
      <c r="BG4084" t="s">
        <v>15364</v>
      </c>
      <c r="BM4084" t="s">
        <v>15650</v>
      </c>
    </row>
    <row r="4085" spans="1:67">
      <c r="A4085" s="1">
        <f>HYPERLINK("https://lsnyc.legalserver.org/matter/dynamic-profile/view/1867207","18-1867207")</f>
        <v>0</v>
      </c>
      <c r="B4085" t="s">
        <v>218</v>
      </c>
      <c r="C4085" t="s">
        <v>247</v>
      </c>
      <c r="D4085" t="s">
        <v>261</v>
      </c>
      <c r="F4085" t="s">
        <v>2643</v>
      </c>
      <c r="G4085" t="s">
        <v>4527</v>
      </c>
      <c r="H4085" t="s">
        <v>6136</v>
      </c>
      <c r="J4085" t="s">
        <v>7177</v>
      </c>
      <c r="K4085">
        <v>11435</v>
      </c>
      <c r="N4085" t="s">
        <v>7237</v>
      </c>
      <c r="O4085" t="s">
        <v>7810</v>
      </c>
      <c r="P4085">
        <v>1</v>
      </c>
      <c r="Q4085">
        <v>0</v>
      </c>
      <c r="R4085">
        <v>0</v>
      </c>
      <c r="U4085">
        <v>0</v>
      </c>
      <c r="W4085">
        <v>10.4</v>
      </c>
      <c r="X4085" t="s">
        <v>1038</v>
      </c>
      <c r="Y4085" t="s">
        <v>10870</v>
      </c>
      <c r="AA4085" t="s">
        <v>10974</v>
      </c>
      <c r="AB4085" t="s">
        <v>261</v>
      </c>
      <c r="AD4085" t="s">
        <v>11101</v>
      </c>
      <c r="AF4085" t="s">
        <v>11118</v>
      </c>
      <c r="AH4085" t="s">
        <v>10975</v>
      </c>
      <c r="AJ4085" t="s">
        <v>11138</v>
      </c>
      <c r="AK4085" t="s">
        <v>7225</v>
      </c>
      <c r="AM4085">
        <v>750</v>
      </c>
      <c r="AO4085">
        <v>2</v>
      </c>
      <c r="AQ4085" t="s">
        <v>11156</v>
      </c>
      <c r="AS4085" t="s">
        <v>11173</v>
      </c>
      <c r="AU4085">
        <v>2</v>
      </c>
      <c r="AW4085" t="s">
        <v>11187</v>
      </c>
      <c r="AZ4085" t="s">
        <v>11221</v>
      </c>
      <c r="BC4085" t="s">
        <v>11228</v>
      </c>
      <c r="BE4085" t="s">
        <v>13909</v>
      </c>
      <c r="BG4085" t="s">
        <v>15365</v>
      </c>
      <c r="BM4085" t="s">
        <v>15650</v>
      </c>
    </row>
    <row r="4086" spans="1:67">
      <c r="A4086" s="1">
        <f>HYPERLINK("https://lsnyc.legalserver.org/matter/dynamic-profile/view/1870381","18-1870381")</f>
        <v>0</v>
      </c>
      <c r="B4086" t="s">
        <v>218</v>
      </c>
      <c r="C4086" t="s">
        <v>247</v>
      </c>
      <c r="D4086" t="s">
        <v>895</v>
      </c>
      <c r="F4086" t="s">
        <v>2644</v>
      </c>
      <c r="G4086" t="s">
        <v>4528</v>
      </c>
      <c r="H4086" t="s">
        <v>6137</v>
      </c>
      <c r="I4086" t="s">
        <v>7095</v>
      </c>
      <c r="J4086" t="s">
        <v>7184</v>
      </c>
      <c r="K4086">
        <v>11372</v>
      </c>
      <c r="N4086" t="s">
        <v>7237</v>
      </c>
      <c r="O4086" t="s">
        <v>9811</v>
      </c>
      <c r="P4086">
        <v>2</v>
      </c>
      <c r="Q4086">
        <v>0</v>
      </c>
      <c r="R4086">
        <v>4556.5</v>
      </c>
      <c r="U4086">
        <v>750000</v>
      </c>
      <c r="W4086">
        <v>1.4</v>
      </c>
      <c r="X4086" t="s">
        <v>337</v>
      </c>
      <c r="Y4086" t="s">
        <v>10870</v>
      </c>
      <c r="AA4086" t="s">
        <v>10974</v>
      </c>
      <c r="AB4086" t="s">
        <v>555</v>
      </c>
      <c r="AD4086" t="s">
        <v>11090</v>
      </c>
      <c r="AF4086" t="s">
        <v>11120</v>
      </c>
      <c r="AH4086" t="s">
        <v>10974</v>
      </c>
      <c r="AJ4086" t="s">
        <v>11138</v>
      </c>
      <c r="AK4086" t="s">
        <v>7225</v>
      </c>
      <c r="AM4086">
        <v>2350</v>
      </c>
      <c r="AO4086">
        <v>56</v>
      </c>
      <c r="AQ4086" t="s">
        <v>11164</v>
      </c>
      <c r="AS4086" t="s">
        <v>11173</v>
      </c>
      <c r="AU4086">
        <v>3</v>
      </c>
      <c r="AW4086" t="s">
        <v>11187</v>
      </c>
      <c r="AY4086" t="s">
        <v>11213</v>
      </c>
      <c r="BA4086" t="s">
        <v>11222</v>
      </c>
      <c r="BE4086" t="s">
        <v>13910</v>
      </c>
      <c r="BF4086" t="s">
        <v>14364</v>
      </c>
      <c r="BG4086" t="s">
        <v>11228</v>
      </c>
      <c r="BM4086" t="s">
        <v>15650</v>
      </c>
    </row>
    <row r="4087" spans="1:67">
      <c r="A4087" s="1">
        <f>HYPERLINK("https://lsnyc.legalserver.org/matter/dynamic-profile/view/0815667","16-0815667")</f>
        <v>0</v>
      </c>
      <c r="B4087" t="s">
        <v>218</v>
      </c>
      <c r="C4087" t="s">
        <v>247</v>
      </c>
      <c r="D4087" t="s">
        <v>1035</v>
      </c>
      <c r="F4087" t="s">
        <v>2645</v>
      </c>
      <c r="G4087" t="s">
        <v>4529</v>
      </c>
      <c r="H4087" t="s">
        <v>5297</v>
      </c>
      <c r="I4087" t="s">
        <v>6609</v>
      </c>
      <c r="J4087" t="s">
        <v>7173</v>
      </c>
      <c r="K4087">
        <v>11354</v>
      </c>
      <c r="N4087" t="s">
        <v>7237</v>
      </c>
      <c r="O4087" t="s">
        <v>7370</v>
      </c>
      <c r="P4087">
        <v>1</v>
      </c>
      <c r="Q4087">
        <v>0</v>
      </c>
      <c r="R4087">
        <v>0</v>
      </c>
      <c r="U4087">
        <v>0</v>
      </c>
      <c r="W4087">
        <v>20.45</v>
      </c>
      <c r="X4087" t="s">
        <v>638</v>
      </c>
      <c r="Y4087" t="s">
        <v>10959</v>
      </c>
      <c r="AA4087" t="s">
        <v>10974</v>
      </c>
      <c r="AB4087" t="s">
        <v>1035</v>
      </c>
      <c r="AD4087" t="s">
        <v>11082</v>
      </c>
      <c r="AF4087" t="s">
        <v>11118</v>
      </c>
      <c r="AH4087" t="s">
        <v>10975</v>
      </c>
      <c r="AJ4087" t="s">
        <v>11145</v>
      </c>
      <c r="AK4087" t="s">
        <v>7225</v>
      </c>
      <c r="AM4087">
        <v>1375</v>
      </c>
      <c r="AO4087">
        <v>85</v>
      </c>
      <c r="AQ4087" t="s">
        <v>11157</v>
      </c>
      <c r="AS4087" t="s">
        <v>11173</v>
      </c>
      <c r="AU4087">
        <v>8</v>
      </c>
      <c r="AW4087" t="s">
        <v>11196</v>
      </c>
      <c r="AY4087" t="s">
        <v>11213</v>
      </c>
      <c r="AZ4087" t="s">
        <v>11221</v>
      </c>
      <c r="BC4087" t="s">
        <v>11581</v>
      </c>
      <c r="BE4087" t="s">
        <v>13911</v>
      </c>
      <c r="BG4087" t="s">
        <v>15366</v>
      </c>
      <c r="BM4087" t="s">
        <v>15650</v>
      </c>
      <c r="BO4087" t="s">
        <v>15740</v>
      </c>
    </row>
    <row r="4088" spans="1:67">
      <c r="A4088" s="1">
        <f>HYPERLINK("https://lsnyc.legalserver.org/matter/dynamic-profile/view/0803810","16-0803810")</f>
        <v>0</v>
      </c>
      <c r="B4088" t="s">
        <v>218</v>
      </c>
      <c r="C4088" t="s">
        <v>247</v>
      </c>
      <c r="D4088" t="s">
        <v>1036</v>
      </c>
      <c r="F4088" t="s">
        <v>1679</v>
      </c>
      <c r="G4088" t="s">
        <v>4530</v>
      </c>
      <c r="H4088" t="s">
        <v>6138</v>
      </c>
      <c r="I4088" t="s">
        <v>6637</v>
      </c>
      <c r="J4088" t="s">
        <v>7182</v>
      </c>
      <c r="K4088">
        <v>11101</v>
      </c>
      <c r="N4088" t="s">
        <v>7237</v>
      </c>
      <c r="O4088" t="s">
        <v>9812</v>
      </c>
      <c r="P4088">
        <v>1</v>
      </c>
      <c r="Q4088">
        <v>0</v>
      </c>
      <c r="R4088">
        <v>175.08</v>
      </c>
      <c r="U4088">
        <v>20800</v>
      </c>
      <c r="W4088">
        <v>58.66</v>
      </c>
      <c r="X4088" t="s">
        <v>580</v>
      </c>
      <c r="Y4088" t="s">
        <v>10966</v>
      </c>
      <c r="Z4088" t="s">
        <v>10973</v>
      </c>
      <c r="AA4088" t="s">
        <v>10975</v>
      </c>
      <c r="AB4088" t="s">
        <v>1037</v>
      </c>
      <c r="AD4088" t="s">
        <v>11085</v>
      </c>
      <c r="AF4088" t="s">
        <v>11118</v>
      </c>
      <c r="AH4088" t="s">
        <v>10975</v>
      </c>
      <c r="AJ4088" t="s">
        <v>11140</v>
      </c>
      <c r="AK4088" t="s">
        <v>7225</v>
      </c>
      <c r="AM4088">
        <v>2400</v>
      </c>
      <c r="AO4088">
        <v>8</v>
      </c>
      <c r="AQ4088" t="s">
        <v>11164</v>
      </c>
      <c r="AS4088" t="s">
        <v>11173</v>
      </c>
      <c r="AU4088">
        <v>3</v>
      </c>
      <c r="AW4088" t="s">
        <v>11187</v>
      </c>
      <c r="AZ4088" t="s">
        <v>11221</v>
      </c>
      <c r="BE4088" t="s">
        <v>13912</v>
      </c>
      <c r="BF4088" t="s">
        <v>14364</v>
      </c>
      <c r="BG4088" t="s">
        <v>15367</v>
      </c>
      <c r="BM4088" t="s">
        <v>15650</v>
      </c>
    </row>
    <row r="4089" spans="1:67">
      <c r="A4089" s="1">
        <f>HYPERLINK("https://lsnyc.legalserver.org/matter/dynamic-profile/view/1864858","18-1864858")</f>
        <v>0</v>
      </c>
      <c r="B4089" t="s">
        <v>218</v>
      </c>
      <c r="C4089" t="s">
        <v>247</v>
      </c>
      <c r="D4089" t="s">
        <v>962</v>
      </c>
      <c r="F4089" t="s">
        <v>2646</v>
      </c>
      <c r="G4089" t="s">
        <v>4531</v>
      </c>
      <c r="J4089" t="s">
        <v>7195</v>
      </c>
      <c r="K4089">
        <v>11103</v>
      </c>
      <c r="N4089" t="s">
        <v>7248</v>
      </c>
      <c r="O4089" t="s">
        <v>9813</v>
      </c>
      <c r="P4089">
        <v>2</v>
      </c>
      <c r="Q4089">
        <v>3</v>
      </c>
      <c r="R4089">
        <v>0</v>
      </c>
      <c r="U4089">
        <v>0</v>
      </c>
      <c r="V4089" t="s">
        <v>10515</v>
      </c>
      <c r="W4089">
        <v>37.6</v>
      </c>
      <c r="X4089" t="s">
        <v>731</v>
      </c>
      <c r="Y4089" t="s">
        <v>164</v>
      </c>
      <c r="AA4089" t="s">
        <v>10974</v>
      </c>
      <c r="AB4089" t="s">
        <v>962</v>
      </c>
      <c r="AD4089" t="s">
        <v>11097</v>
      </c>
      <c r="AF4089" t="s">
        <v>11118</v>
      </c>
      <c r="AH4089" t="s">
        <v>10975</v>
      </c>
      <c r="AJ4089" t="s">
        <v>11104</v>
      </c>
      <c r="AK4089" t="s">
        <v>7225</v>
      </c>
      <c r="AL4089" t="s">
        <v>11150</v>
      </c>
      <c r="AM4089">
        <v>0</v>
      </c>
      <c r="AN4089" t="s">
        <v>11151</v>
      </c>
      <c r="AO4089" t="s">
        <v>11153</v>
      </c>
      <c r="AQ4089" t="s">
        <v>11156</v>
      </c>
      <c r="AS4089" t="s">
        <v>11173</v>
      </c>
      <c r="AT4089" t="s">
        <v>11184</v>
      </c>
      <c r="AU4089">
        <v>0</v>
      </c>
      <c r="AW4089" t="s">
        <v>11187</v>
      </c>
      <c r="AZ4089" t="s">
        <v>11221</v>
      </c>
      <c r="BC4089" t="s">
        <v>11228</v>
      </c>
      <c r="BE4089" t="s">
        <v>13913</v>
      </c>
      <c r="BF4089" t="s">
        <v>14364</v>
      </c>
      <c r="BM4089" t="s">
        <v>15650</v>
      </c>
    </row>
    <row r="4090" spans="1:67">
      <c r="A4090" s="1">
        <f>HYPERLINK("https://lsnyc.legalserver.org/matter/dynamic-profile/view/0805089","16-0805089")</f>
        <v>0</v>
      </c>
      <c r="B4090" t="s">
        <v>218</v>
      </c>
      <c r="C4090" t="s">
        <v>247</v>
      </c>
      <c r="D4090" t="s">
        <v>1037</v>
      </c>
      <c r="F4090" t="s">
        <v>2647</v>
      </c>
      <c r="G4090" t="s">
        <v>4532</v>
      </c>
      <c r="H4090" t="s">
        <v>6138</v>
      </c>
      <c r="I4090" t="s">
        <v>7096</v>
      </c>
      <c r="J4090" t="s">
        <v>7182</v>
      </c>
      <c r="K4090">
        <v>11101</v>
      </c>
      <c r="N4090" t="s">
        <v>7237</v>
      </c>
      <c r="O4090" t="s">
        <v>9814</v>
      </c>
      <c r="P4090">
        <v>1</v>
      </c>
      <c r="Q4090">
        <v>0</v>
      </c>
      <c r="R4090">
        <v>0</v>
      </c>
      <c r="U4090">
        <v>0</v>
      </c>
      <c r="W4090">
        <v>1.81</v>
      </c>
      <c r="X4090" t="s">
        <v>1070</v>
      </c>
      <c r="Y4090" t="s">
        <v>10966</v>
      </c>
      <c r="Z4090" t="s">
        <v>10973</v>
      </c>
      <c r="AA4090" t="s">
        <v>10975</v>
      </c>
      <c r="AB4090" t="s">
        <v>1037</v>
      </c>
      <c r="AD4090" t="s">
        <v>11085</v>
      </c>
      <c r="AF4090" t="s">
        <v>11118</v>
      </c>
      <c r="AH4090" t="s">
        <v>10975</v>
      </c>
      <c r="AJ4090" t="s">
        <v>11140</v>
      </c>
      <c r="AK4090" t="s">
        <v>7225</v>
      </c>
      <c r="AM4090">
        <v>2600</v>
      </c>
      <c r="AO4090">
        <v>8</v>
      </c>
      <c r="AQ4090" t="s">
        <v>11164</v>
      </c>
      <c r="AS4090" t="s">
        <v>11173</v>
      </c>
      <c r="AU4090">
        <v>2</v>
      </c>
      <c r="AW4090" t="s">
        <v>11187</v>
      </c>
      <c r="AZ4090" t="s">
        <v>11221</v>
      </c>
      <c r="BE4090" t="s">
        <v>13914</v>
      </c>
      <c r="BF4090" t="s">
        <v>14364</v>
      </c>
      <c r="BG4090" t="s">
        <v>15368</v>
      </c>
      <c r="BM4090" t="s">
        <v>15650</v>
      </c>
    </row>
    <row r="4091" spans="1:67">
      <c r="A4091" s="1">
        <f>HYPERLINK("https://lsnyc.legalserver.org/matter/dynamic-profile/view/1873217","18-1873217")</f>
        <v>0</v>
      </c>
      <c r="B4091" t="s">
        <v>218</v>
      </c>
      <c r="C4091" t="s">
        <v>247</v>
      </c>
      <c r="D4091" t="s">
        <v>991</v>
      </c>
      <c r="F4091" t="s">
        <v>1352</v>
      </c>
      <c r="G4091" t="s">
        <v>3308</v>
      </c>
      <c r="H4091" t="s">
        <v>6139</v>
      </c>
      <c r="I4091" t="s">
        <v>6563</v>
      </c>
      <c r="J4091" t="s">
        <v>7206</v>
      </c>
      <c r="K4091">
        <v>11412</v>
      </c>
      <c r="N4091" t="s">
        <v>7237</v>
      </c>
      <c r="O4091" t="s">
        <v>9815</v>
      </c>
      <c r="P4091">
        <v>1</v>
      </c>
      <c r="Q4091">
        <v>0</v>
      </c>
      <c r="R4091">
        <v>74.14</v>
      </c>
      <c r="S4091" t="s">
        <v>10254</v>
      </c>
      <c r="T4091" t="s">
        <v>10275</v>
      </c>
      <c r="U4091">
        <v>9000</v>
      </c>
      <c r="W4091">
        <v>24.84</v>
      </c>
      <c r="X4091" t="s">
        <v>270</v>
      </c>
      <c r="Y4091" t="s">
        <v>10940</v>
      </c>
      <c r="AA4091" t="s">
        <v>10974</v>
      </c>
      <c r="AB4091" t="s">
        <v>991</v>
      </c>
      <c r="AD4091" t="s">
        <v>11102</v>
      </c>
      <c r="AF4091" t="s">
        <v>11120</v>
      </c>
      <c r="AH4091" t="s">
        <v>10975</v>
      </c>
      <c r="AJ4091" t="s">
        <v>11133</v>
      </c>
      <c r="AK4091" t="s">
        <v>11149</v>
      </c>
      <c r="AM4091">
        <v>1200</v>
      </c>
      <c r="AO4091">
        <v>20</v>
      </c>
      <c r="AQ4091" t="s">
        <v>11167</v>
      </c>
      <c r="AS4091" t="s">
        <v>11173</v>
      </c>
      <c r="AU4091">
        <v>1</v>
      </c>
      <c r="AW4091" t="s">
        <v>11187</v>
      </c>
      <c r="AY4091" t="s">
        <v>11213</v>
      </c>
      <c r="AZ4091" t="s">
        <v>11221</v>
      </c>
      <c r="BE4091" t="s">
        <v>13915</v>
      </c>
      <c r="BF4091" t="s">
        <v>14364</v>
      </c>
      <c r="BG4091" t="s">
        <v>14411</v>
      </c>
      <c r="BI4091" t="s">
        <v>15611</v>
      </c>
      <c r="BK4091" t="s">
        <v>15618</v>
      </c>
      <c r="BM4091" t="s">
        <v>15650</v>
      </c>
      <c r="BN4091" t="s">
        <v>15652</v>
      </c>
      <c r="BO4091" t="s">
        <v>15677</v>
      </c>
    </row>
    <row r="4092" spans="1:67">
      <c r="A4092" s="1">
        <f>HYPERLINK("https://lsnyc.legalserver.org/matter/dynamic-profile/view/1872601","18-1872601")</f>
        <v>0</v>
      </c>
      <c r="B4092" t="s">
        <v>218</v>
      </c>
      <c r="C4092" t="s">
        <v>247</v>
      </c>
      <c r="D4092" t="s">
        <v>1038</v>
      </c>
      <c r="F4092" t="s">
        <v>2648</v>
      </c>
      <c r="G4092" t="s">
        <v>4533</v>
      </c>
      <c r="H4092" t="s">
        <v>6140</v>
      </c>
      <c r="I4092" t="s">
        <v>7097</v>
      </c>
      <c r="J4092" t="s">
        <v>7215</v>
      </c>
      <c r="K4092">
        <v>11420</v>
      </c>
      <c r="N4092" t="s">
        <v>7237</v>
      </c>
      <c r="O4092" t="s">
        <v>9816</v>
      </c>
      <c r="P4092">
        <v>1</v>
      </c>
      <c r="Q4092">
        <v>0</v>
      </c>
      <c r="R4092">
        <v>74.14</v>
      </c>
      <c r="U4092">
        <v>9000</v>
      </c>
      <c r="W4092">
        <v>21.95</v>
      </c>
      <c r="X4092" t="s">
        <v>872</v>
      </c>
      <c r="Y4092" t="s">
        <v>10940</v>
      </c>
      <c r="AA4092" t="s">
        <v>10974</v>
      </c>
      <c r="AB4092" t="s">
        <v>1039</v>
      </c>
      <c r="AD4092" t="s">
        <v>11083</v>
      </c>
      <c r="AF4092" t="s">
        <v>11118</v>
      </c>
      <c r="AH4092" t="s">
        <v>10975</v>
      </c>
      <c r="AJ4092" t="s">
        <v>11138</v>
      </c>
      <c r="AK4092" t="s">
        <v>7225</v>
      </c>
      <c r="AM4092">
        <v>800</v>
      </c>
      <c r="AO4092">
        <v>2</v>
      </c>
      <c r="AQ4092" t="s">
        <v>11156</v>
      </c>
      <c r="AS4092" t="s">
        <v>11173</v>
      </c>
      <c r="AU4092">
        <v>2</v>
      </c>
      <c r="AW4092" t="s">
        <v>11189</v>
      </c>
      <c r="AY4092" t="s">
        <v>11213</v>
      </c>
      <c r="AZ4092" t="s">
        <v>11221</v>
      </c>
      <c r="BC4092" t="s">
        <v>11582</v>
      </c>
      <c r="BE4092" t="s">
        <v>13916</v>
      </c>
      <c r="BF4092" t="s">
        <v>14364</v>
      </c>
      <c r="BG4092" t="s">
        <v>15369</v>
      </c>
      <c r="BI4092" t="s">
        <v>15611</v>
      </c>
      <c r="BK4092" t="s">
        <v>11104</v>
      </c>
      <c r="BM4092" t="s">
        <v>15650</v>
      </c>
      <c r="BN4092" t="s">
        <v>15653</v>
      </c>
      <c r="BO4092" t="s">
        <v>15741</v>
      </c>
    </row>
    <row r="4093" spans="1:67">
      <c r="A4093" s="1">
        <f>HYPERLINK("https://lsnyc.legalserver.org/matter/dynamic-profile/view/1899389","19-1899389")</f>
        <v>0</v>
      </c>
      <c r="B4093" t="s">
        <v>218</v>
      </c>
      <c r="C4093" t="s">
        <v>247</v>
      </c>
      <c r="D4093" t="s">
        <v>1032</v>
      </c>
      <c r="F4093" t="s">
        <v>1352</v>
      </c>
      <c r="G4093" t="s">
        <v>4534</v>
      </c>
      <c r="H4093" t="s">
        <v>6141</v>
      </c>
      <c r="J4093" t="s">
        <v>7200</v>
      </c>
      <c r="K4093">
        <v>11416</v>
      </c>
      <c r="N4093" t="s">
        <v>7237</v>
      </c>
      <c r="O4093" t="s">
        <v>9817</v>
      </c>
      <c r="P4093">
        <v>1</v>
      </c>
      <c r="Q4093">
        <v>0</v>
      </c>
      <c r="R4093">
        <v>118.65</v>
      </c>
      <c r="U4093">
        <v>14820</v>
      </c>
      <c r="W4093">
        <v>1.2</v>
      </c>
      <c r="X4093" t="s">
        <v>10836</v>
      </c>
      <c r="Y4093" t="s">
        <v>10939</v>
      </c>
      <c r="AA4093" t="s">
        <v>10974</v>
      </c>
      <c r="AB4093" t="s">
        <v>1032</v>
      </c>
      <c r="AD4093" t="s">
        <v>11083</v>
      </c>
      <c r="AF4093" t="s">
        <v>10384</v>
      </c>
      <c r="AH4093" t="s">
        <v>10975</v>
      </c>
      <c r="AJ4093" t="s">
        <v>11138</v>
      </c>
      <c r="AK4093" t="s">
        <v>7225</v>
      </c>
      <c r="AM4093">
        <v>1350</v>
      </c>
      <c r="AO4093">
        <v>1</v>
      </c>
      <c r="AQ4093" t="s">
        <v>11164</v>
      </c>
      <c r="AS4093" t="s">
        <v>11173</v>
      </c>
      <c r="AU4093">
        <v>10</v>
      </c>
      <c r="AW4093" t="s">
        <v>11187</v>
      </c>
      <c r="AY4093" t="s">
        <v>11217</v>
      </c>
      <c r="BA4093" t="s">
        <v>11222</v>
      </c>
      <c r="BB4093" t="s">
        <v>11224</v>
      </c>
      <c r="BC4093" t="s">
        <v>11236</v>
      </c>
      <c r="BE4093" t="s">
        <v>11236</v>
      </c>
      <c r="BG4093" t="s">
        <v>15370</v>
      </c>
      <c r="BM4093" t="s">
        <v>15650</v>
      </c>
    </row>
    <row r="4094" spans="1:67">
      <c r="A4094" s="1">
        <f>HYPERLINK("https://lsnyc.legalserver.org/matter/dynamic-profile/view/1870368","18-1870368")</f>
        <v>0</v>
      </c>
      <c r="B4094" t="s">
        <v>218</v>
      </c>
      <c r="C4094" t="s">
        <v>247</v>
      </c>
      <c r="D4094" t="s">
        <v>895</v>
      </c>
      <c r="F4094" t="s">
        <v>2649</v>
      </c>
      <c r="G4094" t="s">
        <v>4535</v>
      </c>
      <c r="H4094" t="s">
        <v>5193</v>
      </c>
      <c r="I4094" t="s">
        <v>7098</v>
      </c>
      <c r="J4094" t="s">
        <v>7184</v>
      </c>
      <c r="K4094">
        <v>11372</v>
      </c>
      <c r="N4094" t="s">
        <v>7237</v>
      </c>
      <c r="O4094" t="s">
        <v>7527</v>
      </c>
      <c r="P4094">
        <v>1</v>
      </c>
      <c r="Q4094">
        <v>0</v>
      </c>
      <c r="R4094">
        <v>444.81</v>
      </c>
      <c r="U4094">
        <v>54000</v>
      </c>
      <c r="W4094">
        <v>0.2</v>
      </c>
      <c r="X4094" t="s">
        <v>337</v>
      </c>
      <c r="Y4094" t="s">
        <v>10870</v>
      </c>
      <c r="AA4094" t="s">
        <v>10974</v>
      </c>
      <c r="AB4094" t="s">
        <v>555</v>
      </c>
      <c r="AD4094" t="s">
        <v>11090</v>
      </c>
      <c r="AF4094" t="s">
        <v>11120</v>
      </c>
      <c r="AH4094" t="s">
        <v>10974</v>
      </c>
      <c r="AJ4094" t="s">
        <v>11138</v>
      </c>
      <c r="AK4094" t="s">
        <v>7225</v>
      </c>
      <c r="AM4094">
        <v>1900</v>
      </c>
      <c r="AO4094">
        <v>64</v>
      </c>
      <c r="AQ4094" t="s">
        <v>11164</v>
      </c>
      <c r="AS4094" t="s">
        <v>11173</v>
      </c>
      <c r="AU4094">
        <v>6</v>
      </c>
      <c r="AW4094" t="s">
        <v>11187</v>
      </c>
      <c r="BA4094" t="s">
        <v>11222</v>
      </c>
      <c r="BE4094" t="s">
        <v>13917</v>
      </c>
      <c r="BF4094" t="s">
        <v>14364</v>
      </c>
      <c r="BG4094" t="s">
        <v>11228</v>
      </c>
      <c r="BM4094" t="s">
        <v>15650</v>
      </c>
    </row>
    <row r="4095" spans="1:67">
      <c r="A4095" s="1">
        <f>HYPERLINK("https://lsnyc.legalserver.org/matter/dynamic-profile/view/1872640","18-1872640")</f>
        <v>0</v>
      </c>
      <c r="B4095" t="s">
        <v>218</v>
      </c>
      <c r="C4095" t="s">
        <v>247</v>
      </c>
      <c r="D4095" t="s">
        <v>1039</v>
      </c>
      <c r="F4095" t="s">
        <v>2650</v>
      </c>
      <c r="G4095" t="s">
        <v>3333</v>
      </c>
      <c r="H4095" t="s">
        <v>6142</v>
      </c>
      <c r="I4095" t="s">
        <v>6953</v>
      </c>
      <c r="J4095" t="s">
        <v>7194</v>
      </c>
      <c r="K4095">
        <v>11692</v>
      </c>
      <c r="N4095" t="s">
        <v>7237</v>
      </c>
      <c r="O4095" t="s">
        <v>7795</v>
      </c>
      <c r="P4095">
        <v>1</v>
      </c>
      <c r="Q4095">
        <v>3</v>
      </c>
      <c r="R4095">
        <v>36</v>
      </c>
      <c r="U4095">
        <v>9036</v>
      </c>
      <c r="W4095">
        <v>2.15</v>
      </c>
      <c r="X4095" t="s">
        <v>1028</v>
      </c>
      <c r="Y4095" t="s">
        <v>10940</v>
      </c>
      <c r="AA4095" t="s">
        <v>10974</v>
      </c>
      <c r="AB4095" t="s">
        <v>1039</v>
      </c>
      <c r="AD4095" t="s">
        <v>11083</v>
      </c>
      <c r="AF4095" t="s">
        <v>11118</v>
      </c>
      <c r="AH4095" t="s">
        <v>10975</v>
      </c>
      <c r="AJ4095" t="s">
        <v>11138</v>
      </c>
      <c r="AK4095" t="s">
        <v>7225</v>
      </c>
      <c r="AM4095">
        <v>791</v>
      </c>
      <c r="AO4095">
        <v>2</v>
      </c>
      <c r="AQ4095" t="s">
        <v>11156</v>
      </c>
      <c r="AS4095" t="s">
        <v>11173</v>
      </c>
      <c r="AU4095">
        <v>8</v>
      </c>
      <c r="AW4095" t="s">
        <v>11187</v>
      </c>
      <c r="AY4095" t="s">
        <v>11213</v>
      </c>
      <c r="BA4095" t="s">
        <v>11222</v>
      </c>
      <c r="BB4095" t="s">
        <v>11224</v>
      </c>
      <c r="BC4095" t="s">
        <v>11583</v>
      </c>
      <c r="BE4095" t="s">
        <v>13918</v>
      </c>
      <c r="BG4095" t="s">
        <v>15371</v>
      </c>
      <c r="BI4095" t="s">
        <v>15611</v>
      </c>
      <c r="BK4095" t="s">
        <v>15618</v>
      </c>
      <c r="BM4095" t="s">
        <v>15650</v>
      </c>
      <c r="BN4095" t="s">
        <v>15652</v>
      </c>
      <c r="BO4095" t="s">
        <v>15742</v>
      </c>
    </row>
    <row r="4096" spans="1:67">
      <c r="A4096" s="1">
        <f>HYPERLINK("https://lsnyc.legalserver.org/matter/dynamic-profile/view/0805079","16-0805079")</f>
        <v>0</v>
      </c>
      <c r="B4096" t="s">
        <v>218</v>
      </c>
      <c r="C4096" t="s">
        <v>247</v>
      </c>
      <c r="D4096" t="s">
        <v>1037</v>
      </c>
      <c r="F4096" t="s">
        <v>2651</v>
      </c>
      <c r="G4096" t="s">
        <v>3418</v>
      </c>
      <c r="H4096" t="s">
        <v>6138</v>
      </c>
      <c r="I4096" t="s">
        <v>6637</v>
      </c>
      <c r="J4096" t="s">
        <v>7182</v>
      </c>
      <c r="K4096">
        <v>11101</v>
      </c>
      <c r="M4096" t="s">
        <v>7225</v>
      </c>
      <c r="N4096" t="s">
        <v>7237</v>
      </c>
      <c r="O4096" t="s">
        <v>9818</v>
      </c>
      <c r="P4096">
        <v>1</v>
      </c>
      <c r="Q4096">
        <v>0</v>
      </c>
      <c r="R4096">
        <v>16.61</v>
      </c>
      <c r="U4096">
        <v>1973</v>
      </c>
      <c r="W4096">
        <v>4.61</v>
      </c>
      <c r="X4096" t="s">
        <v>10263</v>
      </c>
      <c r="Y4096" t="s">
        <v>10966</v>
      </c>
      <c r="Z4096" t="s">
        <v>10973</v>
      </c>
      <c r="AA4096" t="s">
        <v>10975</v>
      </c>
      <c r="AB4096" t="s">
        <v>1037</v>
      </c>
      <c r="AD4096" t="s">
        <v>11085</v>
      </c>
      <c r="AF4096" t="s">
        <v>11118</v>
      </c>
      <c r="AH4096" t="s">
        <v>10975</v>
      </c>
      <c r="AJ4096" t="s">
        <v>11140</v>
      </c>
      <c r="AK4096" t="s">
        <v>7225</v>
      </c>
      <c r="AM4096">
        <v>2600</v>
      </c>
      <c r="AO4096">
        <v>8</v>
      </c>
      <c r="AQ4096" t="s">
        <v>11164</v>
      </c>
      <c r="AS4096" t="s">
        <v>11173</v>
      </c>
      <c r="AU4096">
        <v>2</v>
      </c>
      <c r="AW4096" t="s">
        <v>11187</v>
      </c>
      <c r="AZ4096" t="s">
        <v>11221</v>
      </c>
      <c r="BE4096" t="s">
        <v>13919</v>
      </c>
      <c r="BF4096" t="s">
        <v>14364</v>
      </c>
      <c r="BG4096" t="s">
        <v>15367</v>
      </c>
      <c r="BM4096" t="s">
        <v>15650</v>
      </c>
    </row>
    <row r="4097" spans="1:67">
      <c r="A4097" s="1">
        <f>HYPERLINK("https://lsnyc.legalserver.org/matter/dynamic-profile/view/1860213","18-1860213")</f>
        <v>0</v>
      </c>
      <c r="B4097" t="s">
        <v>218</v>
      </c>
      <c r="C4097" t="s">
        <v>247</v>
      </c>
      <c r="D4097" t="s">
        <v>852</v>
      </c>
      <c r="F4097" t="s">
        <v>2652</v>
      </c>
      <c r="G4097" t="s">
        <v>2254</v>
      </c>
      <c r="H4097" t="s">
        <v>6143</v>
      </c>
      <c r="I4097" t="s">
        <v>6417</v>
      </c>
      <c r="J4097" t="s">
        <v>7173</v>
      </c>
      <c r="K4097">
        <v>11355</v>
      </c>
      <c r="N4097" t="s">
        <v>7237</v>
      </c>
      <c r="O4097" t="s">
        <v>9819</v>
      </c>
      <c r="P4097">
        <v>1</v>
      </c>
      <c r="Q4097">
        <v>1</v>
      </c>
      <c r="R4097">
        <v>69.45999999999999</v>
      </c>
      <c r="U4097">
        <v>11280</v>
      </c>
      <c r="W4097">
        <v>108.55</v>
      </c>
      <c r="X4097" t="s">
        <v>693</v>
      </c>
      <c r="Y4097" t="s">
        <v>10870</v>
      </c>
      <c r="AA4097" t="s">
        <v>10974</v>
      </c>
      <c r="AB4097" t="s">
        <v>852</v>
      </c>
      <c r="AD4097" t="s">
        <v>11083</v>
      </c>
      <c r="AF4097" t="s">
        <v>11118</v>
      </c>
      <c r="AH4097" t="s">
        <v>10975</v>
      </c>
      <c r="AJ4097" t="s">
        <v>11138</v>
      </c>
      <c r="AK4097" t="s">
        <v>7225</v>
      </c>
      <c r="AM4097">
        <v>966</v>
      </c>
      <c r="AO4097">
        <v>50</v>
      </c>
      <c r="AQ4097" t="s">
        <v>11157</v>
      </c>
      <c r="AS4097" t="s">
        <v>11173</v>
      </c>
      <c r="AU4097">
        <v>31</v>
      </c>
      <c r="AW4097" t="s">
        <v>11187</v>
      </c>
      <c r="AZ4097" t="s">
        <v>11221</v>
      </c>
      <c r="BC4097" t="s">
        <v>11584</v>
      </c>
      <c r="BE4097" t="s">
        <v>13920</v>
      </c>
      <c r="BG4097" t="s">
        <v>15372</v>
      </c>
      <c r="BM4097" t="s">
        <v>15650</v>
      </c>
    </row>
    <row r="4098" spans="1:67">
      <c r="A4098" s="1">
        <f>HYPERLINK("https://lsnyc.legalserver.org/matter/dynamic-profile/view/1873162","18-1873162")</f>
        <v>0</v>
      </c>
      <c r="B4098" t="s">
        <v>218</v>
      </c>
      <c r="C4098" t="s">
        <v>247</v>
      </c>
      <c r="D4098" t="s">
        <v>366</v>
      </c>
      <c r="F4098" t="s">
        <v>2653</v>
      </c>
      <c r="G4098" t="s">
        <v>1187</v>
      </c>
      <c r="H4098" t="s">
        <v>6144</v>
      </c>
      <c r="I4098" t="s">
        <v>7099</v>
      </c>
      <c r="J4098" t="s">
        <v>7194</v>
      </c>
      <c r="K4098">
        <v>11692</v>
      </c>
      <c r="N4098" t="s">
        <v>7237</v>
      </c>
      <c r="O4098" t="s">
        <v>9820</v>
      </c>
      <c r="P4098">
        <v>1</v>
      </c>
      <c r="Q4098">
        <v>3</v>
      </c>
      <c r="R4098">
        <v>20.72</v>
      </c>
      <c r="U4098">
        <v>5200</v>
      </c>
      <c r="W4098">
        <v>18.93</v>
      </c>
      <c r="X4098" t="s">
        <v>528</v>
      </c>
      <c r="Y4098" t="s">
        <v>10870</v>
      </c>
      <c r="AA4098" t="s">
        <v>10974</v>
      </c>
      <c r="AB4098" t="s">
        <v>366</v>
      </c>
      <c r="AD4098" t="s">
        <v>11082</v>
      </c>
      <c r="AF4098" t="s">
        <v>11118</v>
      </c>
      <c r="AH4098" t="s">
        <v>10975</v>
      </c>
      <c r="AJ4098" t="s">
        <v>11138</v>
      </c>
      <c r="AK4098" t="s">
        <v>7225</v>
      </c>
      <c r="AM4098">
        <v>1515</v>
      </c>
      <c r="AO4098">
        <v>132</v>
      </c>
      <c r="AQ4098" t="s">
        <v>11164</v>
      </c>
      <c r="AS4098" t="s">
        <v>11173</v>
      </c>
      <c r="AU4098">
        <v>4</v>
      </c>
      <c r="AW4098" t="s">
        <v>11187</v>
      </c>
      <c r="AY4098" t="s">
        <v>11216</v>
      </c>
      <c r="AZ4098" t="s">
        <v>11221</v>
      </c>
      <c r="BC4098" t="s">
        <v>11585</v>
      </c>
      <c r="BE4098" t="s">
        <v>13921</v>
      </c>
      <c r="BG4098" t="s">
        <v>15373</v>
      </c>
      <c r="BI4098" t="s">
        <v>15606</v>
      </c>
      <c r="BK4098" t="s">
        <v>15623</v>
      </c>
      <c r="BM4098" t="s">
        <v>15650</v>
      </c>
      <c r="BN4098" t="s">
        <v>15652</v>
      </c>
      <c r="BO4098" t="s">
        <v>15743</v>
      </c>
    </row>
    <row r="4099" spans="1:67">
      <c r="A4099" s="1">
        <f>HYPERLINK("https://lsnyc.legalserver.org/matter/dynamic-profile/view/1834714","17-1834714")</f>
        <v>0</v>
      </c>
      <c r="B4099" t="s">
        <v>218</v>
      </c>
      <c r="C4099" t="s">
        <v>247</v>
      </c>
      <c r="D4099" t="s">
        <v>858</v>
      </c>
      <c r="F4099" t="s">
        <v>2654</v>
      </c>
      <c r="G4099" t="s">
        <v>3999</v>
      </c>
      <c r="H4099" t="s">
        <v>6145</v>
      </c>
      <c r="I4099" t="s">
        <v>7060</v>
      </c>
      <c r="J4099" t="s">
        <v>7173</v>
      </c>
      <c r="K4099">
        <v>11355</v>
      </c>
      <c r="N4099" t="s">
        <v>7237</v>
      </c>
      <c r="O4099" t="s">
        <v>9821</v>
      </c>
      <c r="P4099">
        <v>4</v>
      </c>
      <c r="Q4099">
        <v>0</v>
      </c>
      <c r="R4099">
        <v>20.33</v>
      </c>
      <c r="U4099">
        <v>5000</v>
      </c>
      <c r="W4099">
        <v>23.8</v>
      </c>
      <c r="X4099" t="s">
        <v>10854</v>
      </c>
      <c r="Y4099" t="s">
        <v>218</v>
      </c>
      <c r="Z4099" t="s">
        <v>10972</v>
      </c>
      <c r="AA4099" t="s">
        <v>10976</v>
      </c>
      <c r="AB4099" t="s">
        <v>858</v>
      </c>
      <c r="AD4099" t="s">
        <v>11083</v>
      </c>
      <c r="AF4099" t="s">
        <v>11118</v>
      </c>
      <c r="AH4099" t="s">
        <v>10975</v>
      </c>
      <c r="AJ4099" t="s">
        <v>11140</v>
      </c>
      <c r="AK4099" t="s">
        <v>7225</v>
      </c>
      <c r="AL4099" t="s">
        <v>11150</v>
      </c>
      <c r="AM4099">
        <v>0</v>
      </c>
      <c r="AO4099">
        <v>3</v>
      </c>
      <c r="AQ4099" t="s">
        <v>11156</v>
      </c>
      <c r="AR4099" t="s">
        <v>11172</v>
      </c>
      <c r="AU4099">
        <v>8</v>
      </c>
      <c r="AW4099" t="s">
        <v>11187</v>
      </c>
      <c r="AZ4099" t="s">
        <v>11221</v>
      </c>
      <c r="BE4099" t="s">
        <v>13922</v>
      </c>
      <c r="BF4099" t="s">
        <v>14364</v>
      </c>
      <c r="BG4099" t="s">
        <v>15374</v>
      </c>
      <c r="BM4099" t="s">
        <v>15650</v>
      </c>
    </row>
    <row r="4100" spans="1:67">
      <c r="A4100" s="1">
        <f>HYPERLINK("https://lsnyc.legalserver.org/matter/dynamic-profile/view/1838498","17-1838498")</f>
        <v>0</v>
      </c>
      <c r="B4100" t="s">
        <v>218</v>
      </c>
      <c r="C4100" t="s">
        <v>247</v>
      </c>
      <c r="D4100" t="s">
        <v>1040</v>
      </c>
      <c r="F4100" t="s">
        <v>1157</v>
      </c>
      <c r="G4100" t="s">
        <v>4536</v>
      </c>
      <c r="H4100" t="s">
        <v>6146</v>
      </c>
      <c r="I4100" t="s">
        <v>6438</v>
      </c>
      <c r="J4100" t="s">
        <v>7178</v>
      </c>
      <c r="K4100">
        <v>11385</v>
      </c>
      <c r="N4100" t="s">
        <v>7237</v>
      </c>
      <c r="O4100" t="s">
        <v>9822</v>
      </c>
      <c r="P4100">
        <v>3</v>
      </c>
      <c r="Q4100">
        <v>0</v>
      </c>
      <c r="R4100">
        <v>94.03</v>
      </c>
      <c r="U4100">
        <v>19200</v>
      </c>
      <c r="W4100">
        <v>31.65</v>
      </c>
      <c r="X4100" t="s">
        <v>912</v>
      </c>
      <c r="Y4100" t="s">
        <v>218</v>
      </c>
      <c r="AA4100" t="s">
        <v>10974</v>
      </c>
      <c r="AB4100" t="s">
        <v>1040</v>
      </c>
      <c r="AD4100" t="s">
        <v>11082</v>
      </c>
      <c r="AF4100" t="s">
        <v>11118</v>
      </c>
      <c r="AH4100" t="s">
        <v>10975</v>
      </c>
      <c r="AJ4100" t="s">
        <v>11129</v>
      </c>
      <c r="AK4100" t="s">
        <v>7225</v>
      </c>
      <c r="AM4100">
        <v>1017.34</v>
      </c>
      <c r="AO4100">
        <v>6</v>
      </c>
      <c r="AQ4100" t="s">
        <v>11157</v>
      </c>
      <c r="AR4100" t="s">
        <v>11172</v>
      </c>
      <c r="AU4100">
        <v>34</v>
      </c>
      <c r="AW4100" t="s">
        <v>11187</v>
      </c>
      <c r="AZ4100" t="s">
        <v>11221</v>
      </c>
      <c r="BE4100" t="s">
        <v>13923</v>
      </c>
      <c r="BG4100" t="s">
        <v>15375</v>
      </c>
      <c r="BM4100" t="s">
        <v>15650</v>
      </c>
    </row>
    <row r="4101" spans="1:67">
      <c r="A4101" s="1">
        <f>HYPERLINK("https://lsnyc.legalserver.org/matter/dynamic-profile/view/0803477","16-0803477")</f>
        <v>0</v>
      </c>
      <c r="B4101" t="s">
        <v>218</v>
      </c>
      <c r="C4101" t="s">
        <v>247</v>
      </c>
      <c r="D4101" t="s">
        <v>935</v>
      </c>
      <c r="F4101" t="s">
        <v>2655</v>
      </c>
      <c r="G4101" t="s">
        <v>3414</v>
      </c>
      <c r="H4101" t="s">
        <v>6147</v>
      </c>
      <c r="I4101" t="s">
        <v>7100</v>
      </c>
      <c r="J4101" t="s">
        <v>7173</v>
      </c>
      <c r="K4101">
        <v>11355</v>
      </c>
      <c r="N4101" t="s">
        <v>7237</v>
      </c>
      <c r="P4101">
        <v>2</v>
      </c>
      <c r="Q4101">
        <v>3</v>
      </c>
      <c r="R4101">
        <v>101.97</v>
      </c>
      <c r="S4101" t="s">
        <v>498</v>
      </c>
      <c r="U4101">
        <v>58000</v>
      </c>
      <c r="W4101">
        <v>4.7</v>
      </c>
      <c r="X4101" t="s">
        <v>502</v>
      </c>
      <c r="Y4101" t="s">
        <v>218</v>
      </c>
      <c r="AA4101" t="s">
        <v>10974</v>
      </c>
      <c r="AB4101" t="s">
        <v>935</v>
      </c>
      <c r="AD4101" t="s">
        <v>11100</v>
      </c>
      <c r="AF4101" t="s">
        <v>11120</v>
      </c>
      <c r="AH4101" t="s">
        <v>10975</v>
      </c>
      <c r="AJ4101" t="s">
        <v>11132</v>
      </c>
      <c r="AK4101" t="s">
        <v>7225</v>
      </c>
      <c r="AM4101">
        <v>1400</v>
      </c>
      <c r="AO4101">
        <v>48</v>
      </c>
      <c r="AQ4101" t="s">
        <v>11157</v>
      </c>
      <c r="AS4101" t="s">
        <v>11173</v>
      </c>
      <c r="AU4101">
        <v>4</v>
      </c>
      <c r="AW4101" t="s">
        <v>11198</v>
      </c>
      <c r="AZ4101" t="s">
        <v>11221</v>
      </c>
      <c r="BC4101" t="s">
        <v>11575</v>
      </c>
      <c r="BE4101" t="s">
        <v>13924</v>
      </c>
      <c r="BF4101" t="s">
        <v>14364</v>
      </c>
      <c r="BG4101" t="s">
        <v>11228</v>
      </c>
      <c r="BM4101" t="s">
        <v>15650</v>
      </c>
    </row>
    <row r="4102" spans="1:67">
      <c r="A4102" s="1">
        <f>HYPERLINK("https://lsnyc.legalserver.org/matter/dynamic-profile/view/1872107","18-1872107")</f>
        <v>0</v>
      </c>
      <c r="B4102" t="s">
        <v>218</v>
      </c>
      <c r="C4102" t="s">
        <v>247</v>
      </c>
      <c r="D4102" t="s">
        <v>618</v>
      </c>
      <c r="F4102" t="s">
        <v>1212</v>
      </c>
      <c r="G4102" t="s">
        <v>4537</v>
      </c>
      <c r="H4102" t="s">
        <v>6148</v>
      </c>
      <c r="I4102" t="s">
        <v>6940</v>
      </c>
      <c r="J4102" t="s">
        <v>7173</v>
      </c>
      <c r="K4102">
        <v>11358</v>
      </c>
      <c r="N4102" t="s">
        <v>7237</v>
      </c>
      <c r="O4102" t="s">
        <v>9823</v>
      </c>
      <c r="P4102">
        <v>2</v>
      </c>
      <c r="Q4102">
        <v>0</v>
      </c>
      <c r="R4102">
        <v>46.59</v>
      </c>
      <c r="U4102">
        <v>7668</v>
      </c>
      <c r="W4102">
        <v>2.57</v>
      </c>
      <c r="X4102" t="s">
        <v>528</v>
      </c>
      <c r="Y4102" t="s">
        <v>10870</v>
      </c>
      <c r="AA4102" t="s">
        <v>10974</v>
      </c>
      <c r="AB4102" t="s">
        <v>657</v>
      </c>
      <c r="AD4102" t="s">
        <v>11083</v>
      </c>
      <c r="AF4102" t="s">
        <v>11118</v>
      </c>
      <c r="AH4102" t="s">
        <v>10975</v>
      </c>
      <c r="AJ4102" t="s">
        <v>11138</v>
      </c>
      <c r="AK4102" t="s">
        <v>7225</v>
      </c>
      <c r="AM4102">
        <v>2000</v>
      </c>
      <c r="AO4102">
        <v>2</v>
      </c>
      <c r="AQ4102" t="s">
        <v>11156</v>
      </c>
      <c r="AS4102" t="s">
        <v>11173</v>
      </c>
      <c r="AU4102">
        <v>13</v>
      </c>
      <c r="AW4102" t="s">
        <v>11189</v>
      </c>
      <c r="AY4102" t="s">
        <v>11213</v>
      </c>
      <c r="AZ4102" t="s">
        <v>11221</v>
      </c>
      <c r="BC4102" t="s">
        <v>11586</v>
      </c>
      <c r="BE4102" t="s">
        <v>13925</v>
      </c>
      <c r="BG4102" t="s">
        <v>15376</v>
      </c>
      <c r="BI4102" t="s">
        <v>15609</v>
      </c>
      <c r="BK4102" t="s">
        <v>11104</v>
      </c>
      <c r="BM4102" t="s">
        <v>15650</v>
      </c>
      <c r="BN4102" t="s">
        <v>15653</v>
      </c>
      <c r="BO4102" t="s">
        <v>15744</v>
      </c>
    </row>
    <row r="4103" spans="1:67">
      <c r="A4103" s="1">
        <f>HYPERLINK("https://lsnyc.legalserver.org/matter/dynamic-profile/view/1911839","19-1911839")</f>
        <v>0</v>
      </c>
      <c r="B4103" t="s">
        <v>219</v>
      </c>
      <c r="C4103" t="s">
        <v>246</v>
      </c>
      <c r="D4103" t="s">
        <v>345</v>
      </c>
      <c r="F4103" t="s">
        <v>2656</v>
      </c>
      <c r="G4103" t="s">
        <v>4538</v>
      </c>
      <c r="H4103" t="s">
        <v>5741</v>
      </c>
      <c r="I4103" t="s">
        <v>6585</v>
      </c>
      <c r="J4103" t="s">
        <v>7170</v>
      </c>
      <c r="K4103">
        <v>10452</v>
      </c>
      <c r="N4103" t="s">
        <v>7237</v>
      </c>
      <c r="O4103" t="s">
        <v>9824</v>
      </c>
      <c r="P4103">
        <v>2</v>
      </c>
      <c r="Q4103">
        <v>0</v>
      </c>
      <c r="R4103">
        <v>303.96</v>
      </c>
      <c r="U4103">
        <v>51400</v>
      </c>
      <c r="W4103">
        <v>0.4</v>
      </c>
      <c r="X4103" t="s">
        <v>345</v>
      </c>
      <c r="Y4103" t="s">
        <v>210</v>
      </c>
      <c r="AA4103" t="s">
        <v>10974</v>
      </c>
      <c r="AD4103" t="s">
        <v>11098</v>
      </c>
      <c r="AF4103" t="s">
        <v>11122</v>
      </c>
      <c r="AH4103" t="s">
        <v>10974</v>
      </c>
      <c r="AJ4103" t="s">
        <v>11141</v>
      </c>
      <c r="AK4103" t="s">
        <v>7225</v>
      </c>
      <c r="AM4103">
        <v>1208.34</v>
      </c>
      <c r="AO4103">
        <v>52</v>
      </c>
      <c r="AQ4103" t="s">
        <v>11157</v>
      </c>
      <c r="AS4103" t="s">
        <v>11173</v>
      </c>
      <c r="AU4103">
        <v>20</v>
      </c>
      <c r="AW4103" t="s">
        <v>11187</v>
      </c>
      <c r="AX4103" t="s">
        <v>11212</v>
      </c>
      <c r="BA4103" t="s">
        <v>11222</v>
      </c>
      <c r="BE4103" t="s">
        <v>13926</v>
      </c>
      <c r="BF4103" t="s">
        <v>14364</v>
      </c>
      <c r="BM4103" t="s">
        <v>15650</v>
      </c>
    </row>
    <row r="4104" spans="1:67">
      <c r="A4104" s="1">
        <f>HYPERLINK("https://lsnyc.legalserver.org/matter/dynamic-profile/view/1887430","19-1887430")</f>
        <v>0</v>
      </c>
      <c r="B4104" t="s">
        <v>219</v>
      </c>
      <c r="C4104" t="s">
        <v>246</v>
      </c>
      <c r="D4104" t="s">
        <v>290</v>
      </c>
      <c r="F4104" t="s">
        <v>1707</v>
      </c>
      <c r="G4104" t="s">
        <v>1187</v>
      </c>
      <c r="H4104" t="s">
        <v>4971</v>
      </c>
      <c r="I4104" t="s">
        <v>6678</v>
      </c>
      <c r="J4104" t="s">
        <v>7170</v>
      </c>
      <c r="K4104">
        <v>10460</v>
      </c>
      <c r="N4104" t="s">
        <v>7237</v>
      </c>
      <c r="O4104" t="s">
        <v>8074</v>
      </c>
      <c r="P4104">
        <v>1</v>
      </c>
      <c r="Q4104">
        <v>1</v>
      </c>
      <c r="R4104">
        <v>164.28</v>
      </c>
      <c r="U4104">
        <v>27040</v>
      </c>
      <c r="W4104">
        <v>99.5</v>
      </c>
      <c r="X4104" t="s">
        <v>548</v>
      </c>
      <c r="Y4104" t="s">
        <v>216</v>
      </c>
      <c r="AA4104" t="s">
        <v>10974</v>
      </c>
      <c r="AB4104" t="s">
        <v>379</v>
      </c>
      <c r="AD4104" t="s">
        <v>11082</v>
      </c>
      <c r="AF4104" t="s">
        <v>11118</v>
      </c>
      <c r="AG4104" t="s">
        <v>11124</v>
      </c>
      <c r="AJ4104" t="s">
        <v>11141</v>
      </c>
      <c r="AK4104" t="s">
        <v>7225</v>
      </c>
      <c r="AM4104">
        <v>485</v>
      </c>
      <c r="AO4104">
        <v>169</v>
      </c>
      <c r="AP4104" t="s">
        <v>11155</v>
      </c>
      <c r="AS4104" t="s">
        <v>11174</v>
      </c>
      <c r="AU4104">
        <v>12</v>
      </c>
      <c r="AW4104" t="s">
        <v>11187</v>
      </c>
      <c r="AY4104" t="s">
        <v>11216</v>
      </c>
      <c r="AZ4104" t="s">
        <v>11221</v>
      </c>
      <c r="BE4104" t="s">
        <v>12389</v>
      </c>
      <c r="BG4104" t="s">
        <v>15377</v>
      </c>
      <c r="BM4104" t="s">
        <v>15650</v>
      </c>
    </row>
    <row r="4105" spans="1:67">
      <c r="A4105" s="1">
        <f>HYPERLINK("https://lsnyc.legalserver.org/matter/dynamic-profile/view/1863590","18-1863590")</f>
        <v>0</v>
      </c>
      <c r="B4105" t="s">
        <v>219</v>
      </c>
      <c r="C4105" t="s">
        <v>246</v>
      </c>
      <c r="D4105" t="s">
        <v>381</v>
      </c>
      <c r="F4105" t="s">
        <v>2262</v>
      </c>
      <c r="G4105" t="s">
        <v>3480</v>
      </c>
      <c r="H4105" t="s">
        <v>6149</v>
      </c>
      <c r="I4105" t="s">
        <v>6596</v>
      </c>
      <c r="J4105" t="s">
        <v>7170</v>
      </c>
      <c r="K4105">
        <v>10451</v>
      </c>
      <c r="N4105" t="s">
        <v>7237</v>
      </c>
      <c r="O4105" t="s">
        <v>7524</v>
      </c>
      <c r="P4105">
        <v>1</v>
      </c>
      <c r="Q4105">
        <v>0</v>
      </c>
      <c r="R4105">
        <v>535.42</v>
      </c>
      <c r="U4105">
        <v>65000</v>
      </c>
      <c r="V4105" t="s">
        <v>10763</v>
      </c>
      <c r="W4105">
        <v>16.3</v>
      </c>
      <c r="X4105" t="s">
        <v>431</v>
      </c>
      <c r="Y4105" t="s">
        <v>210</v>
      </c>
      <c r="AA4105" t="s">
        <v>10974</v>
      </c>
      <c r="AB4105" t="s">
        <v>724</v>
      </c>
      <c r="AD4105" t="s">
        <v>11100</v>
      </c>
      <c r="AF4105" t="s">
        <v>11120</v>
      </c>
      <c r="AH4105" t="s">
        <v>10975</v>
      </c>
      <c r="AJ4105" t="s">
        <v>11130</v>
      </c>
      <c r="AK4105" t="s">
        <v>7225</v>
      </c>
      <c r="AM4105">
        <v>1064.5</v>
      </c>
      <c r="AO4105">
        <v>81</v>
      </c>
      <c r="AQ4105" t="s">
        <v>11157</v>
      </c>
      <c r="AS4105" t="s">
        <v>11173</v>
      </c>
      <c r="AU4105">
        <v>21</v>
      </c>
      <c r="AW4105" t="s">
        <v>11187</v>
      </c>
      <c r="AZ4105" t="s">
        <v>11221</v>
      </c>
      <c r="BE4105" t="s">
        <v>13927</v>
      </c>
      <c r="BF4105" t="s">
        <v>14364</v>
      </c>
      <c r="BM4105" t="s">
        <v>15650</v>
      </c>
    </row>
    <row r="4106" spans="1:67">
      <c r="A4106" s="1">
        <f>HYPERLINK("https://lsnyc.legalserver.org/matter/dynamic-profile/view/1914969","19-1914969")</f>
        <v>0</v>
      </c>
      <c r="B4106" t="s">
        <v>219</v>
      </c>
      <c r="C4106" t="s">
        <v>246</v>
      </c>
      <c r="D4106" t="s">
        <v>264</v>
      </c>
      <c r="F4106" t="s">
        <v>2657</v>
      </c>
      <c r="G4106" t="s">
        <v>3236</v>
      </c>
      <c r="H4106" t="s">
        <v>6150</v>
      </c>
      <c r="I4106" t="s">
        <v>6554</v>
      </c>
      <c r="J4106" t="s">
        <v>7170</v>
      </c>
      <c r="K4106">
        <v>10459</v>
      </c>
      <c r="N4106" t="s">
        <v>7237</v>
      </c>
      <c r="O4106" t="s">
        <v>9825</v>
      </c>
      <c r="P4106">
        <v>1</v>
      </c>
      <c r="Q4106">
        <v>1</v>
      </c>
      <c r="R4106">
        <v>295.68</v>
      </c>
      <c r="U4106">
        <v>50000</v>
      </c>
      <c r="W4106">
        <v>11.18</v>
      </c>
      <c r="X4106" t="s">
        <v>638</v>
      </c>
      <c r="Y4106" t="s">
        <v>93</v>
      </c>
      <c r="AA4106" t="s">
        <v>10974</v>
      </c>
      <c r="AC4106" t="s">
        <v>11081</v>
      </c>
      <c r="AE4106" t="s">
        <v>11117</v>
      </c>
      <c r="AH4106" t="s">
        <v>10975</v>
      </c>
      <c r="AJ4106" t="s">
        <v>11141</v>
      </c>
      <c r="AK4106" t="s">
        <v>7225</v>
      </c>
      <c r="AM4106">
        <v>1115.94</v>
      </c>
      <c r="AO4106">
        <v>370</v>
      </c>
      <c r="AQ4106" t="s">
        <v>11157</v>
      </c>
      <c r="AS4106" t="s">
        <v>11173</v>
      </c>
      <c r="AU4106">
        <v>8</v>
      </c>
      <c r="AW4106" t="s">
        <v>11187</v>
      </c>
      <c r="AX4106" t="s">
        <v>11212</v>
      </c>
      <c r="AZ4106" t="s">
        <v>11221</v>
      </c>
      <c r="BE4106" t="s">
        <v>13928</v>
      </c>
      <c r="BF4106" t="s">
        <v>14364</v>
      </c>
      <c r="BM4106" t="s">
        <v>15650</v>
      </c>
    </row>
    <row r="4107" spans="1:67">
      <c r="A4107" s="1">
        <f>HYPERLINK("https://lsnyc.legalserver.org/matter/dynamic-profile/view/1838338","17-1838338")</f>
        <v>0</v>
      </c>
      <c r="B4107" t="s">
        <v>219</v>
      </c>
      <c r="C4107" t="s">
        <v>246</v>
      </c>
      <c r="D4107" t="s">
        <v>1041</v>
      </c>
      <c r="F4107" t="s">
        <v>1280</v>
      </c>
      <c r="G4107" t="s">
        <v>2902</v>
      </c>
      <c r="H4107" t="s">
        <v>6151</v>
      </c>
      <c r="I4107" t="s">
        <v>6585</v>
      </c>
      <c r="J4107" t="s">
        <v>7170</v>
      </c>
      <c r="K4107">
        <v>10453</v>
      </c>
      <c r="N4107" t="s">
        <v>7237</v>
      </c>
      <c r="O4107" t="s">
        <v>9826</v>
      </c>
      <c r="P4107">
        <v>4</v>
      </c>
      <c r="Q4107">
        <v>1</v>
      </c>
      <c r="R4107">
        <v>172.04</v>
      </c>
      <c r="U4107">
        <v>49512</v>
      </c>
      <c r="W4107">
        <v>162.65</v>
      </c>
      <c r="X4107" t="s">
        <v>637</v>
      </c>
      <c r="Y4107" t="s">
        <v>10899</v>
      </c>
      <c r="AA4107" t="s">
        <v>10974</v>
      </c>
      <c r="AB4107" t="s">
        <v>694</v>
      </c>
      <c r="AD4107" t="s">
        <v>11082</v>
      </c>
      <c r="AF4107" t="s">
        <v>11118</v>
      </c>
      <c r="AH4107" t="s">
        <v>10975</v>
      </c>
      <c r="AJ4107" t="s">
        <v>11128</v>
      </c>
      <c r="AK4107" t="s">
        <v>7225</v>
      </c>
      <c r="AM4107">
        <v>860.2</v>
      </c>
      <c r="AN4107" t="s">
        <v>11151</v>
      </c>
      <c r="AO4107" t="s">
        <v>11153</v>
      </c>
      <c r="AQ4107" t="s">
        <v>11157</v>
      </c>
      <c r="AS4107" t="s">
        <v>11175</v>
      </c>
      <c r="AU4107">
        <v>39</v>
      </c>
      <c r="AW4107" t="s">
        <v>11189</v>
      </c>
      <c r="AZ4107" t="s">
        <v>11221</v>
      </c>
      <c r="BC4107" t="s">
        <v>11587</v>
      </c>
      <c r="BE4107" t="s">
        <v>13929</v>
      </c>
      <c r="BG4107" t="s">
        <v>15378</v>
      </c>
      <c r="BM4107" t="s">
        <v>15650</v>
      </c>
    </row>
    <row r="4108" spans="1:67">
      <c r="A4108" s="1">
        <f>HYPERLINK("https://lsnyc.legalserver.org/matter/dynamic-profile/view/1893888","19-1893888")</f>
        <v>0</v>
      </c>
      <c r="B4108" t="s">
        <v>219</v>
      </c>
      <c r="C4108" t="s">
        <v>246</v>
      </c>
      <c r="D4108" t="s">
        <v>334</v>
      </c>
      <c r="F4108" t="s">
        <v>1155</v>
      </c>
      <c r="G4108" t="s">
        <v>2998</v>
      </c>
      <c r="H4108" t="s">
        <v>6152</v>
      </c>
      <c r="I4108">
        <v>59</v>
      </c>
      <c r="J4108" t="s">
        <v>7170</v>
      </c>
      <c r="K4108">
        <v>10458</v>
      </c>
      <c r="N4108" t="s">
        <v>7237</v>
      </c>
      <c r="O4108" t="s">
        <v>9827</v>
      </c>
      <c r="P4108">
        <v>2</v>
      </c>
      <c r="Q4108">
        <v>3</v>
      </c>
      <c r="R4108">
        <v>41.52</v>
      </c>
      <c r="U4108">
        <v>12528</v>
      </c>
      <c r="W4108">
        <v>28.5</v>
      </c>
      <c r="X4108" t="s">
        <v>305</v>
      </c>
      <c r="Y4108" t="s">
        <v>210</v>
      </c>
      <c r="AA4108" t="s">
        <v>10974</v>
      </c>
      <c r="AB4108" t="s">
        <v>10979</v>
      </c>
      <c r="AD4108" t="s">
        <v>11090</v>
      </c>
      <c r="AF4108" t="s">
        <v>11119</v>
      </c>
      <c r="AH4108" t="s">
        <v>10974</v>
      </c>
      <c r="AJ4108" t="s">
        <v>11141</v>
      </c>
      <c r="AK4108" t="s">
        <v>7225</v>
      </c>
      <c r="AM4108">
        <v>1092</v>
      </c>
      <c r="AO4108">
        <v>48</v>
      </c>
      <c r="AQ4108" t="s">
        <v>11157</v>
      </c>
      <c r="AS4108" t="s">
        <v>11176</v>
      </c>
      <c r="AU4108">
        <v>6</v>
      </c>
      <c r="AW4108" t="s">
        <v>11187</v>
      </c>
      <c r="BA4108" t="s">
        <v>11222</v>
      </c>
      <c r="BC4108" t="s">
        <v>11588</v>
      </c>
      <c r="BE4108" t="s">
        <v>13930</v>
      </c>
      <c r="BF4108" t="s">
        <v>14364</v>
      </c>
      <c r="BM4108" t="s">
        <v>15650</v>
      </c>
    </row>
    <row r="4109" spans="1:67">
      <c r="A4109" s="1">
        <f>HYPERLINK("https://lsnyc.legalserver.org/matter/dynamic-profile/view/1884940","18-1884940")</f>
        <v>0</v>
      </c>
      <c r="B4109" t="s">
        <v>219</v>
      </c>
      <c r="C4109" t="s">
        <v>246</v>
      </c>
      <c r="D4109" t="s">
        <v>706</v>
      </c>
      <c r="F4109" t="s">
        <v>1395</v>
      </c>
      <c r="G4109" t="s">
        <v>1875</v>
      </c>
      <c r="H4109" t="s">
        <v>6149</v>
      </c>
      <c r="I4109" t="s">
        <v>6499</v>
      </c>
      <c r="J4109" t="s">
        <v>7170</v>
      </c>
      <c r="K4109">
        <v>10451</v>
      </c>
      <c r="N4109" t="s">
        <v>7237</v>
      </c>
      <c r="O4109" t="s">
        <v>9828</v>
      </c>
      <c r="P4109">
        <v>1</v>
      </c>
      <c r="Q4109">
        <v>0</v>
      </c>
      <c r="R4109">
        <v>168.93</v>
      </c>
      <c r="U4109">
        <v>20508</v>
      </c>
      <c r="W4109">
        <v>17.3</v>
      </c>
      <c r="X4109" t="s">
        <v>302</v>
      </c>
      <c r="Y4109" t="s">
        <v>216</v>
      </c>
      <c r="AA4109" t="s">
        <v>10974</v>
      </c>
      <c r="AB4109" t="s">
        <v>706</v>
      </c>
      <c r="AD4109" t="s">
        <v>11082</v>
      </c>
      <c r="AF4109" t="s">
        <v>11118</v>
      </c>
      <c r="AH4109" t="s">
        <v>10975</v>
      </c>
      <c r="AJ4109" t="s">
        <v>11129</v>
      </c>
      <c r="AK4109" t="s">
        <v>7225</v>
      </c>
      <c r="AM4109">
        <v>1284.38</v>
      </c>
      <c r="AN4109" t="s">
        <v>11151</v>
      </c>
      <c r="AO4109" t="s">
        <v>11153</v>
      </c>
      <c r="AQ4109" t="s">
        <v>11157</v>
      </c>
      <c r="AS4109" t="s">
        <v>11173</v>
      </c>
      <c r="AU4109">
        <v>8</v>
      </c>
      <c r="AW4109" t="s">
        <v>11187</v>
      </c>
      <c r="AZ4109" t="s">
        <v>11221</v>
      </c>
      <c r="BE4109" t="s">
        <v>13931</v>
      </c>
      <c r="BG4109" t="s">
        <v>15379</v>
      </c>
      <c r="BM4109" t="s">
        <v>15650</v>
      </c>
    </row>
    <row r="4110" spans="1:67">
      <c r="A4110" s="1">
        <f>HYPERLINK("https://lsnyc.legalserver.org/matter/dynamic-profile/view/1913397","19-1913397")</f>
        <v>0</v>
      </c>
      <c r="B4110" t="s">
        <v>219</v>
      </c>
      <c r="C4110" t="s">
        <v>246</v>
      </c>
      <c r="D4110" t="s">
        <v>273</v>
      </c>
      <c r="F4110" t="s">
        <v>1122</v>
      </c>
      <c r="G4110" t="s">
        <v>2996</v>
      </c>
      <c r="H4110" t="s">
        <v>6153</v>
      </c>
      <c r="I4110" t="s">
        <v>6832</v>
      </c>
      <c r="J4110" t="s">
        <v>7170</v>
      </c>
      <c r="K4110">
        <v>10452</v>
      </c>
      <c r="N4110" t="s">
        <v>7238</v>
      </c>
      <c r="O4110" t="s">
        <v>9829</v>
      </c>
      <c r="P4110">
        <v>1</v>
      </c>
      <c r="Q4110">
        <v>0</v>
      </c>
      <c r="R4110">
        <v>76.86</v>
      </c>
      <c r="U4110">
        <v>9600</v>
      </c>
      <c r="W4110">
        <v>0.1</v>
      </c>
      <c r="X4110" t="s">
        <v>272</v>
      </c>
      <c r="Y4110" t="s">
        <v>219</v>
      </c>
      <c r="AA4110" t="s">
        <v>10974</v>
      </c>
      <c r="AC4110" t="s">
        <v>11081</v>
      </c>
      <c r="AF4110" t="s">
        <v>11119</v>
      </c>
      <c r="AG4110" t="s">
        <v>11124</v>
      </c>
      <c r="AI4110" t="s">
        <v>11126</v>
      </c>
      <c r="AK4110" t="s">
        <v>7225</v>
      </c>
      <c r="AM4110">
        <v>641.28</v>
      </c>
      <c r="AN4110" t="s">
        <v>11151</v>
      </c>
      <c r="AO4110" t="s">
        <v>11153</v>
      </c>
      <c r="AQ4110" t="s">
        <v>11157</v>
      </c>
      <c r="AS4110" t="s">
        <v>11175</v>
      </c>
      <c r="AU4110">
        <v>50</v>
      </c>
      <c r="AW4110" t="s">
        <v>11189</v>
      </c>
      <c r="AX4110" t="s">
        <v>11212</v>
      </c>
      <c r="BA4110" t="s">
        <v>11222</v>
      </c>
      <c r="BE4110" t="s">
        <v>13932</v>
      </c>
      <c r="BF4110" t="s">
        <v>14364</v>
      </c>
      <c r="BM4110" t="s">
        <v>15650</v>
      </c>
    </row>
    <row r="4111" spans="1:67">
      <c r="A4111" s="1">
        <f>HYPERLINK("https://lsnyc.legalserver.org/matter/dynamic-profile/view/1912091","19-1912091")</f>
        <v>0</v>
      </c>
      <c r="B4111" t="s">
        <v>219</v>
      </c>
      <c r="C4111" t="s">
        <v>246</v>
      </c>
      <c r="D4111" t="s">
        <v>271</v>
      </c>
      <c r="F4111" t="s">
        <v>1814</v>
      </c>
      <c r="G4111" t="s">
        <v>4539</v>
      </c>
      <c r="H4111" t="s">
        <v>6154</v>
      </c>
      <c r="I4111" t="s">
        <v>6412</v>
      </c>
      <c r="J4111" t="s">
        <v>7170</v>
      </c>
      <c r="K4111">
        <v>10452</v>
      </c>
      <c r="N4111" t="s">
        <v>7237</v>
      </c>
      <c r="O4111" t="s">
        <v>9830</v>
      </c>
      <c r="P4111">
        <v>2</v>
      </c>
      <c r="Q4111">
        <v>0</v>
      </c>
      <c r="R4111">
        <v>35.48</v>
      </c>
      <c r="U4111">
        <v>6000</v>
      </c>
      <c r="W4111">
        <v>16.3</v>
      </c>
      <c r="X4111" t="s">
        <v>528</v>
      </c>
      <c r="Y4111" t="s">
        <v>93</v>
      </c>
      <c r="AA4111" t="s">
        <v>10974</v>
      </c>
      <c r="AD4111" t="s">
        <v>11082</v>
      </c>
      <c r="AE4111" t="s">
        <v>11117</v>
      </c>
      <c r="AH4111" t="s">
        <v>10975</v>
      </c>
      <c r="AJ4111" t="s">
        <v>11135</v>
      </c>
      <c r="AK4111" t="s">
        <v>7225</v>
      </c>
      <c r="AM4111">
        <v>1067.92</v>
      </c>
      <c r="AO4111">
        <v>54</v>
      </c>
      <c r="AQ4111" t="s">
        <v>11157</v>
      </c>
      <c r="AS4111" t="s">
        <v>11173</v>
      </c>
      <c r="AU4111">
        <v>20</v>
      </c>
      <c r="AW4111" t="s">
        <v>11187</v>
      </c>
      <c r="AX4111" t="s">
        <v>11212</v>
      </c>
      <c r="AZ4111" t="s">
        <v>11221</v>
      </c>
      <c r="BE4111" t="s">
        <v>13933</v>
      </c>
      <c r="BF4111" t="s">
        <v>14364</v>
      </c>
      <c r="BG4111" t="s">
        <v>15380</v>
      </c>
      <c r="BM4111" t="s">
        <v>15650</v>
      </c>
    </row>
    <row r="4112" spans="1:67">
      <c r="A4112" s="1">
        <f>HYPERLINK("https://lsnyc.legalserver.org/matter/dynamic-profile/view/1894235","19-1894235")</f>
        <v>0</v>
      </c>
      <c r="B4112" t="s">
        <v>219</v>
      </c>
      <c r="C4112" t="s">
        <v>246</v>
      </c>
      <c r="D4112" t="s">
        <v>920</v>
      </c>
      <c r="F4112" t="s">
        <v>1155</v>
      </c>
      <c r="G4112" t="s">
        <v>2998</v>
      </c>
      <c r="H4112" t="s">
        <v>6152</v>
      </c>
      <c r="I4112">
        <v>59</v>
      </c>
      <c r="J4112" t="s">
        <v>7170</v>
      </c>
      <c r="K4112">
        <v>10458</v>
      </c>
      <c r="N4112" t="s">
        <v>7237</v>
      </c>
      <c r="O4112" t="s">
        <v>9827</v>
      </c>
      <c r="P4112">
        <v>2</v>
      </c>
      <c r="Q4112">
        <v>3</v>
      </c>
      <c r="R4112">
        <v>41.52</v>
      </c>
      <c r="U4112">
        <v>12528</v>
      </c>
      <c r="W4112">
        <v>36.3</v>
      </c>
      <c r="X4112" t="s">
        <v>433</v>
      </c>
      <c r="Y4112" t="s">
        <v>216</v>
      </c>
      <c r="AA4112" t="s">
        <v>10974</v>
      </c>
      <c r="AB4112" t="s">
        <v>920</v>
      </c>
      <c r="AD4112" t="s">
        <v>11082</v>
      </c>
      <c r="AF4112" t="s">
        <v>11118</v>
      </c>
      <c r="AH4112" t="s">
        <v>10975</v>
      </c>
      <c r="AJ4112" t="s">
        <v>11129</v>
      </c>
      <c r="AK4112" t="s">
        <v>7225</v>
      </c>
      <c r="AL4112" t="s">
        <v>11150</v>
      </c>
      <c r="AM4112">
        <v>0</v>
      </c>
      <c r="AO4112">
        <v>48</v>
      </c>
      <c r="AQ4112" t="s">
        <v>11157</v>
      </c>
      <c r="AS4112" t="s">
        <v>11176</v>
      </c>
      <c r="AU4112">
        <v>6</v>
      </c>
      <c r="AW4112" t="s">
        <v>11187</v>
      </c>
      <c r="AZ4112" t="s">
        <v>11221</v>
      </c>
      <c r="BC4112" t="s">
        <v>11588</v>
      </c>
      <c r="BE4112" t="s">
        <v>13930</v>
      </c>
      <c r="BF4112" t="s">
        <v>14364</v>
      </c>
      <c r="BM4112" t="s">
        <v>15650</v>
      </c>
    </row>
    <row r="4113" spans="1:65">
      <c r="A4113" s="1">
        <f>HYPERLINK("https://lsnyc.legalserver.org/matter/dynamic-profile/view/1910328","19-1910328")</f>
        <v>0</v>
      </c>
      <c r="B4113" t="s">
        <v>219</v>
      </c>
      <c r="C4113" t="s">
        <v>246</v>
      </c>
      <c r="D4113" t="s">
        <v>443</v>
      </c>
      <c r="F4113" t="s">
        <v>1210</v>
      </c>
      <c r="G4113" t="s">
        <v>3140</v>
      </c>
      <c r="H4113" t="s">
        <v>4989</v>
      </c>
      <c r="I4113" t="s">
        <v>6557</v>
      </c>
      <c r="J4113" t="s">
        <v>7170</v>
      </c>
      <c r="K4113">
        <v>10453</v>
      </c>
      <c r="N4113" t="s">
        <v>7237</v>
      </c>
      <c r="O4113" t="s">
        <v>7583</v>
      </c>
      <c r="P4113">
        <v>2</v>
      </c>
      <c r="Q4113">
        <v>2</v>
      </c>
      <c r="R4113">
        <v>37.93</v>
      </c>
      <c r="U4113">
        <v>9768</v>
      </c>
      <c r="W4113">
        <v>8.4</v>
      </c>
      <c r="X4113" t="s">
        <v>312</v>
      </c>
      <c r="Y4113" t="s">
        <v>216</v>
      </c>
      <c r="AA4113" t="s">
        <v>10974</v>
      </c>
      <c r="AC4113" t="s">
        <v>11081</v>
      </c>
      <c r="AE4113" t="s">
        <v>11117</v>
      </c>
      <c r="AH4113" t="s">
        <v>10975</v>
      </c>
      <c r="AJ4113" t="s">
        <v>11129</v>
      </c>
      <c r="AK4113" t="s">
        <v>7225</v>
      </c>
      <c r="AM4113">
        <v>856.0599999999999</v>
      </c>
      <c r="AN4113" t="s">
        <v>11151</v>
      </c>
      <c r="AO4113" t="s">
        <v>11153</v>
      </c>
      <c r="AQ4113" t="s">
        <v>11157</v>
      </c>
      <c r="AS4113" t="s">
        <v>11173</v>
      </c>
      <c r="AU4113">
        <v>23</v>
      </c>
      <c r="AW4113" t="s">
        <v>11189</v>
      </c>
      <c r="AX4113" t="s">
        <v>11212</v>
      </c>
      <c r="BA4113" t="s">
        <v>11222</v>
      </c>
      <c r="BE4113" t="s">
        <v>11959</v>
      </c>
      <c r="BG4113" t="s">
        <v>15381</v>
      </c>
      <c r="BM4113" t="s">
        <v>15650</v>
      </c>
    </row>
    <row r="4114" spans="1:65">
      <c r="A4114" s="1">
        <f>HYPERLINK("https://lsnyc.legalserver.org/matter/dynamic-profile/view/1913423","19-1913423")</f>
        <v>0</v>
      </c>
      <c r="B4114" t="s">
        <v>219</v>
      </c>
      <c r="C4114" t="s">
        <v>246</v>
      </c>
      <c r="D4114" t="s">
        <v>273</v>
      </c>
      <c r="F4114" t="s">
        <v>2658</v>
      </c>
      <c r="G4114" t="s">
        <v>4540</v>
      </c>
      <c r="H4114" t="s">
        <v>6155</v>
      </c>
      <c r="I4114" t="s">
        <v>6422</v>
      </c>
      <c r="J4114" t="s">
        <v>7170</v>
      </c>
      <c r="K4114">
        <v>10460</v>
      </c>
      <c r="N4114" t="s">
        <v>7237</v>
      </c>
      <c r="O4114" t="s">
        <v>9831</v>
      </c>
      <c r="P4114">
        <v>2</v>
      </c>
      <c r="Q4114">
        <v>0</v>
      </c>
      <c r="R4114">
        <v>106.45</v>
      </c>
      <c r="U4114">
        <v>18000</v>
      </c>
      <c r="W4114">
        <v>0.1</v>
      </c>
      <c r="X4114" t="s">
        <v>272</v>
      </c>
      <c r="Y4114" t="s">
        <v>219</v>
      </c>
      <c r="AA4114" t="s">
        <v>10974</v>
      </c>
      <c r="AD4114" t="s">
        <v>11083</v>
      </c>
      <c r="AF4114" t="s">
        <v>11119</v>
      </c>
      <c r="AG4114" t="s">
        <v>11124</v>
      </c>
      <c r="AJ4114" t="s">
        <v>11131</v>
      </c>
      <c r="AK4114" t="s">
        <v>7225</v>
      </c>
      <c r="AM4114">
        <v>938</v>
      </c>
      <c r="AN4114" t="s">
        <v>11151</v>
      </c>
      <c r="AO4114" t="s">
        <v>11153</v>
      </c>
      <c r="AQ4114" t="s">
        <v>11157</v>
      </c>
      <c r="AR4114" t="s">
        <v>11172</v>
      </c>
      <c r="AU4114">
        <v>19</v>
      </c>
      <c r="AW4114" t="s">
        <v>11187</v>
      </c>
      <c r="AY4114" t="s">
        <v>11213</v>
      </c>
      <c r="BA4114" t="s">
        <v>11222</v>
      </c>
      <c r="BE4114" t="s">
        <v>13934</v>
      </c>
      <c r="BF4114" t="s">
        <v>14364</v>
      </c>
      <c r="BM4114" t="s">
        <v>15650</v>
      </c>
    </row>
    <row r="4115" spans="1:65">
      <c r="A4115" s="1">
        <f>HYPERLINK("https://lsnyc.legalserver.org/matter/dynamic-profile/view/1903947","19-1903947")</f>
        <v>0</v>
      </c>
      <c r="B4115" t="s">
        <v>219</v>
      </c>
      <c r="C4115" t="s">
        <v>246</v>
      </c>
      <c r="D4115" t="s">
        <v>406</v>
      </c>
      <c r="F4115" t="s">
        <v>2656</v>
      </c>
      <c r="G4115" t="s">
        <v>4538</v>
      </c>
      <c r="H4115" t="s">
        <v>5741</v>
      </c>
      <c r="I4115" t="s">
        <v>6585</v>
      </c>
      <c r="J4115" t="s">
        <v>7170</v>
      </c>
      <c r="K4115">
        <v>10452</v>
      </c>
      <c r="N4115" t="s">
        <v>7237</v>
      </c>
      <c r="O4115" t="s">
        <v>9824</v>
      </c>
      <c r="P4115">
        <v>2</v>
      </c>
      <c r="Q4115">
        <v>0</v>
      </c>
      <c r="R4115">
        <v>303.96</v>
      </c>
      <c r="U4115">
        <v>51400</v>
      </c>
      <c r="W4115">
        <v>1.2</v>
      </c>
      <c r="X4115" t="s">
        <v>406</v>
      </c>
      <c r="Y4115" t="s">
        <v>210</v>
      </c>
      <c r="AA4115" t="s">
        <v>10974</v>
      </c>
      <c r="AB4115" t="s">
        <v>10987</v>
      </c>
      <c r="AD4115" t="s">
        <v>11098</v>
      </c>
      <c r="AF4115" t="s">
        <v>11122</v>
      </c>
      <c r="AH4115" t="s">
        <v>10974</v>
      </c>
      <c r="AJ4115" t="s">
        <v>11141</v>
      </c>
      <c r="AK4115" t="s">
        <v>7225</v>
      </c>
      <c r="AM4115">
        <v>1208.34</v>
      </c>
      <c r="AO4115">
        <v>52</v>
      </c>
      <c r="AQ4115" t="s">
        <v>11157</v>
      </c>
      <c r="AS4115" t="s">
        <v>11173</v>
      </c>
      <c r="AU4115">
        <v>20</v>
      </c>
      <c r="AW4115" t="s">
        <v>11187</v>
      </c>
      <c r="BA4115" t="s">
        <v>11222</v>
      </c>
      <c r="BE4115" t="s">
        <v>13926</v>
      </c>
      <c r="BF4115" t="s">
        <v>14364</v>
      </c>
      <c r="BM4115" t="s">
        <v>15650</v>
      </c>
    </row>
    <row r="4116" spans="1:65">
      <c r="A4116" s="1">
        <f>HYPERLINK("https://lsnyc.legalserver.org/matter/dynamic-profile/view/1874267","18-1874267")</f>
        <v>0</v>
      </c>
      <c r="B4116" t="s">
        <v>219</v>
      </c>
      <c r="C4116" t="s">
        <v>246</v>
      </c>
      <c r="D4116" t="s">
        <v>897</v>
      </c>
      <c r="F4116" t="s">
        <v>1093</v>
      </c>
      <c r="G4116" t="s">
        <v>3047</v>
      </c>
      <c r="H4116" t="s">
        <v>6149</v>
      </c>
      <c r="I4116" t="s">
        <v>6584</v>
      </c>
      <c r="J4116" t="s">
        <v>7170</v>
      </c>
      <c r="K4116">
        <v>10451</v>
      </c>
      <c r="N4116" t="s">
        <v>7237</v>
      </c>
      <c r="O4116" t="s">
        <v>8964</v>
      </c>
      <c r="P4116">
        <v>1</v>
      </c>
      <c r="Q4116">
        <v>0</v>
      </c>
      <c r="R4116">
        <v>469.52</v>
      </c>
      <c r="S4116" t="s">
        <v>781</v>
      </c>
      <c r="T4116" t="s">
        <v>10276</v>
      </c>
      <c r="U4116">
        <v>57000</v>
      </c>
      <c r="W4116">
        <v>3.2</v>
      </c>
      <c r="X4116" t="s">
        <v>634</v>
      </c>
      <c r="Y4116" t="s">
        <v>210</v>
      </c>
      <c r="AA4116" t="s">
        <v>10974</v>
      </c>
      <c r="AB4116" t="s">
        <v>897</v>
      </c>
      <c r="AD4116" t="s">
        <v>11100</v>
      </c>
      <c r="AF4116" t="s">
        <v>11120</v>
      </c>
      <c r="AH4116" t="s">
        <v>10974</v>
      </c>
      <c r="AJ4116" t="s">
        <v>11141</v>
      </c>
      <c r="AK4116" t="s">
        <v>7225</v>
      </c>
      <c r="AM4116">
        <v>947</v>
      </c>
      <c r="AO4116">
        <v>81</v>
      </c>
      <c r="AQ4116" t="s">
        <v>11157</v>
      </c>
      <c r="AS4116" t="s">
        <v>11173</v>
      </c>
      <c r="AT4116" t="s">
        <v>11184</v>
      </c>
      <c r="AU4116">
        <v>0</v>
      </c>
      <c r="AW4116" t="s">
        <v>11187</v>
      </c>
      <c r="AZ4116" t="s">
        <v>11221</v>
      </c>
      <c r="BE4116" t="s">
        <v>13935</v>
      </c>
      <c r="BF4116" t="s">
        <v>14364</v>
      </c>
      <c r="BM4116" t="s">
        <v>15650</v>
      </c>
    </row>
    <row r="4117" spans="1:65">
      <c r="A4117" s="1">
        <f>HYPERLINK("https://lsnyc.legalserver.org/matter/dynamic-profile/view/1886148","18-1886148")</f>
        <v>0</v>
      </c>
      <c r="B4117" t="s">
        <v>219</v>
      </c>
      <c r="C4117" t="s">
        <v>246</v>
      </c>
      <c r="D4117" t="s">
        <v>405</v>
      </c>
      <c r="F4117" t="s">
        <v>2659</v>
      </c>
      <c r="G4117" t="s">
        <v>4541</v>
      </c>
      <c r="H4117" t="s">
        <v>6156</v>
      </c>
      <c r="J4117" t="s">
        <v>7170</v>
      </c>
      <c r="K4117">
        <v>10452</v>
      </c>
      <c r="N4117" t="s">
        <v>7237</v>
      </c>
      <c r="O4117" t="s">
        <v>9832</v>
      </c>
      <c r="P4117">
        <v>6</v>
      </c>
      <c r="Q4117">
        <v>4</v>
      </c>
      <c r="R4117">
        <v>151.75</v>
      </c>
      <c r="U4117">
        <v>77420.39999999999</v>
      </c>
      <c r="W4117">
        <v>3.7</v>
      </c>
      <c r="X4117" t="s">
        <v>570</v>
      </c>
      <c r="Y4117" t="s">
        <v>216</v>
      </c>
      <c r="AA4117" t="s">
        <v>10974</v>
      </c>
      <c r="AB4117" t="s">
        <v>484</v>
      </c>
      <c r="AD4117" t="s">
        <v>11098</v>
      </c>
      <c r="AF4117" t="s">
        <v>11122</v>
      </c>
      <c r="AH4117" t="s">
        <v>10975</v>
      </c>
      <c r="AJ4117" t="s">
        <v>11130</v>
      </c>
      <c r="AK4117" t="s">
        <v>7225</v>
      </c>
      <c r="AM4117">
        <v>2287.36</v>
      </c>
      <c r="AO4117">
        <v>37</v>
      </c>
      <c r="AQ4117" t="s">
        <v>11157</v>
      </c>
      <c r="AS4117" t="s">
        <v>11173</v>
      </c>
      <c r="AU4117">
        <v>9</v>
      </c>
      <c r="AW4117" t="s">
        <v>11189</v>
      </c>
      <c r="AZ4117" t="s">
        <v>11221</v>
      </c>
      <c r="BE4117" t="s">
        <v>13936</v>
      </c>
      <c r="BF4117" t="s">
        <v>14364</v>
      </c>
      <c r="BM4117" t="s">
        <v>15650</v>
      </c>
    </row>
    <row r="4118" spans="1:65">
      <c r="A4118" s="1">
        <f>HYPERLINK("https://lsnyc.legalserver.org/matter/dynamic-profile/view/1902015","19-1902015")</f>
        <v>0</v>
      </c>
      <c r="B4118" t="s">
        <v>219</v>
      </c>
      <c r="C4118" t="s">
        <v>246</v>
      </c>
      <c r="D4118" t="s">
        <v>590</v>
      </c>
      <c r="F4118" t="s">
        <v>2660</v>
      </c>
      <c r="G4118" t="s">
        <v>4542</v>
      </c>
      <c r="H4118" t="s">
        <v>5741</v>
      </c>
      <c r="I4118" t="s">
        <v>6449</v>
      </c>
      <c r="J4118" t="s">
        <v>7170</v>
      </c>
      <c r="K4118">
        <v>10452</v>
      </c>
      <c r="N4118" t="s">
        <v>7237</v>
      </c>
      <c r="O4118" t="s">
        <v>9833</v>
      </c>
      <c r="P4118">
        <v>2</v>
      </c>
      <c r="Q4118">
        <v>0</v>
      </c>
      <c r="R4118">
        <v>425.78</v>
      </c>
      <c r="U4118">
        <v>72000</v>
      </c>
      <c r="W4118">
        <v>131.9</v>
      </c>
      <c r="X4118" t="s">
        <v>497</v>
      </c>
      <c r="Y4118" t="s">
        <v>210</v>
      </c>
      <c r="AA4118" t="s">
        <v>10974</v>
      </c>
      <c r="AB4118" t="s">
        <v>10987</v>
      </c>
      <c r="AD4118" t="s">
        <v>11098</v>
      </c>
      <c r="AF4118" t="s">
        <v>11122</v>
      </c>
      <c r="AH4118" t="s">
        <v>10974</v>
      </c>
      <c r="AJ4118" t="s">
        <v>11141</v>
      </c>
      <c r="AK4118" t="s">
        <v>7225</v>
      </c>
      <c r="AM4118">
        <v>1277.74</v>
      </c>
      <c r="AO4118">
        <v>52</v>
      </c>
      <c r="AQ4118" t="s">
        <v>11157</v>
      </c>
      <c r="AS4118" t="s">
        <v>11173</v>
      </c>
      <c r="AU4118">
        <v>20</v>
      </c>
      <c r="AW4118" t="s">
        <v>11187</v>
      </c>
      <c r="BA4118" t="s">
        <v>11222</v>
      </c>
      <c r="BE4118" t="s">
        <v>13937</v>
      </c>
      <c r="BF4118" t="s">
        <v>14364</v>
      </c>
      <c r="BM4118" t="s">
        <v>15650</v>
      </c>
    </row>
    <row r="4119" spans="1:65">
      <c r="A4119" s="1">
        <f>HYPERLINK("https://lsnyc.legalserver.org/matter/dynamic-profile/view/1896425","19-1896425")</f>
        <v>0</v>
      </c>
      <c r="B4119" t="s">
        <v>219</v>
      </c>
      <c r="C4119" t="s">
        <v>246</v>
      </c>
      <c r="D4119" t="s">
        <v>412</v>
      </c>
      <c r="F4119" t="s">
        <v>2661</v>
      </c>
      <c r="G4119" t="s">
        <v>3159</v>
      </c>
      <c r="H4119" t="s">
        <v>6157</v>
      </c>
      <c r="I4119" t="s">
        <v>6407</v>
      </c>
      <c r="J4119" t="s">
        <v>7170</v>
      </c>
      <c r="K4119">
        <v>10459</v>
      </c>
      <c r="N4119" t="s">
        <v>7237</v>
      </c>
      <c r="O4119" t="s">
        <v>9834</v>
      </c>
      <c r="P4119">
        <v>1</v>
      </c>
      <c r="Q4119">
        <v>1</v>
      </c>
      <c r="R4119">
        <v>113.54</v>
      </c>
      <c r="U4119">
        <v>19200</v>
      </c>
      <c r="W4119">
        <v>23.2</v>
      </c>
      <c r="X4119" t="s">
        <v>306</v>
      </c>
      <c r="Y4119" t="s">
        <v>93</v>
      </c>
      <c r="AA4119" t="s">
        <v>10974</v>
      </c>
      <c r="AB4119" t="s">
        <v>412</v>
      </c>
      <c r="AD4119" t="s">
        <v>11082</v>
      </c>
      <c r="AF4119" t="s">
        <v>11118</v>
      </c>
      <c r="AH4119" t="s">
        <v>10975</v>
      </c>
      <c r="AJ4119" t="s">
        <v>11134</v>
      </c>
      <c r="AK4119" t="s">
        <v>7225</v>
      </c>
      <c r="AM4119">
        <v>520</v>
      </c>
      <c r="AO4119">
        <v>48</v>
      </c>
      <c r="AQ4119" t="s">
        <v>11161</v>
      </c>
      <c r="AS4119" t="s">
        <v>11173</v>
      </c>
      <c r="AU4119">
        <v>28</v>
      </c>
      <c r="AW4119" t="s">
        <v>11187</v>
      </c>
      <c r="BA4119" t="s">
        <v>11223</v>
      </c>
      <c r="BC4119" t="s">
        <v>11589</v>
      </c>
      <c r="BE4119" t="s">
        <v>13938</v>
      </c>
      <c r="BF4119" t="s">
        <v>14364</v>
      </c>
      <c r="BG4119" t="s">
        <v>15382</v>
      </c>
      <c r="BM4119" t="s">
        <v>15650</v>
      </c>
    </row>
    <row r="4120" spans="1:65">
      <c r="A4120" s="1">
        <f>HYPERLINK("https://lsnyc.legalserver.org/matter/dynamic-profile/view/1911830","19-1911830")</f>
        <v>0</v>
      </c>
      <c r="B4120" t="s">
        <v>219</v>
      </c>
      <c r="C4120" t="s">
        <v>246</v>
      </c>
      <c r="D4120" t="s">
        <v>345</v>
      </c>
      <c r="F4120" t="s">
        <v>2660</v>
      </c>
      <c r="G4120" t="s">
        <v>4542</v>
      </c>
      <c r="H4120" t="s">
        <v>5741</v>
      </c>
      <c r="I4120" t="s">
        <v>6449</v>
      </c>
      <c r="J4120" t="s">
        <v>7170</v>
      </c>
      <c r="K4120">
        <v>10452</v>
      </c>
      <c r="N4120" t="s">
        <v>7237</v>
      </c>
      <c r="O4120" t="s">
        <v>9833</v>
      </c>
      <c r="P4120">
        <v>2</v>
      </c>
      <c r="Q4120">
        <v>0</v>
      </c>
      <c r="R4120">
        <v>425.78</v>
      </c>
      <c r="U4120">
        <v>72000</v>
      </c>
      <c r="W4120">
        <v>0.4</v>
      </c>
      <c r="X4120" t="s">
        <v>345</v>
      </c>
      <c r="Y4120" t="s">
        <v>210</v>
      </c>
      <c r="AA4120" t="s">
        <v>10974</v>
      </c>
      <c r="AD4120" t="s">
        <v>11098</v>
      </c>
      <c r="AF4120" t="s">
        <v>11122</v>
      </c>
      <c r="AH4120" t="s">
        <v>10974</v>
      </c>
      <c r="AJ4120" t="s">
        <v>11141</v>
      </c>
      <c r="AK4120" t="s">
        <v>7225</v>
      </c>
      <c r="AM4120">
        <v>1277.74</v>
      </c>
      <c r="AO4120">
        <v>52</v>
      </c>
      <c r="AQ4120" t="s">
        <v>11157</v>
      </c>
      <c r="AS4120" t="s">
        <v>11173</v>
      </c>
      <c r="AU4120">
        <v>20</v>
      </c>
      <c r="AW4120" t="s">
        <v>11187</v>
      </c>
      <c r="AX4120" t="s">
        <v>11212</v>
      </c>
      <c r="BA4120" t="s">
        <v>11222</v>
      </c>
      <c r="BE4120" t="s">
        <v>13937</v>
      </c>
      <c r="BF4120" t="s">
        <v>14364</v>
      </c>
      <c r="BM4120" t="s">
        <v>15650</v>
      </c>
    </row>
    <row r="4121" spans="1:65">
      <c r="A4121" s="1">
        <f>HYPERLINK("https://lsnyc.legalserver.org/matter/dynamic-profile/view/1912949","19-1912949")</f>
        <v>0</v>
      </c>
      <c r="B4121" t="s">
        <v>219</v>
      </c>
      <c r="C4121" t="s">
        <v>246</v>
      </c>
      <c r="D4121" t="s">
        <v>305</v>
      </c>
      <c r="F4121" t="s">
        <v>2662</v>
      </c>
      <c r="G4121" t="s">
        <v>3489</v>
      </c>
      <c r="H4121" t="s">
        <v>6158</v>
      </c>
      <c r="I4121" t="s">
        <v>6620</v>
      </c>
      <c r="J4121" t="s">
        <v>7170</v>
      </c>
      <c r="K4121">
        <v>10453</v>
      </c>
      <c r="N4121" t="s">
        <v>7237</v>
      </c>
      <c r="O4121" t="s">
        <v>9835</v>
      </c>
      <c r="P4121">
        <v>2</v>
      </c>
      <c r="Q4121">
        <v>0</v>
      </c>
      <c r="R4121">
        <v>75.72</v>
      </c>
      <c r="U4121">
        <v>12804</v>
      </c>
      <c r="W4121">
        <v>6.3</v>
      </c>
      <c r="X4121" t="s">
        <v>638</v>
      </c>
      <c r="Y4121" t="s">
        <v>219</v>
      </c>
      <c r="AA4121" t="s">
        <v>10974</v>
      </c>
      <c r="AC4121" t="s">
        <v>11081</v>
      </c>
      <c r="AF4121" t="s">
        <v>11118</v>
      </c>
      <c r="AG4121" t="s">
        <v>11124</v>
      </c>
      <c r="AJ4121" t="s">
        <v>11132</v>
      </c>
      <c r="AK4121" t="s">
        <v>7225</v>
      </c>
      <c r="AM4121">
        <v>445</v>
      </c>
      <c r="AN4121" t="s">
        <v>11151</v>
      </c>
      <c r="AO4121" t="s">
        <v>11153</v>
      </c>
      <c r="AQ4121" t="s">
        <v>11161</v>
      </c>
      <c r="AS4121" t="s">
        <v>11174</v>
      </c>
      <c r="AU4121">
        <v>40</v>
      </c>
      <c r="AW4121" t="s">
        <v>11187</v>
      </c>
      <c r="AX4121" t="s">
        <v>11212</v>
      </c>
      <c r="BA4121" t="s">
        <v>11222</v>
      </c>
      <c r="BE4121" t="s">
        <v>13939</v>
      </c>
      <c r="BG4121" t="s">
        <v>15383</v>
      </c>
      <c r="BM4121" t="s">
        <v>15650</v>
      </c>
    </row>
    <row r="4122" spans="1:65">
      <c r="A4122" s="1">
        <f>HYPERLINK("https://lsnyc.legalserver.org/matter/dynamic-profile/view/1904796","19-1904796")</f>
        <v>0</v>
      </c>
      <c r="B4122" t="s">
        <v>219</v>
      </c>
      <c r="C4122" t="s">
        <v>246</v>
      </c>
      <c r="D4122" t="s">
        <v>923</v>
      </c>
      <c r="F4122" t="s">
        <v>1555</v>
      </c>
      <c r="G4122" t="s">
        <v>2981</v>
      </c>
      <c r="H4122" t="s">
        <v>6152</v>
      </c>
      <c r="I4122">
        <v>25</v>
      </c>
      <c r="J4122" t="s">
        <v>7170</v>
      </c>
      <c r="K4122">
        <v>10458</v>
      </c>
      <c r="N4122" t="s">
        <v>7237</v>
      </c>
      <c r="O4122" t="s">
        <v>9216</v>
      </c>
      <c r="P4122">
        <v>1</v>
      </c>
      <c r="Q4122">
        <v>0</v>
      </c>
      <c r="R4122">
        <v>115.29</v>
      </c>
      <c r="U4122">
        <v>14400</v>
      </c>
      <c r="W4122">
        <v>1</v>
      </c>
      <c r="X4122" t="s">
        <v>923</v>
      </c>
      <c r="Y4122" t="s">
        <v>210</v>
      </c>
      <c r="AA4122" t="s">
        <v>10974</v>
      </c>
      <c r="AD4122" t="s">
        <v>11098</v>
      </c>
      <c r="AF4122" t="s">
        <v>11122</v>
      </c>
      <c r="AH4122" t="s">
        <v>10974</v>
      </c>
      <c r="AJ4122" t="s">
        <v>11141</v>
      </c>
      <c r="AK4122" t="s">
        <v>7225</v>
      </c>
      <c r="AM4122">
        <v>1300</v>
      </c>
      <c r="AO4122">
        <v>48</v>
      </c>
      <c r="AQ4122" t="s">
        <v>11157</v>
      </c>
      <c r="AS4122" t="s">
        <v>11104</v>
      </c>
      <c r="AU4122">
        <v>10</v>
      </c>
      <c r="AW4122" t="s">
        <v>11187</v>
      </c>
      <c r="AX4122" t="s">
        <v>11212</v>
      </c>
      <c r="BA4122" t="s">
        <v>11223</v>
      </c>
      <c r="BB4122" t="s">
        <v>11224</v>
      </c>
      <c r="BC4122" t="s">
        <v>11590</v>
      </c>
      <c r="BD4122" t="s">
        <v>11667</v>
      </c>
      <c r="BG4122" t="s">
        <v>15384</v>
      </c>
      <c r="BM4122" t="s">
        <v>15650</v>
      </c>
    </row>
    <row r="4123" spans="1:65">
      <c r="A4123" s="1">
        <f>HYPERLINK("https://lsnyc.legalserver.org/matter/dynamic-profile/view/1893960","19-1893960")</f>
        <v>0</v>
      </c>
      <c r="B4123" t="s">
        <v>219</v>
      </c>
      <c r="C4123" t="s">
        <v>246</v>
      </c>
      <c r="D4123" t="s">
        <v>334</v>
      </c>
      <c r="F4123" t="s">
        <v>1555</v>
      </c>
      <c r="G4123" t="s">
        <v>2981</v>
      </c>
      <c r="H4123" t="s">
        <v>6152</v>
      </c>
      <c r="I4123">
        <v>25</v>
      </c>
      <c r="J4123" t="s">
        <v>7170</v>
      </c>
      <c r="K4123">
        <v>10458</v>
      </c>
      <c r="N4123" t="s">
        <v>7237</v>
      </c>
      <c r="O4123" t="s">
        <v>9216</v>
      </c>
      <c r="P4123">
        <v>1</v>
      </c>
      <c r="Q4123">
        <v>0</v>
      </c>
      <c r="R4123">
        <v>115.29</v>
      </c>
      <c r="U4123">
        <v>14400</v>
      </c>
      <c r="W4123">
        <v>0.7</v>
      </c>
      <c r="X4123" t="s">
        <v>334</v>
      </c>
      <c r="Y4123" t="s">
        <v>210</v>
      </c>
      <c r="AA4123" t="s">
        <v>10974</v>
      </c>
      <c r="AB4123" t="s">
        <v>10979</v>
      </c>
      <c r="AD4123" t="s">
        <v>11090</v>
      </c>
      <c r="AF4123" t="s">
        <v>11119</v>
      </c>
      <c r="AH4123" t="s">
        <v>10974</v>
      </c>
      <c r="AJ4123" t="s">
        <v>11141</v>
      </c>
      <c r="AK4123" t="s">
        <v>7225</v>
      </c>
      <c r="AM4123">
        <v>1300</v>
      </c>
      <c r="AO4123">
        <v>48</v>
      </c>
      <c r="AQ4123" t="s">
        <v>11157</v>
      </c>
      <c r="AS4123" t="s">
        <v>11104</v>
      </c>
      <c r="AU4123">
        <v>10</v>
      </c>
      <c r="AW4123" t="s">
        <v>11187</v>
      </c>
      <c r="BA4123" t="s">
        <v>11223</v>
      </c>
      <c r="BB4123" t="s">
        <v>11224</v>
      </c>
      <c r="BC4123" t="s">
        <v>11590</v>
      </c>
      <c r="BD4123" t="s">
        <v>11667</v>
      </c>
      <c r="BF4123" t="s">
        <v>14364</v>
      </c>
      <c r="BM4123" t="s">
        <v>15650</v>
      </c>
    </row>
    <row r="4124" spans="1:65">
      <c r="A4124" s="1">
        <f>HYPERLINK("https://lsnyc.legalserver.org/matter/dynamic-profile/view/1904504","19-1904504")</f>
        <v>0</v>
      </c>
      <c r="B4124" t="s">
        <v>219</v>
      </c>
      <c r="C4124" t="s">
        <v>246</v>
      </c>
      <c r="D4124" t="s">
        <v>380</v>
      </c>
      <c r="F4124" t="s">
        <v>1904</v>
      </c>
      <c r="G4124" t="s">
        <v>4543</v>
      </c>
      <c r="H4124" t="s">
        <v>6157</v>
      </c>
      <c r="I4124" t="s">
        <v>6410</v>
      </c>
      <c r="J4124" t="s">
        <v>7170</v>
      </c>
      <c r="K4124">
        <v>10459</v>
      </c>
      <c r="N4124" t="s">
        <v>7244</v>
      </c>
      <c r="O4124" t="s">
        <v>9836</v>
      </c>
      <c r="P4124">
        <v>2</v>
      </c>
      <c r="Q4124">
        <v>0</v>
      </c>
      <c r="R4124">
        <v>117.45</v>
      </c>
      <c r="U4124">
        <v>19860</v>
      </c>
      <c r="V4124" t="s">
        <v>10764</v>
      </c>
      <c r="W4124">
        <v>5.1</v>
      </c>
      <c r="X4124" t="s">
        <v>434</v>
      </c>
      <c r="Y4124" t="s">
        <v>219</v>
      </c>
      <c r="AA4124" t="s">
        <v>10974</v>
      </c>
      <c r="AD4124" t="s">
        <v>11100</v>
      </c>
      <c r="AF4124" t="s">
        <v>11120</v>
      </c>
      <c r="AH4124" t="s">
        <v>10974</v>
      </c>
      <c r="AJ4124" t="s">
        <v>11132</v>
      </c>
      <c r="AK4124" t="s">
        <v>7225</v>
      </c>
      <c r="AM4124">
        <v>466</v>
      </c>
      <c r="AO4124">
        <v>50</v>
      </c>
      <c r="AQ4124" t="s">
        <v>11157</v>
      </c>
      <c r="AS4124" t="s">
        <v>11104</v>
      </c>
      <c r="AU4124">
        <v>1</v>
      </c>
      <c r="AW4124" t="s">
        <v>11187</v>
      </c>
      <c r="AX4124" t="s">
        <v>11212</v>
      </c>
      <c r="BA4124" t="s">
        <v>11222</v>
      </c>
      <c r="BE4124" t="s">
        <v>13940</v>
      </c>
      <c r="BF4124" t="s">
        <v>14364</v>
      </c>
      <c r="BM4124" t="s">
        <v>15650</v>
      </c>
    </row>
    <row r="4125" spans="1:65">
      <c r="A4125" s="1">
        <f>HYPERLINK("https://lsnyc.legalserver.org/matter/dynamic-profile/view/1913321","19-1913321")</f>
        <v>0</v>
      </c>
      <c r="B4125" t="s">
        <v>219</v>
      </c>
      <c r="C4125" t="s">
        <v>246</v>
      </c>
      <c r="D4125" t="s">
        <v>273</v>
      </c>
      <c r="F4125" t="s">
        <v>1936</v>
      </c>
      <c r="G4125" t="s">
        <v>4544</v>
      </c>
      <c r="H4125" t="s">
        <v>6159</v>
      </c>
      <c r="I4125" t="s">
        <v>6507</v>
      </c>
      <c r="J4125" t="s">
        <v>7170</v>
      </c>
      <c r="K4125">
        <v>10453</v>
      </c>
      <c r="N4125" t="s">
        <v>7237</v>
      </c>
      <c r="O4125" t="s">
        <v>9837</v>
      </c>
      <c r="P4125">
        <v>1</v>
      </c>
      <c r="Q4125">
        <v>0</v>
      </c>
      <c r="R4125">
        <v>74.08</v>
      </c>
      <c r="U4125">
        <v>9252</v>
      </c>
      <c r="W4125">
        <v>0.1</v>
      </c>
      <c r="X4125" t="s">
        <v>272</v>
      </c>
      <c r="Y4125" t="s">
        <v>219</v>
      </c>
      <c r="AA4125" t="s">
        <v>10974</v>
      </c>
      <c r="AD4125" t="s">
        <v>11082</v>
      </c>
      <c r="AF4125" t="s">
        <v>11119</v>
      </c>
      <c r="AH4125" t="s">
        <v>10975</v>
      </c>
      <c r="AJ4125" t="s">
        <v>11129</v>
      </c>
      <c r="AK4125" t="s">
        <v>7225</v>
      </c>
      <c r="AM4125">
        <v>895.88</v>
      </c>
      <c r="AN4125" t="s">
        <v>11151</v>
      </c>
      <c r="AO4125" t="s">
        <v>11153</v>
      </c>
      <c r="AQ4125" t="s">
        <v>11157</v>
      </c>
      <c r="AR4125" t="s">
        <v>11172</v>
      </c>
      <c r="AU4125">
        <v>29</v>
      </c>
      <c r="AW4125" t="s">
        <v>11187</v>
      </c>
      <c r="AY4125" t="s">
        <v>11213</v>
      </c>
      <c r="BA4125" t="s">
        <v>11222</v>
      </c>
      <c r="BE4125" t="s">
        <v>13941</v>
      </c>
      <c r="BG4125" t="s">
        <v>15385</v>
      </c>
      <c r="BM4125" t="s">
        <v>15650</v>
      </c>
    </row>
    <row r="4126" spans="1:65">
      <c r="A4126" s="1">
        <f>HYPERLINK("https://lsnyc.legalserver.org/matter/dynamic-profile/view/1888931","19-1888931")</f>
        <v>0</v>
      </c>
      <c r="B4126" t="s">
        <v>219</v>
      </c>
      <c r="C4126" t="s">
        <v>246</v>
      </c>
      <c r="D4126" t="s">
        <v>593</v>
      </c>
      <c r="E4126" t="s">
        <v>293</v>
      </c>
      <c r="F4126" t="s">
        <v>2264</v>
      </c>
      <c r="G4126" t="s">
        <v>4074</v>
      </c>
      <c r="H4126" t="s">
        <v>5724</v>
      </c>
      <c r="I4126" t="s">
        <v>6913</v>
      </c>
      <c r="J4126" t="s">
        <v>7170</v>
      </c>
      <c r="K4126">
        <v>10452</v>
      </c>
      <c r="L4126" t="s">
        <v>7219</v>
      </c>
      <c r="N4126" t="s">
        <v>7237</v>
      </c>
      <c r="O4126" t="s">
        <v>9071</v>
      </c>
      <c r="P4126">
        <v>1</v>
      </c>
      <c r="Q4126">
        <v>1</v>
      </c>
      <c r="R4126">
        <v>71.59999999999999</v>
      </c>
      <c r="U4126">
        <v>12108</v>
      </c>
      <c r="W4126">
        <v>22.8</v>
      </c>
      <c r="X4126" t="s">
        <v>293</v>
      </c>
      <c r="Y4126" t="s">
        <v>216</v>
      </c>
      <c r="AA4126" t="s">
        <v>10974</v>
      </c>
      <c r="AB4126" t="s">
        <v>593</v>
      </c>
      <c r="AD4126" t="s">
        <v>11082</v>
      </c>
      <c r="AF4126" t="s">
        <v>11118</v>
      </c>
      <c r="AH4126" t="s">
        <v>10974</v>
      </c>
      <c r="AJ4126" t="s">
        <v>11141</v>
      </c>
      <c r="AK4126" t="s">
        <v>7225</v>
      </c>
      <c r="AM4126">
        <v>1078.15</v>
      </c>
      <c r="AO4126">
        <v>59</v>
      </c>
      <c r="AQ4126" t="s">
        <v>11157</v>
      </c>
      <c r="AS4126" t="s">
        <v>11173</v>
      </c>
      <c r="AU4126">
        <v>30</v>
      </c>
      <c r="AW4126" t="s">
        <v>11187</v>
      </c>
      <c r="AY4126" t="s">
        <v>11216</v>
      </c>
      <c r="BA4126" t="s">
        <v>11222</v>
      </c>
      <c r="BE4126" t="s">
        <v>13303</v>
      </c>
      <c r="BG4126" t="s">
        <v>15386</v>
      </c>
      <c r="BH4126" t="s">
        <v>15605</v>
      </c>
      <c r="BJ4126" t="s">
        <v>15615</v>
      </c>
      <c r="BL4126" t="s">
        <v>15648</v>
      </c>
      <c r="BM4126" t="s">
        <v>15651</v>
      </c>
    </row>
    <row r="4127" spans="1:65">
      <c r="A4127" s="1">
        <f>HYPERLINK("https://lsnyc.legalserver.org/matter/dynamic-profile/view/1902114","19-1902114")</f>
        <v>0</v>
      </c>
      <c r="B4127" t="s">
        <v>219</v>
      </c>
      <c r="C4127" t="s">
        <v>246</v>
      </c>
      <c r="D4127" t="s">
        <v>590</v>
      </c>
      <c r="F4127" t="s">
        <v>2443</v>
      </c>
      <c r="G4127" t="s">
        <v>4545</v>
      </c>
      <c r="H4127" t="s">
        <v>6160</v>
      </c>
      <c r="I4127" t="s">
        <v>6433</v>
      </c>
      <c r="J4127" t="s">
        <v>7170</v>
      </c>
      <c r="K4127">
        <v>10452</v>
      </c>
      <c r="N4127" t="s">
        <v>7237</v>
      </c>
      <c r="O4127" t="s">
        <v>9838</v>
      </c>
      <c r="P4127">
        <v>2</v>
      </c>
      <c r="Q4127">
        <v>0</v>
      </c>
      <c r="R4127">
        <v>413.96</v>
      </c>
      <c r="U4127">
        <v>70000</v>
      </c>
      <c r="W4127">
        <v>1.2</v>
      </c>
      <c r="X4127" t="s">
        <v>590</v>
      </c>
      <c r="Y4127" t="s">
        <v>210</v>
      </c>
      <c r="AA4127" t="s">
        <v>10974</v>
      </c>
      <c r="AB4127" t="s">
        <v>10987</v>
      </c>
      <c r="AD4127" t="s">
        <v>11098</v>
      </c>
      <c r="AF4127" t="s">
        <v>11122</v>
      </c>
      <c r="AH4127" t="s">
        <v>10974</v>
      </c>
      <c r="AJ4127" t="s">
        <v>11141</v>
      </c>
      <c r="AK4127" t="s">
        <v>7225</v>
      </c>
      <c r="AM4127">
        <v>1370</v>
      </c>
      <c r="AO4127">
        <v>52</v>
      </c>
      <c r="AQ4127" t="s">
        <v>11157</v>
      </c>
      <c r="AS4127" t="s">
        <v>11173</v>
      </c>
      <c r="AU4127">
        <v>15</v>
      </c>
      <c r="AW4127" t="s">
        <v>11187</v>
      </c>
      <c r="AY4127" t="s">
        <v>11213</v>
      </c>
      <c r="BA4127" t="s">
        <v>11222</v>
      </c>
      <c r="BE4127" t="s">
        <v>13942</v>
      </c>
      <c r="BF4127" t="s">
        <v>14364</v>
      </c>
      <c r="BM4127" t="s">
        <v>15650</v>
      </c>
    </row>
    <row r="4128" spans="1:65">
      <c r="A4128" s="1">
        <f>HYPERLINK("https://lsnyc.legalserver.org/matter/dynamic-profile/view/1885507","18-1885507")</f>
        <v>0</v>
      </c>
      <c r="B4128" t="s">
        <v>219</v>
      </c>
      <c r="C4128" t="s">
        <v>246</v>
      </c>
      <c r="D4128" t="s">
        <v>946</v>
      </c>
      <c r="F4128" t="s">
        <v>1405</v>
      </c>
      <c r="G4128" t="s">
        <v>4245</v>
      </c>
      <c r="H4128" t="s">
        <v>5917</v>
      </c>
      <c r="I4128" t="s">
        <v>7101</v>
      </c>
      <c r="J4128" t="s">
        <v>7170</v>
      </c>
      <c r="K4128">
        <v>10452</v>
      </c>
      <c r="N4128" t="s">
        <v>7237</v>
      </c>
      <c r="O4128" t="s">
        <v>9839</v>
      </c>
      <c r="P4128">
        <v>1</v>
      </c>
      <c r="Q4128">
        <v>0</v>
      </c>
      <c r="R4128">
        <v>81.05</v>
      </c>
      <c r="U4128">
        <v>9840</v>
      </c>
      <c r="W4128">
        <v>29.1</v>
      </c>
      <c r="X4128" t="s">
        <v>505</v>
      </c>
      <c r="Y4128" t="s">
        <v>216</v>
      </c>
      <c r="AA4128" t="s">
        <v>10974</v>
      </c>
      <c r="AB4128" t="s">
        <v>296</v>
      </c>
      <c r="AD4128" t="s">
        <v>11101</v>
      </c>
      <c r="AF4128" t="s">
        <v>11118</v>
      </c>
      <c r="AH4128" t="s">
        <v>10974</v>
      </c>
      <c r="AJ4128" t="s">
        <v>11129</v>
      </c>
      <c r="AK4128" t="s">
        <v>7225</v>
      </c>
      <c r="AM4128">
        <v>1063</v>
      </c>
      <c r="AO4128">
        <v>63</v>
      </c>
      <c r="AQ4128" t="s">
        <v>11157</v>
      </c>
      <c r="AS4128" t="s">
        <v>11181</v>
      </c>
      <c r="AU4128">
        <v>22</v>
      </c>
      <c r="AW4128" t="s">
        <v>11189</v>
      </c>
      <c r="AZ4128" t="s">
        <v>11221</v>
      </c>
      <c r="BE4128" t="s">
        <v>13943</v>
      </c>
      <c r="BG4128" t="s">
        <v>15387</v>
      </c>
      <c r="BM4128" t="s">
        <v>15650</v>
      </c>
    </row>
    <row r="4129" spans="1:65">
      <c r="A4129" s="1">
        <f>HYPERLINK("https://lsnyc.legalserver.org/matter/dynamic-profile/view/1908975","19-1908975")</f>
        <v>0</v>
      </c>
      <c r="B4129" t="s">
        <v>219</v>
      </c>
      <c r="C4129" t="s">
        <v>246</v>
      </c>
      <c r="D4129" t="s">
        <v>420</v>
      </c>
      <c r="F4129" t="s">
        <v>1270</v>
      </c>
      <c r="G4129" t="s">
        <v>3798</v>
      </c>
      <c r="H4129" t="s">
        <v>6161</v>
      </c>
      <c r="I4129" t="s">
        <v>6403</v>
      </c>
      <c r="J4129" t="s">
        <v>7170</v>
      </c>
      <c r="K4129">
        <v>10459</v>
      </c>
      <c r="N4129" t="s">
        <v>7237</v>
      </c>
      <c r="O4129" t="s">
        <v>9840</v>
      </c>
      <c r="P4129">
        <v>2</v>
      </c>
      <c r="Q4129">
        <v>0</v>
      </c>
      <c r="R4129">
        <v>124.19</v>
      </c>
      <c r="U4129">
        <v>21000</v>
      </c>
      <c r="W4129">
        <v>2.4</v>
      </c>
      <c r="X4129" t="s">
        <v>548</v>
      </c>
      <c r="Y4129" t="s">
        <v>82</v>
      </c>
      <c r="AA4129" t="s">
        <v>10974</v>
      </c>
      <c r="AD4129" t="s">
        <v>11086</v>
      </c>
      <c r="AF4129" t="s">
        <v>11119</v>
      </c>
      <c r="AH4129" t="s">
        <v>10975</v>
      </c>
      <c r="AJ4129" t="s">
        <v>11141</v>
      </c>
      <c r="AK4129" t="s">
        <v>7225</v>
      </c>
      <c r="AM4129">
        <v>441</v>
      </c>
      <c r="AO4129">
        <v>39</v>
      </c>
      <c r="AQ4129" t="s">
        <v>11162</v>
      </c>
      <c r="AS4129" t="s">
        <v>11179</v>
      </c>
      <c r="AU4129">
        <v>14</v>
      </c>
      <c r="AW4129" t="s">
        <v>11187</v>
      </c>
      <c r="AX4129" t="s">
        <v>11212</v>
      </c>
      <c r="BA4129" t="s">
        <v>11222</v>
      </c>
      <c r="BE4129" t="s">
        <v>13944</v>
      </c>
      <c r="BF4129" t="s">
        <v>14364</v>
      </c>
      <c r="BM4129" t="s">
        <v>15650</v>
      </c>
    </row>
    <row r="4130" spans="1:65">
      <c r="A4130" s="1">
        <f>HYPERLINK("https://lsnyc.legalserver.org/matter/dynamic-profile/view/1880947","18-1880947")</f>
        <v>0</v>
      </c>
      <c r="B4130" t="s">
        <v>219</v>
      </c>
      <c r="C4130" t="s">
        <v>246</v>
      </c>
      <c r="D4130" t="s">
        <v>531</v>
      </c>
      <c r="F4130" t="s">
        <v>1150</v>
      </c>
      <c r="G4130" t="s">
        <v>3931</v>
      </c>
      <c r="H4130" t="s">
        <v>6162</v>
      </c>
      <c r="I4130" t="s">
        <v>6485</v>
      </c>
      <c r="J4130" t="s">
        <v>7170</v>
      </c>
      <c r="K4130">
        <v>10452</v>
      </c>
      <c r="N4130" t="s">
        <v>7237</v>
      </c>
      <c r="O4130" t="s">
        <v>9841</v>
      </c>
      <c r="P4130">
        <v>1</v>
      </c>
      <c r="Q4130">
        <v>0</v>
      </c>
      <c r="R4130">
        <v>126.52</v>
      </c>
      <c r="U4130">
        <v>15360</v>
      </c>
      <c r="W4130">
        <v>40.2</v>
      </c>
      <c r="X4130" t="s">
        <v>434</v>
      </c>
      <c r="Y4130" t="s">
        <v>216</v>
      </c>
      <c r="AA4130" t="s">
        <v>10974</v>
      </c>
      <c r="AB4130" t="s">
        <v>11004</v>
      </c>
      <c r="AD4130" t="s">
        <v>11083</v>
      </c>
      <c r="AF4130" t="s">
        <v>11118</v>
      </c>
      <c r="AH4130" t="s">
        <v>10975</v>
      </c>
      <c r="AJ4130" t="s">
        <v>11141</v>
      </c>
      <c r="AK4130" t="s">
        <v>7225</v>
      </c>
      <c r="AM4130">
        <v>1175</v>
      </c>
      <c r="AO4130">
        <v>67</v>
      </c>
      <c r="AQ4130" t="s">
        <v>11157</v>
      </c>
      <c r="AS4130" t="s">
        <v>11173</v>
      </c>
      <c r="AU4130">
        <v>3</v>
      </c>
      <c r="AW4130" t="s">
        <v>11187</v>
      </c>
      <c r="AY4130" t="s">
        <v>11213</v>
      </c>
      <c r="AZ4130" t="s">
        <v>11221</v>
      </c>
      <c r="BE4130" t="s">
        <v>13945</v>
      </c>
      <c r="BF4130" t="s">
        <v>14364</v>
      </c>
      <c r="BM4130" t="s">
        <v>15650</v>
      </c>
    </row>
    <row r="4131" spans="1:65">
      <c r="A4131" s="1">
        <f>HYPERLINK("https://lsnyc.legalserver.org/matter/dynamic-profile/view/1887246","19-1887246")</f>
        <v>0</v>
      </c>
      <c r="B4131" t="s">
        <v>219</v>
      </c>
      <c r="C4131" t="s">
        <v>246</v>
      </c>
      <c r="D4131" t="s">
        <v>495</v>
      </c>
      <c r="F4131" t="s">
        <v>2663</v>
      </c>
      <c r="G4131" t="s">
        <v>3047</v>
      </c>
      <c r="H4131" t="s">
        <v>6163</v>
      </c>
      <c r="I4131" t="s">
        <v>6468</v>
      </c>
      <c r="J4131" t="s">
        <v>7170</v>
      </c>
      <c r="K4131">
        <v>10457</v>
      </c>
      <c r="N4131" t="s">
        <v>7237</v>
      </c>
      <c r="O4131" t="s">
        <v>9842</v>
      </c>
      <c r="P4131">
        <v>1</v>
      </c>
      <c r="Q4131">
        <v>1</v>
      </c>
      <c r="R4131">
        <v>126.97</v>
      </c>
      <c r="U4131">
        <v>20900</v>
      </c>
      <c r="W4131">
        <v>21.2</v>
      </c>
      <c r="X4131" t="s">
        <v>515</v>
      </c>
      <c r="Y4131" t="s">
        <v>10886</v>
      </c>
      <c r="AA4131" t="s">
        <v>10974</v>
      </c>
      <c r="AB4131" t="s">
        <v>495</v>
      </c>
      <c r="AD4131" t="s">
        <v>11082</v>
      </c>
      <c r="AF4131" t="s">
        <v>11118</v>
      </c>
      <c r="AH4131" t="s">
        <v>10975</v>
      </c>
      <c r="AJ4131" t="s">
        <v>11135</v>
      </c>
      <c r="AK4131" t="s">
        <v>7225</v>
      </c>
      <c r="AM4131">
        <v>911.65</v>
      </c>
      <c r="AN4131" t="s">
        <v>11151</v>
      </c>
      <c r="AO4131" t="s">
        <v>11153</v>
      </c>
      <c r="AQ4131" t="s">
        <v>11157</v>
      </c>
      <c r="AS4131" t="s">
        <v>11173</v>
      </c>
      <c r="AU4131">
        <v>25</v>
      </c>
      <c r="AW4131" t="s">
        <v>11187</v>
      </c>
      <c r="AZ4131" t="s">
        <v>11221</v>
      </c>
      <c r="BC4131" t="s">
        <v>11591</v>
      </c>
      <c r="BE4131" t="s">
        <v>13946</v>
      </c>
      <c r="BG4131" t="s">
        <v>15388</v>
      </c>
      <c r="BM4131" t="s">
        <v>15650</v>
      </c>
    </row>
    <row r="4132" spans="1:65">
      <c r="A4132" s="1">
        <f>HYPERLINK("https://lsnyc.legalserver.org/matter/dynamic-profile/view/1883104","18-1883104")</f>
        <v>0</v>
      </c>
      <c r="B4132" t="s">
        <v>219</v>
      </c>
      <c r="C4132" t="s">
        <v>246</v>
      </c>
      <c r="D4132" t="s">
        <v>616</v>
      </c>
      <c r="F4132" t="s">
        <v>1244</v>
      </c>
      <c r="G4132" t="s">
        <v>4102</v>
      </c>
      <c r="H4132" t="s">
        <v>6164</v>
      </c>
      <c r="I4132" t="s">
        <v>6466</v>
      </c>
      <c r="J4132" t="s">
        <v>7170</v>
      </c>
      <c r="K4132">
        <v>10455</v>
      </c>
      <c r="N4132" t="s">
        <v>7237</v>
      </c>
      <c r="O4132" t="s">
        <v>9843</v>
      </c>
      <c r="P4132">
        <v>1</v>
      </c>
      <c r="Q4132">
        <v>1</v>
      </c>
      <c r="R4132">
        <v>110.57</v>
      </c>
      <c r="U4132">
        <v>18200</v>
      </c>
      <c r="W4132">
        <v>25.1</v>
      </c>
      <c r="X4132" t="s">
        <v>435</v>
      </c>
      <c r="Y4132" t="s">
        <v>216</v>
      </c>
      <c r="AA4132" t="s">
        <v>10974</v>
      </c>
      <c r="AB4132" t="s">
        <v>616</v>
      </c>
      <c r="AD4132" t="s">
        <v>11082</v>
      </c>
      <c r="AF4132" t="s">
        <v>11118</v>
      </c>
      <c r="AH4132" t="s">
        <v>10975</v>
      </c>
      <c r="AJ4132" t="s">
        <v>11104</v>
      </c>
      <c r="AK4132" t="s">
        <v>7225</v>
      </c>
      <c r="AM4132">
        <v>1360</v>
      </c>
      <c r="AO4132">
        <v>16</v>
      </c>
      <c r="AQ4132" t="s">
        <v>11164</v>
      </c>
      <c r="AS4132" t="s">
        <v>11173</v>
      </c>
      <c r="AU4132">
        <v>2</v>
      </c>
      <c r="AW4132" t="s">
        <v>11189</v>
      </c>
      <c r="AZ4132" t="s">
        <v>11221</v>
      </c>
      <c r="BC4132" t="s">
        <v>11592</v>
      </c>
      <c r="BD4132" t="s">
        <v>11667</v>
      </c>
      <c r="BG4132" t="s">
        <v>15389</v>
      </c>
      <c r="BM4132" t="s">
        <v>15650</v>
      </c>
    </row>
    <row r="4133" spans="1:65">
      <c r="A4133" s="1">
        <f>HYPERLINK("https://lsnyc.legalserver.org/matter/dynamic-profile/view/1894948","19-1894948")</f>
        <v>0</v>
      </c>
      <c r="B4133" t="s">
        <v>219</v>
      </c>
      <c r="C4133" t="s">
        <v>246</v>
      </c>
      <c r="D4133" t="s">
        <v>521</v>
      </c>
      <c r="F4133" t="s">
        <v>1632</v>
      </c>
      <c r="G4133" t="s">
        <v>4546</v>
      </c>
      <c r="H4133" t="s">
        <v>6165</v>
      </c>
      <c r="I4133">
        <v>1</v>
      </c>
      <c r="J4133" t="s">
        <v>7170</v>
      </c>
      <c r="K4133">
        <v>10459</v>
      </c>
      <c r="N4133" t="s">
        <v>7237</v>
      </c>
      <c r="O4133" t="s">
        <v>9844</v>
      </c>
      <c r="P4133">
        <v>2</v>
      </c>
      <c r="Q4133">
        <v>1</v>
      </c>
      <c r="R4133">
        <v>68.75</v>
      </c>
      <c r="U4133">
        <v>14664</v>
      </c>
      <c r="V4133" t="s">
        <v>10765</v>
      </c>
      <c r="W4133">
        <v>16.8</v>
      </c>
      <c r="X4133" t="s">
        <v>272</v>
      </c>
      <c r="Y4133" t="s">
        <v>93</v>
      </c>
      <c r="AA4133" t="s">
        <v>10974</v>
      </c>
      <c r="AB4133" t="s">
        <v>521</v>
      </c>
      <c r="AD4133" t="s">
        <v>11082</v>
      </c>
      <c r="AF4133" t="s">
        <v>11118</v>
      </c>
      <c r="AH4133" t="s">
        <v>10975</v>
      </c>
      <c r="AJ4133" t="s">
        <v>11138</v>
      </c>
      <c r="AK4133" t="s">
        <v>7225</v>
      </c>
      <c r="AM4133">
        <v>1545</v>
      </c>
      <c r="AN4133" t="s">
        <v>11151</v>
      </c>
      <c r="AO4133" t="s">
        <v>11153</v>
      </c>
      <c r="AQ4133" t="s">
        <v>11164</v>
      </c>
      <c r="AS4133" t="s">
        <v>11178</v>
      </c>
      <c r="AU4133">
        <v>3</v>
      </c>
      <c r="AW4133" t="s">
        <v>11187</v>
      </c>
      <c r="BA4133" t="s">
        <v>11223</v>
      </c>
      <c r="BC4133" t="s">
        <v>11593</v>
      </c>
      <c r="BE4133" t="s">
        <v>13947</v>
      </c>
      <c r="BG4133" t="s">
        <v>15390</v>
      </c>
      <c r="BM4133" t="s">
        <v>15650</v>
      </c>
    </row>
    <row r="4134" spans="1:65">
      <c r="A4134" s="1">
        <f>HYPERLINK("https://lsnyc.legalserver.org/matter/dynamic-profile/view/1913384","19-1913384")</f>
        <v>0</v>
      </c>
      <c r="B4134" t="s">
        <v>219</v>
      </c>
      <c r="C4134" t="s">
        <v>246</v>
      </c>
      <c r="D4134" t="s">
        <v>273</v>
      </c>
      <c r="F4134" t="s">
        <v>1122</v>
      </c>
      <c r="G4134" t="s">
        <v>2956</v>
      </c>
      <c r="H4134" t="s">
        <v>4989</v>
      </c>
      <c r="I4134" t="s">
        <v>6594</v>
      </c>
      <c r="J4134" t="s">
        <v>7170</v>
      </c>
      <c r="K4134">
        <v>10453</v>
      </c>
      <c r="N4134" t="s">
        <v>7237</v>
      </c>
      <c r="O4134" t="s">
        <v>8996</v>
      </c>
      <c r="P4134">
        <v>2</v>
      </c>
      <c r="Q4134">
        <v>1</v>
      </c>
      <c r="R4134">
        <v>67.04000000000001</v>
      </c>
      <c r="U4134">
        <v>14300</v>
      </c>
      <c r="W4134">
        <v>0.1</v>
      </c>
      <c r="X4134" t="s">
        <v>272</v>
      </c>
      <c r="Y4134" t="s">
        <v>219</v>
      </c>
      <c r="AA4134" t="s">
        <v>10974</v>
      </c>
      <c r="AC4134" t="s">
        <v>11081</v>
      </c>
      <c r="AF4134" t="s">
        <v>11119</v>
      </c>
      <c r="AH4134" t="s">
        <v>10975</v>
      </c>
      <c r="AJ4134" t="s">
        <v>11134</v>
      </c>
      <c r="AK4134" t="s">
        <v>7225</v>
      </c>
      <c r="AM4134">
        <v>750.73</v>
      </c>
      <c r="AN4134" t="s">
        <v>11151</v>
      </c>
      <c r="AO4134" t="s">
        <v>11153</v>
      </c>
      <c r="AQ4134" t="s">
        <v>11157</v>
      </c>
      <c r="AS4134" t="s">
        <v>11174</v>
      </c>
      <c r="AU4134">
        <v>2</v>
      </c>
      <c r="AW4134" t="s">
        <v>11187</v>
      </c>
      <c r="AY4134" t="s">
        <v>11213</v>
      </c>
      <c r="BA4134" t="s">
        <v>11222</v>
      </c>
      <c r="BE4134" t="s">
        <v>13948</v>
      </c>
      <c r="BF4134" t="s">
        <v>14364</v>
      </c>
      <c r="BM4134" t="s">
        <v>15650</v>
      </c>
    </row>
    <row r="4135" spans="1:65">
      <c r="A4135" s="1">
        <f>HYPERLINK("https://lsnyc.legalserver.org/matter/dynamic-profile/view/1886203","18-1886203")</f>
        <v>0</v>
      </c>
      <c r="B4135" t="s">
        <v>219</v>
      </c>
      <c r="C4135" t="s">
        <v>246</v>
      </c>
      <c r="D4135" t="s">
        <v>678</v>
      </c>
      <c r="F4135" t="s">
        <v>2664</v>
      </c>
      <c r="G4135" t="s">
        <v>4547</v>
      </c>
      <c r="H4135" t="s">
        <v>6157</v>
      </c>
      <c r="I4135" t="s">
        <v>6628</v>
      </c>
      <c r="J4135" t="s">
        <v>7170</v>
      </c>
      <c r="K4135">
        <v>10459</v>
      </c>
      <c r="N4135" t="s">
        <v>7237</v>
      </c>
      <c r="O4135" t="s">
        <v>9845</v>
      </c>
      <c r="P4135">
        <v>2</v>
      </c>
      <c r="Q4135">
        <v>2</v>
      </c>
      <c r="R4135">
        <v>66.93000000000001</v>
      </c>
      <c r="U4135">
        <v>16800</v>
      </c>
      <c r="W4135">
        <v>70.59999999999999</v>
      </c>
      <c r="X4135" t="s">
        <v>436</v>
      </c>
      <c r="Y4135" t="s">
        <v>216</v>
      </c>
      <c r="AA4135" t="s">
        <v>10974</v>
      </c>
      <c r="AB4135" t="s">
        <v>678</v>
      </c>
      <c r="AD4135" t="s">
        <v>11082</v>
      </c>
      <c r="AF4135" t="s">
        <v>11118</v>
      </c>
      <c r="AH4135" t="s">
        <v>10975</v>
      </c>
      <c r="AJ4135" t="s">
        <v>11141</v>
      </c>
      <c r="AK4135" t="s">
        <v>7225</v>
      </c>
      <c r="AM4135">
        <v>1442</v>
      </c>
      <c r="AO4135">
        <v>42</v>
      </c>
      <c r="AQ4135" t="s">
        <v>11162</v>
      </c>
      <c r="AS4135" t="s">
        <v>11179</v>
      </c>
      <c r="AU4135">
        <v>23</v>
      </c>
      <c r="AW4135" t="s">
        <v>11187</v>
      </c>
      <c r="AZ4135" t="s">
        <v>11221</v>
      </c>
      <c r="BC4135" t="s">
        <v>11594</v>
      </c>
      <c r="BE4135" t="s">
        <v>13949</v>
      </c>
      <c r="BG4135" t="s">
        <v>15391</v>
      </c>
      <c r="BM4135" t="s">
        <v>15650</v>
      </c>
    </row>
    <row r="4136" spans="1:65">
      <c r="A4136" s="1">
        <f>HYPERLINK("https://lsnyc.legalserver.org/matter/dynamic-profile/view/1904509","19-1904509")</f>
        <v>0</v>
      </c>
      <c r="B4136" t="s">
        <v>219</v>
      </c>
      <c r="C4136" t="s">
        <v>246</v>
      </c>
      <c r="D4136" t="s">
        <v>380</v>
      </c>
      <c r="F4136" t="s">
        <v>2664</v>
      </c>
      <c r="G4136" t="s">
        <v>4547</v>
      </c>
      <c r="H4136" t="s">
        <v>6157</v>
      </c>
      <c r="I4136" t="s">
        <v>6628</v>
      </c>
      <c r="J4136" t="s">
        <v>7170</v>
      </c>
      <c r="K4136">
        <v>10459</v>
      </c>
      <c r="N4136" t="s">
        <v>7237</v>
      </c>
      <c r="O4136" t="s">
        <v>9845</v>
      </c>
      <c r="P4136">
        <v>2</v>
      </c>
      <c r="Q4136">
        <v>2</v>
      </c>
      <c r="R4136">
        <v>65.23999999999999</v>
      </c>
      <c r="U4136">
        <v>16800</v>
      </c>
      <c r="W4136">
        <v>4.4</v>
      </c>
      <c r="X4136" t="s">
        <v>433</v>
      </c>
      <c r="Y4136" t="s">
        <v>219</v>
      </c>
      <c r="AA4136" t="s">
        <v>10974</v>
      </c>
      <c r="AD4136" t="s">
        <v>11082</v>
      </c>
      <c r="AF4136" t="s">
        <v>11118</v>
      </c>
      <c r="AH4136" t="s">
        <v>10974</v>
      </c>
      <c r="AJ4136" t="s">
        <v>11129</v>
      </c>
      <c r="AK4136" t="s">
        <v>7225</v>
      </c>
      <c r="AM4136">
        <v>450</v>
      </c>
      <c r="AN4136" t="s">
        <v>11151</v>
      </c>
      <c r="AO4136" t="s">
        <v>11153</v>
      </c>
      <c r="AQ4136" t="s">
        <v>11161</v>
      </c>
      <c r="AS4136" t="s">
        <v>11174</v>
      </c>
      <c r="AU4136">
        <v>23</v>
      </c>
      <c r="AW4136" t="s">
        <v>11187</v>
      </c>
      <c r="AY4136" t="s">
        <v>11213</v>
      </c>
      <c r="BA4136" t="s">
        <v>11223</v>
      </c>
      <c r="BC4136" t="s">
        <v>11594</v>
      </c>
      <c r="BE4136" t="s">
        <v>13949</v>
      </c>
      <c r="BG4136" t="s">
        <v>15392</v>
      </c>
      <c r="BM4136" t="s">
        <v>15650</v>
      </c>
    </row>
    <row r="4137" spans="1:65">
      <c r="A4137" s="1">
        <f>HYPERLINK("https://lsnyc.legalserver.org/matter/dynamic-profile/view/1879532","18-1879532")</f>
        <v>0</v>
      </c>
      <c r="B4137" t="s">
        <v>219</v>
      </c>
      <c r="C4137" t="s">
        <v>246</v>
      </c>
      <c r="D4137" t="s">
        <v>600</v>
      </c>
      <c r="F4137" t="s">
        <v>2665</v>
      </c>
      <c r="G4137" t="s">
        <v>4548</v>
      </c>
      <c r="H4137" t="s">
        <v>6166</v>
      </c>
      <c r="I4137" t="s">
        <v>6420</v>
      </c>
      <c r="J4137" t="s">
        <v>7170</v>
      </c>
      <c r="K4137">
        <v>10453</v>
      </c>
      <c r="N4137" t="s">
        <v>7237</v>
      </c>
      <c r="O4137" t="s">
        <v>9846</v>
      </c>
      <c r="P4137">
        <v>4</v>
      </c>
      <c r="Q4137">
        <v>6</v>
      </c>
      <c r="R4137">
        <v>63.65</v>
      </c>
      <c r="U4137">
        <v>32472</v>
      </c>
      <c r="W4137">
        <v>32.3</v>
      </c>
      <c r="X4137" t="s">
        <v>801</v>
      </c>
      <c r="Y4137" t="s">
        <v>10875</v>
      </c>
      <c r="AA4137" t="s">
        <v>10974</v>
      </c>
      <c r="AB4137" t="s">
        <v>600</v>
      </c>
      <c r="AD4137" t="s">
        <v>11090</v>
      </c>
      <c r="AF4137" t="s">
        <v>11119</v>
      </c>
      <c r="AH4137" t="s">
        <v>10975</v>
      </c>
      <c r="AJ4137" t="s">
        <v>11143</v>
      </c>
      <c r="AK4137" t="s">
        <v>7225</v>
      </c>
      <c r="AM4137">
        <v>1063.54</v>
      </c>
      <c r="AO4137">
        <v>48</v>
      </c>
      <c r="AQ4137" t="s">
        <v>11157</v>
      </c>
      <c r="AS4137" t="s">
        <v>11173</v>
      </c>
      <c r="AU4137">
        <v>28</v>
      </c>
      <c r="AW4137" t="s">
        <v>11189</v>
      </c>
      <c r="AZ4137" t="s">
        <v>11221</v>
      </c>
      <c r="BC4137" t="s">
        <v>11595</v>
      </c>
      <c r="BE4137" t="s">
        <v>13950</v>
      </c>
      <c r="BF4137" t="s">
        <v>14364</v>
      </c>
      <c r="BG4137" t="s">
        <v>11228</v>
      </c>
      <c r="BM4137" t="s">
        <v>15650</v>
      </c>
    </row>
    <row r="4138" spans="1:65">
      <c r="A4138" s="1">
        <f>HYPERLINK("https://lsnyc.legalserver.org/matter/dynamic-profile/view/1899537","19-1899537")</f>
        <v>0</v>
      </c>
      <c r="B4138" t="s">
        <v>219</v>
      </c>
      <c r="C4138" t="s">
        <v>246</v>
      </c>
      <c r="D4138" t="s">
        <v>562</v>
      </c>
      <c r="E4138" t="s">
        <v>1082</v>
      </c>
      <c r="F4138" t="s">
        <v>2422</v>
      </c>
      <c r="G4138" t="s">
        <v>2966</v>
      </c>
      <c r="H4138" t="s">
        <v>5909</v>
      </c>
      <c r="I4138" t="s">
        <v>7102</v>
      </c>
      <c r="J4138" t="s">
        <v>7170</v>
      </c>
      <c r="K4138">
        <v>10453</v>
      </c>
      <c r="L4138" t="s">
        <v>7219</v>
      </c>
      <c r="N4138" t="s">
        <v>7237</v>
      </c>
      <c r="O4138" t="s">
        <v>8292</v>
      </c>
      <c r="P4138">
        <v>1</v>
      </c>
      <c r="Q4138">
        <v>0</v>
      </c>
      <c r="R4138">
        <v>82.43000000000001</v>
      </c>
      <c r="U4138">
        <v>10296</v>
      </c>
      <c r="W4138">
        <v>2.9</v>
      </c>
      <c r="X4138" t="s">
        <v>1082</v>
      </c>
      <c r="Y4138" t="s">
        <v>219</v>
      </c>
      <c r="AA4138" t="s">
        <v>10974</v>
      </c>
      <c r="AB4138" t="s">
        <v>562</v>
      </c>
      <c r="AD4138" t="s">
        <v>11082</v>
      </c>
      <c r="AF4138" t="s">
        <v>11118</v>
      </c>
      <c r="AH4138" t="s">
        <v>10975</v>
      </c>
      <c r="AJ4138" t="s">
        <v>11134</v>
      </c>
      <c r="AK4138" t="s">
        <v>7225</v>
      </c>
      <c r="AM4138">
        <v>175.5</v>
      </c>
      <c r="AN4138" t="s">
        <v>11151</v>
      </c>
      <c r="AO4138" t="s">
        <v>11153</v>
      </c>
      <c r="AQ4138" t="s">
        <v>11167</v>
      </c>
      <c r="AS4138" t="s">
        <v>11104</v>
      </c>
      <c r="AU4138">
        <v>3</v>
      </c>
      <c r="AW4138" t="s">
        <v>11189</v>
      </c>
      <c r="AY4138" t="s">
        <v>11218</v>
      </c>
      <c r="BA4138" t="s">
        <v>11222</v>
      </c>
      <c r="BC4138" t="s">
        <v>11596</v>
      </c>
      <c r="BE4138" t="s">
        <v>13951</v>
      </c>
      <c r="BG4138" t="s">
        <v>15393</v>
      </c>
      <c r="BH4138" t="s">
        <v>15605</v>
      </c>
      <c r="BJ4138" t="s">
        <v>15615</v>
      </c>
      <c r="BL4138" t="s">
        <v>15648</v>
      </c>
      <c r="BM4138" t="s">
        <v>15651</v>
      </c>
    </row>
    <row r="4139" spans="1:65">
      <c r="A4139" s="1">
        <f>HYPERLINK("https://lsnyc.legalserver.org/matter/dynamic-profile/view/1881643","18-1881643")</f>
        <v>0</v>
      </c>
      <c r="B4139" t="s">
        <v>219</v>
      </c>
      <c r="C4139" t="s">
        <v>246</v>
      </c>
      <c r="D4139" t="s">
        <v>576</v>
      </c>
      <c r="E4139" t="s">
        <v>1082</v>
      </c>
      <c r="F4139" t="s">
        <v>2666</v>
      </c>
      <c r="G4139" t="s">
        <v>2949</v>
      </c>
      <c r="H4139" t="s">
        <v>5233</v>
      </c>
      <c r="I4139" t="s">
        <v>6440</v>
      </c>
      <c r="J4139" t="s">
        <v>7170</v>
      </c>
      <c r="K4139">
        <v>10453</v>
      </c>
      <c r="L4139" t="s">
        <v>7217</v>
      </c>
      <c r="N4139" t="s">
        <v>7244</v>
      </c>
      <c r="O4139" t="s">
        <v>9847</v>
      </c>
      <c r="P4139">
        <v>2</v>
      </c>
      <c r="Q4139">
        <v>1</v>
      </c>
      <c r="R4139">
        <v>62.95</v>
      </c>
      <c r="U4139">
        <v>13080</v>
      </c>
      <c r="W4139">
        <v>3.9</v>
      </c>
      <c r="X4139" t="s">
        <v>1082</v>
      </c>
      <c r="Y4139" t="s">
        <v>216</v>
      </c>
      <c r="AA4139" t="s">
        <v>10974</v>
      </c>
      <c r="AB4139" t="s">
        <v>576</v>
      </c>
      <c r="AD4139" t="s">
        <v>11090</v>
      </c>
      <c r="AF4139" t="s">
        <v>11120</v>
      </c>
      <c r="AH4139" t="s">
        <v>10975</v>
      </c>
      <c r="AJ4139" t="s">
        <v>11129</v>
      </c>
      <c r="AK4139" t="s">
        <v>7225</v>
      </c>
      <c r="AM4139">
        <v>1220</v>
      </c>
      <c r="AO4139">
        <v>46</v>
      </c>
      <c r="AQ4139" t="s">
        <v>11157</v>
      </c>
      <c r="AS4139" t="s">
        <v>11180</v>
      </c>
      <c r="AU4139">
        <v>4</v>
      </c>
      <c r="AW4139" t="s">
        <v>11189</v>
      </c>
      <c r="AY4139" t="s">
        <v>11213</v>
      </c>
      <c r="BA4139" t="s">
        <v>11222</v>
      </c>
      <c r="BC4139" t="s">
        <v>11597</v>
      </c>
      <c r="BE4139" t="s">
        <v>13952</v>
      </c>
      <c r="BF4139" t="s">
        <v>14364</v>
      </c>
      <c r="BM4139" t="s">
        <v>15651</v>
      </c>
    </row>
    <row r="4140" spans="1:65">
      <c r="A4140" s="1">
        <f>HYPERLINK("https://lsnyc.legalserver.org/matter/dynamic-profile/view/1890366","19-1890366")</f>
        <v>0</v>
      </c>
      <c r="B4140" t="s">
        <v>219</v>
      </c>
      <c r="C4140" t="s">
        <v>246</v>
      </c>
      <c r="D4140" t="s">
        <v>874</v>
      </c>
      <c r="F4140" t="s">
        <v>2667</v>
      </c>
      <c r="G4140" t="s">
        <v>3047</v>
      </c>
      <c r="H4140" t="s">
        <v>6167</v>
      </c>
      <c r="I4140" t="s">
        <v>6436</v>
      </c>
      <c r="J4140" t="s">
        <v>7170</v>
      </c>
      <c r="K4140">
        <v>10457</v>
      </c>
      <c r="N4140" t="s">
        <v>7237</v>
      </c>
      <c r="O4140" t="s">
        <v>9146</v>
      </c>
      <c r="P4140">
        <v>2</v>
      </c>
      <c r="Q4140">
        <v>0</v>
      </c>
      <c r="R4140">
        <v>134.19</v>
      </c>
      <c r="U4140">
        <v>22692</v>
      </c>
      <c r="W4140">
        <v>39.7</v>
      </c>
      <c r="X4140" t="s">
        <v>638</v>
      </c>
      <c r="Y4140" t="s">
        <v>93</v>
      </c>
      <c r="AA4140" t="s">
        <v>10974</v>
      </c>
      <c r="AB4140" t="s">
        <v>874</v>
      </c>
      <c r="AD4140" t="s">
        <v>11082</v>
      </c>
      <c r="AF4140" t="s">
        <v>11118</v>
      </c>
      <c r="AH4140" t="s">
        <v>10975</v>
      </c>
      <c r="AI4140" t="s">
        <v>11126</v>
      </c>
      <c r="AK4140" t="s">
        <v>7225</v>
      </c>
      <c r="AM4140">
        <v>3123.85</v>
      </c>
      <c r="AO4140">
        <v>20</v>
      </c>
      <c r="AP4140" t="s">
        <v>11155</v>
      </c>
      <c r="AS4140" t="s">
        <v>11181</v>
      </c>
      <c r="AU4140">
        <v>7</v>
      </c>
      <c r="AW4140" t="s">
        <v>11187</v>
      </c>
      <c r="AZ4140" t="s">
        <v>11221</v>
      </c>
      <c r="BE4140" t="s">
        <v>13953</v>
      </c>
      <c r="BG4140" t="s">
        <v>15394</v>
      </c>
      <c r="BM4140" t="s">
        <v>15650</v>
      </c>
    </row>
    <row r="4141" spans="1:65">
      <c r="A4141" s="1">
        <f>HYPERLINK("https://lsnyc.legalserver.org/matter/dynamic-profile/view/1894012","19-1894012")</f>
        <v>0</v>
      </c>
      <c r="B4141" t="s">
        <v>219</v>
      </c>
      <c r="C4141" t="s">
        <v>246</v>
      </c>
      <c r="D4141" t="s">
        <v>334</v>
      </c>
      <c r="F4141" t="s">
        <v>1577</v>
      </c>
      <c r="G4141" t="s">
        <v>3960</v>
      </c>
      <c r="H4141" t="s">
        <v>6152</v>
      </c>
      <c r="I4141">
        <v>38</v>
      </c>
      <c r="J4141" t="s">
        <v>7170</v>
      </c>
      <c r="K4141">
        <v>10458</v>
      </c>
      <c r="N4141" t="s">
        <v>7237</v>
      </c>
      <c r="O4141" t="s">
        <v>9848</v>
      </c>
      <c r="P4141">
        <v>1</v>
      </c>
      <c r="Q4141">
        <v>0</v>
      </c>
      <c r="R4141">
        <v>134.89</v>
      </c>
      <c r="U4141">
        <v>16848</v>
      </c>
      <c r="W4141">
        <v>1</v>
      </c>
      <c r="X4141" t="s">
        <v>334</v>
      </c>
      <c r="Y4141" t="s">
        <v>210</v>
      </c>
      <c r="AA4141" t="s">
        <v>10974</v>
      </c>
      <c r="AB4141" t="s">
        <v>10979</v>
      </c>
      <c r="AD4141" t="s">
        <v>11090</v>
      </c>
      <c r="AF4141" t="s">
        <v>11119</v>
      </c>
      <c r="AH4141" t="s">
        <v>10974</v>
      </c>
      <c r="AJ4141" t="s">
        <v>11141</v>
      </c>
      <c r="AK4141" t="s">
        <v>7225</v>
      </c>
      <c r="AM4141">
        <v>1648</v>
      </c>
      <c r="AO4141">
        <v>48</v>
      </c>
      <c r="AQ4141" t="s">
        <v>11157</v>
      </c>
      <c r="AS4141" t="s">
        <v>11174</v>
      </c>
      <c r="AU4141">
        <v>6</v>
      </c>
      <c r="AW4141" t="s">
        <v>11187</v>
      </c>
      <c r="AZ4141" t="s">
        <v>11221</v>
      </c>
      <c r="BD4141" t="s">
        <v>11667</v>
      </c>
      <c r="BF4141" t="s">
        <v>14364</v>
      </c>
      <c r="BM4141" t="s">
        <v>15650</v>
      </c>
    </row>
    <row r="4142" spans="1:65">
      <c r="A4142" s="1">
        <f>HYPERLINK("https://lsnyc.legalserver.org/matter/dynamic-profile/view/1904933","19-1904933")</f>
        <v>0</v>
      </c>
      <c r="B4142" t="s">
        <v>219</v>
      </c>
      <c r="C4142" t="s">
        <v>246</v>
      </c>
      <c r="D4142" t="s">
        <v>328</v>
      </c>
      <c r="F4142" t="s">
        <v>1294</v>
      </c>
      <c r="G4142" t="s">
        <v>2382</v>
      </c>
      <c r="H4142" t="s">
        <v>5741</v>
      </c>
      <c r="I4142" t="s">
        <v>6609</v>
      </c>
      <c r="J4142" t="s">
        <v>7170</v>
      </c>
      <c r="K4142">
        <v>10452</v>
      </c>
      <c r="N4142" t="s">
        <v>7237</v>
      </c>
      <c r="O4142" t="s">
        <v>9849</v>
      </c>
      <c r="P4142">
        <v>5</v>
      </c>
      <c r="Q4142">
        <v>0</v>
      </c>
      <c r="R4142">
        <v>482.6</v>
      </c>
      <c r="U4142">
        <v>145600</v>
      </c>
      <c r="W4142">
        <v>1</v>
      </c>
      <c r="X4142" t="s">
        <v>328</v>
      </c>
      <c r="Y4142" t="s">
        <v>210</v>
      </c>
      <c r="AA4142" t="s">
        <v>10974</v>
      </c>
      <c r="AB4142" t="s">
        <v>10987</v>
      </c>
      <c r="AD4142" t="s">
        <v>11098</v>
      </c>
      <c r="AF4142" t="s">
        <v>11122</v>
      </c>
      <c r="AH4142" t="s">
        <v>10974</v>
      </c>
      <c r="AJ4142" t="s">
        <v>11141</v>
      </c>
      <c r="AK4142" t="s">
        <v>7225</v>
      </c>
      <c r="AM4142">
        <v>1454.43</v>
      </c>
      <c r="AO4142">
        <v>52</v>
      </c>
      <c r="AQ4142" t="s">
        <v>11157</v>
      </c>
      <c r="AS4142" t="s">
        <v>11173</v>
      </c>
      <c r="AU4142">
        <v>23</v>
      </c>
      <c r="AW4142" t="s">
        <v>11187</v>
      </c>
      <c r="BA4142" t="s">
        <v>11222</v>
      </c>
      <c r="BE4142" t="s">
        <v>13954</v>
      </c>
      <c r="BF4142" t="s">
        <v>14364</v>
      </c>
      <c r="BM4142" t="s">
        <v>15650</v>
      </c>
    </row>
    <row r="4143" spans="1:65">
      <c r="A4143" s="1">
        <f>HYPERLINK("https://lsnyc.legalserver.org/matter/dynamic-profile/view/1911847","19-1911847")</f>
        <v>0</v>
      </c>
      <c r="B4143" t="s">
        <v>219</v>
      </c>
      <c r="C4143" t="s">
        <v>246</v>
      </c>
      <c r="D4143" t="s">
        <v>345</v>
      </c>
      <c r="F4143" t="s">
        <v>2278</v>
      </c>
      <c r="G4143" t="s">
        <v>4092</v>
      </c>
      <c r="H4143" t="s">
        <v>5741</v>
      </c>
      <c r="I4143" t="s">
        <v>6628</v>
      </c>
      <c r="J4143" t="s">
        <v>7170</v>
      </c>
      <c r="K4143">
        <v>10452</v>
      </c>
      <c r="N4143" t="s">
        <v>7237</v>
      </c>
      <c r="O4143" t="s">
        <v>9102</v>
      </c>
      <c r="P4143">
        <v>1</v>
      </c>
      <c r="Q4143">
        <v>0</v>
      </c>
      <c r="R4143">
        <v>312.25</v>
      </c>
      <c r="U4143">
        <v>39000</v>
      </c>
      <c r="W4143">
        <v>0.4</v>
      </c>
      <c r="X4143" t="s">
        <v>345</v>
      </c>
      <c r="Y4143" t="s">
        <v>210</v>
      </c>
      <c r="AA4143" t="s">
        <v>10974</v>
      </c>
      <c r="AD4143" t="s">
        <v>11098</v>
      </c>
      <c r="AF4143" t="s">
        <v>11122</v>
      </c>
      <c r="AH4143" t="s">
        <v>10974</v>
      </c>
      <c r="AJ4143" t="s">
        <v>11141</v>
      </c>
      <c r="AK4143" t="s">
        <v>7225</v>
      </c>
      <c r="AM4143">
        <v>1182</v>
      </c>
      <c r="AO4143">
        <v>52</v>
      </c>
      <c r="AQ4143" t="s">
        <v>11157</v>
      </c>
      <c r="AS4143" t="s">
        <v>11173</v>
      </c>
      <c r="AU4143">
        <v>4</v>
      </c>
      <c r="AW4143" t="s">
        <v>11187</v>
      </c>
      <c r="AX4143" t="s">
        <v>11212</v>
      </c>
      <c r="BA4143" t="s">
        <v>11222</v>
      </c>
      <c r="BE4143" t="s">
        <v>13955</v>
      </c>
      <c r="BF4143" t="s">
        <v>14364</v>
      </c>
      <c r="BM4143" t="s">
        <v>15650</v>
      </c>
    </row>
    <row r="4144" spans="1:65">
      <c r="A4144" s="1">
        <f>HYPERLINK("https://lsnyc.legalserver.org/matter/dynamic-profile/view/1911843","19-1911843")</f>
        <v>0</v>
      </c>
      <c r="B4144" t="s">
        <v>219</v>
      </c>
      <c r="C4144" t="s">
        <v>246</v>
      </c>
      <c r="D4144" t="s">
        <v>345</v>
      </c>
      <c r="F4144" t="s">
        <v>2278</v>
      </c>
      <c r="G4144" t="s">
        <v>4092</v>
      </c>
      <c r="H4144" t="s">
        <v>5741</v>
      </c>
      <c r="I4144" t="s">
        <v>6628</v>
      </c>
      <c r="J4144" t="s">
        <v>7170</v>
      </c>
      <c r="K4144">
        <v>10452</v>
      </c>
      <c r="N4144" t="s">
        <v>7237</v>
      </c>
      <c r="O4144" t="s">
        <v>9102</v>
      </c>
      <c r="P4144">
        <v>1</v>
      </c>
      <c r="Q4144">
        <v>0</v>
      </c>
      <c r="R4144">
        <v>312.25</v>
      </c>
      <c r="U4144">
        <v>39000</v>
      </c>
      <c r="W4144">
        <v>0.4</v>
      </c>
      <c r="X4144" t="s">
        <v>345</v>
      </c>
      <c r="Y4144" t="s">
        <v>210</v>
      </c>
      <c r="AA4144" t="s">
        <v>10974</v>
      </c>
      <c r="AD4144" t="s">
        <v>11098</v>
      </c>
      <c r="AF4144" t="s">
        <v>11122</v>
      </c>
      <c r="AH4144" t="s">
        <v>10974</v>
      </c>
      <c r="AJ4144" t="s">
        <v>11141</v>
      </c>
      <c r="AK4144" t="s">
        <v>7225</v>
      </c>
      <c r="AM4144">
        <v>1182</v>
      </c>
      <c r="AO4144">
        <v>52</v>
      </c>
      <c r="AQ4144" t="s">
        <v>11157</v>
      </c>
      <c r="AS4144" t="s">
        <v>11173</v>
      </c>
      <c r="AU4144">
        <v>4</v>
      </c>
      <c r="AW4144" t="s">
        <v>11187</v>
      </c>
      <c r="AX4144" t="s">
        <v>11212</v>
      </c>
      <c r="BA4144" t="s">
        <v>11222</v>
      </c>
      <c r="BE4144" t="s">
        <v>13955</v>
      </c>
      <c r="BF4144" t="s">
        <v>14364</v>
      </c>
      <c r="BM4144" t="s">
        <v>15650</v>
      </c>
    </row>
    <row r="4145" spans="1:65">
      <c r="A4145" s="1">
        <f>HYPERLINK("https://lsnyc.legalserver.org/matter/dynamic-profile/view/1902069","19-1902069")</f>
        <v>0</v>
      </c>
      <c r="B4145" t="s">
        <v>219</v>
      </c>
      <c r="C4145" t="s">
        <v>246</v>
      </c>
      <c r="D4145" t="s">
        <v>590</v>
      </c>
      <c r="F4145" t="s">
        <v>2668</v>
      </c>
      <c r="G4145" t="s">
        <v>4549</v>
      </c>
      <c r="H4145" t="s">
        <v>5741</v>
      </c>
      <c r="I4145" t="s">
        <v>6479</v>
      </c>
      <c r="J4145" t="s">
        <v>7170</v>
      </c>
      <c r="K4145">
        <v>10452</v>
      </c>
      <c r="N4145" t="s">
        <v>7237</v>
      </c>
      <c r="O4145" t="s">
        <v>9850</v>
      </c>
      <c r="P4145">
        <v>5</v>
      </c>
      <c r="Q4145">
        <v>0</v>
      </c>
      <c r="R4145">
        <v>153.98</v>
      </c>
      <c r="U4145">
        <v>46456</v>
      </c>
      <c r="W4145">
        <v>1.2</v>
      </c>
      <c r="X4145" t="s">
        <v>590</v>
      </c>
      <c r="Y4145" t="s">
        <v>210</v>
      </c>
      <c r="AA4145" t="s">
        <v>10974</v>
      </c>
      <c r="AB4145" t="s">
        <v>10987</v>
      </c>
      <c r="AD4145" t="s">
        <v>11098</v>
      </c>
      <c r="AF4145" t="s">
        <v>11122</v>
      </c>
      <c r="AH4145" t="s">
        <v>10974</v>
      </c>
      <c r="AJ4145" t="s">
        <v>11141</v>
      </c>
      <c r="AK4145" t="s">
        <v>7225</v>
      </c>
      <c r="AM4145">
        <v>928.47</v>
      </c>
      <c r="AO4145">
        <v>52</v>
      </c>
      <c r="AQ4145" t="s">
        <v>11157</v>
      </c>
      <c r="AS4145" t="s">
        <v>11173</v>
      </c>
      <c r="AU4145">
        <v>27</v>
      </c>
      <c r="AW4145" t="s">
        <v>11187</v>
      </c>
      <c r="BA4145" t="s">
        <v>11222</v>
      </c>
      <c r="BE4145" t="s">
        <v>13956</v>
      </c>
      <c r="BF4145" t="s">
        <v>14364</v>
      </c>
      <c r="BM4145" t="s">
        <v>15650</v>
      </c>
    </row>
    <row r="4146" spans="1:65">
      <c r="A4146" s="1">
        <f>HYPERLINK("https://lsnyc.legalserver.org/matter/dynamic-profile/view/1884960","18-1884960")</f>
        <v>0</v>
      </c>
      <c r="B4146" t="s">
        <v>219</v>
      </c>
      <c r="C4146" t="s">
        <v>246</v>
      </c>
      <c r="D4146" t="s">
        <v>706</v>
      </c>
      <c r="E4146" t="s">
        <v>1082</v>
      </c>
      <c r="F4146" t="s">
        <v>2669</v>
      </c>
      <c r="G4146" t="s">
        <v>3979</v>
      </c>
      <c r="H4146" t="s">
        <v>6149</v>
      </c>
      <c r="I4146" t="s">
        <v>6404</v>
      </c>
      <c r="J4146" t="s">
        <v>7170</v>
      </c>
      <c r="K4146">
        <v>10451</v>
      </c>
      <c r="L4146" t="s">
        <v>7219</v>
      </c>
      <c r="N4146" t="s">
        <v>7237</v>
      </c>
      <c r="O4146" t="s">
        <v>9851</v>
      </c>
      <c r="P4146">
        <v>2</v>
      </c>
      <c r="Q4146">
        <v>1</v>
      </c>
      <c r="R4146">
        <v>105.87</v>
      </c>
      <c r="U4146">
        <v>22000</v>
      </c>
      <c r="W4146">
        <v>14.6</v>
      </c>
      <c r="X4146" t="s">
        <v>1082</v>
      </c>
      <c r="Y4146" t="s">
        <v>216</v>
      </c>
      <c r="AA4146" t="s">
        <v>10974</v>
      </c>
      <c r="AB4146" t="s">
        <v>480</v>
      </c>
      <c r="AD4146" t="s">
        <v>11082</v>
      </c>
      <c r="AF4146" t="s">
        <v>11118</v>
      </c>
      <c r="AH4146" t="s">
        <v>10974</v>
      </c>
      <c r="AJ4146" t="s">
        <v>11141</v>
      </c>
      <c r="AK4146" t="s">
        <v>7225</v>
      </c>
      <c r="AM4146">
        <v>737.34</v>
      </c>
      <c r="AO4146">
        <v>81</v>
      </c>
      <c r="AQ4146" t="s">
        <v>11157</v>
      </c>
      <c r="AS4146" t="s">
        <v>11173</v>
      </c>
      <c r="AU4146">
        <v>26</v>
      </c>
      <c r="AW4146" t="s">
        <v>11187</v>
      </c>
      <c r="AY4146" t="s">
        <v>11213</v>
      </c>
      <c r="BA4146" t="s">
        <v>11222</v>
      </c>
      <c r="BE4146" t="s">
        <v>13957</v>
      </c>
      <c r="BG4146" t="s">
        <v>15395</v>
      </c>
      <c r="BH4146" t="s">
        <v>15605</v>
      </c>
      <c r="BJ4146" t="s">
        <v>15615</v>
      </c>
      <c r="BL4146" t="s">
        <v>15648</v>
      </c>
      <c r="BM4146" t="s">
        <v>15651</v>
      </c>
    </row>
    <row r="4147" spans="1:65">
      <c r="A4147" s="1">
        <f>HYPERLINK("https://lsnyc.legalserver.org/matter/dynamic-profile/view/1881008","18-1881008")</f>
        <v>0</v>
      </c>
      <c r="B4147" t="s">
        <v>219</v>
      </c>
      <c r="C4147" t="s">
        <v>246</v>
      </c>
      <c r="D4147" t="s">
        <v>1017</v>
      </c>
      <c r="F4147" t="s">
        <v>2670</v>
      </c>
      <c r="G4147" t="s">
        <v>3094</v>
      </c>
      <c r="H4147" t="s">
        <v>6168</v>
      </c>
      <c r="I4147" t="s">
        <v>6491</v>
      </c>
      <c r="J4147" t="s">
        <v>7170</v>
      </c>
      <c r="K4147">
        <v>10458</v>
      </c>
      <c r="N4147" t="s">
        <v>7237</v>
      </c>
      <c r="O4147" t="s">
        <v>9852</v>
      </c>
      <c r="P4147">
        <v>3</v>
      </c>
      <c r="Q4147">
        <v>0</v>
      </c>
      <c r="R4147">
        <v>96.25</v>
      </c>
      <c r="U4147">
        <v>20000</v>
      </c>
      <c r="W4147">
        <v>159</v>
      </c>
      <c r="X4147" t="s">
        <v>737</v>
      </c>
      <c r="Y4147" t="s">
        <v>216</v>
      </c>
      <c r="AA4147" t="s">
        <v>10974</v>
      </c>
      <c r="AB4147" t="s">
        <v>1017</v>
      </c>
      <c r="AD4147" t="s">
        <v>11083</v>
      </c>
      <c r="AF4147" t="s">
        <v>11118</v>
      </c>
      <c r="AH4147" t="s">
        <v>10975</v>
      </c>
      <c r="AJ4147" t="s">
        <v>11131</v>
      </c>
      <c r="AK4147" t="s">
        <v>7225</v>
      </c>
      <c r="AL4147" t="s">
        <v>11150</v>
      </c>
      <c r="AM4147">
        <v>0</v>
      </c>
      <c r="AO4147">
        <v>69</v>
      </c>
      <c r="AQ4147" t="s">
        <v>11157</v>
      </c>
      <c r="AS4147" t="s">
        <v>11174</v>
      </c>
      <c r="AU4147">
        <v>5</v>
      </c>
      <c r="AW4147" t="s">
        <v>11187</v>
      </c>
      <c r="AY4147" t="s">
        <v>11216</v>
      </c>
      <c r="AZ4147" t="s">
        <v>11221</v>
      </c>
      <c r="BE4147" t="s">
        <v>13958</v>
      </c>
      <c r="BG4147" t="s">
        <v>15396</v>
      </c>
      <c r="BM4147" t="s">
        <v>15650</v>
      </c>
    </row>
    <row r="4148" spans="1:65">
      <c r="A4148" s="1">
        <f>HYPERLINK("https://lsnyc.legalserver.org/matter/dynamic-profile/view/1899511","19-1899511")</f>
        <v>0</v>
      </c>
      <c r="B4148" t="s">
        <v>219</v>
      </c>
      <c r="C4148" t="s">
        <v>246</v>
      </c>
      <c r="D4148" t="s">
        <v>800</v>
      </c>
      <c r="F4148" t="s">
        <v>1534</v>
      </c>
      <c r="G4148" t="s">
        <v>2990</v>
      </c>
      <c r="H4148" t="s">
        <v>6169</v>
      </c>
      <c r="I4148">
        <v>2</v>
      </c>
      <c r="J4148" t="s">
        <v>7170</v>
      </c>
      <c r="K4148">
        <v>10466</v>
      </c>
      <c r="N4148" t="s">
        <v>7237</v>
      </c>
      <c r="O4148" t="s">
        <v>9827</v>
      </c>
      <c r="P4148">
        <v>2</v>
      </c>
      <c r="Q4148">
        <v>5</v>
      </c>
      <c r="R4148">
        <v>22.46</v>
      </c>
      <c r="U4148">
        <v>8762</v>
      </c>
      <c r="W4148">
        <v>6.1</v>
      </c>
      <c r="X4148" t="s">
        <v>264</v>
      </c>
      <c r="Y4148" t="s">
        <v>219</v>
      </c>
      <c r="AA4148" t="s">
        <v>10974</v>
      </c>
      <c r="AB4148" t="s">
        <v>800</v>
      </c>
      <c r="AD4148" t="s">
        <v>11082</v>
      </c>
      <c r="AF4148" t="s">
        <v>11118</v>
      </c>
      <c r="AH4148" t="s">
        <v>10975</v>
      </c>
      <c r="AJ4148" t="s">
        <v>11135</v>
      </c>
      <c r="AK4148" t="s">
        <v>7225</v>
      </c>
      <c r="AM4148">
        <v>1678</v>
      </c>
      <c r="AN4148" t="s">
        <v>11151</v>
      </c>
      <c r="AO4148" t="s">
        <v>11153</v>
      </c>
      <c r="AQ4148" t="s">
        <v>11164</v>
      </c>
      <c r="AS4148" t="s">
        <v>11176</v>
      </c>
      <c r="AT4148" t="s">
        <v>11184</v>
      </c>
      <c r="AU4148">
        <v>0</v>
      </c>
      <c r="AW4148" t="s">
        <v>11187</v>
      </c>
      <c r="AY4148" t="s">
        <v>11218</v>
      </c>
      <c r="BA4148" t="s">
        <v>11223</v>
      </c>
      <c r="BC4148" t="s">
        <v>11598</v>
      </c>
      <c r="BE4148" t="s">
        <v>13959</v>
      </c>
      <c r="BG4148" t="s">
        <v>15397</v>
      </c>
      <c r="BM4148" t="s">
        <v>15650</v>
      </c>
    </row>
    <row r="4149" spans="1:65">
      <c r="A4149" s="1">
        <f>HYPERLINK("https://lsnyc.legalserver.org/matter/dynamic-profile/view/1911834","19-1911834")</f>
        <v>0</v>
      </c>
      <c r="B4149" t="s">
        <v>219</v>
      </c>
      <c r="C4149" t="s">
        <v>246</v>
      </c>
      <c r="D4149" t="s">
        <v>345</v>
      </c>
      <c r="F4149" t="s">
        <v>1388</v>
      </c>
      <c r="G4149" t="s">
        <v>4550</v>
      </c>
      <c r="H4149" t="s">
        <v>5741</v>
      </c>
      <c r="I4149" t="s">
        <v>6480</v>
      </c>
      <c r="J4149" t="s">
        <v>7170</v>
      </c>
      <c r="K4149">
        <v>10452</v>
      </c>
      <c r="N4149" t="s">
        <v>7237</v>
      </c>
      <c r="O4149" t="s">
        <v>9853</v>
      </c>
      <c r="P4149">
        <v>2</v>
      </c>
      <c r="Q4149">
        <v>0</v>
      </c>
      <c r="R4149">
        <v>603.1900000000001</v>
      </c>
      <c r="U4149">
        <v>102000</v>
      </c>
      <c r="W4149">
        <v>0.4</v>
      </c>
      <c r="X4149" t="s">
        <v>345</v>
      </c>
      <c r="Y4149" t="s">
        <v>210</v>
      </c>
      <c r="AA4149" t="s">
        <v>10974</v>
      </c>
      <c r="AD4149" t="s">
        <v>11098</v>
      </c>
      <c r="AF4149" t="s">
        <v>11122</v>
      </c>
      <c r="AH4149" t="s">
        <v>10974</v>
      </c>
      <c r="AJ4149" t="s">
        <v>11141</v>
      </c>
      <c r="AK4149" t="s">
        <v>7225</v>
      </c>
      <c r="AM4149">
        <v>1156.92</v>
      </c>
      <c r="AO4149">
        <v>52</v>
      </c>
      <c r="AQ4149" t="s">
        <v>11157</v>
      </c>
      <c r="AS4149" t="s">
        <v>11173</v>
      </c>
      <c r="AU4149">
        <v>16</v>
      </c>
      <c r="AW4149" t="s">
        <v>11187</v>
      </c>
      <c r="AX4149" t="s">
        <v>11212</v>
      </c>
      <c r="BA4149" t="s">
        <v>11222</v>
      </c>
      <c r="BE4149" t="s">
        <v>13960</v>
      </c>
      <c r="BF4149" t="s">
        <v>14364</v>
      </c>
      <c r="BM4149" t="s">
        <v>15650</v>
      </c>
    </row>
    <row r="4150" spans="1:65">
      <c r="A4150" s="1">
        <f>HYPERLINK("https://lsnyc.legalserver.org/matter/dynamic-profile/view/1908347","19-1908347")</f>
        <v>0</v>
      </c>
      <c r="B4150" t="s">
        <v>219</v>
      </c>
      <c r="C4150" t="s">
        <v>246</v>
      </c>
      <c r="D4150" t="s">
        <v>578</v>
      </c>
      <c r="F4150" t="s">
        <v>1388</v>
      </c>
      <c r="G4150" t="s">
        <v>4550</v>
      </c>
      <c r="H4150" t="s">
        <v>5741</v>
      </c>
      <c r="I4150" t="s">
        <v>6480</v>
      </c>
      <c r="J4150" t="s">
        <v>7170</v>
      </c>
      <c r="K4150">
        <v>10452</v>
      </c>
      <c r="N4150" t="s">
        <v>7237</v>
      </c>
      <c r="O4150" t="s">
        <v>9853</v>
      </c>
      <c r="P4150">
        <v>2</v>
      </c>
      <c r="Q4150">
        <v>0</v>
      </c>
      <c r="R4150">
        <v>603.1900000000001</v>
      </c>
      <c r="U4150">
        <v>102000</v>
      </c>
      <c r="W4150">
        <v>31.9</v>
      </c>
      <c r="X4150" t="s">
        <v>528</v>
      </c>
      <c r="Y4150" t="s">
        <v>210</v>
      </c>
      <c r="AA4150" t="s">
        <v>10974</v>
      </c>
      <c r="AD4150" t="s">
        <v>11101</v>
      </c>
      <c r="AF4150" t="s">
        <v>11118</v>
      </c>
      <c r="AH4150" t="s">
        <v>10974</v>
      </c>
      <c r="AJ4150" t="s">
        <v>11141</v>
      </c>
      <c r="AK4150" t="s">
        <v>7225</v>
      </c>
      <c r="AM4150">
        <v>1156.92</v>
      </c>
      <c r="AO4150">
        <v>52</v>
      </c>
      <c r="AQ4150" t="s">
        <v>11157</v>
      </c>
      <c r="AS4150" t="s">
        <v>11173</v>
      </c>
      <c r="AU4150">
        <v>16</v>
      </c>
      <c r="AW4150" t="s">
        <v>11187</v>
      </c>
      <c r="AX4150" t="s">
        <v>11212</v>
      </c>
      <c r="BA4150" t="s">
        <v>11222</v>
      </c>
      <c r="BE4150" t="s">
        <v>13960</v>
      </c>
      <c r="BF4150" t="s">
        <v>14364</v>
      </c>
      <c r="BM4150" t="s">
        <v>15650</v>
      </c>
    </row>
    <row r="4151" spans="1:65">
      <c r="A4151" s="1">
        <f>HYPERLINK("https://lsnyc.legalserver.org/matter/dynamic-profile/view/1892268","19-1892268")</f>
        <v>0</v>
      </c>
      <c r="B4151" t="s">
        <v>219</v>
      </c>
      <c r="C4151" t="s">
        <v>246</v>
      </c>
      <c r="D4151" t="s">
        <v>503</v>
      </c>
      <c r="F4151" t="s">
        <v>1619</v>
      </c>
      <c r="G4151" t="s">
        <v>4551</v>
      </c>
      <c r="H4151" t="s">
        <v>6170</v>
      </c>
      <c r="I4151" t="s">
        <v>6477</v>
      </c>
      <c r="J4151" t="s">
        <v>7170</v>
      </c>
      <c r="K4151">
        <v>10452</v>
      </c>
      <c r="N4151" t="s">
        <v>7237</v>
      </c>
      <c r="O4151" t="s">
        <v>9854</v>
      </c>
      <c r="P4151">
        <v>2</v>
      </c>
      <c r="Q4151">
        <v>2</v>
      </c>
      <c r="R4151">
        <v>16.31</v>
      </c>
      <c r="U4151">
        <v>4200</v>
      </c>
      <c r="W4151">
        <v>1.5</v>
      </c>
      <c r="X4151" t="s">
        <v>925</v>
      </c>
      <c r="Y4151" t="s">
        <v>219</v>
      </c>
      <c r="AA4151" t="s">
        <v>10974</v>
      </c>
      <c r="AB4151" t="s">
        <v>503</v>
      </c>
      <c r="AC4151" t="s">
        <v>11081</v>
      </c>
      <c r="AF4151" t="s">
        <v>11119</v>
      </c>
      <c r="AG4151" t="s">
        <v>11124</v>
      </c>
      <c r="AJ4151" t="s">
        <v>11134</v>
      </c>
      <c r="AK4151" t="s">
        <v>7225</v>
      </c>
      <c r="AL4151" t="s">
        <v>11150</v>
      </c>
      <c r="AM4151">
        <v>0</v>
      </c>
      <c r="AN4151" t="s">
        <v>11151</v>
      </c>
      <c r="AO4151" t="s">
        <v>11153</v>
      </c>
      <c r="AP4151" t="s">
        <v>11155</v>
      </c>
      <c r="AS4151" t="s">
        <v>11104</v>
      </c>
      <c r="AU4151">
        <v>7</v>
      </c>
      <c r="AW4151" t="s">
        <v>11187</v>
      </c>
      <c r="AZ4151" t="s">
        <v>11221</v>
      </c>
      <c r="BE4151" t="s">
        <v>13961</v>
      </c>
      <c r="BF4151" t="s">
        <v>14364</v>
      </c>
      <c r="BM4151" t="s">
        <v>15650</v>
      </c>
    </row>
    <row r="4152" spans="1:65">
      <c r="A4152" s="1">
        <f>HYPERLINK("https://lsnyc.legalserver.org/matter/dynamic-profile/view/1911825","19-1911825")</f>
        <v>0</v>
      </c>
      <c r="B4152" t="s">
        <v>219</v>
      </c>
      <c r="C4152" t="s">
        <v>246</v>
      </c>
      <c r="D4152" t="s">
        <v>345</v>
      </c>
      <c r="F4152" t="s">
        <v>2671</v>
      </c>
      <c r="G4152" t="s">
        <v>2964</v>
      </c>
      <c r="H4152" t="s">
        <v>5741</v>
      </c>
      <c r="I4152" t="s">
        <v>6486</v>
      </c>
      <c r="J4152" t="s">
        <v>7170</v>
      </c>
      <c r="K4152">
        <v>10452</v>
      </c>
      <c r="N4152" t="s">
        <v>7237</v>
      </c>
      <c r="O4152" t="s">
        <v>9855</v>
      </c>
      <c r="P4152">
        <v>1</v>
      </c>
      <c r="Q4152">
        <v>2</v>
      </c>
      <c r="R4152">
        <v>15.6</v>
      </c>
      <c r="U4152">
        <v>3328</v>
      </c>
      <c r="W4152">
        <v>0.4</v>
      </c>
      <c r="X4152" t="s">
        <v>345</v>
      </c>
      <c r="Y4152" t="s">
        <v>210</v>
      </c>
      <c r="AA4152" t="s">
        <v>10974</v>
      </c>
      <c r="AD4152" t="s">
        <v>11098</v>
      </c>
      <c r="AF4152" t="s">
        <v>11122</v>
      </c>
      <c r="AH4152" t="s">
        <v>10974</v>
      </c>
      <c r="AJ4152" t="s">
        <v>11141</v>
      </c>
      <c r="AK4152" t="s">
        <v>7225</v>
      </c>
      <c r="AM4152">
        <v>1700</v>
      </c>
      <c r="AO4152">
        <v>52</v>
      </c>
      <c r="AQ4152" t="s">
        <v>11157</v>
      </c>
      <c r="AS4152" t="s">
        <v>11180</v>
      </c>
      <c r="AU4152">
        <v>6</v>
      </c>
      <c r="AW4152" t="s">
        <v>11187</v>
      </c>
      <c r="AX4152" t="s">
        <v>11212</v>
      </c>
      <c r="BA4152" t="s">
        <v>11222</v>
      </c>
      <c r="BC4152" t="s">
        <v>11599</v>
      </c>
      <c r="BD4152" t="s">
        <v>11667</v>
      </c>
      <c r="BF4152" t="s">
        <v>14364</v>
      </c>
      <c r="BM4152" t="s">
        <v>15650</v>
      </c>
    </row>
    <row r="4153" spans="1:65">
      <c r="A4153" s="1">
        <f>HYPERLINK("https://lsnyc.legalserver.org/matter/dynamic-profile/view/1902023","19-1902023")</f>
        <v>0</v>
      </c>
      <c r="B4153" t="s">
        <v>219</v>
      </c>
      <c r="C4153" t="s">
        <v>246</v>
      </c>
      <c r="D4153" t="s">
        <v>590</v>
      </c>
      <c r="F4153" t="s">
        <v>2671</v>
      </c>
      <c r="G4153" t="s">
        <v>2964</v>
      </c>
      <c r="H4153" t="s">
        <v>5741</v>
      </c>
      <c r="I4153" t="s">
        <v>6486</v>
      </c>
      <c r="J4153" t="s">
        <v>7170</v>
      </c>
      <c r="K4153">
        <v>10452</v>
      </c>
      <c r="N4153" t="s">
        <v>7237</v>
      </c>
      <c r="O4153" t="s">
        <v>9855</v>
      </c>
      <c r="P4153">
        <v>1</v>
      </c>
      <c r="Q4153">
        <v>2</v>
      </c>
      <c r="R4153">
        <v>15.6</v>
      </c>
      <c r="U4153">
        <v>3328</v>
      </c>
      <c r="W4153">
        <v>1.2</v>
      </c>
      <c r="X4153" t="s">
        <v>590</v>
      </c>
      <c r="Y4153" t="s">
        <v>210</v>
      </c>
      <c r="AA4153" t="s">
        <v>10974</v>
      </c>
      <c r="AB4153" t="s">
        <v>10987</v>
      </c>
      <c r="AD4153" t="s">
        <v>11098</v>
      </c>
      <c r="AF4153" t="s">
        <v>11122</v>
      </c>
      <c r="AH4153" t="s">
        <v>10974</v>
      </c>
      <c r="AJ4153" t="s">
        <v>11141</v>
      </c>
      <c r="AK4153" t="s">
        <v>7225</v>
      </c>
      <c r="AM4153">
        <v>1700</v>
      </c>
      <c r="AO4153">
        <v>52</v>
      </c>
      <c r="AQ4153" t="s">
        <v>11157</v>
      </c>
      <c r="AS4153" t="s">
        <v>11180</v>
      </c>
      <c r="AU4153">
        <v>6</v>
      </c>
      <c r="AW4153" t="s">
        <v>11187</v>
      </c>
      <c r="BA4153" t="s">
        <v>11222</v>
      </c>
      <c r="BC4153" t="s">
        <v>11599</v>
      </c>
      <c r="BD4153" t="s">
        <v>11667</v>
      </c>
      <c r="BF4153" t="s">
        <v>14364</v>
      </c>
      <c r="BM4153" t="s">
        <v>15650</v>
      </c>
    </row>
    <row r="4154" spans="1:65">
      <c r="A4154" s="1">
        <f>HYPERLINK("https://lsnyc.legalserver.org/matter/dynamic-profile/view/1875405","18-1875405")</f>
        <v>0</v>
      </c>
      <c r="B4154" t="s">
        <v>219</v>
      </c>
      <c r="C4154" t="s">
        <v>246</v>
      </c>
      <c r="D4154" t="s">
        <v>371</v>
      </c>
      <c r="F4154" t="s">
        <v>2662</v>
      </c>
      <c r="G4154" t="s">
        <v>3489</v>
      </c>
      <c r="H4154" t="s">
        <v>6158</v>
      </c>
      <c r="I4154" t="s">
        <v>6620</v>
      </c>
      <c r="J4154" t="s">
        <v>7170</v>
      </c>
      <c r="K4154">
        <v>10453</v>
      </c>
      <c r="N4154" t="s">
        <v>7237</v>
      </c>
      <c r="O4154" t="s">
        <v>9835</v>
      </c>
      <c r="P4154">
        <v>2</v>
      </c>
      <c r="Q4154">
        <v>0</v>
      </c>
      <c r="R4154">
        <v>13.34</v>
      </c>
      <c r="U4154">
        <v>2196</v>
      </c>
      <c r="W4154">
        <v>38.3</v>
      </c>
      <c r="X4154" t="s">
        <v>525</v>
      </c>
      <c r="Y4154" t="s">
        <v>10897</v>
      </c>
      <c r="AA4154" t="s">
        <v>10974</v>
      </c>
      <c r="AB4154" t="s">
        <v>1000</v>
      </c>
      <c r="AD4154" t="s">
        <v>11082</v>
      </c>
      <c r="AF4154" t="s">
        <v>11118</v>
      </c>
      <c r="AH4154" t="s">
        <v>10975</v>
      </c>
      <c r="AJ4154" t="s">
        <v>11129</v>
      </c>
      <c r="AK4154" t="s">
        <v>7225</v>
      </c>
      <c r="AM4154">
        <v>1385</v>
      </c>
      <c r="AO4154">
        <v>64</v>
      </c>
      <c r="AQ4154" t="s">
        <v>11157</v>
      </c>
      <c r="AS4154" t="s">
        <v>11173</v>
      </c>
      <c r="AU4154">
        <v>40</v>
      </c>
      <c r="AW4154" t="s">
        <v>11187</v>
      </c>
      <c r="AY4154" t="s">
        <v>11213</v>
      </c>
      <c r="AZ4154" t="s">
        <v>11221</v>
      </c>
      <c r="BC4154" t="s">
        <v>11600</v>
      </c>
      <c r="BE4154" t="s">
        <v>13939</v>
      </c>
      <c r="BG4154" t="s">
        <v>15398</v>
      </c>
      <c r="BI4154" t="s">
        <v>15609</v>
      </c>
      <c r="BK4154" t="s">
        <v>11104</v>
      </c>
      <c r="BM4154" t="s">
        <v>15650</v>
      </c>
    </row>
    <row r="4155" spans="1:65">
      <c r="A4155" s="1">
        <f>HYPERLINK("https://lsnyc.legalserver.org/matter/dynamic-profile/view/1903307","19-1903307")</f>
        <v>0</v>
      </c>
      <c r="B4155" t="s">
        <v>219</v>
      </c>
      <c r="C4155" t="s">
        <v>246</v>
      </c>
      <c r="D4155" t="s">
        <v>571</v>
      </c>
      <c r="F4155" t="s">
        <v>1155</v>
      </c>
      <c r="G4155" t="s">
        <v>2998</v>
      </c>
      <c r="H4155" t="s">
        <v>6152</v>
      </c>
      <c r="I4155">
        <v>59</v>
      </c>
      <c r="J4155" t="s">
        <v>7170</v>
      </c>
      <c r="K4155">
        <v>10458</v>
      </c>
      <c r="N4155" t="s">
        <v>7244</v>
      </c>
      <c r="O4155" t="s">
        <v>9827</v>
      </c>
      <c r="P4155">
        <v>2</v>
      </c>
      <c r="Q4155">
        <v>3</v>
      </c>
      <c r="R4155">
        <v>9.94</v>
      </c>
      <c r="U4155">
        <v>3000</v>
      </c>
      <c r="V4155" t="s">
        <v>10766</v>
      </c>
      <c r="W4155">
        <v>4.8</v>
      </c>
      <c r="X4155" t="s">
        <v>548</v>
      </c>
      <c r="Y4155" t="s">
        <v>219</v>
      </c>
      <c r="AA4155" t="s">
        <v>10974</v>
      </c>
      <c r="AB4155" t="s">
        <v>10979</v>
      </c>
      <c r="AD4155" t="s">
        <v>11100</v>
      </c>
      <c r="AF4155" t="s">
        <v>11120</v>
      </c>
      <c r="AH4155" t="s">
        <v>10975</v>
      </c>
      <c r="AJ4155" t="s">
        <v>11141</v>
      </c>
      <c r="AK4155" t="s">
        <v>7225</v>
      </c>
      <c r="AM4155">
        <v>1108.75</v>
      </c>
      <c r="AN4155" t="s">
        <v>11151</v>
      </c>
      <c r="AO4155" t="s">
        <v>11153</v>
      </c>
      <c r="AQ4155" t="s">
        <v>11157</v>
      </c>
      <c r="AS4155" t="s">
        <v>11176</v>
      </c>
      <c r="AU4155">
        <v>6</v>
      </c>
      <c r="AW4155" t="s">
        <v>11187</v>
      </c>
      <c r="AY4155" t="s">
        <v>11213</v>
      </c>
      <c r="BA4155" t="s">
        <v>11223</v>
      </c>
      <c r="BC4155" t="s">
        <v>11588</v>
      </c>
      <c r="BE4155" t="s">
        <v>13930</v>
      </c>
      <c r="BF4155" t="s">
        <v>14364</v>
      </c>
      <c r="BM4155" t="s">
        <v>15650</v>
      </c>
    </row>
    <row r="4156" spans="1:65">
      <c r="A4156" s="1">
        <f>HYPERLINK("https://lsnyc.legalserver.org/matter/dynamic-profile/view/1895909","19-1895909")</f>
        <v>0</v>
      </c>
      <c r="B4156" t="s">
        <v>219</v>
      </c>
      <c r="C4156" t="s">
        <v>246</v>
      </c>
      <c r="D4156" t="s">
        <v>295</v>
      </c>
      <c r="F4156" t="s">
        <v>1155</v>
      </c>
      <c r="G4156" t="s">
        <v>2998</v>
      </c>
      <c r="H4156" t="s">
        <v>6152</v>
      </c>
      <c r="I4156">
        <v>59</v>
      </c>
      <c r="J4156" t="s">
        <v>7170</v>
      </c>
      <c r="K4156">
        <v>10458</v>
      </c>
      <c r="N4156" t="s">
        <v>7237</v>
      </c>
      <c r="O4156" t="s">
        <v>9827</v>
      </c>
      <c r="P4156">
        <v>2</v>
      </c>
      <c r="Q4156">
        <v>3</v>
      </c>
      <c r="R4156">
        <v>9.94</v>
      </c>
      <c r="U4156">
        <v>3000</v>
      </c>
      <c r="W4156">
        <v>9.199999999999999</v>
      </c>
      <c r="X4156" t="s">
        <v>923</v>
      </c>
      <c r="Y4156" t="s">
        <v>210</v>
      </c>
      <c r="AA4156" t="s">
        <v>10974</v>
      </c>
      <c r="AB4156" t="s">
        <v>295</v>
      </c>
      <c r="AD4156" t="s">
        <v>11098</v>
      </c>
      <c r="AF4156" t="s">
        <v>11122</v>
      </c>
      <c r="AH4156" t="s">
        <v>10974</v>
      </c>
      <c r="AJ4156" t="s">
        <v>11141</v>
      </c>
      <c r="AK4156" t="s">
        <v>7225</v>
      </c>
      <c r="AM4156">
        <v>1092</v>
      </c>
      <c r="AO4156">
        <v>48</v>
      </c>
      <c r="AQ4156" t="s">
        <v>11157</v>
      </c>
      <c r="AS4156" t="s">
        <v>11176</v>
      </c>
      <c r="AU4156">
        <v>6</v>
      </c>
      <c r="AW4156" t="s">
        <v>11187</v>
      </c>
      <c r="BA4156" t="s">
        <v>11223</v>
      </c>
      <c r="BC4156" t="s">
        <v>11588</v>
      </c>
      <c r="BE4156" t="s">
        <v>13930</v>
      </c>
      <c r="BF4156" t="s">
        <v>14364</v>
      </c>
      <c r="BM4156" t="s">
        <v>15650</v>
      </c>
    </row>
    <row r="4157" spans="1:65">
      <c r="A4157" s="1">
        <f>HYPERLINK("https://lsnyc.legalserver.org/matter/dynamic-profile/view/1903949","19-1903949")</f>
        <v>0</v>
      </c>
      <c r="B4157" t="s">
        <v>219</v>
      </c>
      <c r="C4157" t="s">
        <v>246</v>
      </c>
      <c r="D4157" t="s">
        <v>406</v>
      </c>
      <c r="F4157" t="s">
        <v>2672</v>
      </c>
      <c r="G4157" t="s">
        <v>4552</v>
      </c>
      <c r="H4157" t="s">
        <v>6160</v>
      </c>
      <c r="I4157" t="s">
        <v>6618</v>
      </c>
      <c r="J4157" t="s">
        <v>7170</v>
      </c>
      <c r="K4157">
        <v>10452</v>
      </c>
      <c r="N4157" t="s">
        <v>7237</v>
      </c>
      <c r="O4157" t="s">
        <v>9856</v>
      </c>
      <c r="P4157">
        <v>2</v>
      </c>
      <c r="Q4157">
        <v>0</v>
      </c>
      <c r="R4157">
        <v>276.76</v>
      </c>
      <c r="U4157">
        <v>46800</v>
      </c>
      <c r="W4157">
        <v>1.2</v>
      </c>
      <c r="X4157" t="s">
        <v>406</v>
      </c>
      <c r="Y4157" t="s">
        <v>210</v>
      </c>
      <c r="AA4157" t="s">
        <v>10974</v>
      </c>
      <c r="AB4157" t="s">
        <v>10987</v>
      </c>
      <c r="AD4157" t="s">
        <v>11098</v>
      </c>
      <c r="AF4157" t="s">
        <v>11122</v>
      </c>
      <c r="AH4157" t="s">
        <v>10974</v>
      </c>
      <c r="AJ4157" t="s">
        <v>11141</v>
      </c>
      <c r="AK4157" t="s">
        <v>7225</v>
      </c>
      <c r="AM4157">
        <v>1382.25</v>
      </c>
      <c r="AO4157">
        <v>52</v>
      </c>
      <c r="AQ4157" t="s">
        <v>11157</v>
      </c>
      <c r="AS4157" t="s">
        <v>11173</v>
      </c>
      <c r="AU4157">
        <v>6</v>
      </c>
      <c r="AW4157" t="s">
        <v>11187</v>
      </c>
      <c r="BA4157" t="s">
        <v>11222</v>
      </c>
      <c r="BE4157" t="s">
        <v>13962</v>
      </c>
      <c r="BF4157" t="s">
        <v>14364</v>
      </c>
      <c r="BM4157" t="s">
        <v>15650</v>
      </c>
    </row>
    <row r="4158" spans="1:65">
      <c r="A4158" s="1">
        <f>HYPERLINK("https://lsnyc.legalserver.org/matter/dynamic-profile/view/1905957","19-1905957")</f>
        <v>0</v>
      </c>
      <c r="B4158" t="s">
        <v>219</v>
      </c>
      <c r="C4158" t="s">
        <v>246</v>
      </c>
      <c r="D4158" t="s">
        <v>394</v>
      </c>
      <c r="F4158" t="s">
        <v>2301</v>
      </c>
      <c r="G4158" t="s">
        <v>2888</v>
      </c>
      <c r="H4158" t="s">
        <v>5741</v>
      </c>
      <c r="I4158" t="s">
        <v>6424</v>
      </c>
      <c r="J4158" t="s">
        <v>7170</v>
      </c>
      <c r="K4158">
        <v>10452</v>
      </c>
      <c r="N4158" t="s">
        <v>7237</v>
      </c>
      <c r="O4158" t="s">
        <v>9857</v>
      </c>
      <c r="P4158">
        <v>2</v>
      </c>
      <c r="Q4158">
        <v>0</v>
      </c>
      <c r="R4158">
        <v>679.74</v>
      </c>
      <c r="U4158">
        <v>114944.72</v>
      </c>
      <c r="W4158">
        <v>0.6</v>
      </c>
      <c r="X4158" t="s">
        <v>394</v>
      </c>
      <c r="Y4158" t="s">
        <v>210</v>
      </c>
      <c r="AA4158" t="s">
        <v>10974</v>
      </c>
      <c r="AD4158" t="s">
        <v>11098</v>
      </c>
      <c r="AF4158" t="s">
        <v>11122</v>
      </c>
      <c r="AH4158" t="s">
        <v>10974</v>
      </c>
      <c r="AJ4158" t="s">
        <v>11141</v>
      </c>
      <c r="AK4158" t="s">
        <v>7225</v>
      </c>
      <c r="AM4158">
        <v>1728.15</v>
      </c>
      <c r="AO4158">
        <v>52</v>
      </c>
      <c r="AQ4158" t="s">
        <v>11157</v>
      </c>
      <c r="AS4158" t="s">
        <v>11173</v>
      </c>
      <c r="AU4158">
        <v>8</v>
      </c>
      <c r="AW4158" t="s">
        <v>11187</v>
      </c>
      <c r="AX4158" t="s">
        <v>11212</v>
      </c>
      <c r="BA4158" t="s">
        <v>11222</v>
      </c>
      <c r="BE4158" t="s">
        <v>13963</v>
      </c>
      <c r="BF4158" t="s">
        <v>14364</v>
      </c>
      <c r="BM4158" t="s">
        <v>15650</v>
      </c>
    </row>
    <row r="4159" spans="1:65">
      <c r="A4159" s="1">
        <f>HYPERLINK("https://lsnyc.legalserver.org/matter/dynamic-profile/view/1911818","19-1911818")</f>
        <v>0</v>
      </c>
      <c r="B4159" t="s">
        <v>219</v>
      </c>
      <c r="C4159" t="s">
        <v>246</v>
      </c>
      <c r="D4159" t="s">
        <v>345</v>
      </c>
      <c r="F4159" t="s">
        <v>2301</v>
      </c>
      <c r="G4159" t="s">
        <v>2888</v>
      </c>
      <c r="H4159" t="s">
        <v>5741</v>
      </c>
      <c r="I4159" t="s">
        <v>6424</v>
      </c>
      <c r="J4159" t="s">
        <v>7170</v>
      </c>
      <c r="K4159">
        <v>10452</v>
      </c>
      <c r="N4159" t="s">
        <v>7237</v>
      </c>
      <c r="O4159" t="s">
        <v>9857</v>
      </c>
      <c r="P4159">
        <v>2</v>
      </c>
      <c r="Q4159">
        <v>0</v>
      </c>
      <c r="R4159">
        <v>679.74</v>
      </c>
      <c r="U4159">
        <v>114944.72</v>
      </c>
      <c r="W4159">
        <v>0.4</v>
      </c>
      <c r="X4159" t="s">
        <v>345</v>
      </c>
      <c r="Y4159" t="s">
        <v>210</v>
      </c>
      <c r="AA4159" t="s">
        <v>10974</v>
      </c>
      <c r="AD4159" t="s">
        <v>11098</v>
      </c>
      <c r="AF4159" t="s">
        <v>11122</v>
      </c>
      <c r="AH4159" t="s">
        <v>10974</v>
      </c>
      <c r="AJ4159" t="s">
        <v>11141</v>
      </c>
      <c r="AK4159" t="s">
        <v>7225</v>
      </c>
      <c r="AM4159">
        <v>1728.15</v>
      </c>
      <c r="AO4159">
        <v>52</v>
      </c>
      <c r="AQ4159" t="s">
        <v>11157</v>
      </c>
      <c r="AS4159" t="s">
        <v>11173</v>
      </c>
      <c r="AU4159">
        <v>8</v>
      </c>
      <c r="AW4159" t="s">
        <v>11187</v>
      </c>
      <c r="AX4159" t="s">
        <v>11212</v>
      </c>
      <c r="BA4159" t="s">
        <v>11222</v>
      </c>
      <c r="BE4159" t="s">
        <v>13963</v>
      </c>
      <c r="BF4159" t="s">
        <v>14364</v>
      </c>
      <c r="BM4159" t="s">
        <v>15650</v>
      </c>
    </row>
    <row r="4160" spans="1:65">
      <c r="A4160" s="1">
        <f>HYPERLINK("https://lsnyc.legalserver.org/matter/dynamic-profile/view/1877206","18-1877206")</f>
        <v>0</v>
      </c>
      <c r="B4160" t="s">
        <v>219</v>
      </c>
      <c r="C4160" t="s">
        <v>246</v>
      </c>
      <c r="D4160" t="s">
        <v>291</v>
      </c>
      <c r="E4160" t="s">
        <v>1082</v>
      </c>
      <c r="F4160" t="s">
        <v>2673</v>
      </c>
      <c r="G4160" t="s">
        <v>4553</v>
      </c>
      <c r="H4160" t="s">
        <v>6171</v>
      </c>
      <c r="I4160" t="s">
        <v>6534</v>
      </c>
      <c r="J4160" t="s">
        <v>7170</v>
      </c>
      <c r="K4160">
        <v>10451</v>
      </c>
      <c r="L4160" t="s">
        <v>7216</v>
      </c>
      <c r="N4160" t="s">
        <v>7237</v>
      </c>
      <c r="O4160" t="s">
        <v>7545</v>
      </c>
      <c r="P4160">
        <v>1</v>
      </c>
      <c r="Q4160">
        <v>2</v>
      </c>
      <c r="R4160">
        <v>0</v>
      </c>
      <c r="U4160">
        <v>0</v>
      </c>
      <c r="V4160" t="s">
        <v>10767</v>
      </c>
      <c r="W4160">
        <v>2.5</v>
      </c>
      <c r="X4160" t="s">
        <v>1082</v>
      </c>
      <c r="Y4160" t="s">
        <v>216</v>
      </c>
      <c r="AA4160" t="s">
        <v>10974</v>
      </c>
      <c r="AB4160" t="s">
        <v>484</v>
      </c>
      <c r="AD4160" t="s">
        <v>11090</v>
      </c>
      <c r="AF4160" t="s">
        <v>11119</v>
      </c>
      <c r="AH4160" t="s">
        <v>10975</v>
      </c>
      <c r="AJ4160" t="s">
        <v>11141</v>
      </c>
      <c r="AK4160" t="s">
        <v>7225</v>
      </c>
      <c r="AM4160">
        <v>968</v>
      </c>
      <c r="AO4160">
        <v>27</v>
      </c>
      <c r="AQ4160" t="s">
        <v>11157</v>
      </c>
      <c r="AS4160" t="s">
        <v>11181</v>
      </c>
      <c r="AU4160">
        <v>2</v>
      </c>
      <c r="AW4160" t="s">
        <v>11187</v>
      </c>
      <c r="AY4160" t="s">
        <v>11213</v>
      </c>
      <c r="BA4160" t="s">
        <v>11222</v>
      </c>
      <c r="BE4160" t="s">
        <v>13964</v>
      </c>
      <c r="BF4160" t="s">
        <v>14364</v>
      </c>
      <c r="BM4160" t="s">
        <v>15651</v>
      </c>
    </row>
    <row r="4161" spans="1:65">
      <c r="A4161" s="1">
        <f>HYPERLINK("https://lsnyc.legalserver.org/matter/dynamic-profile/view/1879510","18-1879510")</f>
        <v>0</v>
      </c>
      <c r="B4161" t="s">
        <v>219</v>
      </c>
      <c r="C4161" t="s">
        <v>246</v>
      </c>
      <c r="D4161" t="s">
        <v>600</v>
      </c>
      <c r="F4161" t="s">
        <v>2666</v>
      </c>
      <c r="G4161" t="s">
        <v>2949</v>
      </c>
      <c r="H4161" t="s">
        <v>5233</v>
      </c>
      <c r="I4161" t="s">
        <v>6440</v>
      </c>
      <c r="J4161" t="s">
        <v>7170</v>
      </c>
      <c r="K4161">
        <v>10453</v>
      </c>
      <c r="N4161" t="s">
        <v>7237</v>
      </c>
      <c r="O4161" t="s">
        <v>9847</v>
      </c>
      <c r="P4161">
        <v>1</v>
      </c>
      <c r="Q4161">
        <v>1</v>
      </c>
      <c r="R4161">
        <v>0</v>
      </c>
      <c r="U4161">
        <v>0</v>
      </c>
      <c r="W4161">
        <v>70.5</v>
      </c>
      <c r="X4161" t="s">
        <v>563</v>
      </c>
      <c r="Y4161" t="s">
        <v>216</v>
      </c>
      <c r="AA4161" t="s">
        <v>10974</v>
      </c>
      <c r="AB4161" t="s">
        <v>663</v>
      </c>
      <c r="AD4161" t="s">
        <v>11101</v>
      </c>
      <c r="AF4161" t="s">
        <v>11118</v>
      </c>
      <c r="AH4161" t="s">
        <v>10975</v>
      </c>
      <c r="AJ4161" t="s">
        <v>11129</v>
      </c>
      <c r="AK4161" t="s">
        <v>7225</v>
      </c>
      <c r="AM4161">
        <v>1220</v>
      </c>
      <c r="AO4161">
        <v>46</v>
      </c>
      <c r="AQ4161" t="s">
        <v>11157</v>
      </c>
      <c r="AS4161" t="s">
        <v>11180</v>
      </c>
      <c r="AU4161">
        <v>4</v>
      </c>
      <c r="AW4161" t="s">
        <v>11189</v>
      </c>
      <c r="AY4161" t="s">
        <v>11213</v>
      </c>
      <c r="AZ4161" t="s">
        <v>11221</v>
      </c>
      <c r="BC4161" t="s">
        <v>11597</v>
      </c>
      <c r="BE4161" t="s">
        <v>13952</v>
      </c>
      <c r="BF4161" t="s">
        <v>14364</v>
      </c>
      <c r="BM4161" t="s">
        <v>15650</v>
      </c>
    </row>
    <row r="4162" spans="1:65">
      <c r="A4162" s="1">
        <f>HYPERLINK("https://lsnyc.legalserver.org/matter/dynamic-profile/view/1887213","19-1887213")</f>
        <v>0</v>
      </c>
      <c r="B4162" t="s">
        <v>219</v>
      </c>
      <c r="C4162" t="s">
        <v>246</v>
      </c>
      <c r="D4162" t="s">
        <v>495</v>
      </c>
      <c r="E4162" t="s">
        <v>1082</v>
      </c>
      <c r="F4162" t="s">
        <v>2673</v>
      </c>
      <c r="G4162" t="s">
        <v>4553</v>
      </c>
      <c r="H4162" t="s">
        <v>6172</v>
      </c>
      <c r="I4162" t="s">
        <v>6424</v>
      </c>
      <c r="J4162" t="s">
        <v>7170</v>
      </c>
      <c r="K4162">
        <v>10460</v>
      </c>
      <c r="L4162" t="s">
        <v>7216</v>
      </c>
      <c r="N4162" t="s">
        <v>7243</v>
      </c>
      <c r="O4162" t="s">
        <v>7545</v>
      </c>
      <c r="P4162">
        <v>1</v>
      </c>
      <c r="Q4162">
        <v>2</v>
      </c>
      <c r="R4162">
        <v>0</v>
      </c>
      <c r="U4162">
        <v>0</v>
      </c>
      <c r="W4162">
        <v>1.3</v>
      </c>
      <c r="X4162" t="s">
        <v>1082</v>
      </c>
      <c r="Y4162" t="s">
        <v>216</v>
      </c>
      <c r="AA4162" t="s">
        <v>10974</v>
      </c>
      <c r="AD4162" t="s">
        <v>11113</v>
      </c>
      <c r="AF4162" t="s">
        <v>11119</v>
      </c>
      <c r="AH4162" t="s">
        <v>10975</v>
      </c>
      <c r="AI4162" t="s">
        <v>11126</v>
      </c>
      <c r="AK4162" t="s">
        <v>7225</v>
      </c>
      <c r="AL4162" t="s">
        <v>11150</v>
      </c>
      <c r="AM4162">
        <v>0</v>
      </c>
      <c r="AN4162" t="s">
        <v>11151</v>
      </c>
      <c r="AO4162" t="s">
        <v>11153</v>
      </c>
      <c r="AQ4162" t="s">
        <v>11157</v>
      </c>
      <c r="AR4162" t="s">
        <v>11172</v>
      </c>
      <c r="AT4162" t="s">
        <v>11184</v>
      </c>
      <c r="AU4162">
        <v>0</v>
      </c>
      <c r="AW4162" t="s">
        <v>11187</v>
      </c>
      <c r="AY4162" t="s">
        <v>11213</v>
      </c>
      <c r="BA4162" t="s">
        <v>11222</v>
      </c>
      <c r="BE4162" t="s">
        <v>13964</v>
      </c>
      <c r="BF4162" t="s">
        <v>14364</v>
      </c>
      <c r="BM4162" t="s">
        <v>15651</v>
      </c>
    </row>
    <row r="4163" spans="1:65">
      <c r="A4163" s="1">
        <f>HYPERLINK("https://lsnyc.legalserver.org/matter/dynamic-profile/view/1912937","19-1912937")</f>
        <v>0</v>
      </c>
      <c r="B4163" t="s">
        <v>219</v>
      </c>
      <c r="C4163" t="s">
        <v>246</v>
      </c>
      <c r="D4163" t="s">
        <v>305</v>
      </c>
      <c r="F4163" t="s">
        <v>1707</v>
      </c>
      <c r="G4163" t="s">
        <v>1187</v>
      </c>
      <c r="H4163" t="s">
        <v>4971</v>
      </c>
      <c r="I4163" t="s">
        <v>6678</v>
      </c>
      <c r="J4163" t="s">
        <v>7170</v>
      </c>
      <c r="K4163">
        <v>10460</v>
      </c>
      <c r="N4163" t="s">
        <v>7243</v>
      </c>
      <c r="O4163" t="s">
        <v>8074</v>
      </c>
      <c r="P4163">
        <v>1</v>
      </c>
      <c r="Q4163">
        <v>1</v>
      </c>
      <c r="R4163">
        <v>0</v>
      </c>
      <c r="U4163">
        <v>0</v>
      </c>
      <c r="W4163">
        <v>4.1</v>
      </c>
      <c r="X4163" t="s">
        <v>528</v>
      </c>
      <c r="Y4163" t="s">
        <v>219</v>
      </c>
      <c r="AA4163" t="s">
        <v>10974</v>
      </c>
      <c r="AD4163" t="s">
        <v>11082</v>
      </c>
      <c r="AF4163" t="s">
        <v>11120</v>
      </c>
      <c r="AH4163" t="s">
        <v>10974</v>
      </c>
      <c r="AJ4163" t="s">
        <v>11132</v>
      </c>
      <c r="AK4163" t="s">
        <v>7225</v>
      </c>
      <c r="AM4163">
        <v>140</v>
      </c>
      <c r="AN4163" t="s">
        <v>11151</v>
      </c>
      <c r="AO4163" t="s">
        <v>11153</v>
      </c>
      <c r="AQ4163" t="s">
        <v>11161</v>
      </c>
      <c r="AS4163" t="s">
        <v>11174</v>
      </c>
      <c r="AU4163">
        <v>12</v>
      </c>
      <c r="AW4163" t="s">
        <v>11187</v>
      </c>
      <c r="AY4163" t="s">
        <v>11215</v>
      </c>
      <c r="BA4163" t="s">
        <v>11222</v>
      </c>
      <c r="BC4163" t="s">
        <v>11601</v>
      </c>
      <c r="BE4163" t="s">
        <v>12389</v>
      </c>
      <c r="BF4163" t="s">
        <v>14364</v>
      </c>
      <c r="BG4163" t="s">
        <v>15399</v>
      </c>
      <c r="BM4163" t="s">
        <v>15650</v>
      </c>
    </row>
    <row r="4164" spans="1:65">
      <c r="A4164" s="1">
        <f>HYPERLINK("https://lsnyc.legalserver.org/matter/dynamic-profile/view/1911895","19-1911895")</f>
        <v>0</v>
      </c>
      <c r="B4164" t="s">
        <v>219</v>
      </c>
      <c r="C4164" t="s">
        <v>246</v>
      </c>
      <c r="D4164" t="s">
        <v>345</v>
      </c>
      <c r="F4164" t="s">
        <v>1822</v>
      </c>
      <c r="G4164" t="s">
        <v>4554</v>
      </c>
      <c r="H4164" t="s">
        <v>5741</v>
      </c>
      <c r="I4164" t="s">
        <v>6403</v>
      </c>
      <c r="J4164" t="s">
        <v>7170</v>
      </c>
      <c r="K4164">
        <v>10452</v>
      </c>
      <c r="N4164" t="s">
        <v>7237</v>
      </c>
      <c r="O4164" t="s">
        <v>9858</v>
      </c>
      <c r="P4164">
        <v>1</v>
      </c>
      <c r="Q4164">
        <v>2</v>
      </c>
      <c r="R4164">
        <v>234.41</v>
      </c>
      <c r="U4164">
        <v>50000</v>
      </c>
      <c r="W4164">
        <v>0.4</v>
      </c>
      <c r="X4164" t="s">
        <v>345</v>
      </c>
      <c r="Y4164" t="s">
        <v>210</v>
      </c>
      <c r="AA4164" t="s">
        <v>10974</v>
      </c>
      <c r="AD4164" t="s">
        <v>11098</v>
      </c>
      <c r="AF4164" t="s">
        <v>11122</v>
      </c>
      <c r="AH4164" t="s">
        <v>10974</v>
      </c>
      <c r="AJ4164" t="s">
        <v>11141</v>
      </c>
      <c r="AK4164" t="s">
        <v>7225</v>
      </c>
      <c r="AM4164">
        <v>1584.95</v>
      </c>
      <c r="AO4164">
        <v>52</v>
      </c>
      <c r="AQ4164" t="s">
        <v>11157</v>
      </c>
      <c r="AS4164" t="s">
        <v>11173</v>
      </c>
      <c r="AU4164">
        <v>10</v>
      </c>
      <c r="AW4164" t="s">
        <v>11187</v>
      </c>
      <c r="AX4164" t="s">
        <v>11212</v>
      </c>
      <c r="BA4164" t="s">
        <v>11222</v>
      </c>
      <c r="BE4164" t="s">
        <v>13965</v>
      </c>
      <c r="BF4164" t="s">
        <v>14364</v>
      </c>
      <c r="BM4164" t="s">
        <v>15650</v>
      </c>
    </row>
    <row r="4165" spans="1:65">
      <c r="A4165" s="1">
        <f>HYPERLINK("https://lsnyc.legalserver.org/matter/dynamic-profile/view/1911898","19-1911898")</f>
        <v>0</v>
      </c>
      <c r="B4165" t="s">
        <v>219</v>
      </c>
      <c r="C4165" t="s">
        <v>246</v>
      </c>
      <c r="D4165" t="s">
        <v>345</v>
      </c>
      <c r="F4165" t="s">
        <v>1822</v>
      </c>
      <c r="G4165" t="s">
        <v>4554</v>
      </c>
      <c r="H4165" t="s">
        <v>5741</v>
      </c>
      <c r="I4165" t="s">
        <v>6403</v>
      </c>
      <c r="J4165" t="s">
        <v>7170</v>
      </c>
      <c r="K4165">
        <v>10452</v>
      </c>
      <c r="N4165" t="s">
        <v>7237</v>
      </c>
      <c r="O4165" t="s">
        <v>9858</v>
      </c>
      <c r="P4165">
        <v>1</v>
      </c>
      <c r="Q4165">
        <v>2</v>
      </c>
      <c r="R4165">
        <v>234.41</v>
      </c>
      <c r="U4165">
        <v>50000</v>
      </c>
      <c r="W4165">
        <v>0.4</v>
      </c>
      <c r="X4165" t="s">
        <v>345</v>
      </c>
      <c r="Y4165" t="s">
        <v>210</v>
      </c>
      <c r="AA4165" t="s">
        <v>10974</v>
      </c>
      <c r="AD4165" t="s">
        <v>11098</v>
      </c>
      <c r="AF4165" t="s">
        <v>11122</v>
      </c>
      <c r="AH4165" t="s">
        <v>10974</v>
      </c>
      <c r="AJ4165" t="s">
        <v>11141</v>
      </c>
      <c r="AK4165" t="s">
        <v>7225</v>
      </c>
      <c r="AM4165">
        <v>1584.95</v>
      </c>
      <c r="AO4165">
        <v>52</v>
      </c>
      <c r="AQ4165" t="s">
        <v>11157</v>
      </c>
      <c r="AS4165" t="s">
        <v>11173</v>
      </c>
      <c r="AU4165">
        <v>10</v>
      </c>
      <c r="AW4165" t="s">
        <v>11187</v>
      </c>
      <c r="AX4165" t="s">
        <v>11212</v>
      </c>
      <c r="BA4165" t="s">
        <v>11222</v>
      </c>
      <c r="BE4165" t="s">
        <v>13965</v>
      </c>
      <c r="BF4165" t="s">
        <v>14364</v>
      </c>
      <c r="BM4165" t="s">
        <v>15650</v>
      </c>
    </row>
    <row r="4166" spans="1:65">
      <c r="A4166" s="1">
        <f>HYPERLINK("https://lsnyc.legalserver.org/matter/dynamic-profile/view/1902043","19-1902043")</f>
        <v>0</v>
      </c>
      <c r="B4166" t="s">
        <v>219</v>
      </c>
      <c r="C4166" t="s">
        <v>246</v>
      </c>
      <c r="D4166" t="s">
        <v>590</v>
      </c>
      <c r="F4166" t="s">
        <v>1388</v>
      </c>
      <c r="G4166" t="s">
        <v>4550</v>
      </c>
      <c r="H4166" t="s">
        <v>5741</v>
      </c>
      <c r="I4166" t="s">
        <v>6480</v>
      </c>
      <c r="J4166" t="s">
        <v>7170</v>
      </c>
      <c r="K4166">
        <v>10452</v>
      </c>
      <c r="N4166" t="s">
        <v>7237</v>
      </c>
      <c r="O4166" t="s">
        <v>9853</v>
      </c>
      <c r="P4166">
        <v>2</v>
      </c>
      <c r="Q4166">
        <v>0</v>
      </c>
      <c r="R4166">
        <v>603.1900000000001</v>
      </c>
      <c r="U4166">
        <v>102000</v>
      </c>
      <c r="W4166">
        <v>1.2</v>
      </c>
      <c r="X4166" t="s">
        <v>590</v>
      </c>
      <c r="Y4166" t="s">
        <v>210</v>
      </c>
      <c r="AA4166" t="s">
        <v>10974</v>
      </c>
      <c r="AB4166" t="s">
        <v>10987</v>
      </c>
      <c r="AD4166" t="s">
        <v>11098</v>
      </c>
      <c r="AF4166" t="s">
        <v>11122</v>
      </c>
      <c r="AH4166" t="s">
        <v>10974</v>
      </c>
      <c r="AJ4166" t="s">
        <v>11141</v>
      </c>
      <c r="AK4166" t="s">
        <v>7225</v>
      </c>
      <c r="AM4166">
        <v>1156.92</v>
      </c>
      <c r="AO4166">
        <v>52</v>
      </c>
      <c r="AQ4166" t="s">
        <v>11157</v>
      </c>
      <c r="AS4166" t="s">
        <v>11173</v>
      </c>
      <c r="AU4166">
        <v>16</v>
      </c>
      <c r="AW4166" t="s">
        <v>11187</v>
      </c>
      <c r="BA4166" t="s">
        <v>11222</v>
      </c>
      <c r="BE4166" t="s">
        <v>13960</v>
      </c>
      <c r="BF4166" t="s">
        <v>14364</v>
      </c>
      <c r="BM4166" t="s">
        <v>15650</v>
      </c>
    </row>
    <row r="4167" spans="1:65">
      <c r="A4167" s="1">
        <f>HYPERLINK("https://lsnyc.legalserver.org/matter/dynamic-profile/view/1887017","19-1887017")</f>
        <v>0</v>
      </c>
      <c r="B4167" t="s">
        <v>219</v>
      </c>
      <c r="C4167" t="s">
        <v>246</v>
      </c>
      <c r="D4167" t="s">
        <v>621</v>
      </c>
      <c r="F4167" t="s">
        <v>2674</v>
      </c>
      <c r="G4167" t="s">
        <v>1157</v>
      </c>
      <c r="H4167" t="s">
        <v>6157</v>
      </c>
      <c r="I4167" t="s">
        <v>6585</v>
      </c>
      <c r="J4167" t="s">
        <v>7170</v>
      </c>
      <c r="K4167">
        <v>10459</v>
      </c>
      <c r="N4167" t="s">
        <v>7237</v>
      </c>
      <c r="O4167" t="s">
        <v>9859</v>
      </c>
      <c r="P4167">
        <v>1</v>
      </c>
      <c r="Q4167">
        <v>0</v>
      </c>
      <c r="R4167">
        <v>17.79</v>
      </c>
      <c r="U4167">
        <v>2160</v>
      </c>
      <c r="W4167">
        <v>6.1</v>
      </c>
      <c r="X4167" t="s">
        <v>548</v>
      </c>
      <c r="Y4167" t="s">
        <v>216</v>
      </c>
      <c r="AA4167" t="s">
        <v>10974</v>
      </c>
      <c r="AB4167" t="s">
        <v>558</v>
      </c>
      <c r="AD4167" t="s">
        <v>11101</v>
      </c>
      <c r="AF4167" t="s">
        <v>11118</v>
      </c>
      <c r="AH4167" t="s">
        <v>10974</v>
      </c>
      <c r="AJ4167" t="s">
        <v>11141</v>
      </c>
      <c r="AK4167" t="s">
        <v>7225</v>
      </c>
      <c r="AM4167">
        <v>1000</v>
      </c>
      <c r="AO4167">
        <v>48</v>
      </c>
      <c r="AQ4167" t="s">
        <v>11161</v>
      </c>
      <c r="AS4167" t="s">
        <v>11179</v>
      </c>
      <c r="AU4167">
        <v>15</v>
      </c>
      <c r="AW4167" t="s">
        <v>11187</v>
      </c>
      <c r="AZ4167" t="s">
        <v>11221</v>
      </c>
      <c r="BE4167" t="s">
        <v>13966</v>
      </c>
      <c r="BF4167" t="s">
        <v>14364</v>
      </c>
      <c r="BM4167" t="s">
        <v>15650</v>
      </c>
    </row>
    <row r="4168" spans="1:65">
      <c r="A4168" s="1">
        <f>HYPERLINK("https://lsnyc.legalserver.org/matter/dynamic-profile/view/1869551","18-1869551")</f>
        <v>0</v>
      </c>
      <c r="B4168" t="s">
        <v>219</v>
      </c>
      <c r="C4168" t="s">
        <v>246</v>
      </c>
      <c r="D4168" t="s">
        <v>607</v>
      </c>
      <c r="E4168" t="s">
        <v>1082</v>
      </c>
      <c r="F4168" t="s">
        <v>2414</v>
      </c>
      <c r="G4168" t="s">
        <v>2995</v>
      </c>
      <c r="H4168" t="s">
        <v>6173</v>
      </c>
      <c r="I4168" t="s">
        <v>6412</v>
      </c>
      <c r="J4168" t="s">
        <v>7170</v>
      </c>
      <c r="K4168">
        <v>10462</v>
      </c>
      <c r="L4168" t="s">
        <v>7219</v>
      </c>
      <c r="N4168" t="s">
        <v>7237</v>
      </c>
      <c r="O4168" t="s">
        <v>9860</v>
      </c>
      <c r="P4168">
        <v>1</v>
      </c>
      <c r="Q4168">
        <v>0</v>
      </c>
      <c r="R4168">
        <v>163.75</v>
      </c>
      <c r="U4168">
        <v>19879.08</v>
      </c>
      <c r="W4168">
        <v>24.95</v>
      </c>
      <c r="X4168" t="s">
        <v>1082</v>
      </c>
      <c r="Y4168" t="s">
        <v>10865</v>
      </c>
      <c r="AA4168" t="s">
        <v>10974</v>
      </c>
      <c r="AB4168" t="s">
        <v>802</v>
      </c>
      <c r="AD4168" t="s">
        <v>11082</v>
      </c>
      <c r="AF4168" t="s">
        <v>11118</v>
      </c>
      <c r="AH4168" t="s">
        <v>10975</v>
      </c>
      <c r="AJ4168" t="s">
        <v>11135</v>
      </c>
      <c r="AK4168" t="s">
        <v>7225</v>
      </c>
      <c r="AM4168">
        <v>1100</v>
      </c>
      <c r="AO4168">
        <v>10</v>
      </c>
      <c r="AQ4168" t="s">
        <v>11157</v>
      </c>
      <c r="AS4168" t="s">
        <v>11173</v>
      </c>
      <c r="AU4168">
        <v>4</v>
      </c>
      <c r="AW4168" t="s">
        <v>11187</v>
      </c>
      <c r="AY4168" t="s">
        <v>11213</v>
      </c>
      <c r="BA4168" t="s">
        <v>11222</v>
      </c>
      <c r="BC4168" t="s">
        <v>11602</v>
      </c>
      <c r="BE4168" t="s">
        <v>13967</v>
      </c>
      <c r="BG4168" t="s">
        <v>15400</v>
      </c>
      <c r="BH4168" t="s">
        <v>15605</v>
      </c>
      <c r="BJ4168" t="s">
        <v>15615</v>
      </c>
      <c r="BL4168" t="s">
        <v>15648</v>
      </c>
      <c r="BM4168" t="s">
        <v>15651</v>
      </c>
    </row>
    <row r="4169" spans="1:65">
      <c r="A4169" s="1">
        <f>HYPERLINK("https://lsnyc.legalserver.org/matter/dynamic-profile/view/1913639","19-1913639")</f>
        <v>0</v>
      </c>
      <c r="B4169" t="s">
        <v>219</v>
      </c>
      <c r="C4169" t="s">
        <v>246</v>
      </c>
      <c r="D4169" t="s">
        <v>301</v>
      </c>
      <c r="F4169" t="s">
        <v>1534</v>
      </c>
      <c r="G4169" t="s">
        <v>2990</v>
      </c>
      <c r="H4169" t="s">
        <v>6169</v>
      </c>
      <c r="I4169">
        <v>2</v>
      </c>
      <c r="J4169" t="s">
        <v>7170</v>
      </c>
      <c r="K4169">
        <v>10466</v>
      </c>
      <c r="N4169" t="s">
        <v>7237</v>
      </c>
      <c r="O4169" t="s">
        <v>9827</v>
      </c>
      <c r="P4169">
        <v>2</v>
      </c>
      <c r="Q4169">
        <v>5</v>
      </c>
      <c r="R4169">
        <v>22.46</v>
      </c>
      <c r="U4169">
        <v>8762</v>
      </c>
      <c r="W4169">
        <v>2.6</v>
      </c>
      <c r="X4169" t="s">
        <v>528</v>
      </c>
      <c r="Y4169" t="s">
        <v>219</v>
      </c>
      <c r="AA4169" t="s">
        <v>10974</v>
      </c>
      <c r="AD4169" t="s">
        <v>11083</v>
      </c>
      <c r="AF4169" t="s">
        <v>11121</v>
      </c>
      <c r="AH4169" t="s">
        <v>10975</v>
      </c>
      <c r="AI4169" t="s">
        <v>11126</v>
      </c>
      <c r="AK4169" t="s">
        <v>7225</v>
      </c>
      <c r="AM4169">
        <v>2224</v>
      </c>
      <c r="AO4169">
        <v>3</v>
      </c>
      <c r="AQ4169" t="s">
        <v>11156</v>
      </c>
      <c r="AS4169" t="s">
        <v>11176</v>
      </c>
      <c r="AU4169">
        <v>2</v>
      </c>
      <c r="AW4169" t="s">
        <v>11187</v>
      </c>
      <c r="AY4169" t="s">
        <v>11213</v>
      </c>
      <c r="BA4169" t="s">
        <v>11222</v>
      </c>
      <c r="BC4169" t="s">
        <v>11598</v>
      </c>
      <c r="BE4169" t="s">
        <v>13959</v>
      </c>
      <c r="BG4169" t="s">
        <v>15401</v>
      </c>
      <c r="BM4169" t="s">
        <v>15650</v>
      </c>
    </row>
    <row r="4170" spans="1:65">
      <c r="A4170" s="1">
        <f>HYPERLINK("https://lsnyc.legalserver.org/matter/dynamic-profile/view/1912824","19-1912824")</f>
        <v>0</v>
      </c>
      <c r="B4170" t="s">
        <v>219</v>
      </c>
      <c r="C4170" t="s">
        <v>246</v>
      </c>
      <c r="D4170" t="s">
        <v>316</v>
      </c>
      <c r="F4170" t="s">
        <v>2675</v>
      </c>
      <c r="G4170" t="s">
        <v>3168</v>
      </c>
      <c r="H4170" t="s">
        <v>6174</v>
      </c>
      <c r="I4170" t="s">
        <v>7102</v>
      </c>
      <c r="J4170" t="s">
        <v>7170</v>
      </c>
      <c r="K4170">
        <v>10452</v>
      </c>
      <c r="N4170" t="s">
        <v>7237</v>
      </c>
      <c r="O4170" t="s">
        <v>9861</v>
      </c>
      <c r="P4170">
        <v>2</v>
      </c>
      <c r="Q4170">
        <v>0</v>
      </c>
      <c r="R4170">
        <v>175.49</v>
      </c>
      <c r="U4170">
        <v>29676</v>
      </c>
      <c r="W4170">
        <v>4.6</v>
      </c>
      <c r="X4170" t="s">
        <v>669</v>
      </c>
      <c r="Y4170" t="s">
        <v>93</v>
      </c>
      <c r="AA4170" t="s">
        <v>10974</v>
      </c>
      <c r="AD4170" t="s">
        <v>11101</v>
      </c>
      <c r="AF4170" t="s">
        <v>11118</v>
      </c>
      <c r="AH4170" t="s">
        <v>10975</v>
      </c>
      <c r="AJ4170" t="s">
        <v>11141</v>
      </c>
      <c r="AK4170" t="s">
        <v>7225</v>
      </c>
      <c r="AM4170">
        <v>854</v>
      </c>
      <c r="AO4170">
        <v>44</v>
      </c>
      <c r="AQ4170" t="s">
        <v>11157</v>
      </c>
      <c r="AS4170" t="s">
        <v>11175</v>
      </c>
      <c r="AU4170">
        <v>42</v>
      </c>
      <c r="AW4170" t="s">
        <v>11189</v>
      </c>
      <c r="AX4170" t="s">
        <v>11212</v>
      </c>
      <c r="BA4170" t="s">
        <v>11222</v>
      </c>
      <c r="BE4170" t="s">
        <v>13968</v>
      </c>
      <c r="BF4170" t="s">
        <v>14364</v>
      </c>
      <c r="BM4170" t="s">
        <v>15650</v>
      </c>
    </row>
    <row r="4171" spans="1:65">
      <c r="A4171" s="1">
        <f>HYPERLINK("https://lsnyc.legalserver.org/matter/dynamic-profile/view/1880776","18-1880776")</f>
        <v>0</v>
      </c>
      <c r="B4171" t="s">
        <v>219</v>
      </c>
      <c r="C4171" t="s">
        <v>246</v>
      </c>
      <c r="D4171" t="s">
        <v>531</v>
      </c>
      <c r="F4171" t="s">
        <v>2675</v>
      </c>
      <c r="G4171" t="s">
        <v>3168</v>
      </c>
      <c r="H4171" t="s">
        <v>6174</v>
      </c>
      <c r="I4171" t="s">
        <v>7102</v>
      </c>
      <c r="J4171" t="s">
        <v>7170</v>
      </c>
      <c r="K4171">
        <v>10452</v>
      </c>
      <c r="N4171" t="s">
        <v>7237</v>
      </c>
      <c r="O4171" t="s">
        <v>9861</v>
      </c>
      <c r="P4171">
        <v>2</v>
      </c>
      <c r="Q4171">
        <v>0</v>
      </c>
      <c r="R4171">
        <v>180.29</v>
      </c>
      <c r="U4171">
        <v>29676</v>
      </c>
      <c r="W4171">
        <v>238.6</v>
      </c>
      <c r="X4171" t="s">
        <v>548</v>
      </c>
      <c r="Y4171" t="s">
        <v>216</v>
      </c>
      <c r="AA4171" t="s">
        <v>10974</v>
      </c>
      <c r="AB4171" t="s">
        <v>531</v>
      </c>
      <c r="AD4171" t="s">
        <v>11083</v>
      </c>
      <c r="AF4171" t="s">
        <v>11118</v>
      </c>
      <c r="AG4171" t="s">
        <v>11124</v>
      </c>
      <c r="AJ4171" t="s">
        <v>11141</v>
      </c>
      <c r="AK4171" t="s">
        <v>7225</v>
      </c>
      <c r="AM4171">
        <v>854</v>
      </c>
      <c r="AO4171">
        <v>44</v>
      </c>
      <c r="AQ4171" t="s">
        <v>11164</v>
      </c>
      <c r="AS4171" t="s">
        <v>11175</v>
      </c>
      <c r="AU4171">
        <v>42</v>
      </c>
      <c r="AW4171" t="s">
        <v>11189</v>
      </c>
      <c r="AZ4171" t="s">
        <v>11221</v>
      </c>
      <c r="BE4171" t="s">
        <v>13968</v>
      </c>
      <c r="BF4171" t="s">
        <v>14364</v>
      </c>
      <c r="BM4171" t="s">
        <v>15650</v>
      </c>
    </row>
    <row r="4172" spans="1:65">
      <c r="A4172" s="1">
        <f>HYPERLINK("https://lsnyc.legalserver.org/matter/dynamic-profile/view/1893963","19-1893963")</f>
        <v>0</v>
      </c>
      <c r="B4172" t="s">
        <v>219</v>
      </c>
      <c r="C4172" t="s">
        <v>246</v>
      </c>
      <c r="D4172" t="s">
        <v>334</v>
      </c>
      <c r="F4172" t="s">
        <v>2676</v>
      </c>
      <c r="G4172" t="s">
        <v>3488</v>
      </c>
      <c r="H4172" t="s">
        <v>6152</v>
      </c>
      <c r="I4172">
        <v>2</v>
      </c>
      <c r="J4172" t="s">
        <v>7170</v>
      </c>
      <c r="K4172">
        <v>10458</v>
      </c>
      <c r="N4172" t="s">
        <v>7237</v>
      </c>
      <c r="O4172" t="s">
        <v>950</v>
      </c>
      <c r="P4172">
        <v>4</v>
      </c>
      <c r="Q4172">
        <v>0</v>
      </c>
      <c r="R4172">
        <v>566.99</v>
      </c>
      <c r="U4172">
        <v>146000</v>
      </c>
      <c r="W4172">
        <v>1</v>
      </c>
      <c r="X4172" t="s">
        <v>334</v>
      </c>
      <c r="Y4172" t="s">
        <v>210</v>
      </c>
      <c r="AA4172" t="s">
        <v>10974</v>
      </c>
      <c r="AB4172" t="s">
        <v>10979</v>
      </c>
      <c r="AD4172" t="s">
        <v>11090</v>
      </c>
      <c r="AF4172" t="s">
        <v>11119</v>
      </c>
      <c r="AH4172" t="s">
        <v>10974</v>
      </c>
      <c r="AJ4172" t="s">
        <v>11141</v>
      </c>
      <c r="AK4172" t="s">
        <v>7225</v>
      </c>
      <c r="AM4172">
        <v>1340</v>
      </c>
      <c r="AO4172">
        <v>48</v>
      </c>
      <c r="AQ4172" t="s">
        <v>11157</v>
      </c>
      <c r="AS4172" t="s">
        <v>11173</v>
      </c>
      <c r="AU4172">
        <v>30</v>
      </c>
      <c r="AW4172" t="s">
        <v>11187</v>
      </c>
      <c r="BA4172" t="s">
        <v>11222</v>
      </c>
      <c r="BE4172" t="s">
        <v>13969</v>
      </c>
      <c r="BF4172" t="s">
        <v>14364</v>
      </c>
      <c r="BM4172" t="s">
        <v>15650</v>
      </c>
    </row>
    <row r="4173" spans="1:65">
      <c r="A4173" s="1">
        <f>HYPERLINK("https://lsnyc.legalserver.org/matter/dynamic-profile/view/1889325","19-1889325")</f>
        <v>0</v>
      </c>
      <c r="B4173" t="s">
        <v>220</v>
      </c>
      <c r="C4173" t="s">
        <v>248</v>
      </c>
      <c r="D4173" t="s">
        <v>318</v>
      </c>
      <c r="F4173" t="s">
        <v>1375</v>
      </c>
      <c r="G4173" t="s">
        <v>4360</v>
      </c>
      <c r="H4173" t="s">
        <v>5952</v>
      </c>
      <c r="J4173" t="s">
        <v>7174</v>
      </c>
      <c r="K4173">
        <v>11226</v>
      </c>
      <c r="N4173" t="s">
        <v>7237</v>
      </c>
      <c r="O4173" t="s">
        <v>9563</v>
      </c>
      <c r="P4173">
        <v>2</v>
      </c>
      <c r="Q4173">
        <v>0</v>
      </c>
      <c r="R4173">
        <v>61.03</v>
      </c>
      <c r="U4173">
        <v>10320</v>
      </c>
      <c r="W4173">
        <v>0</v>
      </c>
      <c r="Y4173" t="s">
        <v>81</v>
      </c>
      <c r="Z4173" t="s">
        <v>10973</v>
      </c>
      <c r="AA4173" t="s">
        <v>10975</v>
      </c>
      <c r="AB4173" t="s">
        <v>354</v>
      </c>
      <c r="AD4173" t="s">
        <v>11098</v>
      </c>
      <c r="AF4173" t="s">
        <v>11122</v>
      </c>
      <c r="AH4173" t="s">
        <v>10974</v>
      </c>
      <c r="AI4173" t="s">
        <v>11126</v>
      </c>
      <c r="AK4173" t="s">
        <v>7225</v>
      </c>
      <c r="AM4173">
        <v>856.9299999999999</v>
      </c>
      <c r="AN4173" t="s">
        <v>11151</v>
      </c>
      <c r="AO4173" t="s">
        <v>11153</v>
      </c>
      <c r="AP4173" t="s">
        <v>11155</v>
      </c>
      <c r="AR4173" t="s">
        <v>11172</v>
      </c>
      <c r="AU4173">
        <v>41</v>
      </c>
      <c r="AW4173" t="s">
        <v>11187</v>
      </c>
      <c r="AZ4173" t="s">
        <v>11221</v>
      </c>
      <c r="BE4173" t="s">
        <v>13678</v>
      </c>
      <c r="BF4173" t="s">
        <v>14364</v>
      </c>
      <c r="BM4173" t="s">
        <v>15650</v>
      </c>
    </row>
    <row r="4174" spans="1:65">
      <c r="A4174" s="1">
        <f>HYPERLINK("https://lsnyc.legalserver.org/matter/dynamic-profile/view/1889260","19-1889260")</f>
        <v>0</v>
      </c>
      <c r="B4174" t="s">
        <v>220</v>
      </c>
      <c r="C4174" t="s">
        <v>248</v>
      </c>
      <c r="D4174" t="s">
        <v>1007</v>
      </c>
      <c r="F4174" t="s">
        <v>1556</v>
      </c>
      <c r="G4174" t="s">
        <v>3336</v>
      </c>
      <c r="H4174" t="s">
        <v>5952</v>
      </c>
      <c r="I4174" t="s">
        <v>6420</v>
      </c>
      <c r="J4174" t="s">
        <v>7174</v>
      </c>
      <c r="K4174">
        <v>11226</v>
      </c>
      <c r="N4174" t="s">
        <v>7237</v>
      </c>
      <c r="O4174" t="s">
        <v>9564</v>
      </c>
      <c r="P4174">
        <v>1</v>
      </c>
      <c r="Q4174">
        <v>0</v>
      </c>
      <c r="R4174">
        <v>448.36</v>
      </c>
      <c r="U4174">
        <v>56000</v>
      </c>
      <c r="W4174">
        <v>0</v>
      </c>
      <c r="Y4174" t="s">
        <v>81</v>
      </c>
      <c r="Z4174" t="s">
        <v>10973</v>
      </c>
      <c r="AA4174" t="s">
        <v>10975</v>
      </c>
      <c r="AB4174" t="s">
        <v>354</v>
      </c>
      <c r="AC4174" t="s">
        <v>11081</v>
      </c>
      <c r="AF4174" t="s">
        <v>11120</v>
      </c>
      <c r="AG4174" t="s">
        <v>11124</v>
      </c>
      <c r="AI4174" t="s">
        <v>11126</v>
      </c>
      <c r="AK4174" t="s">
        <v>7225</v>
      </c>
      <c r="AM4174">
        <v>838</v>
      </c>
      <c r="AN4174" t="s">
        <v>11151</v>
      </c>
      <c r="AO4174" t="s">
        <v>11153</v>
      </c>
      <c r="AP4174" t="s">
        <v>11155</v>
      </c>
      <c r="AR4174" t="s">
        <v>11172</v>
      </c>
      <c r="AU4174">
        <v>26</v>
      </c>
      <c r="AW4174" t="s">
        <v>11187</v>
      </c>
      <c r="AZ4174" t="s">
        <v>11221</v>
      </c>
      <c r="BE4174" t="s">
        <v>13679</v>
      </c>
      <c r="BF4174" t="s">
        <v>14364</v>
      </c>
      <c r="BM4174" t="s">
        <v>15650</v>
      </c>
    </row>
    <row r="4175" spans="1:65">
      <c r="A4175" s="1">
        <f>HYPERLINK("https://lsnyc.legalserver.org/matter/dynamic-profile/view/1889342","19-1889342")</f>
        <v>0</v>
      </c>
      <c r="B4175" t="s">
        <v>220</v>
      </c>
      <c r="C4175" t="s">
        <v>248</v>
      </c>
      <c r="D4175" t="s">
        <v>318</v>
      </c>
      <c r="F4175" t="s">
        <v>1667</v>
      </c>
      <c r="G4175" t="s">
        <v>4369</v>
      </c>
      <c r="H4175" t="s">
        <v>5952</v>
      </c>
      <c r="I4175" t="s">
        <v>6410</v>
      </c>
      <c r="J4175" t="s">
        <v>7174</v>
      </c>
      <c r="K4175">
        <v>11226</v>
      </c>
      <c r="N4175" t="s">
        <v>7237</v>
      </c>
      <c r="O4175" t="s">
        <v>7772</v>
      </c>
      <c r="P4175">
        <v>1</v>
      </c>
      <c r="Q4175">
        <v>0</v>
      </c>
      <c r="R4175">
        <v>331.18</v>
      </c>
      <c r="U4175">
        <v>41364</v>
      </c>
      <c r="W4175">
        <v>0</v>
      </c>
      <c r="Y4175" t="s">
        <v>81</v>
      </c>
      <c r="Z4175" t="s">
        <v>10973</v>
      </c>
      <c r="AA4175" t="s">
        <v>10975</v>
      </c>
      <c r="AB4175" t="s">
        <v>354</v>
      </c>
      <c r="AD4175" t="s">
        <v>11098</v>
      </c>
      <c r="AF4175" t="s">
        <v>11122</v>
      </c>
      <c r="AH4175" t="s">
        <v>10974</v>
      </c>
      <c r="AI4175" t="s">
        <v>11126</v>
      </c>
      <c r="AK4175" t="s">
        <v>7225</v>
      </c>
      <c r="AM4175">
        <v>904.1900000000001</v>
      </c>
      <c r="AN4175" t="s">
        <v>11151</v>
      </c>
      <c r="AO4175" t="s">
        <v>11153</v>
      </c>
      <c r="AP4175" t="s">
        <v>11155</v>
      </c>
      <c r="AR4175" t="s">
        <v>11172</v>
      </c>
      <c r="AU4175">
        <v>38</v>
      </c>
      <c r="AW4175" t="s">
        <v>11187</v>
      </c>
      <c r="AZ4175" t="s">
        <v>11221</v>
      </c>
      <c r="BD4175" t="s">
        <v>11667</v>
      </c>
      <c r="BF4175" t="s">
        <v>14364</v>
      </c>
      <c r="BM4175" t="s">
        <v>15650</v>
      </c>
    </row>
    <row r="4176" spans="1:65">
      <c r="A4176" s="1">
        <f>HYPERLINK("https://lsnyc.legalserver.org/matter/dynamic-profile/view/1882544","18-1882544")</f>
        <v>0</v>
      </c>
      <c r="B4176" t="s">
        <v>220</v>
      </c>
      <c r="C4176" t="s">
        <v>248</v>
      </c>
      <c r="D4176" t="s">
        <v>466</v>
      </c>
      <c r="F4176" t="s">
        <v>2677</v>
      </c>
      <c r="G4176" t="s">
        <v>3475</v>
      </c>
      <c r="H4176" t="s">
        <v>6175</v>
      </c>
      <c r="I4176" t="s">
        <v>6661</v>
      </c>
      <c r="J4176" t="s">
        <v>7174</v>
      </c>
      <c r="K4176">
        <v>11233</v>
      </c>
      <c r="N4176" t="s">
        <v>7237</v>
      </c>
      <c r="O4176" t="s">
        <v>9862</v>
      </c>
      <c r="P4176">
        <v>2</v>
      </c>
      <c r="Q4176">
        <v>0</v>
      </c>
      <c r="R4176">
        <v>54.68</v>
      </c>
      <c r="U4176">
        <v>9000</v>
      </c>
      <c r="W4176">
        <v>2.95</v>
      </c>
      <c r="X4176" t="s">
        <v>547</v>
      </c>
      <c r="Y4176" t="s">
        <v>225</v>
      </c>
      <c r="AA4176" t="s">
        <v>10974</v>
      </c>
      <c r="AB4176" t="s">
        <v>506</v>
      </c>
      <c r="AD4176" t="s">
        <v>11083</v>
      </c>
      <c r="AF4176" t="s">
        <v>11118</v>
      </c>
      <c r="AH4176" t="s">
        <v>10975</v>
      </c>
      <c r="AJ4176" t="s">
        <v>11138</v>
      </c>
      <c r="AK4176" t="s">
        <v>7225</v>
      </c>
      <c r="AM4176">
        <v>2394</v>
      </c>
      <c r="AO4176">
        <v>2</v>
      </c>
      <c r="AQ4176" t="s">
        <v>11156</v>
      </c>
      <c r="AS4176" t="s">
        <v>11183</v>
      </c>
      <c r="AU4176">
        <v>1</v>
      </c>
      <c r="AW4176" t="s">
        <v>11187</v>
      </c>
      <c r="AY4176" t="s">
        <v>11215</v>
      </c>
      <c r="AZ4176" t="s">
        <v>11221</v>
      </c>
      <c r="BB4176" t="s">
        <v>11224</v>
      </c>
      <c r="BC4176" t="s">
        <v>11603</v>
      </c>
      <c r="BE4176" t="s">
        <v>13970</v>
      </c>
      <c r="BF4176" t="s">
        <v>14364</v>
      </c>
      <c r="BG4176" t="s">
        <v>15402</v>
      </c>
      <c r="BM4176" t="s">
        <v>15650</v>
      </c>
    </row>
    <row r="4177" spans="1:67">
      <c r="A4177" s="1">
        <f>HYPERLINK("https://lsnyc.legalserver.org/matter/dynamic-profile/view/1907025","19-1907025")</f>
        <v>0</v>
      </c>
      <c r="B4177" t="s">
        <v>220</v>
      </c>
      <c r="C4177" t="s">
        <v>248</v>
      </c>
      <c r="D4177" t="s">
        <v>653</v>
      </c>
      <c r="F4177" t="s">
        <v>1111</v>
      </c>
      <c r="G4177" t="s">
        <v>4555</v>
      </c>
      <c r="H4177" t="s">
        <v>6176</v>
      </c>
      <c r="I4177" t="s">
        <v>6507</v>
      </c>
      <c r="J4177" t="s">
        <v>7174</v>
      </c>
      <c r="K4177">
        <v>11225</v>
      </c>
      <c r="N4177" t="s">
        <v>7237</v>
      </c>
      <c r="O4177" t="s">
        <v>9863</v>
      </c>
      <c r="P4177">
        <v>3</v>
      </c>
      <c r="Q4177">
        <v>0</v>
      </c>
      <c r="R4177">
        <v>70.31999999999999</v>
      </c>
      <c r="U4177">
        <v>15000</v>
      </c>
      <c r="W4177">
        <v>58.1</v>
      </c>
      <c r="X4177" t="s">
        <v>528</v>
      </c>
      <c r="Y4177" t="s">
        <v>81</v>
      </c>
      <c r="AA4177" t="s">
        <v>10974</v>
      </c>
      <c r="AB4177" t="s">
        <v>653</v>
      </c>
      <c r="AD4177" t="s">
        <v>11111</v>
      </c>
      <c r="AF4177" t="s">
        <v>11118</v>
      </c>
      <c r="AH4177" t="s">
        <v>10975</v>
      </c>
      <c r="AI4177" t="s">
        <v>11126</v>
      </c>
      <c r="AK4177" t="s">
        <v>7225</v>
      </c>
      <c r="AM4177">
        <v>1450</v>
      </c>
      <c r="AO4177">
        <v>72</v>
      </c>
      <c r="AP4177" t="s">
        <v>11155</v>
      </c>
      <c r="AR4177" t="s">
        <v>11172</v>
      </c>
      <c r="AT4177" t="s">
        <v>11184</v>
      </c>
      <c r="AU4177">
        <v>0</v>
      </c>
      <c r="AW4177" t="s">
        <v>11187</v>
      </c>
      <c r="BA4177" t="s">
        <v>11222</v>
      </c>
      <c r="BE4177" t="s">
        <v>13971</v>
      </c>
      <c r="BF4177" t="s">
        <v>14364</v>
      </c>
      <c r="BM4177" t="s">
        <v>15650</v>
      </c>
    </row>
    <row r="4178" spans="1:67">
      <c r="A4178" s="1">
        <f>HYPERLINK("https://lsnyc.legalserver.org/matter/dynamic-profile/view/1889256","19-1889256")</f>
        <v>0</v>
      </c>
      <c r="B4178" t="s">
        <v>220</v>
      </c>
      <c r="C4178" t="s">
        <v>248</v>
      </c>
      <c r="D4178" t="s">
        <v>1007</v>
      </c>
      <c r="F4178" t="s">
        <v>2517</v>
      </c>
      <c r="G4178" t="s">
        <v>4357</v>
      </c>
      <c r="H4178" t="s">
        <v>5952</v>
      </c>
      <c r="I4178" t="s">
        <v>6423</v>
      </c>
      <c r="J4178" t="s">
        <v>7174</v>
      </c>
      <c r="K4178">
        <v>11226</v>
      </c>
      <c r="N4178" t="s">
        <v>7237</v>
      </c>
      <c r="O4178" t="s">
        <v>9559</v>
      </c>
      <c r="P4178">
        <v>1</v>
      </c>
      <c r="Q4178">
        <v>1</v>
      </c>
      <c r="R4178">
        <v>212.89</v>
      </c>
      <c r="U4178">
        <v>36000</v>
      </c>
      <c r="W4178">
        <v>0</v>
      </c>
      <c r="Y4178" t="s">
        <v>81</v>
      </c>
      <c r="Z4178" t="s">
        <v>10973</v>
      </c>
      <c r="AA4178" t="s">
        <v>10975</v>
      </c>
      <c r="AB4178" t="s">
        <v>354</v>
      </c>
      <c r="AD4178" t="s">
        <v>11098</v>
      </c>
      <c r="AF4178" t="s">
        <v>11120</v>
      </c>
      <c r="AH4178" t="s">
        <v>10974</v>
      </c>
      <c r="AI4178" t="s">
        <v>11126</v>
      </c>
      <c r="AK4178" t="s">
        <v>7225</v>
      </c>
      <c r="AM4178">
        <v>1107</v>
      </c>
      <c r="AN4178" t="s">
        <v>11151</v>
      </c>
      <c r="AO4178" t="s">
        <v>11153</v>
      </c>
      <c r="AP4178" t="s">
        <v>11155</v>
      </c>
      <c r="AR4178" t="s">
        <v>11172</v>
      </c>
      <c r="AU4178">
        <v>13</v>
      </c>
      <c r="AW4178" t="s">
        <v>11187</v>
      </c>
      <c r="AZ4178" t="s">
        <v>11221</v>
      </c>
      <c r="BD4178" t="s">
        <v>11667</v>
      </c>
      <c r="BF4178" t="s">
        <v>14364</v>
      </c>
      <c r="BM4178" t="s">
        <v>15650</v>
      </c>
    </row>
    <row r="4179" spans="1:67">
      <c r="A4179" s="1">
        <f>HYPERLINK("https://lsnyc.legalserver.org/matter/dynamic-profile/view/1906057","19-1906057")</f>
        <v>0</v>
      </c>
      <c r="B4179" t="s">
        <v>220</v>
      </c>
      <c r="C4179" t="s">
        <v>248</v>
      </c>
      <c r="D4179" t="s">
        <v>733</v>
      </c>
      <c r="F4179" t="s">
        <v>1496</v>
      </c>
      <c r="G4179" t="s">
        <v>1191</v>
      </c>
      <c r="H4179" t="s">
        <v>5032</v>
      </c>
      <c r="I4179" t="s">
        <v>6859</v>
      </c>
      <c r="J4179" t="s">
        <v>7174</v>
      </c>
      <c r="K4179">
        <v>11226</v>
      </c>
      <c r="N4179" t="s">
        <v>7237</v>
      </c>
      <c r="O4179" t="s">
        <v>9864</v>
      </c>
      <c r="P4179">
        <v>3</v>
      </c>
      <c r="Q4179">
        <v>0</v>
      </c>
      <c r="R4179">
        <v>56.26</v>
      </c>
      <c r="U4179">
        <v>12000</v>
      </c>
      <c r="W4179">
        <v>2</v>
      </c>
      <c r="X4179" t="s">
        <v>377</v>
      </c>
      <c r="Y4179" t="s">
        <v>10912</v>
      </c>
      <c r="AA4179" t="s">
        <v>10974</v>
      </c>
      <c r="AB4179" t="s">
        <v>731</v>
      </c>
      <c r="AD4179" t="s">
        <v>11098</v>
      </c>
      <c r="AF4179" t="s">
        <v>11120</v>
      </c>
      <c r="AH4179" t="s">
        <v>10974</v>
      </c>
      <c r="AI4179" t="s">
        <v>11126</v>
      </c>
      <c r="AK4179" t="s">
        <v>7225</v>
      </c>
      <c r="AL4179" t="s">
        <v>11150</v>
      </c>
      <c r="AM4179">
        <v>0</v>
      </c>
      <c r="AO4179">
        <v>54</v>
      </c>
      <c r="AP4179" t="s">
        <v>11155</v>
      </c>
      <c r="AR4179" t="s">
        <v>11172</v>
      </c>
      <c r="AT4179" t="s">
        <v>11184</v>
      </c>
      <c r="AU4179">
        <v>0</v>
      </c>
      <c r="AW4179" t="s">
        <v>11199</v>
      </c>
      <c r="AZ4179" t="s">
        <v>11221</v>
      </c>
      <c r="BE4179" t="s">
        <v>13972</v>
      </c>
      <c r="BF4179" t="s">
        <v>14364</v>
      </c>
      <c r="BM4179" t="s">
        <v>15650</v>
      </c>
    </row>
    <row r="4180" spans="1:67">
      <c r="A4180" s="1">
        <f>HYPERLINK("https://lsnyc.legalserver.org/matter/dynamic-profile/view/1898175","19-1898175")</f>
        <v>0</v>
      </c>
      <c r="B4180" t="s">
        <v>220</v>
      </c>
      <c r="C4180" t="s">
        <v>248</v>
      </c>
      <c r="D4180" t="s">
        <v>529</v>
      </c>
      <c r="F4180" t="s">
        <v>2678</v>
      </c>
      <c r="G4180" t="s">
        <v>3047</v>
      </c>
      <c r="H4180" t="s">
        <v>6177</v>
      </c>
      <c r="I4180" t="s">
        <v>6628</v>
      </c>
      <c r="J4180" t="s">
        <v>7174</v>
      </c>
      <c r="K4180">
        <v>11206</v>
      </c>
      <c r="N4180" t="s">
        <v>7237</v>
      </c>
      <c r="O4180" t="s">
        <v>9865</v>
      </c>
      <c r="P4180">
        <v>3</v>
      </c>
      <c r="Q4180">
        <v>1</v>
      </c>
      <c r="R4180">
        <v>54.37</v>
      </c>
      <c r="U4180">
        <v>14000</v>
      </c>
      <c r="W4180">
        <v>0</v>
      </c>
      <c r="Y4180" t="s">
        <v>81</v>
      </c>
      <c r="AA4180" t="s">
        <v>10974</v>
      </c>
      <c r="AB4180" t="s">
        <v>822</v>
      </c>
      <c r="AD4180" t="s">
        <v>11082</v>
      </c>
      <c r="AF4180" t="s">
        <v>11119</v>
      </c>
      <c r="AG4180" t="s">
        <v>11124</v>
      </c>
      <c r="AI4180" t="s">
        <v>11126</v>
      </c>
      <c r="AK4180" t="s">
        <v>7225</v>
      </c>
      <c r="AM4180">
        <v>1131.18</v>
      </c>
      <c r="AN4180" t="s">
        <v>11151</v>
      </c>
      <c r="AO4180" t="s">
        <v>11153</v>
      </c>
      <c r="AP4180" t="s">
        <v>11155</v>
      </c>
      <c r="AR4180" t="s">
        <v>11172</v>
      </c>
      <c r="AU4180">
        <v>8</v>
      </c>
      <c r="AW4180" t="s">
        <v>11187</v>
      </c>
      <c r="AZ4180" t="s">
        <v>11221</v>
      </c>
      <c r="BE4180" t="s">
        <v>13973</v>
      </c>
      <c r="BF4180" t="s">
        <v>14364</v>
      </c>
      <c r="BM4180" t="s">
        <v>15650</v>
      </c>
    </row>
    <row r="4181" spans="1:67">
      <c r="A4181" s="1">
        <f>HYPERLINK("https://lsnyc.legalserver.org/matter/dynamic-profile/view/1882610","18-1882610")</f>
        <v>0</v>
      </c>
      <c r="B4181" t="s">
        <v>220</v>
      </c>
      <c r="C4181" t="s">
        <v>248</v>
      </c>
      <c r="D4181" t="s">
        <v>432</v>
      </c>
      <c r="F4181" t="s">
        <v>1282</v>
      </c>
      <c r="G4181" t="s">
        <v>4556</v>
      </c>
      <c r="H4181" t="s">
        <v>6175</v>
      </c>
      <c r="I4181" t="s">
        <v>7103</v>
      </c>
      <c r="J4181" t="s">
        <v>7174</v>
      </c>
      <c r="K4181">
        <v>11233</v>
      </c>
      <c r="N4181" t="s">
        <v>7237</v>
      </c>
      <c r="O4181" t="s">
        <v>9866</v>
      </c>
      <c r="P4181">
        <v>1</v>
      </c>
      <c r="Q4181">
        <v>0</v>
      </c>
      <c r="R4181">
        <v>128.5</v>
      </c>
      <c r="U4181">
        <v>15600</v>
      </c>
      <c r="W4181">
        <v>0.5</v>
      </c>
      <c r="X4181" t="s">
        <v>552</v>
      </c>
      <c r="Y4181" t="s">
        <v>225</v>
      </c>
      <c r="AA4181" t="s">
        <v>10974</v>
      </c>
      <c r="AB4181" t="s">
        <v>11004</v>
      </c>
      <c r="AD4181" t="s">
        <v>11083</v>
      </c>
      <c r="AF4181" t="s">
        <v>11118</v>
      </c>
      <c r="AH4181" t="s">
        <v>10975</v>
      </c>
      <c r="AJ4181" t="s">
        <v>11138</v>
      </c>
      <c r="AK4181" t="s">
        <v>7225</v>
      </c>
      <c r="AM4181">
        <v>50</v>
      </c>
      <c r="AO4181">
        <v>3</v>
      </c>
      <c r="AQ4181" t="s">
        <v>11156</v>
      </c>
      <c r="AS4181" t="s">
        <v>11183</v>
      </c>
      <c r="AT4181" t="s">
        <v>11184</v>
      </c>
      <c r="AU4181">
        <v>0</v>
      </c>
      <c r="AW4181" t="s">
        <v>11187</v>
      </c>
      <c r="AY4181" t="s">
        <v>11215</v>
      </c>
      <c r="AZ4181" t="s">
        <v>11221</v>
      </c>
      <c r="BC4181" t="s">
        <v>11164</v>
      </c>
      <c r="BE4181" t="s">
        <v>13974</v>
      </c>
      <c r="BG4181" t="s">
        <v>15403</v>
      </c>
      <c r="BM4181" t="s">
        <v>15650</v>
      </c>
    </row>
    <row r="4182" spans="1:67">
      <c r="A4182" s="1">
        <f>HYPERLINK("https://lsnyc.legalserver.org/matter/dynamic-profile/view/1901147","19-1901147")</f>
        <v>0</v>
      </c>
      <c r="B4182" t="s">
        <v>220</v>
      </c>
      <c r="C4182" t="s">
        <v>248</v>
      </c>
      <c r="D4182" t="s">
        <v>343</v>
      </c>
      <c r="F4182" t="s">
        <v>1881</v>
      </c>
      <c r="G4182" t="s">
        <v>4557</v>
      </c>
      <c r="H4182" t="s">
        <v>6178</v>
      </c>
      <c r="I4182" t="s">
        <v>6430</v>
      </c>
      <c r="J4182" t="s">
        <v>7174</v>
      </c>
      <c r="K4182">
        <v>11215</v>
      </c>
      <c r="N4182" t="s">
        <v>7237</v>
      </c>
      <c r="O4182" t="s">
        <v>9867</v>
      </c>
      <c r="P4182">
        <v>1</v>
      </c>
      <c r="Q4182">
        <v>0</v>
      </c>
      <c r="R4182">
        <v>100.4</v>
      </c>
      <c r="U4182">
        <v>12540</v>
      </c>
      <c r="W4182">
        <v>14.6</v>
      </c>
      <c r="X4182" t="s">
        <v>655</v>
      </c>
      <c r="Y4182" t="s">
        <v>10877</v>
      </c>
      <c r="AA4182" t="s">
        <v>10974</v>
      </c>
      <c r="AB4182" t="s">
        <v>575</v>
      </c>
      <c r="AD4182" t="s">
        <v>11100</v>
      </c>
      <c r="AF4182" t="s">
        <v>11120</v>
      </c>
      <c r="AH4182" t="s">
        <v>10975</v>
      </c>
      <c r="AJ4182" t="s">
        <v>11137</v>
      </c>
      <c r="AK4182" t="s">
        <v>7225</v>
      </c>
      <c r="AM4182">
        <v>985</v>
      </c>
      <c r="AO4182">
        <v>8</v>
      </c>
      <c r="AQ4182" t="s">
        <v>11157</v>
      </c>
      <c r="AS4182" t="s">
        <v>11175</v>
      </c>
      <c r="AU4182">
        <v>39</v>
      </c>
      <c r="AW4182" t="s">
        <v>11187</v>
      </c>
      <c r="BA4182" t="s">
        <v>11222</v>
      </c>
      <c r="BE4182" t="s">
        <v>13975</v>
      </c>
      <c r="BF4182" t="s">
        <v>14364</v>
      </c>
      <c r="BM4182" t="s">
        <v>15650</v>
      </c>
    </row>
    <row r="4183" spans="1:67">
      <c r="A4183" s="1">
        <f>HYPERLINK("https://lsnyc.legalserver.org/matter/dynamic-profile/view/1887202","19-1887202")</f>
        <v>0</v>
      </c>
      <c r="B4183" t="s">
        <v>220</v>
      </c>
      <c r="C4183" t="s">
        <v>248</v>
      </c>
      <c r="D4183" t="s">
        <v>495</v>
      </c>
      <c r="F4183" t="s">
        <v>1858</v>
      </c>
      <c r="G4183" t="s">
        <v>3990</v>
      </c>
      <c r="H4183" t="s">
        <v>5649</v>
      </c>
      <c r="I4183" t="s">
        <v>6493</v>
      </c>
      <c r="J4183" t="s">
        <v>7174</v>
      </c>
      <c r="K4183">
        <v>11221</v>
      </c>
      <c r="N4183" t="s">
        <v>7237</v>
      </c>
      <c r="O4183" t="s">
        <v>7930</v>
      </c>
      <c r="P4183">
        <v>1</v>
      </c>
      <c r="Q4183">
        <v>0</v>
      </c>
      <c r="R4183">
        <v>57.66</v>
      </c>
      <c r="U4183">
        <v>6999.96</v>
      </c>
      <c r="W4183">
        <v>2</v>
      </c>
      <c r="X4183" t="s">
        <v>547</v>
      </c>
      <c r="Y4183" t="s">
        <v>81</v>
      </c>
      <c r="AA4183" t="s">
        <v>10974</v>
      </c>
      <c r="AB4183" t="s">
        <v>11000</v>
      </c>
      <c r="AD4183" t="s">
        <v>11083</v>
      </c>
      <c r="AF4183" t="s">
        <v>11118</v>
      </c>
      <c r="AG4183" t="s">
        <v>11124</v>
      </c>
      <c r="AJ4183" t="s">
        <v>11129</v>
      </c>
      <c r="AK4183" t="s">
        <v>7225</v>
      </c>
      <c r="AL4183" t="s">
        <v>11150</v>
      </c>
      <c r="AM4183">
        <v>0</v>
      </c>
      <c r="AO4183">
        <v>7</v>
      </c>
      <c r="AQ4183" t="s">
        <v>11157</v>
      </c>
      <c r="AR4183" t="s">
        <v>11172</v>
      </c>
      <c r="AT4183" t="s">
        <v>11184</v>
      </c>
      <c r="AU4183">
        <v>0</v>
      </c>
      <c r="AW4183" t="s">
        <v>11187</v>
      </c>
      <c r="AZ4183" t="s">
        <v>11221</v>
      </c>
      <c r="BD4183" t="s">
        <v>11667</v>
      </c>
      <c r="BG4183" t="s">
        <v>15404</v>
      </c>
      <c r="BI4183" t="s">
        <v>15611</v>
      </c>
      <c r="BK4183" t="s">
        <v>15618</v>
      </c>
      <c r="BM4183" t="s">
        <v>15650</v>
      </c>
      <c r="BN4183" t="s">
        <v>15652</v>
      </c>
      <c r="BO4183" t="s">
        <v>15745</v>
      </c>
    </row>
    <row r="4184" spans="1:67">
      <c r="A4184" s="1">
        <f>HYPERLINK("https://lsnyc.legalserver.org/matter/dynamic-profile/view/1896149","19-1896149")</f>
        <v>0</v>
      </c>
      <c r="B4184" t="s">
        <v>220</v>
      </c>
      <c r="C4184" t="s">
        <v>248</v>
      </c>
      <c r="D4184" t="s">
        <v>445</v>
      </c>
      <c r="F4184" t="s">
        <v>2679</v>
      </c>
      <c r="G4184" t="s">
        <v>4558</v>
      </c>
      <c r="H4184" t="s">
        <v>6179</v>
      </c>
      <c r="I4184">
        <v>3</v>
      </c>
      <c r="J4184" t="s">
        <v>7174</v>
      </c>
      <c r="K4184">
        <v>11208</v>
      </c>
      <c r="N4184" t="s">
        <v>7237</v>
      </c>
      <c r="O4184" t="s">
        <v>9868</v>
      </c>
      <c r="P4184">
        <v>2</v>
      </c>
      <c r="Q4184">
        <v>0</v>
      </c>
      <c r="R4184">
        <v>484.92</v>
      </c>
      <c r="U4184">
        <v>82000</v>
      </c>
      <c r="V4184" t="s">
        <v>10768</v>
      </c>
      <c r="W4184">
        <v>1</v>
      </c>
      <c r="X4184" t="s">
        <v>519</v>
      </c>
      <c r="Y4184" t="s">
        <v>81</v>
      </c>
      <c r="AA4184" t="s">
        <v>10974</v>
      </c>
      <c r="AB4184" t="s">
        <v>575</v>
      </c>
      <c r="AD4184" t="s">
        <v>11083</v>
      </c>
      <c r="AF4184" t="s">
        <v>11118</v>
      </c>
      <c r="AH4184" t="s">
        <v>10974</v>
      </c>
      <c r="AI4184" t="s">
        <v>11126</v>
      </c>
      <c r="AK4184" t="s">
        <v>7225</v>
      </c>
      <c r="AM4184">
        <v>1300</v>
      </c>
      <c r="AO4184">
        <v>4</v>
      </c>
      <c r="AP4184" t="s">
        <v>11155</v>
      </c>
      <c r="AR4184" t="s">
        <v>11172</v>
      </c>
      <c r="AU4184">
        <v>9</v>
      </c>
      <c r="AW4184" t="s">
        <v>11187</v>
      </c>
      <c r="BA4184" t="s">
        <v>11222</v>
      </c>
      <c r="BE4184" t="s">
        <v>13976</v>
      </c>
      <c r="BG4184" t="s">
        <v>15405</v>
      </c>
      <c r="BM4184" t="s">
        <v>15650</v>
      </c>
    </row>
    <row r="4185" spans="1:67">
      <c r="A4185" s="1">
        <f>HYPERLINK("https://lsnyc.legalserver.org/matter/dynamic-profile/view/1915607","19-1915607")</f>
        <v>0</v>
      </c>
      <c r="B4185" t="s">
        <v>220</v>
      </c>
      <c r="C4185" t="s">
        <v>248</v>
      </c>
      <c r="D4185" t="s">
        <v>548</v>
      </c>
      <c r="F4185" t="s">
        <v>2680</v>
      </c>
      <c r="G4185" t="s">
        <v>4085</v>
      </c>
      <c r="H4185" t="s">
        <v>6180</v>
      </c>
      <c r="I4185" t="s">
        <v>6502</v>
      </c>
      <c r="J4185" t="s">
        <v>7174</v>
      </c>
      <c r="K4185">
        <v>11213</v>
      </c>
      <c r="N4185" t="s">
        <v>7237</v>
      </c>
      <c r="O4185" t="s">
        <v>9869</v>
      </c>
      <c r="P4185">
        <v>3</v>
      </c>
      <c r="Q4185">
        <v>5</v>
      </c>
      <c r="R4185">
        <v>9.67</v>
      </c>
      <c r="U4185">
        <v>4200</v>
      </c>
      <c r="W4185">
        <v>0</v>
      </c>
      <c r="Y4185" t="s">
        <v>81</v>
      </c>
      <c r="AA4185" t="s">
        <v>10974</v>
      </c>
      <c r="AB4185" t="s">
        <v>548</v>
      </c>
      <c r="AC4185" t="s">
        <v>11081</v>
      </c>
      <c r="AF4185" t="s">
        <v>11121</v>
      </c>
      <c r="AH4185" t="s">
        <v>10975</v>
      </c>
      <c r="AI4185" t="s">
        <v>11126</v>
      </c>
      <c r="AK4185" t="s">
        <v>7225</v>
      </c>
      <c r="AM4185">
        <v>947</v>
      </c>
      <c r="AN4185" t="s">
        <v>11151</v>
      </c>
      <c r="AO4185" t="s">
        <v>11153</v>
      </c>
      <c r="AQ4185" t="s">
        <v>11157</v>
      </c>
      <c r="AR4185" t="s">
        <v>11172</v>
      </c>
      <c r="AU4185">
        <v>22</v>
      </c>
      <c r="AW4185" t="s">
        <v>3528</v>
      </c>
      <c r="BA4185" t="s">
        <v>11222</v>
      </c>
      <c r="BE4185" t="s">
        <v>13977</v>
      </c>
      <c r="BF4185" t="s">
        <v>14364</v>
      </c>
      <c r="BM4185" t="s">
        <v>15650</v>
      </c>
    </row>
    <row r="4186" spans="1:67">
      <c r="A4186" s="1">
        <f>HYPERLINK("https://lsnyc.legalserver.org/matter/dynamic-profile/view/1891284","19-1891284")</f>
        <v>0</v>
      </c>
      <c r="B4186" t="s">
        <v>220</v>
      </c>
      <c r="C4186" t="s">
        <v>248</v>
      </c>
      <c r="D4186" t="s">
        <v>586</v>
      </c>
      <c r="F4186" t="s">
        <v>2134</v>
      </c>
      <c r="G4186" t="s">
        <v>4559</v>
      </c>
      <c r="H4186" t="s">
        <v>6181</v>
      </c>
      <c r="I4186" t="s">
        <v>6620</v>
      </c>
      <c r="J4186" t="s">
        <v>7174</v>
      </c>
      <c r="K4186">
        <v>11220</v>
      </c>
      <c r="N4186" t="s">
        <v>7237</v>
      </c>
      <c r="O4186" t="s">
        <v>9870</v>
      </c>
      <c r="P4186">
        <v>2</v>
      </c>
      <c r="Q4186">
        <v>0</v>
      </c>
      <c r="R4186">
        <v>277.94</v>
      </c>
      <c r="S4186" t="s">
        <v>512</v>
      </c>
      <c r="T4186" t="s">
        <v>10276</v>
      </c>
      <c r="U4186">
        <v>47000</v>
      </c>
      <c r="W4186">
        <v>1</v>
      </c>
      <c r="X4186" t="s">
        <v>586</v>
      </c>
      <c r="Y4186" t="s">
        <v>81</v>
      </c>
      <c r="AA4186" t="s">
        <v>10974</v>
      </c>
      <c r="AB4186" t="s">
        <v>586</v>
      </c>
      <c r="AD4186" t="s">
        <v>11083</v>
      </c>
      <c r="AF4186" t="s">
        <v>11118</v>
      </c>
      <c r="AG4186" t="s">
        <v>11124</v>
      </c>
      <c r="AI4186" t="s">
        <v>11126</v>
      </c>
      <c r="AK4186" t="s">
        <v>7225</v>
      </c>
      <c r="AM4186">
        <v>425.19</v>
      </c>
      <c r="AN4186" t="s">
        <v>11151</v>
      </c>
      <c r="AO4186" t="s">
        <v>11153</v>
      </c>
      <c r="AP4186" t="s">
        <v>11155</v>
      </c>
      <c r="AR4186" t="s">
        <v>11172</v>
      </c>
      <c r="AU4186">
        <v>50</v>
      </c>
      <c r="AW4186" t="s">
        <v>11189</v>
      </c>
      <c r="AZ4186" t="s">
        <v>11221</v>
      </c>
      <c r="BD4186" t="s">
        <v>11667</v>
      </c>
      <c r="BG4186" t="s">
        <v>15406</v>
      </c>
      <c r="BM4186" t="s">
        <v>15650</v>
      </c>
    </row>
    <row r="4187" spans="1:67">
      <c r="A4187" s="1">
        <f>HYPERLINK("https://lsnyc.legalserver.org/matter/dynamic-profile/view/1902109","19-1902109")</f>
        <v>0</v>
      </c>
      <c r="B4187" t="s">
        <v>220</v>
      </c>
      <c r="C4187" t="s">
        <v>248</v>
      </c>
      <c r="D4187" t="s">
        <v>590</v>
      </c>
      <c r="F4187" t="s">
        <v>2134</v>
      </c>
      <c r="G4187" t="s">
        <v>4559</v>
      </c>
      <c r="H4187" t="s">
        <v>6181</v>
      </c>
      <c r="I4187" t="s">
        <v>6620</v>
      </c>
      <c r="J4187" t="s">
        <v>7174</v>
      </c>
      <c r="K4187">
        <v>11220</v>
      </c>
      <c r="N4187" t="s">
        <v>7237</v>
      </c>
      <c r="O4187" t="s">
        <v>9870</v>
      </c>
      <c r="P4187">
        <v>2</v>
      </c>
      <c r="Q4187">
        <v>0</v>
      </c>
      <c r="R4187">
        <v>277.94</v>
      </c>
      <c r="S4187" t="s">
        <v>512</v>
      </c>
      <c r="T4187" t="s">
        <v>10276</v>
      </c>
      <c r="U4187">
        <v>47000</v>
      </c>
      <c r="W4187">
        <v>0</v>
      </c>
      <c r="Y4187" t="s">
        <v>81</v>
      </c>
      <c r="AA4187" t="s">
        <v>10974</v>
      </c>
      <c r="AB4187" t="s">
        <v>590</v>
      </c>
      <c r="AD4187" t="s">
        <v>11100</v>
      </c>
      <c r="AF4187" t="s">
        <v>11120</v>
      </c>
      <c r="AG4187" t="s">
        <v>11124</v>
      </c>
      <c r="AI4187" t="s">
        <v>11126</v>
      </c>
      <c r="AK4187" t="s">
        <v>7225</v>
      </c>
      <c r="AL4187" t="s">
        <v>11150</v>
      </c>
      <c r="AM4187">
        <v>0</v>
      </c>
      <c r="AN4187" t="s">
        <v>11151</v>
      </c>
      <c r="AO4187" t="s">
        <v>11153</v>
      </c>
      <c r="AP4187" t="s">
        <v>11155</v>
      </c>
      <c r="AR4187" t="s">
        <v>11172</v>
      </c>
      <c r="AT4187" t="s">
        <v>11184</v>
      </c>
      <c r="AU4187">
        <v>0</v>
      </c>
      <c r="AW4187" t="s">
        <v>11189</v>
      </c>
      <c r="BA4187" t="s">
        <v>11222</v>
      </c>
      <c r="BD4187" t="s">
        <v>11667</v>
      </c>
      <c r="BF4187" t="s">
        <v>14364</v>
      </c>
      <c r="BM4187" t="s">
        <v>15650</v>
      </c>
    </row>
    <row r="4188" spans="1:67">
      <c r="A4188" s="1">
        <f>HYPERLINK("https://lsnyc.legalserver.org/matter/dynamic-profile/view/1914831","19-1914831")</f>
        <v>0</v>
      </c>
      <c r="B4188" t="s">
        <v>220</v>
      </c>
      <c r="C4188" t="s">
        <v>248</v>
      </c>
      <c r="D4188" t="s">
        <v>262</v>
      </c>
      <c r="F4188" t="s">
        <v>2681</v>
      </c>
      <c r="G4188" t="s">
        <v>4560</v>
      </c>
      <c r="H4188" t="s">
        <v>6182</v>
      </c>
      <c r="I4188">
        <v>1</v>
      </c>
      <c r="J4188" t="s">
        <v>7179</v>
      </c>
      <c r="K4188">
        <v>10304</v>
      </c>
      <c r="N4188" t="s">
        <v>7237</v>
      </c>
      <c r="O4188" t="s">
        <v>9871</v>
      </c>
      <c r="P4188">
        <v>1</v>
      </c>
      <c r="Q4188">
        <v>0</v>
      </c>
      <c r="R4188">
        <v>72.15000000000001</v>
      </c>
      <c r="U4188">
        <v>9012</v>
      </c>
      <c r="W4188">
        <v>0</v>
      </c>
      <c r="Y4188" t="s">
        <v>81</v>
      </c>
      <c r="AA4188" t="s">
        <v>10974</v>
      </c>
      <c r="AB4188" t="s">
        <v>333</v>
      </c>
      <c r="AC4188" t="s">
        <v>11081</v>
      </c>
      <c r="AF4188" t="s">
        <v>11120</v>
      </c>
      <c r="AG4188" t="s">
        <v>11124</v>
      </c>
      <c r="AI4188" t="s">
        <v>11126</v>
      </c>
      <c r="AK4188" t="s">
        <v>7225</v>
      </c>
      <c r="AL4188" t="s">
        <v>11150</v>
      </c>
      <c r="AM4188">
        <v>0</v>
      </c>
      <c r="AN4188" t="s">
        <v>11151</v>
      </c>
      <c r="AO4188" t="s">
        <v>11153</v>
      </c>
      <c r="AP4188" t="s">
        <v>11155</v>
      </c>
      <c r="AR4188" t="s">
        <v>11172</v>
      </c>
      <c r="AT4188" t="s">
        <v>11184</v>
      </c>
      <c r="AU4188">
        <v>0</v>
      </c>
      <c r="AW4188" t="s">
        <v>11187</v>
      </c>
      <c r="AZ4188" t="s">
        <v>11221</v>
      </c>
      <c r="BE4188" t="s">
        <v>13978</v>
      </c>
      <c r="BF4188" t="s">
        <v>14364</v>
      </c>
      <c r="BM4188" t="s">
        <v>15650</v>
      </c>
    </row>
    <row r="4189" spans="1:67">
      <c r="A4189" s="1">
        <f>HYPERLINK("https://lsnyc.legalserver.org/matter/dynamic-profile/view/1911053","19-1911053")</f>
        <v>0</v>
      </c>
      <c r="B4189" t="s">
        <v>220</v>
      </c>
      <c r="C4189" t="s">
        <v>248</v>
      </c>
      <c r="D4189" t="s">
        <v>626</v>
      </c>
      <c r="F4189" t="s">
        <v>2682</v>
      </c>
      <c r="G4189" t="s">
        <v>2443</v>
      </c>
      <c r="H4189" t="s">
        <v>6183</v>
      </c>
      <c r="I4189" t="s">
        <v>6442</v>
      </c>
      <c r="J4189" t="s">
        <v>7174</v>
      </c>
      <c r="K4189">
        <v>11226</v>
      </c>
      <c r="N4189" t="s">
        <v>7237</v>
      </c>
      <c r="O4189" t="s">
        <v>9872</v>
      </c>
      <c r="P4189">
        <v>6</v>
      </c>
      <c r="Q4189">
        <v>1</v>
      </c>
      <c r="R4189">
        <v>212.25</v>
      </c>
      <c r="U4189">
        <v>82800</v>
      </c>
      <c r="W4189">
        <v>1.8</v>
      </c>
      <c r="X4189" t="s">
        <v>626</v>
      </c>
      <c r="Y4189" t="s">
        <v>212</v>
      </c>
      <c r="Z4189" t="s">
        <v>10972</v>
      </c>
      <c r="AA4189" t="s">
        <v>10976</v>
      </c>
      <c r="AC4189" t="s">
        <v>11081</v>
      </c>
      <c r="AE4189" t="s">
        <v>11117</v>
      </c>
      <c r="AG4189" t="s">
        <v>11124</v>
      </c>
      <c r="AI4189" t="s">
        <v>11126</v>
      </c>
      <c r="AK4189" t="s">
        <v>7225</v>
      </c>
      <c r="AL4189" t="s">
        <v>11150</v>
      </c>
      <c r="AM4189">
        <v>0</v>
      </c>
      <c r="AN4189" t="s">
        <v>11151</v>
      </c>
      <c r="AO4189" t="s">
        <v>11153</v>
      </c>
      <c r="AP4189" t="s">
        <v>11155</v>
      </c>
      <c r="AR4189" t="s">
        <v>11172</v>
      </c>
      <c r="AT4189" t="s">
        <v>11184</v>
      </c>
      <c r="AU4189">
        <v>0</v>
      </c>
      <c r="AW4189" t="s">
        <v>11187</v>
      </c>
      <c r="AX4189" t="s">
        <v>11212</v>
      </c>
      <c r="AZ4189" t="s">
        <v>11221</v>
      </c>
      <c r="BD4189" t="s">
        <v>11667</v>
      </c>
      <c r="BF4189" t="s">
        <v>14364</v>
      </c>
      <c r="BM4189" t="s">
        <v>15650</v>
      </c>
    </row>
    <row r="4190" spans="1:67">
      <c r="A4190" s="1">
        <f>HYPERLINK("https://lsnyc.legalserver.org/matter/dynamic-profile/view/1884862","18-1884862")</f>
        <v>0</v>
      </c>
      <c r="B4190" t="s">
        <v>220</v>
      </c>
      <c r="C4190" t="s">
        <v>248</v>
      </c>
      <c r="D4190" t="s">
        <v>668</v>
      </c>
      <c r="F4190" t="s">
        <v>1543</v>
      </c>
      <c r="G4190" t="s">
        <v>3318</v>
      </c>
      <c r="H4190" t="s">
        <v>5075</v>
      </c>
      <c r="I4190">
        <v>8</v>
      </c>
      <c r="J4190" t="s">
        <v>7174</v>
      </c>
      <c r="K4190">
        <v>11226</v>
      </c>
      <c r="N4190" t="s">
        <v>7237</v>
      </c>
      <c r="O4190" t="s">
        <v>7835</v>
      </c>
      <c r="P4190">
        <v>4</v>
      </c>
      <c r="Q4190">
        <v>1</v>
      </c>
      <c r="R4190">
        <v>138.68</v>
      </c>
      <c r="U4190">
        <v>40800</v>
      </c>
      <c r="W4190">
        <v>1.7</v>
      </c>
      <c r="X4190" t="s">
        <v>672</v>
      </c>
      <c r="Y4190" t="s">
        <v>81</v>
      </c>
      <c r="AA4190" t="s">
        <v>10974</v>
      </c>
      <c r="AB4190" t="s">
        <v>668</v>
      </c>
      <c r="AD4190" t="s">
        <v>11090</v>
      </c>
      <c r="AF4190" t="s">
        <v>11120</v>
      </c>
      <c r="AG4190" t="s">
        <v>11124</v>
      </c>
      <c r="AI4190" t="s">
        <v>11126</v>
      </c>
      <c r="AK4190" t="s">
        <v>7225</v>
      </c>
      <c r="AM4190">
        <v>763.86</v>
      </c>
      <c r="AN4190" t="s">
        <v>11151</v>
      </c>
      <c r="AO4190" t="s">
        <v>11153</v>
      </c>
      <c r="AQ4190" t="s">
        <v>11157</v>
      </c>
      <c r="AR4190" t="s">
        <v>11172</v>
      </c>
      <c r="AU4190">
        <v>21</v>
      </c>
      <c r="AW4190" t="s">
        <v>11187</v>
      </c>
      <c r="AZ4190" t="s">
        <v>11221</v>
      </c>
      <c r="BE4190" t="s">
        <v>12169</v>
      </c>
      <c r="BF4190" t="s">
        <v>14364</v>
      </c>
      <c r="BM4190" t="s">
        <v>15650</v>
      </c>
    </row>
    <row r="4191" spans="1:67">
      <c r="A4191" s="1">
        <f>HYPERLINK("https://lsnyc.legalserver.org/matter/dynamic-profile/view/1911832","19-1911832")</f>
        <v>0</v>
      </c>
      <c r="B4191" t="s">
        <v>220</v>
      </c>
      <c r="C4191" t="s">
        <v>248</v>
      </c>
      <c r="D4191" t="s">
        <v>345</v>
      </c>
      <c r="F4191" t="s">
        <v>1875</v>
      </c>
      <c r="G4191" t="s">
        <v>4561</v>
      </c>
      <c r="H4191" t="s">
        <v>6184</v>
      </c>
      <c r="I4191" t="s">
        <v>7104</v>
      </c>
      <c r="J4191" t="s">
        <v>7174</v>
      </c>
      <c r="K4191">
        <v>11238</v>
      </c>
      <c r="N4191" t="s">
        <v>7237</v>
      </c>
      <c r="O4191" t="s">
        <v>9873</v>
      </c>
      <c r="P4191">
        <v>1</v>
      </c>
      <c r="Q4191">
        <v>0</v>
      </c>
      <c r="R4191">
        <v>78.40000000000001</v>
      </c>
      <c r="U4191">
        <v>9792</v>
      </c>
      <c r="W4191">
        <v>2</v>
      </c>
      <c r="X4191" t="s">
        <v>737</v>
      </c>
      <c r="Y4191" t="s">
        <v>81</v>
      </c>
      <c r="AA4191" t="s">
        <v>10974</v>
      </c>
      <c r="AB4191" t="s">
        <v>345</v>
      </c>
      <c r="AD4191" t="s">
        <v>11082</v>
      </c>
      <c r="AF4191" t="s">
        <v>11118</v>
      </c>
      <c r="AH4191" t="s">
        <v>10975</v>
      </c>
      <c r="AI4191" t="s">
        <v>11126</v>
      </c>
      <c r="AK4191" t="s">
        <v>7225</v>
      </c>
      <c r="AM4191">
        <v>838.96</v>
      </c>
      <c r="AO4191">
        <v>35</v>
      </c>
      <c r="AP4191" t="s">
        <v>11155</v>
      </c>
      <c r="AR4191" t="s">
        <v>11172</v>
      </c>
      <c r="AU4191">
        <v>34</v>
      </c>
      <c r="AW4191" t="s">
        <v>11187</v>
      </c>
      <c r="BA4191" t="s">
        <v>11222</v>
      </c>
      <c r="BE4191" t="s">
        <v>13979</v>
      </c>
      <c r="BF4191" t="s">
        <v>14364</v>
      </c>
      <c r="BM4191" t="s">
        <v>15650</v>
      </c>
    </row>
    <row r="4192" spans="1:67">
      <c r="A4192" s="1">
        <f>HYPERLINK("https://lsnyc.legalserver.org/matter/dynamic-profile/view/1889346","19-1889346")</f>
        <v>0</v>
      </c>
      <c r="B4192" t="s">
        <v>220</v>
      </c>
      <c r="C4192" t="s">
        <v>248</v>
      </c>
      <c r="D4192" t="s">
        <v>318</v>
      </c>
      <c r="F4192" t="s">
        <v>2529</v>
      </c>
      <c r="G4192" t="s">
        <v>1920</v>
      </c>
      <c r="H4192" t="s">
        <v>5952</v>
      </c>
      <c r="I4192" t="s">
        <v>6573</v>
      </c>
      <c r="J4192" t="s">
        <v>7174</v>
      </c>
      <c r="K4192">
        <v>11226</v>
      </c>
      <c r="N4192" t="s">
        <v>7237</v>
      </c>
      <c r="O4192" t="s">
        <v>9588</v>
      </c>
      <c r="P4192">
        <v>4</v>
      </c>
      <c r="Q4192">
        <v>2</v>
      </c>
      <c r="R4192">
        <v>0</v>
      </c>
      <c r="U4192">
        <v>0</v>
      </c>
      <c r="W4192">
        <v>0</v>
      </c>
      <c r="Y4192" t="s">
        <v>81</v>
      </c>
      <c r="Z4192" t="s">
        <v>10973</v>
      </c>
      <c r="AA4192" t="s">
        <v>10975</v>
      </c>
      <c r="AB4192" t="s">
        <v>354</v>
      </c>
      <c r="AD4192" t="s">
        <v>11098</v>
      </c>
      <c r="AF4192" t="s">
        <v>11120</v>
      </c>
      <c r="AH4192" t="s">
        <v>10974</v>
      </c>
      <c r="AI4192" t="s">
        <v>11126</v>
      </c>
      <c r="AK4192" t="s">
        <v>7225</v>
      </c>
      <c r="AM4192">
        <v>820</v>
      </c>
      <c r="AN4192" t="s">
        <v>11151</v>
      </c>
      <c r="AO4192" t="s">
        <v>11153</v>
      </c>
      <c r="AP4192" t="s">
        <v>11155</v>
      </c>
      <c r="AR4192" t="s">
        <v>11172</v>
      </c>
      <c r="AU4192">
        <v>32</v>
      </c>
      <c r="AW4192" t="s">
        <v>11187</v>
      </c>
      <c r="AZ4192" t="s">
        <v>11221</v>
      </c>
      <c r="BD4192" t="s">
        <v>11667</v>
      </c>
      <c r="BF4192" t="s">
        <v>14364</v>
      </c>
      <c r="BM4192" t="s">
        <v>15650</v>
      </c>
    </row>
    <row r="4193" spans="1:67">
      <c r="A4193" s="1">
        <f>HYPERLINK("https://lsnyc.legalserver.org/matter/dynamic-profile/view/1896200","19-1896200")</f>
        <v>0</v>
      </c>
      <c r="B4193" t="s">
        <v>220</v>
      </c>
      <c r="C4193" t="s">
        <v>248</v>
      </c>
      <c r="D4193" t="s">
        <v>445</v>
      </c>
      <c r="F4193" t="s">
        <v>1250</v>
      </c>
      <c r="G4193" t="s">
        <v>3140</v>
      </c>
      <c r="H4193" t="s">
        <v>6179</v>
      </c>
      <c r="J4193" t="s">
        <v>7174</v>
      </c>
      <c r="K4193">
        <v>11208</v>
      </c>
      <c r="N4193" t="s">
        <v>7237</v>
      </c>
      <c r="O4193" t="s">
        <v>9874</v>
      </c>
      <c r="P4193">
        <v>1</v>
      </c>
      <c r="Q4193">
        <v>0</v>
      </c>
      <c r="R4193">
        <v>116.54</v>
      </c>
      <c r="U4193">
        <v>14556</v>
      </c>
      <c r="W4193">
        <v>3.5</v>
      </c>
      <c r="X4193" t="s">
        <v>380</v>
      </c>
      <c r="Y4193" t="s">
        <v>81</v>
      </c>
      <c r="AA4193" t="s">
        <v>10974</v>
      </c>
      <c r="AB4193" t="s">
        <v>472</v>
      </c>
      <c r="AD4193" t="s">
        <v>11083</v>
      </c>
      <c r="AF4193" t="s">
        <v>11118</v>
      </c>
      <c r="AH4193" t="s">
        <v>10975</v>
      </c>
      <c r="AI4193" t="s">
        <v>11126</v>
      </c>
      <c r="AK4193" t="s">
        <v>7225</v>
      </c>
      <c r="AM4193">
        <v>810</v>
      </c>
      <c r="AN4193" t="s">
        <v>11151</v>
      </c>
      <c r="AO4193" t="s">
        <v>11153</v>
      </c>
      <c r="AP4193" t="s">
        <v>11155</v>
      </c>
      <c r="AR4193" t="s">
        <v>11172</v>
      </c>
      <c r="AU4193">
        <v>20</v>
      </c>
      <c r="AW4193" t="s">
        <v>11189</v>
      </c>
      <c r="AZ4193" t="s">
        <v>11221</v>
      </c>
      <c r="BE4193" t="s">
        <v>13980</v>
      </c>
      <c r="BG4193" t="s">
        <v>15407</v>
      </c>
      <c r="BM4193" t="s">
        <v>15650</v>
      </c>
    </row>
    <row r="4194" spans="1:67">
      <c r="A4194" s="1">
        <f>HYPERLINK("https://lsnyc.legalserver.org/matter/dynamic-profile/view/1906962","19-1906962")</f>
        <v>0</v>
      </c>
      <c r="B4194" t="s">
        <v>220</v>
      </c>
      <c r="C4194" t="s">
        <v>248</v>
      </c>
      <c r="D4194" t="s">
        <v>450</v>
      </c>
      <c r="F4194" t="s">
        <v>1250</v>
      </c>
      <c r="G4194" t="s">
        <v>3140</v>
      </c>
      <c r="H4194" t="s">
        <v>6179</v>
      </c>
      <c r="J4194" t="s">
        <v>7174</v>
      </c>
      <c r="K4194">
        <v>11208</v>
      </c>
      <c r="N4194" t="s">
        <v>7237</v>
      </c>
      <c r="O4194" t="s">
        <v>9874</v>
      </c>
      <c r="P4194">
        <v>1</v>
      </c>
      <c r="Q4194">
        <v>0</v>
      </c>
      <c r="R4194">
        <v>116.54</v>
      </c>
      <c r="U4194">
        <v>14556</v>
      </c>
      <c r="W4194">
        <v>0</v>
      </c>
      <c r="Y4194" t="s">
        <v>81</v>
      </c>
      <c r="AA4194" t="s">
        <v>10974</v>
      </c>
      <c r="AB4194" t="s">
        <v>450</v>
      </c>
      <c r="AD4194" t="s">
        <v>11087</v>
      </c>
      <c r="AF4194" t="s">
        <v>11122</v>
      </c>
      <c r="AH4194" t="s">
        <v>10975</v>
      </c>
      <c r="AI4194" t="s">
        <v>11126</v>
      </c>
      <c r="AK4194" t="s">
        <v>7225</v>
      </c>
      <c r="AL4194" t="s">
        <v>11150</v>
      </c>
      <c r="AM4194">
        <v>0</v>
      </c>
      <c r="AO4194">
        <v>4</v>
      </c>
      <c r="AP4194" t="s">
        <v>11155</v>
      </c>
      <c r="AR4194" t="s">
        <v>11172</v>
      </c>
      <c r="AT4194" t="s">
        <v>11184</v>
      </c>
      <c r="AU4194">
        <v>0</v>
      </c>
      <c r="AW4194" t="s">
        <v>11189</v>
      </c>
      <c r="BA4194" t="s">
        <v>11222</v>
      </c>
      <c r="BE4194" t="s">
        <v>13980</v>
      </c>
      <c r="BF4194" t="s">
        <v>14364</v>
      </c>
      <c r="BM4194" t="s">
        <v>15650</v>
      </c>
    </row>
    <row r="4195" spans="1:67">
      <c r="A4195" s="1">
        <f>HYPERLINK("https://lsnyc.legalserver.org/matter/dynamic-profile/view/1889254","19-1889254")</f>
        <v>0</v>
      </c>
      <c r="B4195" t="s">
        <v>220</v>
      </c>
      <c r="C4195" t="s">
        <v>248</v>
      </c>
      <c r="D4195" t="s">
        <v>1007</v>
      </c>
      <c r="F4195" t="s">
        <v>1915</v>
      </c>
      <c r="G4195" t="s">
        <v>2814</v>
      </c>
      <c r="H4195" t="s">
        <v>5952</v>
      </c>
      <c r="I4195" t="s">
        <v>6618</v>
      </c>
      <c r="J4195" t="s">
        <v>7174</v>
      </c>
      <c r="K4195">
        <v>11226</v>
      </c>
      <c r="N4195" t="s">
        <v>7237</v>
      </c>
      <c r="O4195" t="s">
        <v>7772</v>
      </c>
      <c r="P4195">
        <v>1</v>
      </c>
      <c r="Q4195">
        <v>0</v>
      </c>
      <c r="R4195">
        <v>80.06</v>
      </c>
      <c r="U4195">
        <v>10000</v>
      </c>
      <c r="W4195">
        <v>0</v>
      </c>
      <c r="Y4195" t="s">
        <v>81</v>
      </c>
      <c r="Z4195" t="s">
        <v>10973</v>
      </c>
      <c r="AA4195" t="s">
        <v>10975</v>
      </c>
      <c r="AB4195" t="s">
        <v>354</v>
      </c>
      <c r="AD4195" t="s">
        <v>11098</v>
      </c>
      <c r="AF4195" t="s">
        <v>11120</v>
      </c>
      <c r="AH4195" t="s">
        <v>10974</v>
      </c>
      <c r="AI4195" t="s">
        <v>11126</v>
      </c>
      <c r="AK4195" t="s">
        <v>7225</v>
      </c>
      <c r="AM4195">
        <v>916</v>
      </c>
      <c r="AN4195" t="s">
        <v>11151</v>
      </c>
      <c r="AO4195" t="s">
        <v>11153</v>
      </c>
      <c r="AP4195" t="s">
        <v>11155</v>
      </c>
      <c r="AR4195" t="s">
        <v>11172</v>
      </c>
      <c r="AU4195">
        <v>33</v>
      </c>
      <c r="AW4195" t="s">
        <v>11187</v>
      </c>
      <c r="AZ4195" t="s">
        <v>11221</v>
      </c>
      <c r="BD4195" t="s">
        <v>11667</v>
      </c>
      <c r="BF4195" t="s">
        <v>14364</v>
      </c>
      <c r="BM4195" t="s">
        <v>15650</v>
      </c>
    </row>
    <row r="4196" spans="1:67">
      <c r="A4196" s="1">
        <f>HYPERLINK("https://lsnyc.legalserver.org/matter/dynamic-profile/view/1882574","18-1882574")</f>
        <v>0</v>
      </c>
      <c r="B4196" t="s">
        <v>220</v>
      </c>
      <c r="C4196" t="s">
        <v>248</v>
      </c>
      <c r="D4196" t="s">
        <v>466</v>
      </c>
      <c r="F4196" t="s">
        <v>2683</v>
      </c>
      <c r="G4196" t="s">
        <v>4562</v>
      </c>
      <c r="H4196" t="s">
        <v>6175</v>
      </c>
      <c r="I4196" t="s">
        <v>6646</v>
      </c>
      <c r="J4196" t="s">
        <v>7174</v>
      </c>
      <c r="K4196">
        <v>11233</v>
      </c>
      <c r="N4196" t="s">
        <v>7237</v>
      </c>
      <c r="O4196" t="s">
        <v>9045</v>
      </c>
      <c r="P4196">
        <v>1</v>
      </c>
      <c r="Q4196">
        <v>0</v>
      </c>
      <c r="R4196">
        <v>0</v>
      </c>
      <c r="U4196">
        <v>0</v>
      </c>
      <c r="V4196" t="s">
        <v>10769</v>
      </c>
      <c r="W4196">
        <v>1</v>
      </c>
      <c r="X4196" t="s">
        <v>552</v>
      </c>
      <c r="Y4196" t="s">
        <v>225</v>
      </c>
      <c r="AA4196" t="s">
        <v>10974</v>
      </c>
      <c r="AB4196" t="s">
        <v>11004</v>
      </c>
      <c r="AD4196" t="s">
        <v>11083</v>
      </c>
      <c r="AF4196" t="s">
        <v>11118</v>
      </c>
      <c r="AH4196" t="s">
        <v>10975</v>
      </c>
      <c r="AJ4196" t="s">
        <v>11138</v>
      </c>
      <c r="AK4196" t="s">
        <v>7225</v>
      </c>
      <c r="AM4196">
        <v>800</v>
      </c>
      <c r="AO4196">
        <v>2</v>
      </c>
      <c r="AQ4196" t="s">
        <v>11156</v>
      </c>
      <c r="AS4196" t="s">
        <v>11183</v>
      </c>
      <c r="AU4196">
        <v>2</v>
      </c>
      <c r="AW4196" t="s">
        <v>11189</v>
      </c>
      <c r="AY4196" t="s">
        <v>11215</v>
      </c>
      <c r="AZ4196" t="s">
        <v>11221</v>
      </c>
      <c r="BB4196" t="s">
        <v>11224</v>
      </c>
      <c r="BC4196">
        <v>88034031</v>
      </c>
      <c r="BE4196" t="s">
        <v>13981</v>
      </c>
      <c r="BG4196" t="s">
        <v>15403</v>
      </c>
      <c r="BM4196" t="s">
        <v>15650</v>
      </c>
    </row>
    <row r="4197" spans="1:67">
      <c r="A4197" s="1">
        <f>HYPERLINK("https://lsnyc.legalserver.org/matter/dynamic-profile/view/1915693","19-1915693")</f>
        <v>0</v>
      </c>
      <c r="B4197" t="s">
        <v>220</v>
      </c>
      <c r="C4197" t="s">
        <v>248</v>
      </c>
      <c r="D4197" t="s">
        <v>528</v>
      </c>
      <c r="F4197" t="s">
        <v>1302</v>
      </c>
      <c r="G4197" t="s">
        <v>3231</v>
      </c>
      <c r="H4197" t="s">
        <v>6185</v>
      </c>
      <c r="I4197" t="s">
        <v>7105</v>
      </c>
      <c r="J4197" t="s">
        <v>7174</v>
      </c>
      <c r="K4197">
        <v>11215</v>
      </c>
      <c r="N4197" t="s">
        <v>7237</v>
      </c>
      <c r="O4197" t="s">
        <v>8970</v>
      </c>
      <c r="P4197">
        <v>1</v>
      </c>
      <c r="Q4197">
        <v>0</v>
      </c>
      <c r="R4197">
        <v>78.78</v>
      </c>
      <c r="U4197">
        <v>9840</v>
      </c>
      <c r="W4197">
        <v>0.25</v>
      </c>
      <c r="X4197" t="s">
        <v>528</v>
      </c>
      <c r="Y4197" t="s">
        <v>165</v>
      </c>
      <c r="Z4197" t="s">
        <v>10972</v>
      </c>
      <c r="AA4197" t="s">
        <v>10976</v>
      </c>
      <c r="AC4197" t="s">
        <v>11081</v>
      </c>
      <c r="AF4197" t="s">
        <v>11121</v>
      </c>
      <c r="AG4197" t="s">
        <v>11124</v>
      </c>
      <c r="AJ4197" t="s">
        <v>11129</v>
      </c>
      <c r="AK4197" t="s">
        <v>7225</v>
      </c>
      <c r="AL4197" t="s">
        <v>11150</v>
      </c>
      <c r="AM4197">
        <v>0</v>
      </c>
      <c r="AN4197" t="s">
        <v>11151</v>
      </c>
      <c r="AO4197" t="s">
        <v>11153</v>
      </c>
      <c r="AQ4197" t="s">
        <v>11157</v>
      </c>
      <c r="AR4197" t="s">
        <v>11172</v>
      </c>
      <c r="AT4197" t="s">
        <v>11184</v>
      </c>
      <c r="AU4197">
        <v>0</v>
      </c>
      <c r="AW4197" t="s">
        <v>11187</v>
      </c>
      <c r="AY4197" t="s">
        <v>11213</v>
      </c>
      <c r="AZ4197" t="s">
        <v>11221</v>
      </c>
      <c r="BE4197" t="s">
        <v>13211</v>
      </c>
      <c r="BF4197" t="s">
        <v>14364</v>
      </c>
      <c r="BM4197" t="s">
        <v>15650</v>
      </c>
    </row>
    <row r="4198" spans="1:67">
      <c r="A4198" s="1">
        <f>HYPERLINK("https://lsnyc.legalserver.org/matter/dynamic-profile/view/1889282","19-1889282")</f>
        <v>0</v>
      </c>
      <c r="B4198" t="s">
        <v>220</v>
      </c>
      <c r="C4198" t="s">
        <v>248</v>
      </c>
      <c r="D4198" t="s">
        <v>318</v>
      </c>
      <c r="F4198" t="s">
        <v>1139</v>
      </c>
      <c r="G4198" t="s">
        <v>4371</v>
      </c>
      <c r="H4198" t="s">
        <v>5952</v>
      </c>
      <c r="I4198" t="s">
        <v>6419</v>
      </c>
      <c r="J4198" t="s">
        <v>7174</v>
      </c>
      <c r="K4198">
        <v>11226</v>
      </c>
      <c r="N4198" t="s">
        <v>7237</v>
      </c>
      <c r="O4198" t="s">
        <v>9576</v>
      </c>
      <c r="P4198">
        <v>2</v>
      </c>
      <c r="Q4198">
        <v>0</v>
      </c>
      <c r="R4198">
        <v>0</v>
      </c>
      <c r="U4198">
        <v>0</v>
      </c>
      <c r="W4198">
        <v>0</v>
      </c>
      <c r="Y4198" t="s">
        <v>81</v>
      </c>
      <c r="Z4198" t="s">
        <v>10973</v>
      </c>
      <c r="AA4198" t="s">
        <v>10975</v>
      </c>
      <c r="AB4198" t="s">
        <v>354</v>
      </c>
      <c r="AD4198" t="s">
        <v>11098</v>
      </c>
      <c r="AF4198" t="s">
        <v>11122</v>
      </c>
      <c r="AG4198" t="s">
        <v>11124</v>
      </c>
      <c r="AI4198" t="s">
        <v>11126</v>
      </c>
      <c r="AK4198" t="s">
        <v>7225</v>
      </c>
      <c r="AM4198">
        <v>966.09</v>
      </c>
      <c r="AN4198" t="s">
        <v>11151</v>
      </c>
      <c r="AO4198" t="s">
        <v>11153</v>
      </c>
      <c r="AP4198" t="s">
        <v>11155</v>
      </c>
      <c r="AR4198" t="s">
        <v>11172</v>
      </c>
      <c r="AU4198">
        <v>17</v>
      </c>
      <c r="AW4198" t="s">
        <v>11187</v>
      </c>
      <c r="AZ4198" t="s">
        <v>11221</v>
      </c>
      <c r="BD4198" t="s">
        <v>11667</v>
      </c>
      <c r="BF4198" t="s">
        <v>14364</v>
      </c>
      <c r="BM4198" t="s">
        <v>15650</v>
      </c>
    </row>
    <row r="4199" spans="1:67">
      <c r="A4199" s="1">
        <f>HYPERLINK("https://lsnyc.legalserver.org/matter/dynamic-profile/view/1882569","18-1882569")</f>
        <v>0</v>
      </c>
      <c r="B4199" t="s">
        <v>220</v>
      </c>
      <c r="C4199" t="s">
        <v>248</v>
      </c>
      <c r="D4199" t="s">
        <v>466</v>
      </c>
      <c r="F4199" t="s">
        <v>1852</v>
      </c>
      <c r="G4199" t="s">
        <v>4563</v>
      </c>
      <c r="H4199" t="s">
        <v>6175</v>
      </c>
      <c r="I4199" t="s">
        <v>6646</v>
      </c>
      <c r="J4199" t="s">
        <v>7174</v>
      </c>
      <c r="K4199">
        <v>11233</v>
      </c>
      <c r="N4199" t="s">
        <v>7237</v>
      </c>
      <c r="O4199" t="s">
        <v>9875</v>
      </c>
      <c r="P4199">
        <v>1</v>
      </c>
      <c r="Q4199">
        <v>0</v>
      </c>
      <c r="R4199">
        <v>74.14</v>
      </c>
      <c r="U4199">
        <v>9000</v>
      </c>
      <c r="W4199">
        <v>1.5</v>
      </c>
      <c r="X4199" t="s">
        <v>596</v>
      </c>
      <c r="Y4199" t="s">
        <v>225</v>
      </c>
      <c r="AA4199" t="s">
        <v>10974</v>
      </c>
      <c r="AB4199" t="s">
        <v>506</v>
      </c>
      <c r="AD4199" t="s">
        <v>11083</v>
      </c>
      <c r="AF4199" t="s">
        <v>11118</v>
      </c>
      <c r="AH4199" t="s">
        <v>10975</v>
      </c>
      <c r="AJ4199" t="s">
        <v>11138</v>
      </c>
      <c r="AK4199" t="s">
        <v>7225</v>
      </c>
      <c r="AM4199">
        <v>220</v>
      </c>
      <c r="AO4199">
        <v>2</v>
      </c>
      <c r="AQ4199" t="s">
        <v>11156</v>
      </c>
      <c r="AS4199" t="s">
        <v>11183</v>
      </c>
      <c r="AU4199">
        <v>1</v>
      </c>
      <c r="AW4199" t="s">
        <v>11187</v>
      </c>
      <c r="AY4199" t="s">
        <v>11215</v>
      </c>
      <c r="AZ4199" t="s">
        <v>11221</v>
      </c>
      <c r="BE4199" t="s">
        <v>13982</v>
      </c>
      <c r="BG4199" t="s">
        <v>15403</v>
      </c>
      <c r="BM4199" t="s">
        <v>15650</v>
      </c>
    </row>
    <row r="4200" spans="1:67">
      <c r="A4200" s="1">
        <f>HYPERLINK("https://lsnyc.legalserver.org/matter/dynamic-profile/view/1910682","19-1910682")</f>
        <v>0</v>
      </c>
      <c r="B4200" t="s">
        <v>220</v>
      </c>
      <c r="C4200" t="s">
        <v>248</v>
      </c>
      <c r="D4200" t="s">
        <v>554</v>
      </c>
      <c r="F4200" t="s">
        <v>1488</v>
      </c>
      <c r="G4200" t="s">
        <v>3258</v>
      </c>
      <c r="H4200" t="s">
        <v>5037</v>
      </c>
      <c r="I4200">
        <v>11</v>
      </c>
      <c r="J4200" t="s">
        <v>7174</v>
      </c>
      <c r="K4200">
        <v>11238</v>
      </c>
      <c r="N4200" t="s">
        <v>7237</v>
      </c>
      <c r="O4200" t="s">
        <v>7752</v>
      </c>
      <c r="P4200">
        <v>2</v>
      </c>
      <c r="Q4200">
        <v>0</v>
      </c>
      <c r="R4200">
        <v>0</v>
      </c>
      <c r="U4200">
        <v>0</v>
      </c>
      <c r="W4200">
        <v>0.5</v>
      </c>
      <c r="X4200" t="s">
        <v>669</v>
      </c>
      <c r="Y4200" t="s">
        <v>81</v>
      </c>
      <c r="AA4200" t="s">
        <v>10974</v>
      </c>
      <c r="AB4200" t="s">
        <v>554</v>
      </c>
      <c r="AD4200" t="s">
        <v>11083</v>
      </c>
      <c r="AF4200" t="s">
        <v>10384</v>
      </c>
      <c r="AH4200" t="s">
        <v>10975</v>
      </c>
      <c r="AI4200" t="s">
        <v>11126</v>
      </c>
      <c r="AK4200" t="s">
        <v>7225</v>
      </c>
      <c r="AM4200">
        <v>1200</v>
      </c>
      <c r="AO4200">
        <v>6</v>
      </c>
      <c r="AP4200" t="s">
        <v>11155</v>
      </c>
      <c r="AR4200" t="s">
        <v>11172</v>
      </c>
      <c r="AT4200" t="s">
        <v>11184</v>
      </c>
      <c r="AU4200">
        <v>0</v>
      </c>
      <c r="AW4200" t="s">
        <v>11187</v>
      </c>
      <c r="BA4200" t="s">
        <v>11222</v>
      </c>
      <c r="BE4200" t="s">
        <v>12106</v>
      </c>
      <c r="BF4200" t="s">
        <v>14364</v>
      </c>
      <c r="BM4200" t="s">
        <v>15650</v>
      </c>
    </row>
    <row r="4201" spans="1:67">
      <c r="A4201" s="1">
        <f>HYPERLINK("https://lsnyc.legalserver.org/matter/dynamic-profile/view/1912486","19-1912486")</f>
        <v>0</v>
      </c>
      <c r="B4201" t="s">
        <v>220</v>
      </c>
      <c r="C4201" t="s">
        <v>248</v>
      </c>
      <c r="D4201" t="s">
        <v>441</v>
      </c>
      <c r="F4201" t="s">
        <v>2684</v>
      </c>
      <c r="G4201" t="s">
        <v>3641</v>
      </c>
      <c r="H4201" t="s">
        <v>5074</v>
      </c>
      <c r="I4201" t="s">
        <v>6436</v>
      </c>
      <c r="J4201" t="s">
        <v>7174</v>
      </c>
      <c r="K4201">
        <v>11210</v>
      </c>
      <c r="N4201" t="s">
        <v>7237</v>
      </c>
      <c r="O4201" t="s">
        <v>9876</v>
      </c>
      <c r="P4201">
        <v>1</v>
      </c>
      <c r="Q4201">
        <v>0</v>
      </c>
      <c r="R4201">
        <v>96.08</v>
      </c>
      <c r="U4201">
        <v>12000</v>
      </c>
      <c r="W4201">
        <v>0</v>
      </c>
      <c r="Y4201" t="s">
        <v>81</v>
      </c>
      <c r="AA4201" t="s">
        <v>10974</v>
      </c>
      <c r="AB4201" t="s">
        <v>441</v>
      </c>
      <c r="AD4201" t="s">
        <v>11100</v>
      </c>
      <c r="AF4201" t="s">
        <v>11120</v>
      </c>
      <c r="AH4201" t="s">
        <v>10975</v>
      </c>
      <c r="AI4201" t="s">
        <v>11126</v>
      </c>
      <c r="AK4201" t="s">
        <v>7225</v>
      </c>
      <c r="AL4201" t="s">
        <v>11150</v>
      </c>
      <c r="AM4201">
        <v>0</v>
      </c>
      <c r="AO4201">
        <v>65</v>
      </c>
      <c r="AP4201" t="s">
        <v>11155</v>
      </c>
      <c r="AR4201" t="s">
        <v>11172</v>
      </c>
      <c r="AU4201">
        <v>14</v>
      </c>
      <c r="AW4201" t="s">
        <v>11187</v>
      </c>
      <c r="BA4201" t="s">
        <v>11222</v>
      </c>
      <c r="BE4201" t="s">
        <v>13983</v>
      </c>
      <c r="BF4201" t="s">
        <v>14364</v>
      </c>
      <c r="BM4201" t="s">
        <v>15650</v>
      </c>
    </row>
    <row r="4202" spans="1:67">
      <c r="A4202" s="1">
        <f>HYPERLINK("https://lsnyc.legalserver.org/matter/dynamic-profile/view/1889235","19-1889235")</f>
        <v>0</v>
      </c>
      <c r="B4202" t="s">
        <v>220</v>
      </c>
      <c r="C4202" t="s">
        <v>248</v>
      </c>
      <c r="D4202" t="s">
        <v>1007</v>
      </c>
      <c r="F4202" t="s">
        <v>1196</v>
      </c>
      <c r="G4202" t="s">
        <v>4362</v>
      </c>
      <c r="H4202" t="s">
        <v>5952</v>
      </c>
      <c r="J4202" t="s">
        <v>7174</v>
      </c>
      <c r="K4202">
        <v>11226</v>
      </c>
      <c r="N4202" t="s">
        <v>7237</v>
      </c>
      <c r="O4202" t="s">
        <v>9566</v>
      </c>
      <c r="P4202">
        <v>2</v>
      </c>
      <c r="Q4202">
        <v>1</v>
      </c>
      <c r="R4202">
        <v>3211.44</v>
      </c>
      <c r="U4202">
        <v>685000</v>
      </c>
      <c r="W4202">
        <v>1.5</v>
      </c>
      <c r="X4202" t="s">
        <v>1006</v>
      </c>
      <c r="Y4202" t="s">
        <v>81</v>
      </c>
      <c r="AA4202" t="s">
        <v>10974</v>
      </c>
      <c r="AB4202" t="s">
        <v>354</v>
      </c>
      <c r="AD4202" t="s">
        <v>11098</v>
      </c>
      <c r="AF4202" t="s">
        <v>11122</v>
      </c>
      <c r="AH4202" t="s">
        <v>10974</v>
      </c>
      <c r="AI4202" t="s">
        <v>11126</v>
      </c>
      <c r="AK4202" t="s">
        <v>7225</v>
      </c>
      <c r="AM4202">
        <v>1937</v>
      </c>
      <c r="AN4202" t="s">
        <v>11151</v>
      </c>
      <c r="AO4202" t="s">
        <v>11153</v>
      </c>
      <c r="AP4202" t="s">
        <v>11155</v>
      </c>
      <c r="AR4202" t="s">
        <v>11172</v>
      </c>
      <c r="AU4202">
        <v>3</v>
      </c>
      <c r="AW4202" t="s">
        <v>11187</v>
      </c>
      <c r="AZ4202" t="s">
        <v>11221</v>
      </c>
      <c r="BE4202" t="s">
        <v>13681</v>
      </c>
      <c r="BF4202" t="s">
        <v>14364</v>
      </c>
      <c r="BM4202" t="s">
        <v>15650</v>
      </c>
    </row>
    <row r="4203" spans="1:67">
      <c r="A4203" s="1">
        <f>HYPERLINK("https://lsnyc.legalserver.org/matter/dynamic-profile/view/1844569","17-1844569")</f>
        <v>0</v>
      </c>
      <c r="B4203" t="s">
        <v>220</v>
      </c>
      <c r="C4203" t="s">
        <v>248</v>
      </c>
      <c r="D4203" t="s">
        <v>489</v>
      </c>
      <c r="F4203" t="s">
        <v>1433</v>
      </c>
      <c r="G4203" t="s">
        <v>4564</v>
      </c>
      <c r="H4203" t="s">
        <v>5804</v>
      </c>
      <c r="I4203" t="s">
        <v>6941</v>
      </c>
      <c r="J4203" t="s">
        <v>7174</v>
      </c>
      <c r="K4203">
        <v>11249</v>
      </c>
      <c r="N4203" t="s">
        <v>7237</v>
      </c>
      <c r="O4203" t="s">
        <v>9877</v>
      </c>
      <c r="P4203">
        <v>1</v>
      </c>
      <c r="Q4203">
        <v>0</v>
      </c>
      <c r="R4203">
        <v>107.79</v>
      </c>
      <c r="S4203" t="s">
        <v>1067</v>
      </c>
      <c r="U4203">
        <v>35800</v>
      </c>
      <c r="W4203">
        <v>21.3</v>
      </c>
      <c r="X4203" t="s">
        <v>679</v>
      </c>
      <c r="Y4203" t="s">
        <v>225</v>
      </c>
      <c r="AA4203" t="s">
        <v>10974</v>
      </c>
      <c r="AB4203" t="s">
        <v>11046</v>
      </c>
      <c r="AD4203" t="s">
        <v>11082</v>
      </c>
      <c r="AF4203" t="s">
        <v>11118</v>
      </c>
      <c r="AH4203" t="s">
        <v>10974</v>
      </c>
      <c r="AI4203" t="s">
        <v>11126</v>
      </c>
      <c r="AK4203" t="s">
        <v>7225</v>
      </c>
      <c r="AM4203">
        <v>2500</v>
      </c>
      <c r="AO4203">
        <v>36</v>
      </c>
      <c r="AQ4203" t="s">
        <v>11157</v>
      </c>
      <c r="AR4203" t="s">
        <v>11172</v>
      </c>
      <c r="AU4203">
        <v>2</v>
      </c>
      <c r="AV4203" t="s">
        <v>11186</v>
      </c>
      <c r="AZ4203" t="s">
        <v>11221</v>
      </c>
      <c r="BD4203" t="s">
        <v>11667</v>
      </c>
      <c r="BF4203" t="s">
        <v>14364</v>
      </c>
      <c r="BM4203" t="s">
        <v>15650</v>
      </c>
    </row>
    <row r="4204" spans="1:67">
      <c r="A4204" s="1">
        <f>HYPERLINK("https://lsnyc.legalserver.org/matter/dynamic-profile/view/1895704","19-1895704")</f>
        <v>0</v>
      </c>
      <c r="B4204" t="s">
        <v>220</v>
      </c>
      <c r="C4204" t="s">
        <v>248</v>
      </c>
      <c r="D4204" t="s">
        <v>602</v>
      </c>
      <c r="F4204" t="s">
        <v>2685</v>
      </c>
      <c r="G4204" t="s">
        <v>4565</v>
      </c>
      <c r="H4204" t="s">
        <v>6186</v>
      </c>
      <c r="I4204" t="s">
        <v>7106</v>
      </c>
      <c r="J4204" t="s">
        <v>7174</v>
      </c>
      <c r="K4204">
        <v>11230</v>
      </c>
      <c r="N4204" t="s">
        <v>7237</v>
      </c>
      <c r="O4204" t="s">
        <v>9878</v>
      </c>
      <c r="P4204">
        <v>1</v>
      </c>
      <c r="Q4204">
        <v>0</v>
      </c>
      <c r="R4204">
        <v>520.42</v>
      </c>
      <c r="S4204" t="s">
        <v>428</v>
      </c>
      <c r="T4204" t="s">
        <v>10276</v>
      </c>
      <c r="U4204">
        <v>65000</v>
      </c>
      <c r="W4204">
        <v>0.5</v>
      </c>
      <c r="X4204" t="s">
        <v>822</v>
      </c>
      <c r="Y4204" t="s">
        <v>81</v>
      </c>
      <c r="AA4204" t="s">
        <v>10974</v>
      </c>
      <c r="AB4204" t="s">
        <v>428</v>
      </c>
      <c r="AD4204" t="s">
        <v>11082</v>
      </c>
      <c r="AF4204" t="s">
        <v>11118</v>
      </c>
      <c r="AH4204" t="s">
        <v>10975</v>
      </c>
      <c r="AJ4204" t="s">
        <v>11138</v>
      </c>
      <c r="AK4204" t="s">
        <v>7225</v>
      </c>
      <c r="AM4204">
        <v>558.89</v>
      </c>
      <c r="AN4204" t="s">
        <v>11151</v>
      </c>
      <c r="AO4204" t="s">
        <v>11153</v>
      </c>
      <c r="AQ4204" t="s">
        <v>11157</v>
      </c>
      <c r="AR4204" t="s">
        <v>11172</v>
      </c>
      <c r="AU4204">
        <v>39</v>
      </c>
      <c r="AW4204" t="s">
        <v>11189</v>
      </c>
      <c r="AZ4204" t="s">
        <v>11221</v>
      </c>
      <c r="BE4204" t="s">
        <v>13984</v>
      </c>
      <c r="BG4204" t="s">
        <v>15408</v>
      </c>
      <c r="BK4204" t="s">
        <v>15620</v>
      </c>
      <c r="BM4204" t="s">
        <v>15650</v>
      </c>
      <c r="BN4204" t="s">
        <v>15652</v>
      </c>
      <c r="BO4204" t="s">
        <v>15746</v>
      </c>
    </row>
    <row r="4205" spans="1:67">
      <c r="A4205" s="1">
        <f>HYPERLINK("https://lsnyc.legalserver.org/matter/dynamic-profile/view/1889338","19-1889338")</f>
        <v>0</v>
      </c>
      <c r="B4205" t="s">
        <v>220</v>
      </c>
      <c r="C4205" t="s">
        <v>248</v>
      </c>
      <c r="D4205" t="s">
        <v>318</v>
      </c>
      <c r="F4205" t="s">
        <v>1122</v>
      </c>
      <c r="G4205" t="s">
        <v>3408</v>
      </c>
      <c r="H4205" t="s">
        <v>5952</v>
      </c>
      <c r="I4205" t="s">
        <v>6407</v>
      </c>
      <c r="J4205" t="s">
        <v>7174</v>
      </c>
      <c r="K4205">
        <v>11226</v>
      </c>
      <c r="N4205" t="s">
        <v>7237</v>
      </c>
      <c r="O4205" t="s">
        <v>9578</v>
      </c>
      <c r="P4205">
        <v>1</v>
      </c>
      <c r="Q4205">
        <v>0</v>
      </c>
      <c r="R4205">
        <v>0</v>
      </c>
      <c r="U4205">
        <v>0</v>
      </c>
      <c r="W4205">
        <v>0</v>
      </c>
      <c r="Y4205" t="s">
        <v>81</v>
      </c>
      <c r="Z4205" t="s">
        <v>10973</v>
      </c>
      <c r="AA4205" t="s">
        <v>10975</v>
      </c>
      <c r="AB4205" t="s">
        <v>354</v>
      </c>
      <c r="AD4205" t="s">
        <v>11098</v>
      </c>
      <c r="AF4205" t="s">
        <v>11122</v>
      </c>
      <c r="AH4205" t="s">
        <v>10974</v>
      </c>
      <c r="AI4205" t="s">
        <v>11126</v>
      </c>
      <c r="AK4205" t="s">
        <v>7225</v>
      </c>
      <c r="AM4205">
        <v>945.2</v>
      </c>
      <c r="AN4205" t="s">
        <v>11151</v>
      </c>
      <c r="AO4205" t="s">
        <v>11153</v>
      </c>
      <c r="AP4205" t="s">
        <v>11155</v>
      </c>
      <c r="AR4205" t="s">
        <v>11172</v>
      </c>
      <c r="AU4205">
        <v>20</v>
      </c>
      <c r="AW4205" t="s">
        <v>11189</v>
      </c>
      <c r="AZ4205" t="s">
        <v>11221</v>
      </c>
      <c r="BD4205" t="s">
        <v>11667</v>
      </c>
      <c r="BF4205" t="s">
        <v>14364</v>
      </c>
      <c r="BM4205" t="s">
        <v>15650</v>
      </c>
    </row>
    <row r="4206" spans="1:67">
      <c r="A4206" s="1">
        <f>HYPERLINK("https://lsnyc.legalserver.org/matter/dynamic-profile/view/0825897","17-0825897")</f>
        <v>0</v>
      </c>
      <c r="B4206" t="s">
        <v>221</v>
      </c>
      <c r="C4206" t="s">
        <v>245</v>
      </c>
      <c r="D4206" t="s">
        <v>957</v>
      </c>
      <c r="F4206" t="s">
        <v>2686</v>
      </c>
      <c r="G4206" t="s">
        <v>1893</v>
      </c>
      <c r="H4206" t="s">
        <v>6187</v>
      </c>
      <c r="I4206" t="s">
        <v>6436</v>
      </c>
      <c r="J4206" t="s">
        <v>7169</v>
      </c>
      <c r="K4206">
        <v>10002</v>
      </c>
      <c r="M4206" t="s">
        <v>7224</v>
      </c>
      <c r="N4206" t="s">
        <v>7237</v>
      </c>
      <c r="O4206" t="s">
        <v>9879</v>
      </c>
      <c r="P4206">
        <v>2</v>
      </c>
      <c r="Q4206">
        <v>0</v>
      </c>
      <c r="R4206">
        <v>81.15000000000001</v>
      </c>
      <c r="U4206">
        <v>13000</v>
      </c>
      <c r="W4206">
        <v>64.7</v>
      </c>
      <c r="X4206" t="s">
        <v>638</v>
      </c>
      <c r="Y4206" t="s">
        <v>10967</v>
      </c>
      <c r="AA4206" t="s">
        <v>10974</v>
      </c>
      <c r="AB4206" t="s">
        <v>895</v>
      </c>
      <c r="AD4206" t="s">
        <v>11083</v>
      </c>
      <c r="AF4206" t="s">
        <v>11118</v>
      </c>
      <c r="AG4206" t="s">
        <v>11124</v>
      </c>
      <c r="AJ4206" t="s">
        <v>11145</v>
      </c>
      <c r="AK4206" t="s">
        <v>7225</v>
      </c>
      <c r="AM4206">
        <v>879.29</v>
      </c>
      <c r="AN4206" t="s">
        <v>11151</v>
      </c>
      <c r="AO4206" t="s">
        <v>11153</v>
      </c>
      <c r="AQ4206" t="s">
        <v>11157</v>
      </c>
      <c r="AS4206" t="s">
        <v>11173</v>
      </c>
      <c r="AU4206">
        <v>25</v>
      </c>
      <c r="AW4206" t="s">
        <v>11187</v>
      </c>
      <c r="AZ4206" t="s">
        <v>11221</v>
      </c>
      <c r="BE4206" t="s">
        <v>13985</v>
      </c>
      <c r="BG4206" t="s">
        <v>15409</v>
      </c>
      <c r="BM4206" t="s">
        <v>15650</v>
      </c>
    </row>
    <row r="4207" spans="1:67">
      <c r="A4207" s="1">
        <f>HYPERLINK("https://lsnyc.legalserver.org/matter/dynamic-profile/view/1867765","18-1867765")</f>
        <v>0</v>
      </c>
      <c r="B4207" t="s">
        <v>221</v>
      </c>
      <c r="C4207" t="s">
        <v>245</v>
      </c>
      <c r="D4207" t="s">
        <v>893</v>
      </c>
      <c r="E4207" t="s">
        <v>262</v>
      </c>
      <c r="F4207" t="s">
        <v>2687</v>
      </c>
      <c r="G4207" t="s">
        <v>3079</v>
      </c>
      <c r="H4207" t="s">
        <v>6188</v>
      </c>
      <c r="I4207" t="s">
        <v>6413</v>
      </c>
      <c r="J4207" t="s">
        <v>7169</v>
      </c>
      <c r="K4207">
        <v>10030</v>
      </c>
      <c r="L4207" t="s">
        <v>7217</v>
      </c>
      <c r="N4207" t="s">
        <v>7237</v>
      </c>
      <c r="O4207" t="s">
        <v>9880</v>
      </c>
      <c r="P4207">
        <v>1</v>
      </c>
      <c r="Q4207">
        <v>1</v>
      </c>
      <c r="R4207">
        <v>118.47</v>
      </c>
      <c r="U4207">
        <v>19500</v>
      </c>
      <c r="W4207">
        <v>1.2</v>
      </c>
      <c r="X4207" t="s">
        <v>778</v>
      </c>
      <c r="Y4207" t="s">
        <v>10893</v>
      </c>
      <c r="Z4207" t="s">
        <v>10972</v>
      </c>
      <c r="AA4207" t="s">
        <v>10976</v>
      </c>
      <c r="AC4207" t="s">
        <v>11081</v>
      </c>
      <c r="AE4207" t="s">
        <v>11117</v>
      </c>
      <c r="AG4207" t="s">
        <v>11124</v>
      </c>
      <c r="AI4207" t="s">
        <v>11126</v>
      </c>
      <c r="AK4207" t="s">
        <v>7225</v>
      </c>
      <c r="AL4207" t="s">
        <v>11150</v>
      </c>
      <c r="AM4207">
        <v>0</v>
      </c>
      <c r="AN4207" t="s">
        <v>11151</v>
      </c>
      <c r="AO4207" t="s">
        <v>11153</v>
      </c>
      <c r="AP4207" t="s">
        <v>11155</v>
      </c>
      <c r="AR4207" t="s">
        <v>11172</v>
      </c>
      <c r="AT4207" t="s">
        <v>11184</v>
      </c>
      <c r="AU4207">
        <v>0</v>
      </c>
      <c r="AW4207" t="s">
        <v>11187</v>
      </c>
      <c r="AX4207" t="s">
        <v>11212</v>
      </c>
      <c r="AZ4207" t="s">
        <v>11221</v>
      </c>
      <c r="BE4207" t="s">
        <v>13986</v>
      </c>
      <c r="BF4207" t="s">
        <v>14364</v>
      </c>
      <c r="BM4207" t="s">
        <v>15651</v>
      </c>
    </row>
    <row r="4208" spans="1:67">
      <c r="A4208" s="1">
        <f>HYPERLINK("https://lsnyc.legalserver.org/matter/dynamic-profile/view/1900422","19-1900422")</f>
        <v>0</v>
      </c>
      <c r="B4208" t="s">
        <v>222</v>
      </c>
      <c r="C4208" t="s">
        <v>245</v>
      </c>
      <c r="D4208" t="s">
        <v>275</v>
      </c>
      <c r="F4208" t="s">
        <v>1773</v>
      </c>
      <c r="G4208" t="s">
        <v>3806</v>
      </c>
      <c r="H4208" t="s">
        <v>6189</v>
      </c>
      <c r="J4208" t="s">
        <v>7169</v>
      </c>
      <c r="K4208">
        <v>10031</v>
      </c>
      <c r="N4208" t="s">
        <v>7237</v>
      </c>
      <c r="O4208" t="s">
        <v>9881</v>
      </c>
      <c r="P4208">
        <v>1</v>
      </c>
      <c r="Q4208">
        <v>0</v>
      </c>
      <c r="R4208">
        <v>181.68</v>
      </c>
      <c r="U4208">
        <v>22692</v>
      </c>
      <c r="W4208">
        <v>8.050000000000001</v>
      </c>
      <c r="X4208" t="s">
        <v>423</v>
      </c>
      <c r="Y4208" t="s">
        <v>10860</v>
      </c>
      <c r="AA4208" t="s">
        <v>10974</v>
      </c>
      <c r="AB4208" t="s">
        <v>10988</v>
      </c>
      <c r="AD4208" t="s">
        <v>11082</v>
      </c>
      <c r="AF4208" t="s">
        <v>11118</v>
      </c>
      <c r="AH4208" t="s">
        <v>10975</v>
      </c>
      <c r="AJ4208" t="s">
        <v>11135</v>
      </c>
      <c r="AK4208" t="s">
        <v>7225</v>
      </c>
      <c r="AM4208">
        <v>818.59</v>
      </c>
      <c r="AO4208">
        <v>46</v>
      </c>
      <c r="AQ4208" t="s">
        <v>11157</v>
      </c>
      <c r="AR4208" t="s">
        <v>11172</v>
      </c>
      <c r="AU4208">
        <v>40</v>
      </c>
      <c r="AW4208" t="s">
        <v>11187</v>
      </c>
      <c r="BA4208" t="s">
        <v>11222</v>
      </c>
      <c r="BE4208" t="s">
        <v>13987</v>
      </c>
      <c r="BG4208" t="s">
        <v>15410</v>
      </c>
      <c r="BM4208" t="s">
        <v>15650</v>
      </c>
    </row>
    <row r="4209" spans="1:67">
      <c r="A4209" s="1">
        <f>HYPERLINK("https://lsnyc.legalserver.org/matter/dynamic-profile/view/1903626","19-1903626")</f>
        <v>0</v>
      </c>
      <c r="B4209" t="s">
        <v>222</v>
      </c>
      <c r="C4209" t="s">
        <v>245</v>
      </c>
      <c r="D4209" t="s">
        <v>651</v>
      </c>
      <c r="F4209" t="s">
        <v>1151</v>
      </c>
      <c r="G4209" t="s">
        <v>4566</v>
      </c>
      <c r="H4209" t="s">
        <v>6190</v>
      </c>
      <c r="I4209" t="s">
        <v>6513</v>
      </c>
      <c r="J4209" t="s">
        <v>7169</v>
      </c>
      <c r="K4209">
        <v>10033</v>
      </c>
      <c r="N4209" t="s">
        <v>7237</v>
      </c>
      <c r="O4209" t="s">
        <v>9882</v>
      </c>
      <c r="P4209">
        <v>2</v>
      </c>
      <c r="Q4209">
        <v>2</v>
      </c>
      <c r="R4209">
        <v>58.56</v>
      </c>
      <c r="U4209">
        <v>15080</v>
      </c>
      <c r="W4209">
        <v>29.1</v>
      </c>
      <c r="X4209" t="s">
        <v>436</v>
      </c>
      <c r="Y4209" t="s">
        <v>10893</v>
      </c>
      <c r="AA4209" t="s">
        <v>10974</v>
      </c>
      <c r="AB4209" t="s">
        <v>651</v>
      </c>
      <c r="AD4209" t="s">
        <v>11083</v>
      </c>
      <c r="AF4209" t="s">
        <v>11118</v>
      </c>
      <c r="AH4209" t="s">
        <v>10975</v>
      </c>
      <c r="AJ4209" t="s">
        <v>11138</v>
      </c>
      <c r="AK4209" t="s">
        <v>7225</v>
      </c>
      <c r="AM4209">
        <v>1000</v>
      </c>
      <c r="AN4209" t="s">
        <v>11151</v>
      </c>
      <c r="AO4209" t="s">
        <v>11153</v>
      </c>
      <c r="AP4209" t="s">
        <v>11155</v>
      </c>
      <c r="AR4209" t="s">
        <v>11172</v>
      </c>
      <c r="AU4209">
        <v>1</v>
      </c>
      <c r="AW4209" t="s">
        <v>11189</v>
      </c>
      <c r="BA4209" t="s">
        <v>11222</v>
      </c>
      <c r="BE4209" t="s">
        <v>13988</v>
      </c>
      <c r="BG4209" t="s">
        <v>15411</v>
      </c>
      <c r="BM4209" t="s">
        <v>15650</v>
      </c>
    </row>
    <row r="4210" spans="1:67">
      <c r="A4210" s="1">
        <f>HYPERLINK("https://lsnyc.legalserver.org/matter/dynamic-profile/view/1881577","18-1881577")</f>
        <v>0</v>
      </c>
      <c r="B4210" t="s">
        <v>222</v>
      </c>
      <c r="C4210" t="s">
        <v>245</v>
      </c>
      <c r="D4210" t="s">
        <v>576</v>
      </c>
      <c r="F4210" t="s">
        <v>2688</v>
      </c>
      <c r="G4210" t="s">
        <v>4567</v>
      </c>
      <c r="H4210" t="s">
        <v>6191</v>
      </c>
      <c r="I4210">
        <v>3</v>
      </c>
      <c r="J4210" t="s">
        <v>7169</v>
      </c>
      <c r="K4210">
        <v>10027</v>
      </c>
      <c r="N4210" t="s">
        <v>7237</v>
      </c>
      <c r="O4210" t="s">
        <v>9883</v>
      </c>
      <c r="P4210">
        <v>1</v>
      </c>
      <c r="Q4210">
        <v>0</v>
      </c>
      <c r="R4210">
        <v>0</v>
      </c>
      <c r="U4210">
        <v>0</v>
      </c>
      <c r="W4210">
        <v>0</v>
      </c>
      <c r="Y4210" t="s">
        <v>10862</v>
      </c>
      <c r="AA4210" t="s">
        <v>10974</v>
      </c>
      <c r="AB4210" t="s">
        <v>11004</v>
      </c>
      <c r="AD4210" t="s">
        <v>11086</v>
      </c>
      <c r="AF4210" t="s">
        <v>11119</v>
      </c>
      <c r="AH4210" t="s">
        <v>10975</v>
      </c>
      <c r="AJ4210" t="s">
        <v>11130</v>
      </c>
      <c r="AK4210" t="s">
        <v>7225</v>
      </c>
      <c r="AM4210">
        <v>1428</v>
      </c>
      <c r="AO4210">
        <v>7</v>
      </c>
      <c r="AQ4210" t="s">
        <v>11157</v>
      </c>
      <c r="AS4210" t="s">
        <v>11173</v>
      </c>
      <c r="AU4210">
        <v>5</v>
      </c>
      <c r="AW4210" t="s">
        <v>11187</v>
      </c>
      <c r="AZ4210" t="s">
        <v>11221</v>
      </c>
      <c r="BE4210" t="s">
        <v>13989</v>
      </c>
      <c r="BF4210" t="s">
        <v>14364</v>
      </c>
      <c r="BM4210" t="s">
        <v>15650</v>
      </c>
    </row>
    <row r="4211" spans="1:67">
      <c r="A4211" s="1">
        <f>HYPERLINK("https://lsnyc.legalserver.org/matter/dynamic-profile/view/1833810","17-1833810")</f>
        <v>0</v>
      </c>
      <c r="B4211" t="s">
        <v>222</v>
      </c>
      <c r="C4211" t="s">
        <v>245</v>
      </c>
      <c r="D4211" t="s">
        <v>256</v>
      </c>
      <c r="F4211" t="s">
        <v>1183</v>
      </c>
      <c r="G4211" t="s">
        <v>3308</v>
      </c>
      <c r="H4211" t="s">
        <v>5814</v>
      </c>
      <c r="I4211" t="s">
        <v>6495</v>
      </c>
      <c r="J4211" t="s">
        <v>7169</v>
      </c>
      <c r="K4211">
        <v>10035</v>
      </c>
      <c r="N4211" t="s">
        <v>7241</v>
      </c>
      <c r="O4211" t="s">
        <v>9200</v>
      </c>
      <c r="P4211">
        <v>1</v>
      </c>
      <c r="Q4211">
        <v>0</v>
      </c>
      <c r="R4211">
        <v>78.61</v>
      </c>
      <c r="U4211">
        <v>9480</v>
      </c>
      <c r="W4211">
        <v>73.5</v>
      </c>
      <c r="X4211" t="s">
        <v>547</v>
      </c>
      <c r="Y4211" t="s">
        <v>10872</v>
      </c>
      <c r="AA4211" t="s">
        <v>10974</v>
      </c>
      <c r="AB4211" t="s">
        <v>809</v>
      </c>
      <c r="AD4211" t="s">
        <v>11083</v>
      </c>
      <c r="AF4211" t="s">
        <v>11118</v>
      </c>
      <c r="AH4211" t="s">
        <v>10975</v>
      </c>
      <c r="AJ4211" t="s">
        <v>11136</v>
      </c>
      <c r="AK4211" t="s">
        <v>7225</v>
      </c>
      <c r="AM4211">
        <v>2100</v>
      </c>
      <c r="AO4211">
        <v>35</v>
      </c>
      <c r="AQ4211" t="s">
        <v>11161</v>
      </c>
      <c r="AR4211" t="s">
        <v>11172</v>
      </c>
      <c r="AU4211">
        <v>14</v>
      </c>
      <c r="AW4211" t="s">
        <v>11187</v>
      </c>
      <c r="AY4211" t="s">
        <v>11220</v>
      </c>
      <c r="AZ4211" t="s">
        <v>11221</v>
      </c>
      <c r="BE4211" t="s">
        <v>13429</v>
      </c>
      <c r="BG4211" t="s">
        <v>15412</v>
      </c>
      <c r="BI4211" t="s">
        <v>15611</v>
      </c>
      <c r="BM4211" t="s">
        <v>15650</v>
      </c>
    </row>
    <row r="4212" spans="1:67">
      <c r="A4212" s="1">
        <f>HYPERLINK("https://lsnyc.legalserver.org/matter/dynamic-profile/view/1865455","18-1865455")</f>
        <v>0</v>
      </c>
      <c r="B4212" t="s">
        <v>222</v>
      </c>
      <c r="C4212" t="s">
        <v>245</v>
      </c>
      <c r="D4212" t="s">
        <v>679</v>
      </c>
      <c r="F4212" t="s">
        <v>2689</v>
      </c>
      <c r="G4212" t="s">
        <v>4568</v>
      </c>
      <c r="H4212" t="s">
        <v>6192</v>
      </c>
      <c r="I4212" t="s">
        <v>6448</v>
      </c>
      <c r="J4212" t="s">
        <v>7169</v>
      </c>
      <c r="K4212">
        <v>10027</v>
      </c>
      <c r="M4212" t="s">
        <v>7224</v>
      </c>
      <c r="N4212" t="s">
        <v>7237</v>
      </c>
      <c r="O4212" t="s">
        <v>9884</v>
      </c>
      <c r="P4212">
        <v>2</v>
      </c>
      <c r="Q4212">
        <v>1</v>
      </c>
      <c r="R4212">
        <v>312.8</v>
      </c>
      <c r="S4212" t="s">
        <v>10255</v>
      </c>
      <c r="U4212">
        <v>80600</v>
      </c>
      <c r="W4212">
        <v>11.1</v>
      </c>
      <c r="X4212" t="s">
        <v>601</v>
      </c>
      <c r="Y4212" t="s">
        <v>10862</v>
      </c>
      <c r="AA4212" t="s">
        <v>10974</v>
      </c>
      <c r="AB4212" t="s">
        <v>679</v>
      </c>
      <c r="AD4212" t="s">
        <v>11093</v>
      </c>
      <c r="AF4212" t="s">
        <v>11118</v>
      </c>
      <c r="AH4212" t="s">
        <v>10974</v>
      </c>
      <c r="AJ4212" t="s">
        <v>11129</v>
      </c>
      <c r="AK4212" t="s">
        <v>7225</v>
      </c>
      <c r="AL4212" t="s">
        <v>11150</v>
      </c>
      <c r="AM4212">
        <v>0</v>
      </c>
      <c r="AO4212">
        <v>17</v>
      </c>
      <c r="AQ4212" t="s">
        <v>11157</v>
      </c>
      <c r="AS4212" t="s">
        <v>11173</v>
      </c>
      <c r="AU4212">
        <v>25</v>
      </c>
      <c r="AW4212" t="s">
        <v>11187</v>
      </c>
      <c r="AZ4212" t="s">
        <v>11221</v>
      </c>
      <c r="BE4212" t="s">
        <v>13990</v>
      </c>
      <c r="BF4212" t="s">
        <v>14364</v>
      </c>
      <c r="BG4212" t="s">
        <v>15413</v>
      </c>
      <c r="BM4212" t="s">
        <v>15650</v>
      </c>
    </row>
    <row r="4213" spans="1:67">
      <c r="A4213" s="1">
        <f>HYPERLINK("https://lsnyc.legalserver.org/matter/dynamic-profile/view/1914502","19-1914502")</f>
        <v>0</v>
      </c>
      <c r="B4213" t="s">
        <v>222</v>
      </c>
      <c r="C4213" t="s">
        <v>245</v>
      </c>
      <c r="D4213" t="s">
        <v>312</v>
      </c>
      <c r="F4213" t="s">
        <v>2690</v>
      </c>
      <c r="G4213" t="s">
        <v>2954</v>
      </c>
      <c r="H4213" t="s">
        <v>6193</v>
      </c>
      <c r="I4213" t="s">
        <v>6468</v>
      </c>
      <c r="J4213" t="s">
        <v>7169</v>
      </c>
      <c r="K4213">
        <v>10039</v>
      </c>
      <c r="N4213" t="s">
        <v>7237</v>
      </c>
      <c r="O4213" t="s">
        <v>9885</v>
      </c>
      <c r="P4213">
        <v>1</v>
      </c>
      <c r="Q4213">
        <v>0</v>
      </c>
      <c r="R4213">
        <v>281.18</v>
      </c>
      <c r="U4213">
        <v>35120</v>
      </c>
      <c r="W4213">
        <v>0</v>
      </c>
      <c r="Y4213" t="s">
        <v>10859</v>
      </c>
      <c r="AA4213" t="s">
        <v>10974</v>
      </c>
      <c r="AB4213" t="s">
        <v>312</v>
      </c>
      <c r="AD4213" t="s">
        <v>11082</v>
      </c>
      <c r="AF4213" t="s">
        <v>11121</v>
      </c>
      <c r="AH4213" t="s">
        <v>10975</v>
      </c>
      <c r="AJ4213" t="s">
        <v>11141</v>
      </c>
      <c r="AK4213" t="s">
        <v>7225</v>
      </c>
      <c r="AM4213">
        <v>1257.77</v>
      </c>
      <c r="AO4213">
        <v>96</v>
      </c>
      <c r="AQ4213" t="s">
        <v>11157</v>
      </c>
      <c r="AS4213" t="s">
        <v>11175</v>
      </c>
      <c r="AU4213">
        <v>13</v>
      </c>
      <c r="AW4213" t="s">
        <v>11187</v>
      </c>
      <c r="AY4213" t="s">
        <v>11213</v>
      </c>
      <c r="BA4213" t="s">
        <v>11222</v>
      </c>
      <c r="BE4213" t="s">
        <v>13991</v>
      </c>
      <c r="BF4213" t="s">
        <v>14364</v>
      </c>
      <c r="BM4213" t="s">
        <v>15650</v>
      </c>
    </row>
    <row r="4214" spans="1:67">
      <c r="A4214" s="1">
        <f>HYPERLINK("https://lsnyc.legalserver.org/matter/dynamic-profile/view/1877409","18-1877409")</f>
        <v>0</v>
      </c>
      <c r="B4214" t="s">
        <v>223</v>
      </c>
      <c r="C4214" t="s">
        <v>246</v>
      </c>
      <c r="D4214" t="s">
        <v>284</v>
      </c>
      <c r="F4214" t="s">
        <v>2536</v>
      </c>
      <c r="G4214" t="s">
        <v>3165</v>
      </c>
      <c r="H4214" t="s">
        <v>5986</v>
      </c>
      <c r="I4214" t="s">
        <v>6700</v>
      </c>
      <c r="J4214" t="s">
        <v>7170</v>
      </c>
      <c r="K4214">
        <v>10459</v>
      </c>
      <c r="N4214" t="s">
        <v>7237</v>
      </c>
      <c r="O4214" t="s">
        <v>9608</v>
      </c>
      <c r="P4214">
        <v>1</v>
      </c>
      <c r="Q4214">
        <v>0</v>
      </c>
      <c r="R4214">
        <v>17.79</v>
      </c>
      <c r="U4214">
        <v>2160</v>
      </c>
      <c r="V4214" t="s">
        <v>10282</v>
      </c>
      <c r="W4214">
        <v>47.75</v>
      </c>
      <c r="X4214" t="s">
        <v>548</v>
      </c>
      <c r="Y4214" t="s">
        <v>10897</v>
      </c>
      <c r="AA4214" t="s">
        <v>10974</v>
      </c>
      <c r="AB4214" t="s">
        <v>284</v>
      </c>
      <c r="AD4214" t="s">
        <v>11083</v>
      </c>
      <c r="AF4214" t="s">
        <v>11118</v>
      </c>
      <c r="AH4214" t="s">
        <v>10975</v>
      </c>
      <c r="AJ4214" t="s">
        <v>11138</v>
      </c>
      <c r="AK4214" t="s">
        <v>7225</v>
      </c>
      <c r="AM4214">
        <v>1200</v>
      </c>
      <c r="AO4214">
        <v>92</v>
      </c>
      <c r="AQ4214" t="s">
        <v>11161</v>
      </c>
      <c r="AS4214" t="s">
        <v>11174</v>
      </c>
      <c r="AU4214">
        <v>10</v>
      </c>
      <c r="AW4214" t="s">
        <v>11189</v>
      </c>
      <c r="AY4214" t="s">
        <v>11213</v>
      </c>
      <c r="AZ4214" t="s">
        <v>11221</v>
      </c>
      <c r="BC4214" t="s">
        <v>11604</v>
      </c>
      <c r="BE4214" t="s">
        <v>13717</v>
      </c>
      <c r="BG4214" t="s">
        <v>15414</v>
      </c>
      <c r="BI4214" t="s">
        <v>15608</v>
      </c>
      <c r="BK4214" t="s">
        <v>15622</v>
      </c>
      <c r="BM4214" t="s">
        <v>15650</v>
      </c>
      <c r="BN4214" t="s">
        <v>15652</v>
      </c>
      <c r="BO4214" t="s">
        <v>15689</v>
      </c>
    </row>
    <row r="4215" spans="1:67">
      <c r="A4215" s="1">
        <f>HYPERLINK("https://lsnyc.legalserver.org/matter/dynamic-profile/view/0802155","16-0802155")</f>
        <v>0</v>
      </c>
      <c r="B4215" t="s">
        <v>223</v>
      </c>
      <c r="C4215" t="s">
        <v>246</v>
      </c>
      <c r="D4215" t="s">
        <v>1042</v>
      </c>
      <c r="F4215" t="s">
        <v>1790</v>
      </c>
      <c r="G4215" t="s">
        <v>4569</v>
      </c>
      <c r="H4215" t="s">
        <v>6194</v>
      </c>
      <c r="I4215">
        <v>417</v>
      </c>
      <c r="J4215" t="s">
        <v>7170</v>
      </c>
      <c r="K4215">
        <v>10455</v>
      </c>
      <c r="M4215" t="s">
        <v>7230</v>
      </c>
      <c r="N4215" t="s">
        <v>7237</v>
      </c>
      <c r="O4215" t="s">
        <v>8285</v>
      </c>
      <c r="P4215">
        <v>2</v>
      </c>
      <c r="Q4215">
        <v>0</v>
      </c>
      <c r="R4215">
        <v>37.45</v>
      </c>
      <c r="U4215">
        <v>6000</v>
      </c>
      <c r="V4215" t="s">
        <v>10770</v>
      </c>
      <c r="W4215">
        <v>260.65</v>
      </c>
      <c r="X4215" t="s">
        <v>341</v>
      </c>
      <c r="Y4215" t="s">
        <v>10868</v>
      </c>
      <c r="AA4215" t="s">
        <v>10974</v>
      </c>
      <c r="AB4215" t="s">
        <v>10984</v>
      </c>
      <c r="AD4215" t="s">
        <v>11083</v>
      </c>
      <c r="AF4215" t="s">
        <v>11118</v>
      </c>
      <c r="AG4215" t="s">
        <v>11124</v>
      </c>
      <c r="AJ4215" t="s">
        <v>11129</v>
      </c>
      <c r="AK4215" t="s">
        <v>7225</v>
      </c>
      <c r="AM4215">
        <v>560</v>
      </c>
      <c r="AO4215">
        <v>109</v>
      </c>
      <c r="AQ4215" t="s">
        <v>11161</v>
      </c>
      <c r="AS4215" t="s">
        <v>11174</v>
      </c>
      <c r="AU4215">
        <v>20</v>
      </c>
      <c r="AW4215" t="s">
        <v>11189</v>
      </c>
      <c r="AY4215" t="s">
        <v>11216</v>
      </c>
      <c r="AZ4215" t="s">
        <v>11221</v>
      </c>
      <c r="BE4215" t="s">
        <v>13992</v>
      </c>
      <c r="BG4215" t="s">
        <v>15415</v>
      </c>
      <c r="BM4215" t="s">
        <v>15650</v>
      </c>
    </row>
    <row r="4216" spans="1:67">
      <c r="A4216" s="1">
        <f>HYPERLINK("https://lsnyc.legalserver.org/matter/dynamic-profile/view/1899225","19-1899225")</f>
        <v>0</v>
      </c>
      <c r="B4216" t="s">
        <v>223</v>
      </c>
      <c r="C4216" t="s">
        <v>246</v>
      </c>
      <c r="D4216" t="s">
        <v>675</v>
      </c>
      <c r="F4216" t="s">
        <v>1457</v>
      </c>
      <c r="G4216" t="s">
        <v>3103</v>
      </c>
      <c r="H4216" t="s">
        <v>6195</v>
      </c>
      <c r="I4216" t="s">
        <v>6493</v>
      </c>
      <c r="J4216" t="s">
        <v>7170</v>
      </c>
      <c r="K4216">
        <v>10467</v>
      </c>
      <c r="N4216" t="s">
        <v>7238</v>
      </c>
      <c r="O4216" t="s">
        <v>7766</v>
      </c>
      <c r="P4216">
        <v>2</v>
      </c>
      <c r="Q4216">
        <v>0</v>
      </c>
      <c r="R4216">
        <v>158.58</v>
      </c>
      <c r="U4216">
        <v>26816.52</v>
      </c>
      <c r="V4216" t="s">
        <v>10771</v>
      </c>
      <c r="W4216">
        <v>2.5</v>
      </c>
      <c r="X4216" t="s">
        <v>429</v>
      </c>
      <c r="Y4216" t="s">
        <v>10897</v>
      </c>
      <c r="AA4216" t="s">
        <v>10974</v>
      </c>
      <c r="AB4216" t="s">
        <v>10979</v>
      </c>
      <c r="AD4216" t="s">
        <v>11088</v>
      </c>
      <c r="AF4216" t="s">
        <v>11120</v>
      </c>
      <c r="AH4216" t="s">
        <v>10975</v>
      </c>
      <c r="AJ4216" t="s">
        <v>11132</v>
      </c>
      <c r="AK4216" t="s">
        <v>7225</v>
      </c>
      <c r="AM4216">
        <v>1238.17</v>
      </c>
      <c r="AO4216">
        <v>26</v>
      </c>
      <c r="AQ4216" t="s">
        <v>11157</v>
      </c>
      <c r="AS4216" t="s">
        <v>11173</v>
      </c>
      <c r="AU4216">
        <v>4</v>
      </c>
      <c r="AW4216" t="s">
        <v>11187</v>
      </c>
      <c r="BA4216" t="s">
        <v>11222</v>
      </c>
      <c r="BE4216" t="s">
        <v>13993</v>
      </c>
      <c r="BF4216" t="s">
        <v>14364</v>
      </c>
      <c r="BM4216" t="s">
        <v>15650</v>
      </c>
    </row>
    <row r="4217" spans="1:67">
      <c r="A4217" s="1">
        <f>HYPERLINK("https://lsnyc.legalserver.org/matter/dynamic-profile/view/1886037","18-1886037")</f>
        <v>0</v>
      </c>
      <c r="B4217" t="s">
        <v>223</v>
      </c>
      <c r="C4217" t="s">
        <v>246</v>
      </c>
      <c r="D4217" t="s">
        <v>631</v>
      </c>
      <c r="F4217" t="s">
        <v>1680</v>
      </c>
      <c r="G4217" t="s">
        <v>1656</v>
      </c>
      <c r="H4217" t="s">
        <v>5398</v>
      </c>
      <c r="I4217" t="s">
        <v>6525</v>
      </c>
      <c r="J4217" t="s">
        <v>7170</v>
      </c>
      <c r="K4217">
        <v>10453</v>
      </c>
      <c r="N4217" t="s">
        <v>7238</v>
      </c>
      <c r="O4217" t="s">
        <v>9886</v>
      </c>
      <c r="P4217">
        <v>4</v>
      </c>
      <c r="Q4217">
        <v>0</v>
      </c>
      <c r="R4217">
        <v>197.15</v>
      </c>
      <c r="U4217">
        <v>49484</v>
      </c>
      <c r="V4217" t="s">
        <v>10772</v>
      </c>
      <c r="W4217">
        <v>5.2</v>
      </c>
      <c r="X4217" t="s">
        <v>333</v>
      </c>
      <c r="Y4217" t="s">
        <v>10897</v>
      </c>
      <c r="AA4217" t="s">
        <v>10974</v>
      </c>
      <c r="AB4217" t="s">
        <v>631</v>
      </c>
      <c r="AD4217" t="s">
        <v>11088</v>
      </c>
      <c r="AF4217" t="s">
        <v>11120</v>
      </c>
      <c r="AH4217" t="s">
        <v>10975</v>
      </c>
      <c r="AJ4217" t="s">
        <v>11132</v>
      </c>
      <c r="AK4217" t="s">
        <v>7225</v>
      </c>
      <c r="AM4217">
        <v>900.16</v>
      </c>
      <c r="AO4217">
        <v>72</v>
      </c>
      <c r="AQ4217" t="s">
        <v>11157</v>
      </c>
      <c r="AS4217" t="s">
        <v>11175</v>
      </c>
      <c r="AU4217">
        <v>36</v>
      </c>
      <c r="AW4217" t="s">
        <v>11187</v>
      </c>
      <c r="AZ4217" t="s">
        <v>11221</v>
      </c>
      <c r="BC4217" t="s">
        <v>11605</v>
      </c>
      <c r="BE4217" t="s">
        <v>13994</v>
      </c>
      <c r="BF4217" t="s">
        <v>14364</v>
      </c>
      <c r="BM4217" t="s">
        <v>15650</v>
      </c>
    </row>
    <row r="4218" spans="1:67">
      <c r="A4218" s="1">
        <f>HYPERLINK("https://lsnyc.legalserver.org/matter/dynamic-profile/view/1881793","18-1881793")</f>
        <v>0</v>
      </c>
      <c r="B4218" t="s">
        <v>224</v>
      </c>
      <c r="C4218" t="s">
        <v>245</v>
      </c>
      <c r="D4218" t="s">
        <v>553</v>
      </c>
      <c r="E4218" t="s">
        <v>548</v>
      </c>
      <c r="F4218" t="s">
        <v>1773</v>
      </c>
      <c r="G4218" t="s">
        <v>2992</v>
      </c>
      <c r="H4218" t="s">
        <v>6196</v>
      </c>
      <c r="I4218" t="s">
        <v>6551</v>
      </c>
      <c r="J4218" t="s">
        <v>7169</v>
      </c>
      <c r="K4218">
        <v>10032</v>
      </c>
      <c r="L4218" t="s">
        <v>7217</v>
      </c>
      <c r="N4218" t="s">
        <v>7237</v>
      </c>
      <c r="O4218" t="s">
        <v>9887</v>
      </c>
      <c r="P4218">
        <v>2</v>
      </c>
      <c r="Q4218">
        <v>1</v>
      </c>
      <c r="R4218">
        <v>72.18000000000001</v>
      </c>
      <c r="U4218">
        <v>15000</v>
      </c>
      <c r="W4218">
        <v>1.3</v>
      </c>
      <c r="X4218" t="s">
        <v>435</v>
      </c>
      <c r="Y4218" t="s">
        <v>10862</v>
      </c>
      <c r="AA4218" t="s">
        <v>10974</v>
      </c>
      <c r="AB4218" t="s">
        <v>553</v>
      </c>
      <c r="AD4218" t="s">
        <v>11082</v>
      </c>
      <c r="AF4218" t="s">
        <v>10384</v>
      </c>
      <c r="AG4218" t="s">
        <v>11124</v>
      </c>
      <c r="AJ4218" t="s">
        <v>11131</v>
      </c>
      <c r="AK4218" t="s">
        <v>7225</v>
      </c>
      <c r="AM4218">
        <v>802</v>
      </c>
      <c r="AN4218" t="s">
        <v>11151</v>
      </c>
      <c r="AO4218" t="s">
        <v>11153</v>
      </c>
      <c r="AQ4218" t="s">
        <v>11157</v>
      </c>
      <c r="AS4218" t="s">
        <v>11173</v>
      </c>
      <c r="AU4218">
        <v>6</v>
      </c>
      <c r="AW4218" t="s">
        <v>11189</v>
      </c>
      <c r="AZ4218" t="s">
        <v>11221</v>
      </c>
      <c r="BE4218" t="s">
        <v>13995</v>
      </c>
      <c r="BG4218" t="s">
        <v>15416</v>
      </c>
      <c r="BM4218" t="s">
        <v>15651</v>
      </c>
    </row>
    <row r="4219" spans="1:67">
      <c r="A4219" s="1">
        <f>HYPERLINK("https://lsnyc.legalserver.org/matter/dynamic-profile/view/1904688","19-1904688")</f>
        <v>0</v>
      </c>
      <c r="B4219" t="s">
        <v>224</v>
      </c>
      <c r="C4219" t="s">
        <v>245</v>
      </c>
      <c r="D4219" t="s">
        <v>373</v>
      </c>
      <c r="F4219" t="s">
        <v>1128</v>
      </c>
      <c r="G4219" t="s">
        <v>4570</v>
      </c>
      <c r="H4219" t="s">
        <v>6197</v>
      </c>
      <c r="I4219" t="s">
        <v>6603</v>
      </c>
      <c r="J4219" t="s">
        <v>7169</v>
      </c>
      <c r="K4219">
        <v>10128</v>
      </c>
      <c r="N4219" t="s">
        <v>7237</v>
      </c>
      <c r="O4219" t="s">
        <v>9888</v>
      </c>
      <c r="P4219">
        <v>1</v>
      </c>
      <c r="Q4219">
        <v>0</v>
      </c>
      <c r="R4219">
        <v>37.89</v>
      </c>
      <c r="U4219">
        <v>4732</v>
      </c>
      <c r="W4219">
        <v>10.6</v>
      </c>
      <c r="X4219" t="s">
        <v>548</v>
      </c>
      <c r="Y4219" t="s">
        <v>10885</v>
      </c>
      <c r="AA4219" t="s">
        <v>10974</v>
      </c>
      <c r="AB4219" t="s">
        <v>373</v>
      </c>
      <c r="AD4219" t="s">
        <v>11083</v>
      </c>
      <c r="AF4219" t="s">
        <v>11118</v>
      </c>
      <c r="AH4219" t="s">
        <v>10975</v>
      </c>
      <c r="AJ4219" t="s">
        <v>11141</v>
      </c>
      <c r="AK4219" t="s">
        <v>7225</v>
      </c>
      <c r="AM4219">
        <v>918</v>
      </c>
      <c r="AO4219">
        <v>37</v>
      </c>
      <c r="AQ4219" t="s">
        <v>11157</v>
      </c>
      <c r="AS4219" t="s">
        <v>11177</v>
      </c>
      <c r="AU4219">
        <v>21</v>
      </c>
      <c r="AW4219" t="s">
        <v>11187</v>
      </c>
      <c r="BA4219" t="s">
        <v>11223</v>
      </c>
      <c r="BB4219" t="s">
        <v>11224</v>
      </c>
      <c r="BC4219" t="s">
        <v>11606</v>
      </c>
      <c r="BE4219" t="s">
        <v>13996</v>
      </c>
      <c r="BG4219" t="s">
        <v>15417</v>
      </c>
      <c r="BM4219" t="s">
        <v>15650</v>
      </c>
    </row>
    <row r="4220" spans="1:67">
      <c r="A4220" s="1">
        <f>HYPERLINK("https://lsnyc.legalserver.org/matter/dynamic-profile/view/1877020","18-1877020")</f>
        <v>0</v>
      </c>
      <c r="B4220" t="s">
        <v>224</v>
      </c>
      <c r="C4220" t="s">
        <v>245</v>
      </c>
      <c r="D4220" t="s">
        <v>516</v>
      </c>
      <c r="F4220" t="s">
        <v>1187</v>
      </c>
      <c r="G4220" t="s">
        <v>4571</v>
      </c>
      <c r="H4220" t="s">
        <v>6198</v>
      </c>
      <c r="I4220" t="s">
        <v>6468</v>
      </c>
      <c r="J4220" t="s">
        <v>7169</v>
      </c>
      <c r="K4220">
        <v>10011</v>
      </c>
      <c r="N4220" t="s">
        <v>7237</v>
      </c>
      <c r="O4220" t="s">
        <v>9889</v>
      </c>
      <c r="P4220">
        <v>1</v>
      </c>
      <c r="Q4220">
        <v>0</v>
      </c>
      <c r="R4220">
        <v>37.56</v>
      </c>
      <c r="U4220">
        <v>4560</v>
      </c>
      <c r="W4220">
        <v>6.3</v>
      </c>
      <c r="X4220" t="s">
        <v>587</v>
      </c>
      <c r="Y4220" t="s">
        <v>10862</v>
      </c>
      <c r="AA4220" t="s">
        <v>10974</v>
      </c>
      <c r="AB4220" t="s">
        <v>516</v>
      </c>
      <c r="AD4220" t="s">
        <v>11082</v>
      </c>
      <c r="AF4220" t="s">
        <v>10384</v>
      </c>
      <c r="AH4220" t="s">
        <v>10975</v>
      </c>
      <c r="AJ4220" t="s">
        <v>11130</v>
      </c>
      <c r="AK4220" t="s">
        <v>7225</v>
      </c>
      <c r="AM4220">
        <v>1608</v>
      </c>
      <c r="AN4220" t="s">
        <v>11151</v>
      </c>
      <c r="AO4220" t="s">
        <v>11153</v>
      </c>
      <c r="AQ4220" t="s">
        <v>11157</v>
      </c>
      <c r="AS4220" t="s">
        <v>11173</v>
      </c>
      <c r="AU4220">
        <v>22</v>
      </c>
      <c r="AW4220" t="s">
        <v>11187</v>
      </c>
      <c r="AZ4220" t="s">
        <v>11221</v>
      </c>
      <c r="BE4220" t="s">
        <v>13997</v>
      </c>
      <c r="BG4220" t="s">
        <v>15418</v>
      </c>
      <c r="BM4220" t="s">
        <v>15650</v>
      </c>
    </row>
    <row r="4221" spans="1:67">
      <c r="A4221" s="1">
        <f>HYPERLINK("https://lsnyc.legalserver.org/matter/dynamic-profile/view/1876434","18-1876434")</f>
        <v>0</v>
      </c>
      <c r="B4221" t="s">
        <v>224</v>
      </c>
      <c r="C4221" t="s">
        <v>245</v>
      </c>
      <c r="D4221" t="s">
        <v>491</v>
      </c>
      <c r="F4221" t="s">
        <v>1680</v>
      </c>
      <c r="G4221" t="s">
        <v>2911</v>
      </c>
      <c r="H4221" t="s">
        <v>6199</v>
      </c>
      <c r="I4221">
        <v>30</v>
      </c>
      <c r="J4221" t="s">
        <v>7169</v>
      </c>
      <c r="K4221">
        <v>10026</v>
      </c>
      <c r="N4221" t="s">
        <v>7237</v>
      </c>
      <c r="O4221" t="s">
        <v>9890</v>
      </c>
      <c r="P4221">
        <v>2</v>
      </c>
      <c r="Q4221">
        <v>0</v>
      </c>
      <c r="R4221">
        <v>55.33</v>
      </c>
      <c r="U4221">
        <v>9108</v>
      </c>
      <c r="W4221">
        <v>84.95</v>
      </c>
      <c r="X4221" t="s">
        <v>638</v>
      </c>
      <c r="Y4221" t="s">
        <v>10859</v>
      </c>
      <c r="AA4221" t="s">
        <v>10974</v>
      </c>
      <c r="AB4221" t="s">
        <v>491</v>
      </c>
      <c r="AD4221" t="s">
        <v>11082</v>
      </c>
      <c r="AF4221" t="s">
        <v>11118</v>
      </c>
      <c r="AH4221" t="s">
        <v>10975</v>
      </c>
      <c r="AJ4221" t="s">
        <v>11134</v>
      </c>
      <c r="AK4221" t="s">
        <v>7225</v>
      </c>
      <c r="AM4221">
        <v>580.51</v>
      </c>
      <c r="AO4221">
        <v>32</v>
      </c>
      <c r="AQ4221" t="s">
        <v>11157</v>
      </c>
      <c r="AS4221" t="s">
        <v>11173</v>
      </c>
      <c r="AU4221">
        <v>36</v>
      </c>
      <c r="AW4221" t="s">
        <v>11187</v>
      </c>
      <c r="AZ4221" t="s">
        <v>11221</v>
      </c>
      <c r="BE4221" t="s">
        <v>13998</v>
      </c>
      <c r="BG4221" t="s">
        <v>15419</v>
      </c>
      <c r="BM4221" t="s">
        <v>15650</v>
      </c>
    </row>
    <row r="4222" spans="1:67">
      <c r="A4222" s="1">
        <f>HYPERLINK("https://lsnyc.legalserver.org/matter/dynamic-profile/view/1878534","18-1878534")</f>
        <v>0</v>
      </c>
      <c r="B4222" t="s">
        <v>224</v>
      </c>
      <c r="C4222" t="s">
        <v>245</v>
      </c>
      <c r="D4222" t="s">
        <v>965</v>
      </c>
      <c r="F4222" t="s">
        <v>1680</v>
      </c>
      <c r="G4222" t="s">
        <v>2911</v>
      </c>
      <c r="H4222" t="s">
        <v>6199</v>
      </c>
      <c r="I4222">
        <v>30</v>
      </c>
      <c r="J4222" t="s">
        <v>7169</v>
      </c>
      <c r="K4222">
        <v>10026</v>
      </c>
      <c r="N4222" t="s">
        <v>7240</v>
      </c>
      <c r="O4222" t="s">
        <v>9890</v>
      </c>
      <c r="P4222">
        <v>2</v>
      </c>
      <c r="Q4222">
        <v>0</v>
      </c>
      <c r="R4222">
        <v>55.33</v>
      </c>
      <c r="U4222">
        <v>9108</v>
      </c>
      <c r="W4222">
        <v>5.7</v>
      </c>
      <c r="X4222" t="s">
        <v>822</v>
      </c>
      <c r="Y4222" t="s">
        <v>10859</v>
      </c>
      <c r="AA4222" t="s">
        <v>10974</v>
      </c>
      <c r="AB4222" t="s">
        <v>965</v>
      </c>
      <c r="AD4222" t="s">
        <v>11092</v>
      </c>
      <c r="AF4222" t="s">
        <v>11122</v>
      </c>
      <c r="AH4222" t="s">
        <v>10975</v>
      </c>
      <c r="AJ4222" t="s">
        <v>11132</v>
      </c>
      <c r="AK4222" t="s">
        <v>7225</v>
      </c>
      <c r="AM4222">
        <v>580.51</v>
      </c>
      <c r="AO4222">
        <v>32</v>
      </c>
      <c r="AQ4222" t="s">
        <v>11157</v>
      </c>
      <c r="AR4222" t="s">
        <v>11172</v>
      </c>
      <c r="AU4222">
        <v>36</v>
      </c>
      <c r="AW4222" t="s">
        <v>11187</v>
      </c>
      <c r="AY4222" t="s">
        <v>11213</v>
      </c>
      <c r="AZ4222" t="s">
        <v>11221</v>
      </c>
      <c r="BE4222" t="s">
        <v>13998</v>
      </c>
      <c r="BF4222" t="s">
        <v>14364</v>
      </c>
      <c r="BM4222" t="s">
        <v>15650</v>
      </c>
    </row>
    <row r="4223" spans="1:67">
      <c r="A4223" s="1">
        <f>HYPERLINK("https://lsnyc.legalserver.org/matter/dynamic-profile/view/1914886","19-1914886")</f>
        <v>0</v>
      </c>
      <c r="B4223" t="s">
        <v>225</v>
      </c>
      <c r="C4223" t="s">
        <v>248</v>
      </c>
      <c r="D4223" t="s">
        <v>262</v>
      </c>
      <c r="E4223" t="s">
        <v>264</v>
      </c>
      <c r="F4223" t="s">
        <v>1155</v>
      </c>
      <c r="G4223" t="s">
        <v>1556</v>
      </c>
      <c r="H4223" t="s">
        <v>6200</v>
      </c>
      <c r="I4223" t="s">
        <v>6565</v>
      </c>
      <c r="J4223" t="s">
        <v>7174</v>
      </c>
      <c r="K4223">
        <v>11212</v>
      </c>
      <c r="L4223" t="s">
        <v>7216</v>
      </c>
      <c r="N4223" t="s">
        <v>7237</v>
      </c>
      <c r="O4223" t="s">
        <v>8909</v>
      </c>
      <c r="P4223">
        <v>1</v>
      </c>
      <c r="Q4223">
        <v>0</v>
      </c>
      <c r="R4223">
        <v>74.75</v>
      </c>
      <c r="U4223">
        <v>9336</v>
      </c>
      <c r="V4223" t="s">
        <v>10773</v>
      </c>
      <c r="W4223">
        <v>1</v>
      </c>
      <c r="X4223" t="s">
        <v>262</v>
      </c>
      <c r="Y4223" t="s">
        <v>10877</v>
      </c>
      <c r="Z4223" t="s">
        <v>10972</v>
      </c>
      <c r="AA4223" t="s">
        <v>10975</v>
      </c>
      <c r="AD4223" t="s">
        <v>11086</v>
      </c>
      <c r="AF4223" t="s">
        <v>11119</v>
      </c>
      <c r="AH4223" t="s">
        <v>10975</v>
      </c>
      <c r="AI4223" t="s">
        <v>11126</v>
      </c>
      <c r="AK4223" t="s">
        <v>7225</v>
      </c>
      <c r="AM4223">
        <v>1600</v>
      </c>
      <c r="AO4223">
        <v>20</v>
      </c>
      <c r="AQ4223" t="s">
        <v>11161</v>
      </c>
      <c r="AS4223" t="s">
        <v>11174</v>
      </c>
      <c r="AU4223">
        <v>6</v>
      </c>
      <c r="AW4223" t="s">
        <v>11187</v>
      </c>
      <c r="AY4223" t="s">
        <v>11213</v>
      </c>
      <c r="AZ4223" t="s">
        <v>11221</v>
      </c>
      <c r="BA4223" t="s">
        <v>11173</v>
      </c>
      <c r="BB4223" t="s">
        <v>11224</v>
      </c>
      <c r="BC4223" t="s">
        <v>11607</v>
      </c>
      <c r="BE4223" t="s">
        <v>13999</v>
      </c>
      <c r="BF4223" t="s">
        <v>14364</v>
      </c>
      <c r="BG4223" t="s">
        <v>14410</v>
      </c>
      <c r="BM4223" t="s">
        <v>15651</v>
      </c>
    </row>
    <row r="4224" spans="1:67">
      <c r="A4224" s="1">
        <f>HYPERLINK("https://lsnyc.legalserver.org/matter/dynamic-profile/view/1912615","19-1912615")</f>
        <v>0</v>
      </c>
      <c r="B4224" t="s">
        <v>225</v>
      </c>
      <c r="C4224" t="s">
        <v>248</v>
      </c>
      <c r="D4224" t="s">
        <v>599</v>
      </c>
      <c r="E4224" t="s">
        <v>548</v>
      </c>
      <c r="F4224" t="s">
        <v>1319</v>
      </c>
      <c r="G4224" t="s">
        <v>3204</v>
      </c>
      <c r="H4224" t="s">
        <v>6201</v>
      </c>
      <c r="I4224" t="s">
        <v>6426</v>
      </c>
      <c r="J4224" t="s">
        <v>7174</v>
      </c>
      <c r="K4224">
        <v>11233</v>
      </c>
      <c r="L4224" t="s">
        <v>7216</v>
      </c>
      <c r="N4224" t="s">
        <v>7237</v>
      </c>
      <c r="O4224" t="s">
        <v>7559</v>
      </c>
      <c r="P4224">
        <v>1</v>
      </c>
      <c r="Q4224">
        <v>0</v>
      </c>
      <c r="R4224">
        <v>139.22</v>
      </c>
      <c r="U4224">
        <v>17388</v>
      </c>
      <c r="W4224">
        <v>1.25</v>
      </c>
      <c r="X4224" t="s">
        <v>548</v>
      </c>
      <c r="Y4224" t="s">
        <v>10888</v>
      </c>
      <c r="Z4224" t="s">
        <v>10972</v>
      </c>
      <c r="AA4224" t="s">
        <v>10975</v>
      </c>
      <c r="AD4224" t="s">
        <v>11086</v>
      </c>
      <c r="AF4224" t="s">
        <v>11119</v>
      </c>
      <c r="AH4224" t="s">
        <v>10975</v>
      </c>
      <c r="AJ4224" t="s">
        <v>11130</v>
      </c>
      <c r="AK4224" t="s">
        <v>7225</v>
      </c>
      <c r="AM4224">
        <v>1141</v>
      </c>
      <c r="AO4224">
        <v>6</v>
      </c>
      <c r="AQ4224" t="s">
        <v>11157</v>
      </c>
      <c r="AS4224" t="s">
        <v>11174</v>
      </c>
      <c r="AU4224">
        <v>26</v>
      </c>
      <c r="AW4224" t="s">
        <v>11187</v>
      </c>
      <c r="AY4224" t="s">
        <v>11213</v>
      </c>
      <c r="AZ4224" t="s">
        <v>11221</v>
      </c>
      <c r="BA4224" t="s">
        <v>11173</v>
      </c>
      <c r="BB4224" t="s">
        <v>11224</v>
      </c>
      <c r="BC4224" t="s">
        <v>11231</v>
      </c>
      <c r="BE4224" t="s">
        <v>14000</v>
      </c>
      <c r="BF4224" t="s">
        <v>14364</v>
      </c>
      <c r="BG4224" t="s">
        <v>11228</v>
      </c>
      <c r="BM4224" t="s">
        <v>15651</v>
      </c>
    </row>
    <row r="4225" spans="1:65">
      <c r="A4225" s="1">
        <f>HYPERLINK("https://lsnyc.legalserver.org/matter/dynamic-profile/view/1915757","19-1915757")</f>
        <v>0</v>
      </c>
      <c r="B4225" t="s">
        <v>225</v>
      </c>
      <c r="C4225" t="s">
        <v>248</v>
      </c>
      <c r="D4225" t="s">
        <v>638</v>
      </c>
      <c r="F4225" t="s">
        <v>2691</v>
      </c>
      <c r="G4225" t="s">
        <v>2423</v>
      </c>
      <c r="H4225" t="s">
        <v>5014</v>
      </c>
      <c r="I4225" t="s">
        <v>7107</v>
      </c>
      <c r="J4225" t="s">
        <v>7174</v>
      </c>
      <c r="K4225">
        <v>11213</v>
      </c>
      <c r="N4225" t="s">
        <v>7237</v>
      </c>
      <c r="O4225" t="s">
        <v>9891</v>
      </c>
      <c r="P4225">
        <v>1</v>
      </c>
      <c r="Q4225">
        <v>0</v>
      </c>
      <c r="R4225">
        <v>249.8</v>
      </c>
      <c r="U4225">
        <v>31200</v>
      </c>
      <c r="W4225">
        <v>0</v>
      </c>
      <c r="Y4225" t="s">
        <v>225</v>
      </c>
      <c r="Z4225" t="s">
        <v>10972</v>
      </c>
      <c r="AA4225" t="s">
        <v>10975</v>
      </c>
      <c r="AD4225" t="s">
        <v>11082</v>
      </c>
      <c r="AE4225" t="s">
        <v>11117</v>
      </c>
      <c r="AH4225" t="s">
        <v>10975</v>
      </c>
      <c r="AJ4225" t="s">
        <v>11129</v>
      </c>
      <c r="AK4225" t="s">
        <v>7225</v>
      </c>
      <c r="AM4225">
        <v>1025</v>
      </c>
      <c r="AO4225">
        <v>34</v>
      </c>
      <c r="AQ4225" t="s">
        <v>11157</v>
      </c>
      <c r="AS4225" t="s">
        <v>11173</v>
      </c>
      <c r="AU4225">
        <v>10</v>
      </c>
      <c r="AW4225" t="s">
        <v>11187</v>
      </c>
      <c r="AY4225" t="s">
        <v>11213</v>
      </c>
      <c r="AZ4225" t="s">
        <v>11221</v>
      </c>
      <c r="BA4225" t="s">
        <v>11173</v>
      </c>
      <c r="BC4225" t="s">
        <v>11228</v>
      </c>
      <c r="BE4225" t="s">
        <v>14001</v>
      </c>
      <c r="BG4225" t="s">
        <v>15420</v>
      </c>
      <c r="BM4225" t="s">
        <v>15650</v>
      </c>
    </row>
    <row r="4226" spans="1:65">
      <c r="A4226" s="1">
        <f>HYPERLINK("https://lsnyc.legalserver.org/matter/dynamic-profile/view/1909562","19-1909562")</f>
        <v>0</v>
      </c>
      <c r="B4226" t="s">
        <v>225</v>
      </c>
      <c r="C4226" t="s">
        <v>248</v>
      </c>
      <c r="D4226" t="s">
        <v>269</v>
      </c>
      <c r="E4226" t="s">
        <v>548</v>
      </c>
      <c r="F4226" t="s">
        <v>1095</v>
      </c>
      <c r="G4226" t="s">
        <v>2913</v>
      </c>
      <c r="H4226" t="s">
        <v>6202</v>
      </c>
      <c r="I4226" t="s">
        <v>6534</v>
      </c>
      <c r="J4226" t="s">
        <v>7174</v>
      </c>
      <c r="K4226">
        <v>11212</v>
      </c>
      <c r="L4226" t="s">
        <v>7216</v>
      </c>
      <c r="N4226" t="s">
        <v>7237</v>
      </c>
      <c r="O4226" t="s">
        <v>8938</v>
      </c>
      <c r="P4226">
        <v>1</v>
      </c>
      <c r="Q4226">
        <v>0</v>
      </c>
      <c r="R4226">
        <v>284.36</v>
      </c>
      <c r="U4226">
        <v>35516</v>
      </c>
      <c r="W4226">
        <v>1.25</v>
      </c>
      <c r="X4226" t="s">
        <v>548</v>
      </c>
      <c r="Y4226" t="s">
        <v>10877</v>
      </c>
      <c r="Z4226" t="s">
        <v>10972</v>
      </c>
      <c r="AA4226" t="s">
        <v>10975</v>
      </c>
      <c r="AD4226" t="s">
        <v>11086</v>
      </c>
      <c r="AE4226" t="s">
        <v>11117</v>
      </c>
      <c r="AH4226" t="s">
        <v>10975</v>
      </c>
      <c r="AJ4226" t="s">
        <v>11140</v>
      </c>
      <c r="AK4226" t="s">
        <v>7225</v>
      </c>
      <c r="AM4226">
        <v>1241.41</v>
      </c>
      <c r="AO4226">
        <v>30</v>
      </c>
      <c r="AQ4226" t="s">
        <v>11157</v>
      </c>
      <c r="AS4226" t="s">
        <v>11173</v>
      </c>
      <c r="AU4226">
        <v>6</v>
      </c>
      <c r="AW4226" t="s">
        <v>11187</v>
      </c>
      <c r="AX4226" t="s">
        <v>11212</v>
      </c>
      <c r="AZ4226" t="s">
        <v>11221</v>
      </c>
      <c r="BA4226" t="s">
        <v>11173</v>
      </c>
      <c r="BE4226" t="s">
        <v>14002</v>
      </c>
      <c r="BF4226" t="s">
        <v>14364</v>
      </c>
      <c r="BM4226" t="s">
        <v>15651</v>
      </c>
    </row>
    <row r="4227" spans="1:65">
      <c r="A4227" s="1">
        <f>HYPERLINK("https://lsnyc.legalserver.org/matter/dynamic-profile/view/1914737","19-1914737")</f>
        <v>0</v>
      </c>
      <c r="B4227" t="s">
        <v>225</v>
      </c>
      <c r="C4227" t="s">
        <v>248</v>
      </c>
      <c r="D4227" t="s">
        <v>614</v>
      </c>
      <c r="E4227" t="s">
        <v>262</v>
      </c>
      <c r="F4227" t="s">
        <v>2692</v>
      </c>
      <c r="G4227" t="s">
        <v>4572</v>
      </c>
      <c r="H4227" t="s">
        <v>6203</v>
      </c>
      <c r="I4227" t="s">
        <v>6433</v>
      </c>
      <c r="J4227" t="s">
        <v>7174</v>
      </c>
      <c r="K4227">
        <v>11207</v>
      </c>
      <c r="L4227" t="s">
        <v>7216</v>
      </c>
      <c r="N4227" t="s">
        <v>7237</v>
      </c>
      <c r="O4227" t="s">
        <v>9892</v>
      </c>
      <c r="P4227">
        <v>1</v>
      </c>
      <c r="Q4227">
        <v>2</v>
      </c>
      <c r="R4227">
        <v>102.39</v>
      </c>
      <c r="U4227">
        <v>21840</v>
      </c>
      <c r="V4227" t="s">
        <v>10774</v>
      </c>
      <c r="W4227">
        <v>0.5</v>
      </c>
      <c r="X4227" t="s">
        <v>614</v>
      </c>
      <c r="Y4227" t="s">
        <v>10884</v>
      </c>
      <c r="Z4227" t="s">
        <v>10972</v>
      </c>
      <c r="AA4227" t="s">
        <v>10975</v>
      </c>
      <c r="AD4227" t="s">
        <v>11086</v>
      </c>
      <c r="AF4227" t="s">
        <v>11119</v>
      </c>
      <c r="AH4227" t="s">
        <v>10975</v>
      </c>
      <c r="AJ4227" t="s">
        <v>11104</v>
      </c>
      <c r="AK4227" t="s">
        <v>7225</v>
      </c>
      <c r="AM4227">
        <v>1500</v>
      </c>
      <c r="AO4227">
        <v>4</v>
      </c>
      <c r="AQ4227" t="s">
        <v>11164</v>
      </c>
      <c r="AS4227" t="s">
        <v>11173</v>
      </c>
      <c r="AU4227">
        <v>1</v>
      </c>
      <c r="AW4227" t="s">
        <v>11187</v>
      </c>
      <c r="AY4227" t="s">
        <v>11213</v>
      </c>
      <c r="AZ4227" t="s">
        <v>11221</v>
      </c>
      <c r="BA4227" t="s">
        <v>11173</v>
      </c>
      <c r="BC4227" t="s">
        <v>11228</v>
      </c>
      <c r="BE4227" t="s">
        <v>14003</v>
      </c>
      <c r="BF4227" t="s">
        <v>14364</v>
      </c>
      <c r="BG4227" t="s">
        <v>14411</v>
      </c>
      <c r="BM4227" t="s">
        <v>15651</v>
      </c>
    </row>
    <row r="4228" spans="1:65">
      <c r="A4228" s="1">
        <f>HYPERLINK("https://lsnyc.legalserver.org/matter/dynamic-profile/view/1913619","19-1913619")</f>
        <v>0</v>
      </c>
      <c r="B4228" t="s">
        <v>225</v>
      </c>
      <c r="C4228" t="s">
        <v>248</v>
      </c>
      <c r="D4228" t="s">
        <v>293</v>
      </c>
      <c r="F4228" t="s">
        <v>2693</v>
      </c>
      <c r="G4228" t="s">
        <v>4573</v>
      </c>
      <c r="H4228" t="s">
        <v>6204</v>
      </c>
      <c r="I4228" t="s">
        <v>6412</v>
      </c>
      <c r="J4228" t="s">
        <v>7174</v>
      </c>
      <c r="K4228">
        <v>11208</v>
      </c>
      <c r="N4228" t="s">
        <v>7237</v>
      </c>
      <c r="O4228" t="s">
        <v>9893</v>
      </c>
      <c r="P4228">
        <v>1</v>
      </c>
      <c r="Q4228">
        <v>0</v>
      </c>
      <c r="R4228">
        <v>98.77</v>
      </c>
      <c r="U4228">
        <v>12336</v>
      </c>
      <c r="V4228" t="s">
        <v>10775</v>
      </c>
      <c r="W4228">
        <v>0.75</v>
      </c>
      <c r="X4228" t="s">
        <v>293</v>
      </c>
      <c r="Y4228" t="s">
        <v>10949</v>
      </c>
      <c r="Z4228" t="s">
        <v>10973</v>
      </c>
      <c r="AA4228" t="s">
        <v>10975</v>
      </c>
      <c r="AB4228" t="s">
        <v>11074</v>
      </c>
      <c r="AD4228" t="s">
        <v>11086</v>
      </c>
      <c r="AF4228" t="s">
        <v>11119</v>
      </c>
      <c r="AH4228" t="s">
        <v>10975</v>
      </c>
      <c r="AJ4228" t="s">
        <v>11104</v>
      </c>
      <c r="AK4228" t="s">
        <v>7225</v>
      </c>
      <c r="AM4228">
        <v>319</v>
      </c>
      <c r="AO4228">
        <v>23</v>
      </c>
      <c r="AQ4228" t="s">
        <v>11161</v>
      </c>
      <c r="AS4228" t="s">
        <v>11174</v>
      </c>
      <c r="AU4228">
        <v>6</v>
      </c>
      <c r="AW4228" t="s">
        <v>11187</v>
      </c>
      <c r="AY4228" t="s">
        <v>11213</v>
      </c>
      <c r="AZ4228" t="s">
        <v>11221</v>
      </c>
      <c r="BA4228" t="s">
        <v>11173</v>
      </c>
      <c r="BC4228" t="s">
        <v>11276</v>
      </c>
      <c r="BE4228" t="s">
        <v>14004</v>
      </c>
      <c r="BF4228" t="s">
        <v>14364</v>
      </c>
      <c r="BG4228" t="s">
        <v>11173</v>
      </c>
      <c r="BM4228" t="s">
        <v>15650</v>
      </c>
    </row>
    <row r="4229" spans="1:65">
      <c r="A4229" s="1">
        <f>HYPERLINK("https://lsnyc.legalserver.org/matter/dynamic-profile/view/1915795","19-1915795")</f>
        <v>0</v>
      </c>
      <c r="B4229" t="s">
        <v>225</v>
      </c>
      <c r="C4229" t="s">
        <v>248</v>
      </c>
      <c r="D4229" t="s">
        <v>638</v>
      </c>
      <c r="F4229" t="s">
        <v>2694</v>
      </c>
      <c r="G4229" t="s">
        <v>4574</v>
      </c>
      <c r="H4229" t="s">
        <v>6205</v>
      </c>
      <c r="I4229" t="s">
        <v>6430</v>
      </c>
      <c r="J4229" t="s">
        <v>7174</v>
      </c>
      <c r="K4229">
        <v>11233</v>
      </c>
      <c r="N4229" t="s">
        <v>7237</v>
      </c>
      <c r="O4229" t="s">
        <v>9894</v>
      </c>
      <c r="P4229">
        <v>2</v>
      </c>
      <c r="Q4229">
        <v>1</v>
      </c>
      <c r="R4229">
        <v>0</v>
      </c>
      <c r="U4229">
        <v>0</v>
      </c>
      <c r="W4229">
        <v>1</v>
      </c>
      <c r="X4229" t="s">
        <v>638</v>
      </c>
      <c r="Y4229" t="s">
        <v>10888</v>
      </c>
      <c r="Z4229" t="s">
        <v>10972</v>
      </c>
      <c r="AA4229" t="s">
        <v>10975</v>
      </c>
      <c r="AD4229" t="s">
        <v>11082</v>
      </c>
      <c r="AE4229" t="s">
        <v>11117</v>
      </c>
      <c r="AH4229" t="s">
        <v>10975</v>
      </c>
      <c r="AJ4229" t="s">
        <v>11130</v>
      </c>
      <c r="AK4229" t="s">
        <v>7225</v>
      </c>
      <c r="AM4229">
        <v>1520</v>
      </c>
      <c r="AO4229">
        <v>6</v>
      </c>
      <c r="AQ4229" t="s">
        <v>11156</v>
      </c>
      <c r="AS4229" t="s">
        <v>11173</v>
      </c>
      <c r="AU4229">
        <v>5</v>
      </c>
      <c r="AW4229" t="s">
        <v>11187</v>
      </c>
      <c r="AX4229" t="s">
        <v>11212</v>
      </c>
      <c r="AZ4229" t="s">
        <v>11221</v>
      </c>
      <c r="BA4229" t="s">
        <v>11173</v>
      </c>
      <c r="BE4229" t="s">
        <v>14005</v>
      </c>
      <c r="BF4229" t="s">
        <v>14364</v>
      </c>
      <c r="BG4229" t="s">
        <v>15421</v>
      </c>
      <c r="BM4229" t="s">
        <v>15650</v>
      </c>
    </row>
    <row r="4230" spans="1:65">
      <c r="A4230" s="1">
        <f>HYPERLINK("https://lsnyc.legalserver.org/matter/dynamic-profile/view/1915618","19-1915618")</f>
        <v>0</v>
      </c>
      <c r="B4230" t="s">
        <v>225</v>
      </c>
      <c r="C4230" t="s">
        <v>248</v>
      </c>
      <c r="D4230" t="s">
        <v>528</v>
      </c>
      <c r="F4230" t="s">
        <v>2695</v>
      </c>
      <c r="G4230" t="s">
        <v>4575</v>
      </c>
      <c r="H4230" t="s">
        <v>6206</v>
      </c>
      <c r="J4230" t="s">
        <v>7174</v>
      </c>
      <c r="K4230">
        <v>11212</v>
      </c>
      <c r="N4230" t="s">
        <v>7237</v>
      </c>
      <c r="O4230" t="s">
        <v>9895</v>
      </c>
      <c r="P4230">
        <v>1</v>
      </c>
      <c r="Q4230">
        <v>0</v>
      </c>
      <c r="R4230">
        <v>17.58</v>
      </c>
      <c r="U4230">
        <v>2196</v>
      </c>
      <c r="W4230">
        <v>1</v>
      </c>
      <c r="X4230" t="s">
        <v>528</v>
      </c>
      <c r="Y4230" t="s">
        <v>10907</v>
      </c>
      <c r="Z4230" t="s">
        <v>10972</v>
      </c>
      <c r="AA4230" t="s">
        <v>10975</v>
      </c>
      <c r="AD4230" t="s">
        <v>11102</v>
      </c>
      <c r="AE4230" t="s">
        <v>11117</v>
      </c>
      <c r="AH4230" t="s">
        <v>10975</v>
      </c>
      <c r="AJ4230" t="s">
        <v>11143</v>
      </c>
      <c r="AK4230" t="s">
        <v>7225</v>
      </c>
      <c r="AM4230">
        <v>700</v>
      </c>
      <c r="AO4230">
        <v>1</v>
      </c>
      <c r="AQ4230" t="s">
        <v>11156</v>
      </c>
      <c r="AS4230" t="s">
        <v>11104</v>
      </c>
      <c r="AU4230">
        <v>-1</v>
      </c>
      <c r="AW4230" t="s">
        <v>11187</v>
      </c>
      <c r="AY4230" t="s">
        <v>11213</v>
      </c>
      <c r="AZ4230" t="s">
        <v>11221</v>
      </c>
      <c r="BA4230" t="s">
        <v>11173</v>
      </c>
      <c r="BC4230" t="s">
        <v>11230</v>
      </c>
      <c r="BE4230" t="s">
        <v>14006</v>
      </c>
      <c r="BF4230" t="s">
        <v>14364</v>
      </c>
      <c r="BG4230" t="s">
        <v>14411</v>
      </c>
      <c r="BM4230" t="s">
        <v>15650</v>
      </c>
    </row>
    <row r="4231" spans="1:65">
      <c r="A4231" s="1">
        <f>HYPERLINK("https://lsnyc.legalserver.org/matter/dynamic-profile/view/1915605","19-1915605")</f>
        <v>0</v>
      </c>
      <c r="B4231" t="s">
        <v>225</v>
      </c>
      <c r="C4231" t="s">
        <v>248</v>
      </c>
      <c r="D4231" t="s">
        <v>548</v>
      </c>
      <c r="F4231" t="s">
        <v>2696</v>
      </c>
      <c r="G4231" t="s">
        <v>4576</v>
      </c>
      <c r="H4231" t="s">
        <v>5013</v>
      </c>
      <c r="I4231" t="s">
        <v>6437</v>
      </c>
      <c r="J4231" t="s">
        <v>7174</v>
      </c>
      <c r="K4231">
        <v>11212</v>
      </c>
      <c r="N4231" t="s">
        <v>7237</v>
      </c>
      <c r="O4231" t="s">
        <v>9896</v>
      </c>
      <c r="P4231">
        <v>1</v>
      </c>
      <c r="Q4231">
        <v>0</v>
      </c>
      <c r="R4231">
        <v>82.63</v>
      </c>
      <c r="U4231">
        <v>10320</v>
      </c>
      <c r="W4231">
        <v>0.25</v>
      </c>
      <c r="X4231" t="s">
        <v>638</v>
      </c>
      <c r="Y4231" t="s">
        <v>225</v>
      </c>
      <c r="Z4231" t="s">
        <v>10972</v>
      </c>
      <c r="AA4231" t="s">
        <v>10975</v>
      </c>
      <c r="AD4231" t="s">
        <v>11086</v>
      </c>
      <c r="AE4231" t="s">
        <v>11117</v>
      </c>
      <c r="AH4231" t="s">
        <v>10975</v>
      </c>
      <c r="AJ4231" t="s">
        <v>11141</v>
      </c>
      <c r="AK4231" t="s">
        <v>7225</v>
      </c>
      <c r="AM4231">
        <v>1213</v>
      </c>
      <c r="AO4231">
        <v>23</v>
      </c>
      <c r="AQ4231" t="s">
        <v>11157</v>
      </c>
      <c r="AS4231" t="s">
        <v>11181</v>
      </c>
      <c r="AU4231">
        <v>4</v>
      </c>
      <c r="AW4231" t="s">
        <v>11187</v>
      </c>
      <c r="AY4231" t="s">
        <v>11213</v>
      </c>
      <c r="AZ4231" t="s">
        <v>11221</v>
      </c>
      <c r="BA4231" t="s">
        <v>11173</v>
      </c>
      <c r="BC4231" t="s">
        <v>11230</v>
      </c>
      <c r="BE4231" t="s">
        <v>14007</v>
      </c>
      <c r="BF4231" t="s">
        <v>14364</v>
      </c>
      <c r="BG4231" t="s">
        <v>11173</v>
      </c>
      <c r="BM4231" t="s">
        <v>15650</v>
      </c>
    </row>
    <row r="4232" spans="1:65">
      <c r="A4232" s="1">
        <f>HYPERLINK("https://lsnyc.legalserver.org/matter/dynamic-profile/view/1911111","19-1911111")</f>
        <v>0</v>
      </c>
      <c r="B4232" t="s">
        <v>225</v>
      </c>
      <c r="C4232" t="s">
        <v>248</v>
      </c>
      <c r="D4232" t="s">
        <v>306</v>
      </c>
      <c r="E4232" t="s">
        <v>528</v>
      </c>
      <c r="F4232" t="s">
        <v>1573</v>
      </c>
      <c r="G4232" t="s">
        <v>3047</v>
      </c>
      <c r="H4232" t="s">
        <v>6207</v>
      </c>
      <c r="I4232">
        <v>3</v>
      </c>
      <c r="J4232" t="s">
        <v>7174</v>
      </c>
      <c r="K4232">
        <v>11207</v>
      </c>
      <c r="L4232" t="s">
        <v>7216</v>
      </c>
      <c r="N4232" t="s">
        <v>7237</v>
      </c>
      <c r="O4232" t="s">
        <v>9897</v>
      </c>
      <c r="P4232">
        <v>1</v>
      </c>
      <c r="Q4232">
        <v>2</v>
      </c>
      <c r="R4232">
        <v>16.32</v>
      </c>
      <c r="U4232">
        <v>3480</v>
      </c>
      <c r="V4232" t="s">
        <v>10776</v>
      </c>
      <c r="W4232">
        <v>0.75</v>
      </c>
      <c r="X4232" t="s">
        <v>548</v>
      </c>
      <c r="Y4232" t="s">
        <v>10882</v>
      </c>
      <c r="Z4232" t="s">
        <v>10972</v>
      </c>
      <c r="AA4232" t="s">
        <v>10975</v>
      </c>
      <c r="AD4232" t="s">
        <v>11086</v>
      </c>
      <c r="AF4232" t="s">
        <v>11119</v>
      </c>
      <c r="AH4232" t="s">
        <v>10975</v>
      </c>
      <c r="AJ4232" t="s">
        <v>11143</v>
      </c>
      <c r="AK4232" t="s">
        <v>7225</v>
      </c>
      <c r="AM4232">
        <v>1900</v>
      </c>
      <c r="AO4232">
        <v>4</v>
      </c>
      <c r="AQ4232" t="s">
        <v>11156</v>
      </c>
      <c r="AS4232" t="s">
        <v>11173</v>
      </c>
      <c r="AU4232">
        <v>1</v>
      </c>
      <c r="AW4232" t="s">
        <v>11187</v>
      </c>
      <c r="AX4232" t="s">
        <v>11212</v>
      </c>
      <c r="AZ4232" t="s">
        <v>11221</v>
      </c>
      <c r="BA4232" t="s">
        <v>11173</v>
      </c>
      <c r="BC4232" t="s">
        <v>11230</v>
      </c>
      <c r="BE4232" t="s">
        <v>14008</v>
      </c>
      <c r="BF4232" t="s">
        <v>14364</v>
      </c>
      <c r="BG4232" t="s">
        <v>11228</v>
      </c>
      <c r="BM4232" t="s">
        <v>15651</v>
      </c>
    </row>
    <row r="4233" spans="1:65">
      <c r="A4233" s="1">
        <f>HYPERLINK("https://lsnyc.legalserver.org/matter/dynamic-profile/view/1910472","19-1910472")</f>
        <v>0</v>
      </c>
      <c r="B4233" t="s">
        <v>225</v>
      </c>
      <c r="C4233" t="s">
        <v>248</v>
      </c>
      <c r="D4233" t="s">
        <v>263</v>
      </c>
      <c r="E4233" t="s">
        <v>548</v>
      </c>
      <c r="F4233" t="s">
        <v>1367</v>
      </c>
      <c r="G4233" t="s">
        <v>4577</v>
      </c>
      <c r="H4233" t="s">
        <v>6208</v>
      </c>
      <c r="I4233" t="s">
        <v>7108</v>
      </c>
      <c r="J4233" t="s">
        <v>7174</v>
      </c>
      <c r="K4233">
        <v>11233</v>
      </c>
      <c r="L4233" t="s">
        <v>7216</v>
      </c>
      <c r="N4233" t="s">
        <v>7237</v>
      </c>
      <c r="O4233" t="s">
        <v>9898</v>
      </c>
      <c r="P4233">
        <v>1</v>
      </c>
      <c r="Q4233">
        <v>0</v>
      </c>
      <c r="R4233">
        <v>213.48</v>
      </c>
      <c r="U4233">
        <v>26664</v>
      </c>
      <c r="W4233">
        <v>0.75</v>
      </c>
      <c r="X4233" t="s">
        <v>548</v>
      </c>
      <c r="Y4233" t="s">
        <v>10892</v>
      </c>
      <c r="Z4233" t="s">
        <v>10972</v>
      </c>
      <c r="AA4233" t="s">
        <v>10975</v>
      </c>
      <c r="AD4233" t="s">
        <v>11086</v>
      </c>
      <c r="AE4233" t="s">
        <v>11117</v>
      </c>
      <c r="AH4233" t="s">
        <v>10975</v>
      </c>
      <c r="AI4233" t="s">
        <v>11126</v>
      </c>
      <c r="AK4233" t="s">
        <v>7225</v>
      </c>
      <c r="AM4233">
        <v>3182</v>
      </c>
      <c r="AO4233">
        <v>46</v>
      </c>
      <c r="AQ4233" t="s">
        <v>11157</v>
      </c>
      <c r="AS4233" t="s">
        <v>11173</v>
      </c>
      <c r="AU4233">
        <v>3</v>
      </c>
      <c r="AW4233" t="s">
        <v>11187</v>
      </c>
      <c r="AY4233" t="s">
        <v>11213</v>
      </c>
      <c r="AZ4233" t="s">
        <v>11221</v>
      </c>
      <c r="BA4233" t="s">
        <v>11173</v>
      </c>
      <c r="BC4233" t="s">
        <v>11228</v>
      </c>
      <c r="BE4233" t="s">
        <v>14009</v>
      </c>
      <c r="BF4233" t="s">
        <v>14364</v>
      </c>
      <c r="BG4233" t="s">
        <v>14411</v>
      </c>
      <c r="BM4233" t="s">
        <v>15651</v>
      </c>
    </row>
    <row r="4234" spans="1:65">
      <c r="A4234" s="1">
        <f>HYPERLINK("https://lsnyc.legalserver.org/matter/dynamic-profile/view/1834626","17-1834626")</f>
        <v>0</v>
      </c>
      <c r="B4234" t="s">
        <v>226</v>
      </c>
      <c r="C4234" t="s">
        <v>248</v>
      </c>
      <c r="D4234" t="s">
        <v>858</v>
      </c>
      <c r="F4234" t="s">
        <v>2697</v>
      </c>
      <c r="G4234" t="s">
        <v>4578</v>
      </c>
      <c r="H4234" t="s">
        <v>6209</v>
      </c>
      <c r="I4234" t="s">
        <v>6547</v>
      </c>
      <c r="J4234" t="s">
        <v>7174</v>
      </c>
      <c r="K4234">
        <v>11233</v>
      </c>
      <c r="N4234" t="s">
        <v>7237</v>
      </c>
      <c r="O4234" t="s">
        <v>9899</v>
      </c>
      <c r="P4234">
        <v>1</v>
      </c>
      <c r="Q4234">
        <v>2</v>
      </c>
      <c r="R4234">
        <v>14.69</v>
      </c>
      <c r="U4234">
        <v>3000</v>
      </c>
      <c r="W4234">
        <v>187.8</v>
      </c>
      <c r="X4234" t="s">
        <v>421</v>
      </c>
      <c r="Y4234" t="s">
        <v>10874</v>
      </c>
      <c r="AA4234" t="s">
        <v>10974</v>
      </c>
      <c r="AB4234" t="s">
        <v>10990</v>
      </c>
      <c r="AD4234" t="s">
        <v>11083</v>
      </c>
      <c r="AF4234" t="s">
        <v>11118</v>
      </c>
      <c r="AG4234" t="s">
        <v>11124</v>
      </c>
      <c r="AJ4234" t="s">
        <v>11137</v>
      </c>
      <c r="AK4234" t="s">
        <v>7225</v>
      </c>
      <c r="AM4234">
        <v>1250</v>
      </c>
      <c r="AO4234">
        <v>5</v>
      </c>
      <c r="AP4234" t="s">
        <v>11155</v>
      </c>
      <c r="AS4234" t="s">
        <v>11104</v>
      </c>
      <c r="AU4234">
        <v>10</v>
      </c>
      <c r="AW4234" t="s">
        <v>11187</v>
      </c>
      <c r="AZ4234" t="s">
        <v>11221</v>
      </c>
      <c r="BE4234" t="s">
        <v>14010</v>
      </c>
      <c r="BG4234" t="s">
        <v>15422</v>
      </c>
      <c r="BM4234" t="s">
        <v>15650</v>
      </c>
    </row>
    <row r="4235" spans="1:65">
      <c r="A4235" s="1">
        <f>HYPERLINK("https://lsnyc.legalserver.org/matter/dynamic-profile/view/0796336","16-0796336")</f>
        <v>0</v>
      </c>
      <c r="B4235" t="s">
        <v>226</v>
      </c>
      <c r="C4235" t="s">
        <v>248</v>
      </c>
      <c r="D4235" t="s">
        <v>1043</v>
      </c>
      <c r="F4235" t="s">
        <v>1240</v>
      </c>
      <c r="G4235" t="s">
        <v>4579</v>
      </c>
      <c r="H4235" t="s">
        <v>6210</v>
      </c>
      <c r="I4235" t="s">
        <v>6513</v>
      </c>
      <c r="J4235" t="s">
        <v>7174</v>
      </c>
      <c r="K4235">
        <v>11213</v>
      </c>
      <c r="M4235" t="s">
        <v>7226</v>
      </c>
      <c r="N4235" t="s">
        <v>7237</v>
      </c>
      <c r="O4235" t="s">
        <v>9900</v>
      </c>
      <c r="P4235">
        <v>1</v>
      </c>
      <c r="Q4235">
        <v>0</v>
      </c>
      <c r="R4235">
        <v>110.45</v>
      </c>
      <c r="U4235">
        <v>13000</v>
      </c>
      <c r="W4235">
        <v>196.5</v>
      </c>
      <c r="X4235" t="s">
        <v>528</v>
      </c>
      <c r="Y4235" t="s">
        <v>10912</v>
      </c>
      <c r="AA4235" t="s">
        <v>10974</v>
      </c>
      <c r="AB4235" t="s">
        <v>10982</v>
      </c>
      <c r="AD4235" t="s">
        <v>11083</v>
      </c>
      <c r="AF4235" t="s">
        <v>11118</v>
      </c>
      <c r="AG4235" t="s">
        <v>11124</v>
      </c>
      <c r="AJ4235" t="s">
        <v>11136</v>
      </c>
      <c r="AK4235" t="s">
        <v>7225</v>
      </c>
      <c r="AM4235">
        <v>835.42</v>
      </c>
      <c r="AO4235">
        <v>24</v>
      </c>
      <c r="AQ4235" t="s">
        <v>11157</v>
      </c>
      <c r="AS4235" t="s">
        <v>11175</v>
      </c>
      <c r="AU4235">
        <v>10</v>
      </c>
      <c r="AW4235" t="s">
        <v>11187</v>
      </c>
      <c r="BA4235" t="s">
        <v>11222</v>
      </c>
      <c r="BE4235" t="s">
        <v>14011</v>
      </c>
      <c r="BG4235" t="s">
        <v>15423</v>
      </c>
      <c r="BM4235" t="s">
        <v>15650</v>
      </c>
    </row>
    <row r="4236" spans="1:65">
      <c r="A4236" s="1">
        <f>HYPERLINK("https://lsnyc.legalserver.org/matter/dynamic-profile/view/1910194","19-1910194")</f>
        <v>0</v>
      </c>
      <c r="B4236" t="s">
        <v>227</v>
      </c>
      <c r="C4236" t="s">
        <v>246</v>
      </c>
      <c r="D4236" t="s">
        <v>976</v>
      </c>
      <c r="F4236" t="s">
        <v>2698</v>
      </c>
      <c r="G4236" t="s">
        <v>4580</v>
      </c>
      <c r="H4236" t="s">
        <v>6211</v>
      </c>
      <c r="I4236" t="s">
        <v>6410</v>
      </c>
      <c r="J4236" t="s">
        <v>7170</v>
      </c>
      <c r="K4236">
        <v>10456</v>
      </c>
      <c r="N4236" t="s">
        <v>7237</v>
      </c>
      <c r="O4236" t="s">
        <v>9901</v>
      </c>
      <c r="P4236">
        <v>1</v>
      </c>
      <c r="Q4236">
        <v>1</v>
      </c>
      <c r="R4236">
        <v>82.79000000000001</v>
      </c>
      <c r="U4236">
        <v>14000</v>
      </c>
      <c r="W4236">
        <v>0</v>
      </c>
      <c r="Y4236" t="s">
        <v>10865</v>
      </c>
      <c r="AA4236" t="s">
        <v>10974</v>
      </c>
      <c r="AD4236" t="s">
        <v>11098</v>
      </c>
      <c r="AF4236" t="s">
        <v>11122</v>
      </c>
      <c r="AH4236" t="s">
        <v>10974</v>
      </c>
      <c r="AJ4236" t="s">
        <v>11141</v>
      </c>
      <c r="AK4236" t="s">
        <v>7225</v>
      </c>
      <c r="AM4236">
        <v>911.42</v>
      </c>
      <c r="AO4236">
        <v>30</v>
      </c>
      <c r="AQ4236" t="s">
        <v>11164</v>
      </c>
      <c r="AS4236" t="s">
        <v>11173</v>
      </c>
      <c r="AU4236">
        <v>19</v>
      </c>
      <c r="AW4236" t="s">
        <v>11187</v>
      </c>
      <c r="AX4236" t="s">
        <v>11212</v>
      </c>
      <c r="BA4236" t="s">
        <v>11222</v>
      </c>
      <c r="BE4236" t="s">
        <v>14012</v>
      </c>
      <c r="BF4236" t="s">
        <v>14364</v>
      </c>
      <c r="BM4236" t="s">
        <v>15650</v>
      </c>
    </row>
    <row r="4237" spans="1:65">
      <c r="A4237" s="1">
        <f>HYPERLINK("https://lsnyc.legalserver.org/matter/dynamic-profile/view/1910076","19-1910076")</f>
        <v>0</v>
      </c>
      <c r="B4237" t="s">
        <v>227</v>
      </c>
      <c r="C4237" t="s">
        <v>246</v>
      </c>
      <c r="D4237" t="s">
        <v>335</v>
      </c>
      <c r="F4237" t="s">
        <v>1817</v>
      </c>
      <c r="G4237" t="s">
        <v>4581</v>
      </c>
      <c r="H4237" t="s">
        <v>6212</v>
      </c>
      <c r="I4237" t="s">
        <v>6403</v>
      </c>
      <c r="J4237" t="s">
        <v>7170</v>
      </c>
      <c r="K4237">
        <v>10460</v>
      </c>
      <c r="N4237" t="s">
        <v>7241</v>
      </c>
      <c r="O4237" t="s">
        <v>9902</v>
      </c>
      <c r="P4237">
        <v>4</v>
      </c>
      <c r="Q4237">
        <v>0</v>
      </c>
      <c r="R4237">
        <v>72.23</v>
      </c>
      <c r="U4237">
        <v>18600</v>
      </c>
      <c r="W4237">
        <v>5</v>
      </c>
      <c r="X4237" t="s">
        <v>601</v>
      </c>
      <c r="Y4237" t="s">
        <v>227</v>
      </c>
      <c r="Z4237" t="s">
        <v>10972</v>
      </c>
      <c r="AA4237" t="s">
        <v>10976</v>
      </c>
      <c r="AD4237" t="s">
        <v>11094</v>
      </c>
      <c r="AF4237" t="s">
        <v>11120</v>
      </c>
      <c r="AH4237" t="s">
        <v>10975</v>
      </c>
      <c r="AI4237" t="s">
        <v>11126</v>
      </c>
      <c r="AK4237" t="s">
        <v>7225</v>
      </c>
      <c r="AL4237" t="s">
        <v>11150</v>
      </c>
      <c r="AM4237">
        <v>0</v>
      </c>
      <c r="AN4237" t="s">
        <v>11151</v>
      </c>
      <c r="AO4237" t="s">
        <v>11153</v>
      </c>
      <c r="AP4237" t="s">
        <v>11155</v>
      </c>
      <c r="AR4237" t="s">
        <v>11172</v>
      </c>
      <c r="AT4237" t="s">
        <v>11184</v>
      </c>
      <c r="AU4237">
        <v>0</v>
      </c>
      <c r="AW4237" t="s">
        <v>11187</v>
      </c>
      <c r="AX4237" t="s">
        <v>11212</v>
      </c>
      <c r="AZ4237" t="s">
        <v>11221</v>
      </c>
      <c r="BE4237" t="s">
        <v>14013</v>
      </c>
      <c r="BF4237" t="s">
        <v>14364</v>
      </c>
      <c r="BM4237" t="s">
        <v>15650</v>
      </c>
    </row>
    <row r="4238" spans="1:65">
      <c r="A4238" s="1">
        <f>HYPERLINK("https://lsnyc.legalserver.org/matter/dynamic-profile/view/1912780","19-1912780")</f>
        <v>0</v>
      </c>
      <c r="B4238" t="s">
        <v>227</v>
      </c>
      <c r="C4238" t="s">
        <v>246</v>
      </c>
      <c r="D4238" t="s">
        <v>316</v>
      </c>
      <c r="F4238" t="s">
        <v>2699</v>
      </c>
      <c r="G4238" t="s">
        <v>4582</v>
      </c>
      <c r="H4238" t="s">
        <v>6213</v>
      </c>
      <c r="I4238" t="s">
        <v>6433</v>
      </c>
      <c r="J4238" t="s">
        <v>7170</v>
      </c>
      <c r="K4238">
        <v>10456</v>
      </c>
      <c r="N4238" t="s">
        <v>7237</v>
      </c>
      <c r="O4238" t="s">
        <v>9903</v>
      </c>
      <c r="P4238">
        <v>2</v>
      </c>
      <c r="Q4238">
        <v>2</v>
      </c>
      <c r="R4238">
        <v>191.84</v>
      </c>
      <c r="U4238">
        <v>49400</v>
      </c>
      <c r="W4238">
        <v>0</v>
      </c>
      <c r="Y4238" t="s">
        <v>200</v>
      </c>
      <c r="AA4238" t="s">
        <v>10974</v>
      </c>
      <c r="AD4238" t="s">
        <v>11101</v>
      </c>
      <c r="AF4238" t="s">
        <v>11118</v>
      </c>
      <c r="AH4238" t="s">
        <v>10974</v>
      </c>
      <c r="AJ4238" t="s">
        <v>11141</v>
      </c>
      <c r="AK4238" t="s">
        <v>7225</v>
      </c>
      <c r="AM4238">
        <v>1206</v>
      </c>
      <c r="AO4238">
        <v>30</v>
      </c>
      <c r="AQ4238" t="s">
        <v>11157</v>
      </c>
      <c r="AS4238" t="s">
        <v>11173</v>
      </c>
      <c r="AU4238">
        <v>19</v>
      </c>
      <c r="AW4238" t="s">
        <v>3528</v>
      </c>
      <c r="AX4238" t="s">
        <v>11212</v>
      </c>
      <c r="BA4238" t="s">
        <v>11222</v>
      </c>
      <c r="BE4238" t="s">
        <v>14014</v>
      </c>
      <c r="BG4238" t="s">
        <v>15424</v>
      </c>
      <c r="BM4238" t="s">
        <v>15650</v>
      </c>
    </row>
    <row r="4239" spans="1:65">
      <c r="A4239" s="1">
        <f>HYPERLINK("https://lsnyc.legalserver.org/matter/dynamic-profile/view/1914138","19-1914138")</f>
        <v>0</v>
      </c>
      <c r="B4239" t="s">
        <v>227</v>
      </c>
      <c r="C4239" t="s">
        <v>246</v>
      </c>
      <c r="D4239" t="s">
        <v>301</v>
      </c>
      <c r="F4239" t="s">
        <v>2699</v>
      </c>
      <c r="G4239" t="s">
        <v>4582</v>
      </c>
      <c r="H4239" t="s">
        <v>6213</v>
      </c>
      <c r="I4239" t="s">
        <v>6433</v>
      </c>
      <c r="J4239" t="s">
        <v>7170</v>
      </c>
      <c r="K4239">
        <v>10456</v>
      </c>
      <c r="N4239" t="s">
        <v>7237</v>
      </c>
      <c r="O4239" t="s">
        <v>9903</v>
      </c>
      <c r="P4239">
        <v>2</v>
      </c>
      <c r="Q4239">
        <v>2</v>
      </c>
      <c r="R4239">
        <v>191.84</v>
      </c>
      <c r="U4239">
        <v>49400</v>
      </c>
      <c r="W4239">
        <v>0</v>
      </c>
      <c r="Y4239" t="s">
        <v>227</v>
      </c>
      <c r="Z4239" t="s">
        <v>10972</v>
      </c>
      <c r="AA4239" t="s">
        <v>10976</v>
      </c>
      <c r="AD4239" t="s">
        <v>11098</v>
      </c>
      <c r="AF4239" t="s">
        <v>11122</v>
      </c>
      <c r="AH4239" t="s">
        <v>10974</v>
      </c>
      <c r="AJ4239" t="s">
        <v>11141</v>
      </c>
      <c r="AK4239" t="s">
        <v>7225</v>
      </c>
      <c r="AM4239">
        <v>1206</v>
      </c>
      <c r="AO4239">
        <v>30</v>
      </c>
      <c r="AQ4239" t="s">
        <v>11157</v>
      </c>
      <c r="AR4239" t="s">
        <v>11172</v>
      </c>
      <c r="AU4239">
        <v>19</v>
      </c>
      <c r="AW4239" t="s">
        <v>3528</v>
      </c>
      <c r="AX4239" t="s">
        <v>11212</v>
      </c>
      <c r="AZ4239" t="s">
        <v>11221</v>
      </c>
      <c r="BE4239" t="s">
        <v>14014</v>
      </c>
      <c r="BF4239" t="s">
        <v>14364</v>
      </c>
      <c r="BM4239" t="s">
        <v>15650</v>
      </c>
    </row>
    <row r="4240" spans="1:65">
      <c r="A4240" s="1">
        <f>HYPERLINK("https://lsnyc.legalserver.org/matter/dynamic-profile/view/1884061","18-1884061")</f>
        <v>0</v>
      </c>
      <c r="B4240" t="s">
        <v>227</v>
      </c>
      <c r="C4240" t="s">
        <v>246</v>
      </c>
      <c r="D4240" t="s">
        <v>552</v>
      </c>
      <c r="F4240" t="s">
        <v>2700</v>
      </c>
      <c r="G4240" t="s">
        <v>3168</v>
      </c>
      <c r="H4240" t="s">
        <v>6214</v>
      </c>
      <c r="I4240" t="s">
        <v>6417</v>
      </c>
      <c r="J4240" t="s">
        <v>7170</v>
      </c>
      <c r="K4240">
        <v>10452</v>
      </c>
      <c r="N4240" t="s">
        <v>7237</v>
      </c>
      <c r="O4240" t="s">
        <v>9904</v>
      </c>
      <c r="P4240">
        <v>1</v>
      </c>
      <c r="Q4240">
        <v>2</v>
      </c>
      <c r="R4240">
        <v>17.9</v>
      </c>
      <c r="U4240">
        <v>3720</v>
      </c>
      <c r="W4240">
        <v>56.65</v>
      </c>
      <c r="X4240" t="s">
        <v>548</v>
      </c>
      <c r="Y4240" t="s">
        <v>10865</v>
      </c>
      <c r="AA4240" t="s">
        <v>10974</v>
      </c>
      <c r="AB4240" t="s">
        <v>597</v>
      </c>
      <c r="AD4240" t="s">
        <v>11082</v>
      </c>
      <c r="AF4240" t="s">
        <v>11118</v>
      </c>
      <c r="AH4240" t="s">
        <v>10975</v>
      </c>
      <c r="AJ4240" t="s">
        <v>11129</v>
      </c>
      <c r="AK4240" t="s">
        <v>7225</v>
      </c>
      <c r="AM4240">
        <v>1519.01</v>
      </c>
      <c r="AO4240">
        <v>41</v>
      </c>
      <c r="AQ4240" t="s">
        <v>11157</v>
      </c>
      <c r="AS4240" t="s">
        <v>11180</v>
      </c>
      <c r="AU4240">
        <v>7</v>
      </c>
      <c r="AW4240" t="s">
        <v>11187</v>
      </c>
      <c r="AY4240" t="s">
        <v>11213</v>
      </c>
      <c r="AZ4240" t="s">
        <v>11221</v>
      </c>
      <c r="BC4240" t="s">
        <v>11608</v>
      </c>
      <c r="BE4240" t="s">
        <v>14015</v>
      </c>
      <c r="BG4240" t="s">
        <v>15425</v>
      </c>
      <c r="BM4240" t="s">
        <v>15650</v>
      </c>
    </row>
    <row r="4241" spans="1:65">
      <c r="A4241" s="1">
        <f>HYPERLINK("https://lsnyc.legalserver.org/matter/dynamic-profile/view/1911927","19-1911927")</f>
        <v>0</v>
      </c>
      <c r="B4241" t="s">
        <v>227</v>
      </c>
      <c r="C4241" t="s">
        <v>246</v>
      </c>
      <c r="D4241" t="s">
        <v>341</v>
      </c>
      <c r="F4241" t="s">
        <v>1456</v>
      </c>
      <c r="G4241" t="s">
        <v>1187</v>
      </c>
      <c r="H4241" t="s">
        <v>6215</v>
      </c>
      <c r="I4241" t="s">
        <v>7052</v>
      </c>
      <c r="J4241" t="s">
        <v>7170</v>
      </c>
      <c r="K4241">
        <v>10458</v>
      </c>
      <c r="N4241" t="s">
        <v>7237</v>
      </c>
      <c r="O4241" t="s">
        <v>9905</v>
      </c>
      <c r="P4241">
        <v>1</v>
      </c>
      <c r="Q4241">
        <v>2</v>
      </c>
      <c r="R4241">
        <v>80.64</v>
      </c>
      <c r="U4241">
        <v>17200</v>
      </c>
      <c r="W4241">
        <v>0.5</v>
      </c>
      <c r="X4241" t="s">
        <v>271</v>
      </c>
      <c r="Y4241" t="s">
        <v>10865</v>
      </c>
      <c r="AA4241" t="s">
        <v>10974</v>
      </c>
      <c r="AD4241" t="s">
        <v>11101</v>
      </c>
      <c r="AF4241" t="s">
        <v>11118</v>
      </c>
      <c r="AH4241" t="s">
        <v>10974</v>
      </c>
      <c r="AJ4241" t="s">
        <v>11141</v>
      </c>
      <c r="AK4241" t="s">
        <v>7225</v>
      </c>
      <c r="AM4241">
        <v>1052.53</v>
      </c>
      <c r="AO4241">
        <v>94</v>
      </c>
      <c r="AQ4241" t="s">
        <v>11164</v>
      </c>
      <c r="AS4241" t="s">
        <v>11173</v>
      </c>
      <c r="AU4241">
        <v>6</v>
      </c>
      <c r="AW4241" t="s">
        <v>11187</v>
      </c>
      <c r="AX4241" t="s">
        <v>11212</v>
      </c>
      <c r="BA4241" t="s">
        <v>11223</v>
      </c>
      <c r="BE4241" t="s">
        <v>14016</v>
      </c>
      <c r="BF4241" t="s">
        <v>14364</v>
      </c>
      <c r="BM4241" t="s">
        <v>15650</v>
      </c>
    </row>
    <row r="4242" spans="1:65">
      <c r="A4242" s="1">
        <f>HYPERLINK("https://lsnyc.legalserver.org/matter/dynamic-profile/view/1912910","19-1912910")</f>
        <v>0</v>
      </c>
      <c r="B4242" t="s">
        <v>227</v>
      </c>
      <c r="C4242" t="s">
        <v>246</v>
      </c>
      <c r="D4242" t="s">
        <v>305</v>
      </c>
      <c r="F4242" t="s">
        <v>2701</v>
      </c>
      <c r="G4242" t="s">
        <v>4583</v>
      </c>
      <c r="H4242" t="s">
        <v>5613</v>
      </c>
      <c r="I4242" t="s">
        <v>6595</v>
      </c>
      <c r="J4242" t="s">
        <v>7170</v>
      </c>
      <c r="K4242">
        <v>10458</v>
      </c>
      <c r="N4242" t="s">
        <v>7237</v>
      </c>
      <c r="P4242">
        <v>2</v>
      </c>
      <c r="Q4242">
        <v>0</v>
      </c>
      <c r="R4242">
        <v>798.34</v>
      </c>
      <c r="U4242">
        <v>135000</v>
      </c>
      <c r="W4242">
        <v>0</v>
      </c>
      <c r="Y4242" t="s">
        <v>10865</v>
      </c>
      <c r="AA4242" t="s">
        <v>10974</v>
      </c>
      <c r="AD4242" t="s">
        <v>11101</v>
      </c>
      <c r="AF4242" t="s">
        <v>11118</v>
      </c>
      <c r="AH4242" t="s">
        <v>10974</v>
      </c>
      <c r="AJ4242" t="s">
        <v>11141</v>
      </c>
      <c r="AK4242" t="s">
        <v>7225</v>
      </c>
      <c r="AM4242">
        <v>1020</v>
      </c>
      <c r="AO4242">
        <v>94</v>
      </c>
      <c r="AQ4242" t="s">
        <v>11157</v>
      </c>
      <c r="AS4242" t="s">
        <v>11173</v>
      </c>
      <c r="AU4242">
        <v>34</v>
      </c>
      <c r="AW4242" t="s">
        <v>11187</v>
      </c>
      <c r="AX4242" t="s">
        <v>11212</v>
      </c>
      <c r="BA4242" t="s">
        <v>11222</v>
      </c>
      <c r="BE4242" t="s">
        <v>14017</v>
      </c>
      <c r="BF4242" t="s">
        <v>14364</v>
      </c>
      <c r="BM4242" t="s">
        <v>15650</v>
      </c>
    </row>
    <row r="4243" spans="1:65">
      <c r="A4243" s="1">
        <f>HYPERLINK("https://lsnyc.legalserver.org/matter/dynamic-profile/view/1910186","19-1910186")</f>
        <v>0</v>
      </c>
      <c r="B4243" t="s">
        <v>227</v>
      </c>
      <c r="C4243" t="s">
        <v>246</v>
      </c>
      <c r="D4243" t="s">
        <v>976</v>
      </c>
      <c r="F4243" t="s">
        <v>2702</v>
      </c>
      <c r="G4243" t="s">
        <v>4584</v>
      </c>
      <c r="H4243" t="s">
        <v>6211</v>
      </c>
      <c r="I4243" t="s">
        <v>6436</v>
      </c>
      <c r="J4243" t="s">
        <v>7170</v>
      </c>
      <c r="K4243">
        <v>10456</v>
      </c>
      <c r="N4243" t="s">
        <v>7237</v>
      </c>
      <c r="O4243" t="s">
        <v>9697</v>
      </c>
      <c r="P4243">
        <v>5</v>
      </c>
      <c r="Q4243">
        <v>1</v>
      </c>
      <c r="R4243">
        <v>0</v>
      </c>
      <c r="U4243">
        <v>0</v>
      </c>
      <c r="W4243">
        <v>0</v>
      </c>
      <c r="Y4243" t="s">
        <v>10865</v>
      </c>
      <c r="AA4243" t="s">
        <v>10974</v>
      </c>
      <c r="AD4243" t="s">
        <v>11098</v>
      </c>
      <c r="AF4243" t="s">
        <v>11122</v>
      </c>
      <c r="AH4243" t="s">
        <v>10974</v>
      </c>
      <c r="AJ4243" t="s">
        <v>11141</v>
      </c>
      <c r="AK4243" t="s">
        <v>7225</v>
      </c>
      <c r="AM4243">
        <v>1150</v>
      </c>
      <c r="AO4243">
        <v>30</v>
      </c>
      <c r="AQ4243" t="s">
        <v>11164</v>
      </c>
      <c r="AS4243" t="s">
        <v>11173</v>
      </c>
      <c r="AU4243">
        <v>23</v>
      </c>
      <c r="AW4243" t="s">
        <v>11187</v>
      </c>
      <c r="AX4243" t="s">
        <v>11212</v>
      </c>
      <c r="BA4243" t="s">
        <v>11222</v>
      </c>
      <c r="BE4243" t="s">
        <v>14018</v>
      </c>
      <c r="BF4243" t="s">
        <v>14364</v>
      </c>
      <c r="BM4243" t="s">
        <v>15650</v>
      </c>
    </row>
    <row r="4244" spans="1:65">
      <c r="A4244" s="1">
        <f>HYPERLINK("https://lsnyc.legalserver.org/matter/dynamic-profile/view/1904758","19-1904758")</f>
        <v>0</v>
      </c>
      <c r="B4244" t="s">
        <v>227</v>
      </c>
      <c r="C4244" t="s">
        <v>246</v>
      </c>
      <c r="D4244" t="s">
        <v>373</v>
      </c>
      <c r="F4244" t="s">
        <v>1459</v>
      </c>
      <c r="G4244" t="s">
        <v>4585</v>
      </c>
      <c r="H4244" t="s">
        <v>6216</v>
      </c>
      <c r="I4244" t="s">
        <v>6507</v>
      </c>
      <c r="J4244" t="s">
        <v>7170</v>
      </c>
      <c r="K4244">
        <v>10474</v>
      </c>
      <c r="N4244" t="s">
        <v>7237</v>
      </c>
      <c r="O4244" t="s">
        <v>8004</v>
      </c>
      <c r="P4244">
        <v>3</v>
      </c>
      <c r="Q4244">
        <v>0</v>
      </c>
      <c r="R4244">
        <v>73.14</v>
      </c>
      <c r="U4244">
        <v>15600</v>
      </c>
      <c r="W4244">
        <v>2.5</v>
      </c>
      <c r="X4244" t="s">
        <v>332</v>
      </c>
      <c r="Y4244" t="s">
        <v>227</v>
      </c>
      <c r="AA4244" t="s">
        <v>10974</v>
      </c>
      <c r="AB4244" t="s">
        <v>575</v>
      </c>
      <c r="AD4244" t="s">
        <v>11083</v>
      </c>
      <c r="AF4244" t="s">
        <v>11120</v>
      </c>
      <c r="AH4244" t="s">
        <v>10975</v>
      </c>
      <c r="AJ4244" t="s">
        <v>11129</v>
      </c>
      <c r="AK4244" t="s">
        <v>7225</v>
      </c>
      <c r="AM4244">
        <v>912.41</v>
      </c>
      <c r="AO4244">
        <v>60</v>
      </c>
      <c r="AQ4244" t="s">
        <v>11157</v>
      </c>
      <c r="AS4244" t="s">
        <v>11173</v>
      </c>
      <c r="AU4244">
        <v>15</v>
      </c>
      <c r="AW4244" t="s">
        <v>11189</v>
      </c>
      <c r="AY4244" t="s">
        <v>11213</v>
      </c>
      <c r="BA4244" t="s">
        <v>11222</v>
      </c>
      <c r="BD4244" t="s">
        <v>11667</v>
      </c>
      <c r="BF4244" t="s">
        <v>14364</v>
      </c>
      <c r="BM4244" t="s">
        <v>15650</v>
      </c>
    </row>
    <row r="4245" spans="1:65">
      <c r="A4245" s="1">
        <f>HYPERLINK("https://lsnyc.legalserver.org/matter/dynamic-profile/view/1907529","19-1907529")</f>
        <v>0</v>
      </c>
      <c r="B4245" t="s">
        <v>227</v>
      </c>
      <c r="C4245" t="s">
        <v>246</v>
      </c>
      <c r="D4245" t="s">
        <v>362</v>
      </c>
      <c r="F4245" t="s">
        <v>1280</v>
      </c>
      <c r="G4245" t="s">
        <v>2895</v>
      </c>
      <c r="H4245" t="s">
        <v>5979</v>
      </c>
      <c r="I4245" t="s">
        <v>6495</v>
      </c>
      <c r="J4245" t="s">
        <v>7170</v>
      </c>
      <c r="K4245">
        <v>10474</v>
      </c>
      <c r="N4245" t="s">
        <v>7237</v>
      </c>
      <c r="O4245" t="s">
        <v>9906</v>
      </c>
      <c r="P4245">
        <v>1</v>
      </c>
      <c r="Q4245">
        <v>0</v>
      </c>
      <c r="R4245">
        <v>73.98</v>
      </c>
      <c r="U4245">
        <v>9240</v>
      </c>
      <c r="W4245">
        <v>0</v>
      </c>
      <c r="Y4245" t="s">
        <v>227</v>
      </c>
      <c r="Z4245" t="s">
        <v>10972</v>
      </c>
      <c r="AA4245" t="s">
        <v>10976</v>
      </c>
      <c r="AD4245" t="s">
        <v>11098</v>
      </c>
      <c r="AF4245" t="s">
        <v>11122</v>
      </c>
      <c r="AG4245" t="s">
        <v>11124</v>
      </c>
      <c r="AI4245" t="s">
        <v>11126</v>
      </c>
      <c r="AK4245" t="s">
        <v>7225</v>
      </c>
      <c r="AL4245" t="s">
        <v>11150</v>
      </c>
      <c r="AM4245">
        <v>0</v>
      </c>
      <c r="AN4245" t="s">
        <v>11151</v>
      </c>
      <c r="AO4245" t="s">
        <v>11153</v>
      </c>
      <c r="AP4245" t="s">
        <v>11155</v>
      </c>
      <c r="AR4245" t="s">
        <v>11172</v>
      </c>
      <c r="AT4245" t="s">
        <v>11184</v>
      </c>
      <c r="AU4245">
        <v>0</v>
      </c>
      <c r="AW4245" t="s">
        <v>11189</v>
      </c>
      <c r="AX4245" t="s">
        <v>11212</v>
      </c>
      <c r="AZ4245" t="s">
        <v>11221</v>
      </c>
      <c r="BD4245" t="s">
        <v>11667</v>
      </c>
      <c r="BG4245" t="s">
        <v>15264</v>
      </c>
      <c r="BM4245" t="s">
        <v>15650</v>
      </c>
    </row>
    <row r="4246" spans="1:65">
      <c r="A4246" s="1">
        <f>HYPERLINK("https://lsnyc.legalserver.org/matter/dynamic-profile/view/1907936","19-1907936")</f>
        <v>0</v>
      </c>
      <c r="B4246" t="s">
        <v>227</v>
      </c>
      <c r="C4246" t="s">
        <v>246</v>
      </c>
      <c r="D4246" t="s">
        <v>437</v>
      </c>
      <c r="F4246" t="s">
        <v>1817</v>
      </c>
      <c r="G4246" t="s">
        <v>4581</v>
      </c>
      <c r="H4246" t="s">
        <v>6212</v>
      </c>
      <c r="I4246" t="s">
        <v>6403</v>
      </c>
      <c r="J4246" t="s">
        <v>7170</v>
      </c>
      <c r="K4246">
        <v>10460</v>
      </c>
      <c r="N4246" t="s">
        <v>7244</v>
      </c>
      <c r="O4246" t="s">
        <v>9902</v>
      </c>
      <c r="P4246">
        <v>4</v>
      </c>
      <c r="Q4246">
        <v>0</v>
      </c>
      <c r="R4246">
        <v>72.23</v>
      </c>
      <c r="U4246">
        <v>18600</v>
      </c>
      <c r="W4246">
        <v>38.2</v>
      </c>
      <c r="X4246" t="s">
        <v>293</v>
      </c>
      <c r="Y4246" t="s">
        <v>10865</v>
      </c>
      <c r="Z4246" t="s">
        <v>10972</v>
      </c>
      <c r="AA4246" t="s">
        <v>10975</v>
      </c>
      <c r="AD4246" t="s">
        <v>11106</v>
      </c>
      <c r="AF4246" t="s">
        <v>11122</v>
      </c>
      <c r="AH4246" t="s">
        <v>10975</v>
      </c>
      <c r="AJ4246" t="s">
        <v>11104</v>
      </c>
      <c r="AK4246" t="s">
        <v>7225</v>
      </c>
      <c r="AM4246">
        <v>1419</v>
      </c>
      <c r="AO4246">
        <v>18</v>
      </c>
      <c r="AQ4246" t="s">
        <v>11157</v>
      </c>
      <c r="AS4246" t="s">
        <v>11174</v>
      </c>
      <c r="AU4246">
        <v>3</v>
      </c>
      <c r="AW4246" t="s">
        <v>11187</v>
      </c>
      <c r="AX4246" t="s">
        <v>11212</v>
      </c>
      <c r="AZ4246" t="s">
        <v>11221</v>
      </c>
      <c r="BA4246" t="s">
        <v>11173</v>
      </c>
      <c r="BE4246" t="s">
        <v>14013</v>
      </c>
      <c r="BF4246" t="s">
        <v>14364</v>
      </c>
      <c r="BM4246" t="s">
        <v>15650</v>
      </c>
    </row>
    <row r="4247" spans="1:65">
      <c r="A4247" s="1">
        <f>HYPERLINK("https://lsnyc.legalserver.org/matter/dynamic-profile/view/1910181","19-1910181")</f>
        <v>0</v>
      </c>
      <c r="B4247" t="s">
        <v>227</v>
      </c>
      <c r="C4247" t="s">
        <v>246</v>
      </c>
      <c r="D4247" t="s">
        <v>976</v>
      </c>
      <c r="F4247" t="s">
        <v>2703</v>
      </c>
      <c r="G4247" t="s">
        <v>4586</v>
      </c>
      <c r="H4247" t="s">
        <v>6211</v>
      </c>
      <c r="I4247" t="s">
        <v>6413</v>
      </c>
      <c r="J4247" t="s">
        <v>7170</v>
      </c>
      <c r="K4247">
        <v>10456</v>
      </c>
      <c r="N4247" t="s">
        <v>7237</v>
      </c>
      <c r="O4247" t="s">
        <v>9907</v>
      </c>
      <c r="P4247">
        <v>3</v>
      </c>
      <c r="Q4247">
        <v>1</v>
      </c>
      <c r="R4247">
        <v>108.52</v>
      </c>
      <c r="U4247">
        <v>27944</v>
      </c>
      <c r="W4247">
        <v>0</v>
      </c>
      <c r="Y4247" t="s">
        <v>10865</v>
      </c>
      <c r="AA4247" t="s">
        <v>10974</v>
      </c>
      <c r="AD4247" t="s">
        <v>11098</v>
      </c>
      <c r="AF4247" t="s">
        <v>11122</v>
      </c>
      <c r="AH4247" t="s">
        <v>10974</v>
      </c>
      <c r="AJ4247" t="s">
        <v>11141</v>
      </c>
      <c r="AK4247" t="s">
        <v>7225</v>
      </c>
      <c r="AM4247">
        <v>1451.25</v>
      </c>
      <c r="AO4247">
        <v>30</v>
      </c>
      <c r="AQ4247" t="s">
        <v>11164</v>
      </c>
      <c r="AS4247" t="s">
        <v>11173</v>
      </c>
      <c r="AU4247">
        <v>19</v>
      </c>
      <c r="AW4247" t="s">
        <v>11187</v>
      </c>
      <c r="AX4247" t="s">
        <v>11212</v>
      </c>
      <c r="BA4247" t="s">
        <v>11222</v>
      </c>
      <c r="BD4247" t="s">
        <v>11667</v>
      </c>
      <c r="BF4247" t="s">
        <v>14364</v>
      </c>
      <c r="BM4247" t="s">
        <v>15650</v>
      </c>
    </row>
    <row r="4248" spans="1:65">
      <c r="A4248" s="1">
        <f>HYPERLINK("https://lsnyc.legalserver.org/matter/dynamic-profile/view/1907532","19-1907532")</f>
        <v>0</v>
      </c>
      <c r="B4248" t="s">
        <v>227</v>
      </c>
      <c r="C4248" t="s">
        <v>246</v>
      </c>
      <c r="D4248" t="s">
        <v>362</v>
      </c>
      <c r="F4248" t="s">
        <v>1122</v>
      </c>
      <c r="G4248" t="s">
        <v>2888</v>
      </c>
      <c r="H4248" t="s">
        <v>5979</v>
      </c>
      <c r="I4248" t="s">
        <v>6425</v>
      </c>
      <c r="J4248" t="s">
        <v>7170</v>
      </c>
      <c r="K4248">
        <v>10474</v>
      </c>
      <c r="N4248" t="s">
        <v>7237</v>
      </c>
      <c r="O4248" t="s">
        <v>9908</v>
      </c>
      <c r="P4248">
        <v>2</v>
      </c>
      <c r="Q4248">
        <v>3</v>
      </c>
      <c r="R4248">
        <v>0</v>
      </c>
      <c r="U4248">
        <v>0</v>
      </c>
      <c r="W4248">
        <v>0</v>
      </c>
      <c r="Y4248" t="s">
        <v>227</v>
      </c>
      <c r="Z4248" t="s">
        <v>10972</v>
      </c>
      <c r="AA4248" t="s">
        <v>10976</v>
      </c>
      <c r="AD4248" t="s">
        <v>11098</v>
      </c>
      <c r="AF4248" t="s">
        <v>11122</v>
      </c>
      <c r="AG4248" t="s">
        <v>11124</v>
      </c>
      <c r="AI4248" t="s">
        <v>11126</v>
      </c>
      <c r="AK4248" t="s">
        <v>7225</v>
      </c>
      <c r="AL4248" t="s">
        <v>11150</v>
      </c>
      <c r="AM4248">
        <v>0</v>
      </c>
      <c r="AN4248" t="s">
        <v>11151</v>
      </c>
      <c r="AO4248" t="s">
        <v>11153</v>
      </c>
      <c r="AP4248" t="s">
        <v>11155</v>
      </c>
      <c r="AR4248" t="s">
        <v>11172</v>
      </c>
      <c r="AT4248" t="s">
        <v>11184</v>
      </c>
      <c r="AU4248">
        <v>0</v>
      </c>
      <c r="AW4248" t="s">
        <v>11189</v>
      </c>
      <c r="AX4248" t="s">
        <v>11212</v>
      </c>
      <c r="AZ4248" t="s">
        <v>11221</v>
      </c>
      <c r="BE4248" t="s">
        <v>14019</v>
      </c>
      <c r="BG4248" t="s">
        <v>15264</v>
      </c>
      <c r="BM4248" t="s">
        <v>15650</v>
      </c>
    </row>
    <row r="4249" spans="1:65">
      <c r="A4249" s="1">
        <f>HYPERLINK("https://lsnyc.legalserver.org/matter/dynamic-profile/view/1907524","19-1907524")</f>
        <v>0</v>
      </c>
      <c r="B4249" t="s">
        <v>227</v>
      </c>
      <c r="C4249" t="s">
        <v>246</v>
      </c>
      <c r="D4249" t="s">
        <v>362</v>
      </c>
      <c r="F4249" t="s">
        <v>2704</v>
      </c>
      <c r="G4249" t="s">
        <v>3506</v>
      </c>
      <c r="H4249" t="s">
        <v>5979</v>
      </c>
      <c r="I4249" t="s">
        <v>6584</v>
      </c>
      <c r="J4249" t="s">
        <v>7170</v>
      </c>
      <c r="K4249">
        <v>10474</v>
      </c>
      <c r="N4249" t="s">
        <v>7237</v>
      </c>
      <c r="O4249" t="s">
        <v>9909</v>
      </c>
      <c r="P4249">
        <v>2</v>
      </c>
      <c r="Q4249">
        <v>0</v>
      </c>
      <c r="R4249">
        <v>366.65</v>
      </c>
      <c r="U4249">
        <v>62000</v>
      </c>
      <c r="W4249">
        <v>0</v>
      </c>
      <c r="Y4249" t="s">
        <v>227</v>
      </c>
      <c r="Z4249" t="s">
        <v>10972</v>
      </c>
      <c r="AA4249" t="s">
        <v>10976</v>
      </c>
      <c r="AD4249" t="s">
        <v>11098</v>
      </c>
      <c r="AF4249" t="s">
        <v>11122</v>
      </c>
      <c r="AH4249" t="s">
        <v>10974</v>
      </c>
      <c r="AI4249" t="s">
        <v>11126</v>
      </c>
      <c r="AK4249" t="s">
        <v>7225</v>
      </c>
      <c r="AL4249" t="s">
        <v>11150</v>
      </c>
      <c r="AM4249">
        <v>0</v>
      </c>
      <c r="AN4249" t="s">
        <v>11151</v>
      </c>
      <c r="AO4249" t="s">
        <v>11153</v>
      </c>
      <c r="AP4249" t="s">
        <v>11155</v>
      </c>
      <c r="AR4249" t="s">
        <v>11172</v>
      </c>
      <c r="AT4249" t="s">
        <v>11184</v>
      </c>
      <c r="AU4249">
        <v>0</v>
      </c>
      <c r="AW4249" t="s">
        <v>11187</v>
      </c>
      <c r="AY4249" t="s">
        <v>11213</v>
      </c>
      <c r="AZ4249" t="s">
        <v>11221</v>
      </c>
      <c r="BE4249" t="s">
        <v>14020</v>
      </c>
      <c r="BG4249" t="s">
        <v>15264</v>
      </c>
      <c r="BM4249" t="s">
        <v>15650</v>
      </c>
    </row>
    <row r="4250" spans="1:65">
      <c r="A4250" s="1">
        <f>HYPERLINK("https://lsnyc.legalserver.org/matter/dynamic-profile/view/1911800","19-1911800")</f>
        <v>0</v>
      </c>
      <c r="B4250" t="s">
        <v>227</v>
      </c>
      <c r="C4250" t="s">
        <v>246</v>
      </c>
      <c r="D4250" t="s">
        <v>345</v>
      </c>
      <c r="F4250" t="s">
        <v>2705</v>
      </c>
      <c r="G4250" t="s">
        <v>3770</v>
      </c>
      <c r="H4250" t="s">
        <v>6217</v>
      </c>
      <c r="I4250" t="s">
        <v>6421</v>
      </c>
      <c r="J4250" t="s">
        <v>7170</v>
      </c>
      <c r="K4250">
        <v>10452</v>
      </c>
      <c r="N4250" t="s">
        <v>7237</v>
      </c>
      <c r="O4250" t="s">
        <v>9910</v>
      </c>
      <c r="P4250">
        <v>1</v>
      </c>
      <c r="Q4250">
        <v>1</v>
      </c>
      <c r="R4250">
        <v>184.51</v>
      </c>
      <c r="U4250">
        <v>31200</v>
      </c>
      <c r="W4250">
        <v>34.75</v>
      </c>
      <c r="X4250" t="s">
        <v>528</v>
      </c>
      <c r="Y4250" t="s">
        <v>10897</v>
      </c>
      <c r="AA4250" t="s">
        <v>10974</v>
      </c>
      <c r="AD4250" t="s">
        <v>11098</v>
      </c>
      <c r="AF4250" t="s">
        <v>11122</v>
      </c>
      <c r="AH4250" t="s">
        <v>10974</v>
      </c>
      <c r="AJ4250" t="s">
        <v>11141</v>
      </c>
      <c r="AK4250" t="s">
        <v>7225</v>
      </c>
      <c r="AM4250">
        <v>1303.46</v>
      </c>
      <c r="AO4250">
        <v>67</v>
      </c>
      <c r="AQ4250" t="s">
        <v>11157</v>
      </c>
      <c r="AS4250" t="s">
        <v>11173</v>
      </c>
      <c r="AU4250">
        <v>6</v>
      </c>
      <c r="AW4250" t="s">
        <v>11187</v>
      </c>
      <c r="AX4250" t="s">
        <v>11212</v>
      </c>
      <c r="BA4250" t="s">
        <v>11222</v>
      </c>
      <c r="BE4250" t="s">
        <v>14021</v>
      </c>
      <c r="BG4250" t="s">
        <v>15426</v>
      </c>
      <c r="BM4250" t="s">
        <v>15650</v>
      </c>
    </row>
    <row r="4251" spans="1:65">
      <c r="A4251" s="1">
        <f>HYPERLINK("https://lsnyc.legalserver.org/matter/dynamic-profile/view/1911925","19-1911925")</f>
        <v>0</v>
      </c>
      <c r="B4251" t="s">
        <v>227</v>
      </c>
      <c r="C4251" t="s">
        <v>246</v>
      </c>
      <c r="D4251" t="s">
        <v>341</v>
      </c>
      <c r="F4251" t="s">
        <v>1285</v>
      </c>
      <c r="G4251" t="s">
        <v>3527</v>
      </c>
      <c r="H4251" t="s">
        <v>6215</v>
      </c>
      <c r="I4251" t="s">
        <v>6609</v>
      </c>
      <c r="J4251" t="s">
        <v>7170</v>
      </c>
      <c r="K4251">
        <v>10458</v>
      </c>
      <c r="N4251" t="s">
        <v>7237</v>
      </c>
      <c r="O4251" t="s">
        <v>9911</v>
      </c>
      <c r="P4251">
        <v>1</v>
      </c>
      <c r="Q4251">
        <v>0</v>
      </c>
      <c r="R4251">
        <v>115</v>
      </c>
      <c r="U4251">
        <v>14364</v>
      </c>
      <c r="W4251">
        <v>37.25</v>
      </c>
      <c r="X4251" t="s">
        <v>638</v>
      </c>
      <c r="Y4251" t="s">
        <v>10865</v>
      </c>
      <c r="AA4251" t="s">
        <v>10974</v>
      </c>
      <c r="AD4251" t="s">
        <v>11101</v>
      </c>
      <c r="AF4251" t="s">
        <v>11118</v>
      </c>
      <c r="AH4251" t="s">
        <v>10974</v>
      </c>
      <c r="AJ4251" t="s">
        <v>11141</v>
      </c>
      <c r="AK4251" t="s">
        <v>7225</v>
      </c>
      <c r="AM4251">
        <v>641.5599999999999</v>
      </c>
      <c r="AO4251">
        <v>94</v>
      </c>
      <c r="AQ4251" t="s">
        <v>11164</v>
      </c>
      <c r="AS4251" t="s">
        <v>11175</v>
      </c>
      <c r="AU4251">
        <v>30</v>
      </c>
      <c r="AW4251" t="s">
        <v>11187</v>
      </c>
      <c r="AX4251" t="s">
        <v>11212</v>
      </c>
      <c r="BA4251" t="s">
        <v>11222</v>
      </c>
      <c r="BE4251" t="s">
        <v>14022</v>
      </c>
      <c r="BG4251" t="s">
        <v>15427</v>
      </c>
      <c r="BM4251" t="s">
        <v>15650</v>
      </c>
    </row>
    <row r="4252" spans="1:65">
      <c r="A4252" s="1">
        <f>HYPERLINK("https://lsnyc.legalserver.org/matter/dynamic-profile/view/1911880","19-1911880")</f>
        <v>0</v>
      </c>
      <c r="B4252" t="s">
        <v>227</v>
      </c>
      <c r="C4252" t="s">
        <v>246</v>
      </c>
      <c r="D4252" t="s">
        <v>345</v>
      </c>
      <c r="F4252" t="s">
        <v>1496</v>
      </c>
      <c r="G4252" t="s">
        <v>4587</v>
      </c>
      <c r="H4252" t="s">
        <v>6217</v>
      </c>
      <c r="I4252" t="s">
        <v>6480</v>
      </c>
      <c r="J4252" t="s">
        <v>7170</v>
      </c>
      <c r="K4252">
        <v>10452</v>
      </c>
      <c r="N4252" t="s">
        <v>7237</v>
      </c>
      <c r="O4252" t="s">
        <v>9912</v>
      </c>
      <c r="P4252">
        <v>1</v>
      </c>
      <c r="Q4252">
        <v>0</v>
      </c>
      <c r="R4252">
        <v>350.69</v>
      </c>
      <c r="U4252">
        <v>43801.08</v>
      </c>
      <c r="W4252">
        <v>3.5</v>
      </c>
      <c r="X4252" t="s">
        <v>564</v>
      </c>
      <c r="Y4252" t="s">
        <v>10897</v>
      </c>
      <c r="AA4252" t="s">
        <v>10974</v>
      </c>
      <c r="AD4252" t="s">
        <v>11098</v>
      </c>
      <c r="AF4252" t="s">
        <v>11122</v>
      </c>
      <c r="AH4252" t="s">
        <v>10974</v>
      </c>
      <c r="AJ4252" t="s">
        <v>11141</v>
      </c>
      <c r="AK4252" t="s">
        <v>7225</v>
      </c>
      <c r="AM4252">
        <v>757.24</v>
      </c>
      <c r="AO4252">
        <v>67</v>
      </c>
      <c r="AQ4252" t="s">
        <v>11157</v>
      </c>
      <c r="AS4252" t="s">
        <v>11173</v>
      </c>
      <c r="AU4252">
        <v>43</v>
      </c>
      <c r="AW4252" t="s">
        <v>11187</v>
      </c>
      <c r="AX4252" t="s">
        <v>11212</v>
      </c>
      <c r="BA4252" t="s">
        <v>11222</v>
      </c>
      <c r="BE4252" t="s">
        <v>14023</v>
      </c>
      <c r="BG4252" t="s">
        <v>15426</v>
      </c>
      <c r="BM4252" t="s">
        <v>15650</v>
      </c>
    </row>
    <row r="4253" spans="1:65">
      <c r="A4253" s="1">
        <f>HYPERLINK("https://lsnyc.legalserver.org/matter/dynamic-profile/view/1910191","19-1910191")</f>
        <v>0</v>
      </c>
      <c r="B4253" t="s">
        <v>227</v>
      </c>
      <c r="C4253" t="s">
        <v>246</v>
      </c>
      <c r="D4253" t="s">
        <v>976</v>
      </c>
      <c r="F4253" t="s">
        <v>2706</v>
      </c>
      <c r="G4253" t="s">
        <v>4588</v>
      </c>
      <c r="H4253" t="s">
        <v>6211</v>
      </c>
      <c r="I4253" t="s">
        <v>6422</v>
      </c>
      <c r="J4253" t="s">
        <v>7170</v>
      </c>
      <c r="K4253">
        <v>10456</v>
      </c>
      <c r="N4253" t="s">
        <v>7237</v>
      </c>
      <c r="O4253" t="s">
        <v>9913</v>
      </c>
      <c r="P4253">
        <v>3</v>
      </c>
      <c r="Q4253">
        <v>1</v>
      </c>
      <c r="R4253">
        <v>187.6</v>
      </c>
      <c r="U4253">
        <v>48308</v>
      </c>
      <c r="W4253">
        <v>0</v>
      </c>
      <c r="Y4253" t="s">
        <v>10865</v>
      </c>
      <c r="AA4253" t="s">
        <v>10974</v>
      </c>
      <c r="AD4253" t="s">
        <v>11098</v>
      </c>
      <c r="AF4253" t="s">
        <v>11122</v>
      </c>
      <c r="AH4253" t="s">
        <v>10974</v>
      </c>
      <c r="AJ4253" t="s">
        <v>11141</v>
      </c>
      <c r="AK4253" t="s">
        <v>7225</v>
      </c>
      <c r="AL4253" t="s">
        <v>11150</v>
      </c>
      <c r="AM4253">
        <v>0</v>
      </c>
      <c r="AO4253">
        <v>30</v>
      </c>
      <c r="AQ4253" t="s">
        <v>11164</v>
      </c>
      <c r="AS4253" t="s">
        <v>11173</v>
      </c>
      <c r="AU4253">
        <v>21</v>
      </c>
      <c r="AV4253" t="s">
        <v>11186</v>
      </c>
      <c r="AX4253" t="s">
        <v>11212</v>
      </c>
      <c r="BA4253" t="s">
        <v>11222</v>
      </c>
      <c r="BE4253" t="s">
        <v>14024</v>
      </c>
      <c r="BF4253" t="s">
        <v>14364</v>
      </c>
      <c r="BM4253" t="s">
        <v>15650</v>
      </c>
    </row>
    <row r="4254" spans="1:65">
      <c r="A4254" s="1">
        <f>HYPERLINK("https://lsnyc.legalserver.org/matter/dynamic-profile/view/1910187","19-1910187")</f>
        <v>0</v>
      </c>
      <c r="B4254" t="s">
        <v>227</v>
      </c>
      <c r="C4254" t="s">
        <v>246</v>
      </c>
      <c r="D4254" t="s">
        <v>976</v>
      </c>
      <c r="F4254" t="s">
        <v>2706</v>
      </c>
      <c r="G4254" t="s">
        <v>4588</v>
      </c>
      <c r="H4254" t="s">
        <v>6211</v>
      </c>
      <c r="I4254" t="s">
        <v>6422</v>
      </c>
      <c r="J4254" t="s">
        <v>7170</v>
      </c>
      <c r="K4254">
        <v>10456</v>
      </c>
      <c r="N4254" t="s">
        <v>7237</v>
      </c>
      <c r="O4254" t="s">
        <v>9913</v>
      </c>
      <c r="P4254">
        <v>3</v>
      </c>
      <c r="Q4254">
        <v>1</v>
      </c>
      <c r="R4254">
        <v>187.6</v>
      </c>
      <c r="U4254">
        <v>48308</v>
      </c>
      <c r="W4254">
        <v>0</v>
      </c>
      <c r="Y4254" t="s">
        <v>10865</v>
      </c>
      <c r="AA4254" t="s">
        <v>10974</v>
      </c>
      <c r="AD4254" t="s">
        <v>11101</v>
      </c>
      <c r="AF4254" t="s">
        <v>11118</v>
      </c>
      <c r="AH4254" t="s">
        <v>10974</v>
      </c>
      <c r="AJ4254" t="s">
        <v>11141</v>
      </c>
      <c r="AK4254" t="s">
        <v>7225</v>
      </c>
      <c r="AL4254" t="s">
        <v>11150</v>
      </c>
      <c r="AM4254">
        <v>0</v>
      </c>
      <c r="AO4254">
        <v>30</v>
      </c>
      <c r="AQ4254" t="s">
        <v>11164</v>
      </c>
      <c r="AS4254" t="s">
        <v>11173</v>
      </c>
      <c r="AU4254">
        <v>21</v>
      </c>
      <c r="AV4254" t="s">
        <v>11186</v>
      </c>
      <c r="AX4254" t="s">
        <v>11212</v>
      </c>
      <c r="BA4254" t="s">
        <v>11222</v>
      </c>
      <c r="BE4254" t="s">
        <v>14024</v>
      </c>
      <c r="BG4254" t="s">
        <v>15424</v>
      </c>
      <c r="BM4254" t="s">
        <v>15650</v>
      </c>
    </row>
    <row r="4255" spans="1:65">
      <c r="A4255" s="1">
        <f>HYPERLINK("https://lsnyc.legalserver.org/matter/dynamic-profile/view/1892218","19-1892218")</f>
        <v>0</v>
      </c>
      <c r="B4255" t="s">
        <v>227</v>
      </c>
      <c r="C4255" t="s">
        <v>246</v>
      </c>
      <c r="D4255" t="s">
        <v>406</v>
      </c>
      <c r="E4255" t="s">
        <v>312</v>
      </c>
      <c r="F4255" t="s">
        <v>2707</v>
      </c>
      <c r="G4255" t="s">
        <v>4589</v>
      </c>
      <c r="H4255" t="s">
        <v>6218</v>
      </c>
      <c r="I4255" t="s">
        <v>7109</v>
      </c>
      <c r="J4255" t="s">
        <v>7170</v>
      </c>
      <c r="K4255">
        <v>10461</v>
      </c>
      <c r="L4255" t="s">
        <v>7217</v>
      </c>
      <c r="N4255" t="s">
        <v>7244</v>
      </c>
      <c r="O4255" t="s">
        <v>9914</v>
      </c>
      <c r="P4255">
        <v>1</v>
      </c>
      <c r="Q4255">
        <v>0</v>
      </c>
      <c r="R4255">
        <v>161.73</v>
      </c>
      <c r="U4255">
        <v>20200</v>
      </c>
      <c r="V4255" t="s">
        <v>10777</v>
      </c>
      <c r="W4255">
        <v>23.7</v>
      </c>
      <c r="X4255" t="s">
        <v>578</v>
      </c>
      <c r="Y4255" t="s">
        <v>10865</v>
      </c>
      <c r="Z4255" t="s">
        <v>10972</v>
      </c>
      <c r="AA4255" t="s">
        <v>10976</v>
      </c>
      <c r="AD4255" t="s">
        <v>11090</v>
      </c>
      <c r="AF4255" t="s">
        <v>10384</v>
      </c>
      <c r="AH4255" t="s">
        <v>10975</v>
      </c>
      <c r="AJ4255" t="s">
        <v>11129</v>
      </c>
      <c r="AK4255" t="s">
        <v>7225</v>
      </c>
      <c r="AM4255">
        <v>1500</v>
      </c>
      <c r="AO4255">
        <v>125</v>
      </c>
      <c r="AQ4255" t="s">
        <v>11157</v>
      </c>
      <c r="AS4255" t="s">
        <v>11174</v>
      </c>
      <c r="AU4255">
        <v>14</v>
      </c>
      <c r="AW4255" t="s">
        <v>11189</v>
      </c>
      <c r="AX4255" t="s">
        <v>11212</v>
      </c>
      <c r="BA4255" t="s">
        <v>11222</v>
      </c>
      <c r="BE4255" t="s">
        <v>14025</v>
      </c>
      <c r="BF4255" t="s">
        <v>14364</v>
      </c>
      <c r="BM4255" t="s">
        <v>15651</v>
      </c>
    </row>
    <row r="4256" spans="1:65">
      <c r="A4256" s="1">
        <f>HYPERLINK("https://lsnyc.legalserver.org/matter/dynamic-profile/view/1912900","19-1912900")</f>
        <v>0</v>
      </c>
      <c r="B4256" t="s">
        <v>227</v>
      </c>
      <c r="C4256" t="s">
        <v>246</v>
      </c>
      <c r="D4256" t="s">
        <v>305</v>
      </c>
      <c r="F4256" t="s">
        <v>2708</v>
      </c>
      <c r="G4256" t="s">
        <v>2308</v>
      </c>
      <c r="H4256" t="s">
        <v>6215</v>
      </c>
      <c r="I4256" t="s">
        <v>6422</v>
      </c>
      <c r="J4256" t="s">
        <v>7170</v>
      </c>
      <c r="K4256">
        <v>10458</v>
      </c>
      <c r="N4256" t="s">
        <v>7237</v>
      </c>
      <c r="O4256" t="s">
        <v>9915</v>
      </c>
      <c r="P4256">
        <v>1</v>
      </c>
      <c r="Q4256">
        <v>1</v>
      </c>
      <c r="R4256">
        <v>113.12</v>
      </c>
      <c r="U4256">
        <v>19128</v>
      </c>
      <c r="W4256">
        <v>0</v>
      </c>
      <c r="Y4256" t="s">
        <v>10865</v>
      </c>
      <c r="AA4256" t="s">
        <v>10974</v>
      </c>
      <c r="AD4256" t="s">
        <v>11101</v>
      </c>
      <c r="AF4256" t="s">
        <v>11118</v>
      </c>
      <c r="AH4256" t="s">
        <v>10974</v>
      </c>
      <c r="AJ4256" t="s">
        <v>11141</v>
      </c>
      <c r="AK4256" t="s">
        <v>7225</v>
      </c>
      <c r="AM4256">
        <v>1541</v>
      </c>
      <c r="AO4256">
        <v>94</v>
      </c>
      <c r="AQ4256" t="s">
        <v>11164</v>
      </c>
      <c r="AS4256" t="s">
        <v>11173</v>
      </c>
      <c r="AU4256">
        <v>9</v>
      </c>
      <c r="AW4256" t="s">
        <v>11187</v>
      </c>
      <c r="AX4256" t="s">
        <v>11212</v>
      </c>
      <c r="BA4256" t="s">
        <v>11222</v>
      </c>
      <c r="BD4256" t="s">
        <v>11667</v>
      </c>
      <c r="BF4256" t="s">
        <v>14364</v>
      </c>
      <c r="BM4256" t="s">
        <v>15650</v>
      </c>
    </row>
    <row r="4257" spans="1:65">
      <c r="A4257" s="1">
        <f>HYPERLINK("https://lsnyc.legalserver.org/matter/dynamic-profile/view/1912980","19-1912980")</f>
        <v>0</v>
      </c>
      <c r="B4257" t="s">
        <v>227</v>
      </c>
      <c r="C4257" t="s">
        <v>246</v>
      </c>
      <c r="D4257" t="s">
        <v>305</v>
      </c>
      <c r="F4257" t="s">
        <v>2709</v>
      </c>
      <c r="G4257" t="s">
        <v>1762</v>
      </c>
      <c r="H4257" t="s">
        <v>6217</v>
      </c>
      <c r="I4257" t="s">
        <v>6679</v>
      </c>
      <c r="J4257" t="s">
        <v>7170</v>
      </c>
      <c r="K4257">
        <v>10452</v>
      </c>
      <c r="N4257" t="s">
        <v>7237</v>
      </c>
      <c r="O4257" t="s">
        <v>9916</v>
      </c>
      <c r="P4257">
        <v>1</v>
      </c>
      <c r="Q4257">
        <v>0</v>
      </c>
      <c r="R4257">
        <v>78.20999999999999</v>
      </c>
      <c r="U4257">
        <v>9768</v>
      </c>
      <c r="W4257">
        <v>0</v>
      </c>
      <c r="Y4257" t="s">
        <v>10865</v>
      </c>
      <c r="AA4257" t="s">
        <v>10974</v>
      </c>
      <c r="AD4257" t="s">
        <v>11098</v>
      </c>
      <c r="AF4257" t="s">
        <v>11122</v>
      </c>
      <c r="AH4257" t="s">
        <v>10974</v>
      </c>
      <c r="AJ4257" t="s">
        <v>11135</v>
      </c>
      <c r="AK4257" t="s">
        <v>7225</v>
      </c>
      <c r="AM4257">
        <v>971.7</v>
      </c>
      <c r="AO4257">
        <v>67</v>
      </c>
      <c r="AQ4257" t="s">
        <v>11157</v>
      </c>
      <c r="AS4257" t="s">
        <v>11173</v>
      </c>
      <c r="AU4257">
        <v>21</v>
      </c>
      <c r="AW4257" t="s">
        <v>11189</v>
      </c>
      <c r="AX4257" t="s">
        <v>11212</v>
      </c>
      <c r="BA4257" t="s">
        <v>11222</v>
      </c>
      <c r="BE4257" t="s">
        <v>14026</v>
      </c>
      <c r="BG4257" t="s">
        <v>15426</v>
      </c>
      <c r="BM4257" t="s">
        <v>15650</v>
      </c>
    </row>
    <row r="4258" spans="1:65">
      <c r="A4258" s="1">
        <f>HYPERLINK("https://lsnyc.legalserver.org/matter/dynamic-profile/view/1911886","19-1911886")</f>
        <v>0</v>
      </c>
      <c r="B4258" t="s">
        <v>227</v>
      </c>
      <c r="C4258" t="s">
        <v>246</v>
      </c>
      <c r="D4258" t="s">
        <v>345</v>
      </c>
      <c r="F4258" t="s">
        <v>1372</v>
      </c>
      <c r="G4258" t="s">
        <v>3140</v>
      </c>
      <c r="H4258" t="s">
        <v>6217</v>
      </c>
      <c r="I4258" t="s">
        <v>6436</v>
      </c>
      <c r="J4258" t="s">
        <v>7170</v>
      </c>
      <c r="K4258">
        <v>10452</v>
      </c>
      <c r="N4258" t="s">
        <v>7237</v>
      </c>
      <c r="O4258" t="s">
        <v>8555</v>
      </c>
      <c r="P4258">
        <v>1</v>
      </c>
      <c r="Q4258">
        <v>0</v>
      </c>
      <c r="R4258">
        <v>104.08</v>
      </c>
      <c r="U4258">
        <v>13000</v>
      </c>
      <c r="W4258">
        <v>0</v>
      </c>
      <c r="Y4258" t="s">
        <v>10897</v>
      </c>
      <c r="AA4258" t="s">
        <v>10974</v>
      </c>
      <c r="AD4258" t="s">
        <v>11098</v>
      </c>
      <c r="AF4258" t="s">
        <v>11122</v>
      </c>
      <c r="AH4258" t="s">
        <v>10974</v>
      </c>
      <c r="AJ4258" t="s">
        <v>11141</v>
      </c>
      <c r="AK4258" t="s">
        <v>7225</v>
      </c>
      <c r="AM4258">
        <v>1384</v>
      </c>
      <c r="AO4258">
        <v>67</v>
      </c>
      <c r="AQ4258" t="s">
        <v>11157</v>
      </c>
      <c r="AS4258" t="s">
        <v>11174</v>
      </c>
      <c r="AU4258">
        <v>11</v>
      </c>
      <c r="AW4258" t="s">
        <v>11189</v>
      </c>
      <c r="AX4258" t="s">
        <v>11212</v>
      </c>
      <c r="BA4258" t="s">
        <v>11222</v>
      </c>
      <c r="BE4258" t="s">
        <v>14027</v>
      </c>
      <c r="BG4258" t="s">
        <v>15426</v>
      </c>
      <c r="BM4258" t="s">
        <v>15650</v>
      </c>
    </row>
    <row r="4259" spans="1:65">
      <c r="A4259" s="1">
        <f>HYPERLINK("https://lsnyc.legalserver.org/matter/dynamic-profile/view/1910170","19-1910170")</f>
        <v>0</v>
      </c>
      <c r="B4259" t="s">
        <v>227</v>
      </c>
      <c r="C4259" t="s">
        <v>246</v>
      </c>
      <c r="D4259" t="s">
        <v>976</v>
      </c>
      <c r="F4259" t="s">
        <v>2265</v>
      </c>
      <c r="G4259" t="s">
        <v>3427</v>
      </c>
      <c r="H4259" t="s">
        <v>6211</v>
      </c>
      <c r="I4259" t="s">
        <v>6425</v>
      </c>
      <c r="J4259" t="s">
        <v>7170</v>
      </c>
      <c r="K4259">
        <v>10456</v>
      </c>
      <c r="N4259" t="s">
        <v>7237</v>
      </c>
      <c r="O4259" t="s">
        <v>9917</v>
      </c>
      <c r="P4259">
        <v>1</v>
      </c>
      <c r="Q4259">
        <v>3</v>
      </c>
      <c r="R4259">
        <v>41.94</v>
      </c>
      <c r="U4259">
        <v>10800</v>
      </c>
      <c r="W4259">
        <v>0</v>
      </c>
      <c r="Y4259" t="s">
        <v>10865</v>
      </c>
      <c r="AA4259" t="s">
        <v>10974</v>
      </c>
      <c r="AD4259" t="s">
        <v>11098</v>
      </c>
      <c r="AF4259" t="s">
        <v>11122</v>
      </c>
      <c r="AH4259" t="s">
        <v>10974</v>
      </c>
      <c r="AJ4259" t="s">
        <v>11141</v>
      </c>
      <c r="AK4259" t="s">
        <v>7225</v>
      </c>
      <c r="AM4259">
        <v>1050</v>
      </c>
      <c r="AO4259">
        <v>30</v>
      </c>
      <c r="AQ4259" t="s">
        <v>11157</v>
      </c>
      <c r="AS4259" t="s">
        <v>11173</v>
      </c>
      <c r="AU4259">
        <v>8</v>
      </c>
      <c r="AW4259" t="s">
        <v>11104</v>
      </c>
      <c r="AX4259" t="s">
        <v>11212</v>
      </c>
      <c r="BA4259" t="s">
        <v>11222</v>
      </c>
      <c r="BE4259" t="s">
        <v>14028</v>
      </c>
      <c r="BF4259" t="s">
        <v>14364</v>
      </c>
      <c r="BM4259" t="s">
        <v>15650</v>
      </c>
    </row>
    <row r="4260" spans="1:65">
      <c r="A4260" s="1">
        <f>HYPERLINK("https://lsnyc.legalserver.org/matter/dynamic-profile/view/1906062","19-1906062")</f>
        <v>0</v>
      </c>
      <c r="B4260" t="s">
        <v>227</v>
      </c>
      <c r="C4260" t="s">
        <v>246</v>
      </c>
      <c r="D4260" t="s">
        <v>349</v>
      </c>
      <c r="F4260" t="s">
        <v>2533</v>
      </c>
      <c r="G4260" t="s">
        <v>4382</v>
      </c>
      <c r="H4260" t="s">
        <v>5979</v>
      </c>
      <c r="I4260" t="s">
        <v>6493</v>
      </c>
      <c r="J4260" t="s">
        <v>7170</v>
      </c>
      <c r="K4260">
        <v>10474</v>
      </c>
      <c r="N4260" t="s">
        <v>7237</v>
      </c>
      <c r="O4260" t="s">
        <v>9599</v>
      </c>
      <c r="P4260">
        <v>2</v>
      </c>
      <c r="Q4260">
        <v>0</v>
      </c>
      <c r="R4260">
        <v>292.13</v>
      </c>
      <c r="U4260">
        <v>49400</v>
      </c>
      <c r="W4260">
        <v>116.55</v>
      </c>
      <c r="X4260" t="s">
        <v>548</v>
      </c>
      <c r="Y4260" t="s">
        <v>93</v>
      </c>
      <c r="AA4260" t="s">
        <v>10974</v>
      </c>
      <c r="AD4260" t="s">
        <v>11101</v>
      </c>
      <c r="AF4260" t="s">
        <v>11118</v>
      </c>
      <c r="AH4260" t="s">
        <v>10974</v>
      </c>
      <c r="AJ4260" t="s">
        <v>11141</v>
      </c>
      <c r="AK4260" t="s">
        <v>7225</v>
      </c>
      <c r="AM4260">
        <v>1425</v>
      </c>
      <c r="AO4260">
        <v>45</v>
      </c>
      <c r="AQ4260" t="s">
        <v>11157</v>
      </c>
      <c r="AS4260" t="s">
        <v>11173</v>
      </c>
      <c r="AU4260">
        <v>4</v>
      </c>
      <c r="AW4260" t="s">
        <v>11187</v>
      </c>
      <c r="AX4260" t="s">
        <v>11212</v>
      </c>
      <c r="AZ4260" t="s">
        <v>11221</v>
      </c>
      <c r="BE4260" t="s">
        <v>13706</v>
      </c>
      <c r="BG4260" t="s">
        <v>15428</v>
      </c>
      <c r="BM4260" t="s">
        <v>15650</v>
      </c>
    </row>
    <row r="4261" spans="1:65">
      <c r="A4261" s="1">
        <f>HYPERLINK("https://lsnyc.legalserver.org/matter/dynamic-profile/view/1910167","19-1910167")</f>
        <v>0</v>
      </c>
      <c r="B4261" t="s">
        <v>227</v>
      </c>
      <c r="C4261" t="s">
        <v>246</v>
      </c>
      <c r="D4261" t="s">
        <v>976</v>
      </c>
      <c r="F4261" t="s">
        <v>2265</v>
      </c>
      <c r="G4261" t="s">
        <v>3427</v>
      </c>
      <c r="H4261" t="s">
        <v>6211</v>
      </c>
      <c r="I4261" t="s">
        <v>6425</v>
      </c>
      <c r="J4261" t="s">
        <v>7170</v>
      </c>
      <c r="K4261">
        <v>10456</v>
      </c>
      <c r="N4261" t="s">
        <v>7237</v>
      </c>
      <c r="O4261" t="s">
        <v>9917</v>
      </c>
      <c r="P4261">
        <v>1</v>
      </c>
      <c r="Q4261">
        <v>3</v>
      </c>
      <c r="R4261">
        <v>41.94</v>
      </c>
      <c r="U4261">
        <v>10800</v>
      </c>
      <c r="W4261">
        <v>0</v>
      </c>
      <c r="Y4261" t="s">
        <v>10865</v>
      </c>
      <c r="AA4261" t="s">
        <v>10974</v>
      </c>
      <c r="AD4261" t="s">
        <v>11101</v>
      </c>
      <c r="AF4261" t="s">
        <v>11118</v>
      </c>
      <c r="AH4261" t="s">
        <v>10974</v>
      </c>
      <c r="AJ4261" t="s">
        <v>11141</v>
      </c>
      <c r="AK4261" t="s">
        <v>7225</v>
      </c>
      <c r="AM4261">
        <v>1050</v>
      </c>
      <c r="AO4261">
        <v>30</v>
      </c>
      <c r="AQ4261" t="s">
        <v>11157</v>
      </c>
      <c r="AS4261" t="s">
        <v>11173</v>
      </c>
      <c r="AU4261">
        <v>8</v>
      </c>
      <c r="AW4261" t="s">
        <v>11104</v>
      </c>
      <c r="AX4261" t="s">
        <v>11212</v>
      </c>
      <c r="BA4261" t="s">
        <v>11222</v>
      </c>
      <c r="BE4261" t="s">
        <v>14028</v>
      </c>
      <c r="BG4261" t="s">
        <v>15424</v>
      </c>
      <c r="BM4261" t="s">
        <v>15650</v>
      </c>
    </row>
    <row r="4262" spans="1:65">
      <c r="A4262" s="1">
        <f>HYPERLINK("https://lsnyc.legalserver.org/matter/dynamic-profile/view/1911772","19-1911772")</f>
        <v>0</v>
      </c>
      <c r="B4262" t="s">
        <v>227</v>
      </c>
      <c r="C4262" t="s">
        <v>246</v>
      </c>
      <c r="D4262" t="s">
        <v>563</v>
      </c>
      <c r="F4262" t="s">
        <v>1437</v>
      </c>
      <c r="G4262" t="s">
        <v>2308</v>
      </c>
      <c r="H4262" t="s">
        <v>6217</v>
      </c>
      <c r="I4262" t="s">
        <v>6610</v>
      </c>
      <c r="J4262" t="s">
        <v>7170</v>
      </c>
      <c r="K4262">
        <v>10452</v>
      </c>
      <c r="N4262" t="s">
        <v>7237</v>
      </c>
      <c r="O4262" t="s">
        <v>9918</v>
      </c>
      <c r="P4262">
        <v>3</v>
      </c>
      <c r="Q4262">
        <v>1</v>
      </c>
      <c r="R4262">
        <v>32.04</v>
      </c>
      <c r="U4262">
        <v>8250</v>
      </c>
      <c r="W4262">
        <v>0</v>
      </c>
      <c r="Y4262" t="s">
        <v>10897</v>
      </c>
      <c r="AA4262" t="s">
        <v>10974</v>
      </c>
      <c r="AD4262" t="s">
        <v>11098</v>
      </c>
      <c r="AF4262" t="s">
        <v>11122</v>
      </c>
      <c r="AH4262" t="s">
        <v>10974</v>
      </c>
      <c r="AJ4262" t="s">
        <v>11141</v>
      </c>
      <c r="AK4262" t="s">
        <v>7225</v>
      </c>
      <c r="AM4262">
        <v>1165</v>
      </c>
      <c r="AO4262">
        <v>67</v>
      </c>
      <c r="AQ4262" t="s">
        <v>11156</v>
      </c>
      <c r="AS4262" t="s">
        <v>11173</v>
      </c>
      <c r="AU4262">
        <v>13</v>
      </c>
      <c r="AW4262" t="s">
        <v>11189</v>
      </c>
      <c r="AX4262" t="s">
        <v>11212</v>
      </c>
      <c r="AZ4262" t="s">
        <v>11221</v>
      </c>
      <c r="BA4262" t="s">
        <v>11173</v>
      </c>
      <c r="BE4262" t="s">
        <v>14029</v>
      </c>
      <c r="BG4262" t="s">
        <v>15426</v>
      </c>
      <c r="BM4262" t="s">
        <v>15650</v>
      </c>
    </row>
    <row r="4263" spans="1:65">
      <c r="A4263" s="1">
        <f>HYPERLINK("https://lsnyc.legalserver.org/matter/dynamic-profile/view/1907530","19-1907530")</f>
        <v>0</v>
      </c>
      <c r="B4263" t="s">
        <v>227</v>
      </c>
      <c r="C4263" t="s">
        <v>246</v>
      </c>
      <c r="D4263" t="s">
        <v>362</v>
      </c>
      <c r="F4263" t="s">
        <v>1226</v>
      </c>
      <c r="G4263" t="s">
        <v>3168</v>
      </c>
      <c r="H4263" t="s">
        <v>5979</v>
      </c>
      <c r="I4263" t="s">
        <v>6421</v>
      </c>
      <c r="J4263" t="s">
        <v>7170</v>
      </c>
      <c r="K4263">
        <v>10474</v>
      </c>
      <c r="N4263" t="s">
        <v>7237</v>
      </c>
      <c r="O4263" t="s">
        <v>7524</v>
      </c>
      <c r="P4263">
        <v>4</v>
      </c>
      <c r="Q4263">
        <v>1</v>
      </c>
      <c r="R4263">
        <v>189.59</v>
      </c>
      <c r="U4263">
        <v>57200</v>
      </c>
      <c r="W4263">
        <v>0</v>
      </c>
      <c r="Y4263" t="s">
        <v>227</v>
      </c>
      <c r="Z4263" t="s">
        <v>10972</v>
      </c>
      <c r="AA4263" t="s">
        <v>10976</v>
      </c>
      <c r="AD4263" t="s">
        <v>11098</v>
      </c>
      <c r="AF4263" t="s">
        <v>11122</v>
      </c>
      <c r="AG4263" t="s">
        <v>11124</v>
      </c>
      <c r="AI4263" t="s">
        <v>11126</v>
      </c>
      <c r="AK4263" t="s">
        <v>7225</v>
      </c>
      <c r="AL4263" t="s">
        <v>11150</v>
      </c>
      <c r="AM4263">
        <v>0</v>
      </c>
      <c r="AN4263" t="s">
        <v>11151</v>
      </c>
      <c r="AO4263" t="s">
        <v>11153</v>
      </c>
      <c r="AP4263" t="s">
        <v>11155</v>
      </c>
      <c r="AR4263" t="s">
        <v>11172</v>
      </c>
      <c r="AT4263" t="s">
        <v>11184</v>
      </c>
      <c r="AU4263">
        <v>0</v>
      </c>
      <c r="AW4263" t="s">
        <v>11189</v>
      </c>
      <c r="AX4263" t="s">
        <v>11212</v>
      </c>
      <c r="AZ4263" t="s">
        <v>11221</v>
      </c>
      <c r="BE4263" t="s">
        <v>14030</v>
      </c>
      <c r="BG4263" t="s">
        <v>15264</v>
      </c>
      <c r="BM4263" t="s">
        <v>15650</v>
      </c>
    </row>
    <row r="4264" spans="1:65">
      <c r="A4264" s="1">
        <f>HYPERLINK("https://lsnyc.legalserver.org/matter/dynamic-profile/view/1910193","19-1910193")</f>
        <v>0</v>
      </c>
      <c r="B4264" t="s">
        <v>227</v>
      </c>
      <c r="C4264" t="s">
        <v>246</v>
      </c>
      <c r="D4264" t="s">
        <v>976</v>
      </c>
      <c r="F4264" t="s">
        <v>2698</v>
      </c>
      <c r="G4264" t="s">
        <v>4580</v>
      </c>
      <c r="H4264" t="s">
        <v>6211</v>
      </c>
      <c r="I4264" t="s">
        <v>6410</v>
      </c>
      <c r="J4264" t="s">
        <v>7170</v>
      </c>
      <c r="K4264">
        <v>10456</v>
      </c>
      <c r="N4264" t="s">
        <v>7237</v>
      </c>
      <c r="O4264" t="s">
        <v>9901</v>
      </c>
      <c r="P4264">
        <v>1</v>
      </c>
      <c r="Q4264">
        <v>1</v>
      </c>
      <c r="R4264">
        <v>82.79000000000001</v>
      </c>
      <c r="U4264">
        <v>14000</v>
      </c>
      <c r="W4264">
        <v>0</v>
      </c>
      <c r="Y4264" t="s">
        <v>10865</v>
      </c>
      <c r="AA4264" t="s">
        <v>10974</v>
      </c>
      <c r="AD4264" t="s">
        <v>11101</v>
      </c>
      <c r="AF4264" t="s">
        <v>11118</v>
      </c>
      <c r="AH4264" t="s">
        <v>10974</v>
      </c>
      <c r="AJ4264" t="s">
        <v>11141</v>
      </c>
      <c r="AK4264" t="s">
        <v>7225</v>
      </c>
      <c r="AM4264">
        <v>911.42</v>
      </c>
      <c r="AO4264">
        <v>30</v>
      </c>
      <c r="AQ4264" t="s">
        <v>11164</v>
      </c>
      <c r="AS4264" t="s">
        <v>11173</v>
      </c>
      <c r="AU4264">
        <v>19</v>
      </c>
      <c r="AW4264" t="s">
        <v>11187</v>
      </c>
      <c r="AX4264" t="s">
        <v>11212</v>
      </c>
      <c r="BA4264" t="s">
        <v>11222</v>
      </c>
      <c r="BE4264" t="s">
        <v>14012</v>
      </c>
      <c r="BG4264" t="s">
        <v>15424</v>
      </c>
      <c r="BM4264" t="s">
        <v>15650</v>
      </c>
    </row>
    <row r="4265" spans="1:65">
      <c r="A4265" s="1">
        <f>HYPERLINK("https://lsnyc.legalserver.org/matter/dynamic-profile/view/1905563","19-1905563")</f>
        <v>0</v>
      </c>
      <c r="B4265" t="s">
        <v>227</v>
      </c>
      <c r="C4265" t="s">
        <v>246</v>
      </c>
      <c r="D4265" t="s">
        <v>546</v>
      </c>
      <c r="F4265" t="s">
        <v>2710</v>
      </c>
      <c r="G4265" t="s">
        <v>4590</v>
      </c>
      <c r="H4265" t="s">
        <v>6219</v>
      </c>
      <c r="I4265" t="s">
        <v>6437</v>
      </c>
      <c r="J4265" t="s">
        <v>7170</v>
      </c>
      <c r="K4265">
        <v>10459</v>
      </c>
      <c r="N4265" t="s">
        <v>7237</v>
      </c>
      <c r="O4265" t="s">
        <v>9919</v>
      </c>
      <c r="P4265">
        <v>1</v>
      </c>
      <c r="Q4265">
        <v>0</v>
      </c>
      <c r="R4265">
        <v>71.09999999999999</v>
      </c>
      <c r="U4265">
        <v>8880</v>
      </c>
      <c r="W4265">
        <v>6.25</v>
      </c>
      <c r="X4265" t="s">
        <v>306</v>
      </c>
      <c r="Y4265" t="s">
        <v>10882</v>
      </c>
      <c r="AA4265" t="s">
        <v>10974</v>
      </c>
      <c r="AD4265" t="s">
        <v>11094</v>
      </c>
      <c r="AF4265" t="s">
        <v>10384</v>
      </c>
      <c r="AH4265" t="s">
        <v>10975</v>
      </c>
      <c r="AJ4265" t="s">
        <v>11141</v>
      </c>
      <c r="AK4265" t="s">
        <v>7225</v>
      </c>
      <c r="AM4265">
        <v>168</v>
      </c>
      <c r="AO4265">
        <v>20</v>
      </c>
      <c r="AQ4265" t="s">
        <v>11161</v>
      </c>
      <c r="AS4265" t="s">
        <v>11174</v>
      </c>
      <c r="AU4265">
        <v>18</v>
      </c>
      <c r="AW4265" t="s">
        <v>11187</v>
      </c>
      <c r="AY4265" t="s">
        <v>11213</v>
      </c>
      <c r="BA4265" t="s">
        <v>11222</v>
      </c>
      <c r="BE4265" t="s">
        <v>14031</v>
      </c>
      <c r="BF4265" t="s">
        <v>14364</v>
      </c>
      <c r="BG4265" t="s">
        <v>15429</v>
      </c>
      <c r="BM4265" t="s">
        <v>15650</v>
      </c>
    </row>
    <row r="4266" spans="1:65">
      <c r="A4266" s="1">
        <f>HYPERLINK("https://lsnyc.legalserver.org/matter/dynamic-profile/view/1907095","19-1907095")</f>
        <v>0</v>
      </c>
      <c r="B4266" t="s">
        <v>227</v>
      </c>
      <c r="C4266" t="s">
        <v>246</v>
      </c>
      <c r="D4266" t="s">
        <v>511</v>
      </c>
      <c r="F4266" t="s">
        <v>1226</v>
      </c>
      <c r="G4266" t="s">
        <v>3168</v>
      </c>
      <c r="H4266" t="s">
        <v>5979</v>
      </c>
      <c r="I4266" t="s">
        <v>6421</v>
      </c>
      <c r="J4266" t="s">
        <v>7170</v>
      </c>
      <c r="K4266">
        <v>10474</v>
      </c>
      <c r="N4266" t="s">
        <v>7237</v>
      </c>
      <c r="O4266" t="s">
        <v>7524</v>
      </c>
      <c r="P4266">
        <v>4</v>
      </c>
      <c r="Q4266">
        <v>1</v>
      </c>
      <c r="R4266">
        <v>189.59</v>
      </c>
      <c r="U4266">
        <v>57200</v>
      </c>
      <c r="W4266">
        <v>0</v>
      </c>
      <c r="Y4266" t="s">
        <v>216</v>
      </c>
      <c r="AA4266" t="s">
        <v>10974</v>
      </c>
      <c r="AD4266" t="s">
        <v>11101</v>
      </c>
      <c r="AF4266" t="s">
        <v>11118</v>
      </c>
      <c r="AH4266" t="s">
        <v>10974</v>
      </c>
      <c r="AJ4266" t="s">
        <v>11141</v>
      </c>
      <c r="AK4266" t="s">
        <v>7225</v>
      </c>
      <c r="AM4266">
        <v>1750</v>
      </c>
      <c r="AO4266">
        <v>45</v>
      </c>
      <c r="AQ4266" t="s">
        <v>11157</v>
      </c>
      <c r="AS4266" t="s">
        <v>11173</v>
      </c>
      <c r="AU4266">
        <v>5</v>
      </c>
      <c r="AW4266" t="s">
        <v>11189</v>
      </c>
      <c r="AX4266" t="s">
        <v>11212</v>
      </c>
      <c r="BA4266" t="s">
        <v>11222</v>
      </c>
      <c r="BE4266" t="s">
        <v>14030</v>
      </c>
      <c r="BG4266" t="s">
        <v>15428</v>
      </c>
      <c r="BM4266" t="s">
        <v>15650</v>
      </c>
    </row>
    <row r="4267" spans="1:65">
      <c r="A4267" s="1">
        <f>HYPERLINK("https://lsnyc.legalserver.org/matter/dynamic-profile/view/1907093","19-1907093")</f>
        <v>0</v>
      </c>
      <c r="B4267" t="s">
        <v>227</v>
      </c>
      <c r="C4267" t="s">
        <v>246</v>
      </c>
      <c r="D4267" t="s">
        <v>797</v>
      </c>
      <c r="F4267" t="s">
        <v>1280</v>
      </c>
      <c r="G4267" t="s">
        <v>2895</v>
      </c>
      <c r="H4267" t="s">
        <v>5979</v>
      </c>
      <c r="I4267" t="s">
        <v>6495</v>
      </c>
      <c r="J4267" t="s">
        <v>7170</v>
      </c>
      <c r="K4267">
        <v>10474</v>
      </c>
      <c r="N4267" t="s">
        <v>7237</v>
      </c>
      <c r="O4267" t="s">
        <v>9906</v>
      </c>
      <c r="P4267">
        <v>1</v>
      </c>
      <c r="Q4267">
        <v>0</v>
      </c>
      <c r="R4267">
        <v>73.98</v>
      </c>
      <c r="U4267">
        <v>9240</v>
      </c>
      <c r="W4267">
        <v>0</v>
      </c>
      <c r="Y4267" t="s">
        <v>216</v>
      </c>
      <c r="AA4267" t="s">
        <v>10974</v>
      </c>
      <c r="AD4267" t="s">
        <v>11101</v>
      </c>
      <c r="AF4267" t="s">
        <v>11118</v>
      </c>
      <c r="AH4267" t="s">
        <v>10974</v>
      </c>
      <c r="AJ4267" t="s">
        <v>11141</v>
      </c>
      <c r="AK4267" t="s">
        <v>7225</v>
      </c>
      <c r="AM4267">
        <v>576</v>
      </c>
      <c r="AO4267">
        <v>45</v>
      </c>
      <c r="AQ4267" t="s">
        <v>11157</v>
      </c>
      <c r="AS4267" t="s">
        <v>11174</v>
      </c>
      <c r="AU4267">
        <v>48</v>
      </c>
      <c r="AW4267" t="s">
        <v>11189</v>
      </c>
      <c r="AX4267" t="s">
        <v>11212</v>
      </c>
      <c r="BA4267" t="s">
        <v>11222</v>
      </c>
      <c r="BB4267" t="s">
        <v>11224</v>
      </c>
      <c r="BC4267" t="s">
        <v>11609</v>
      </c>
      <c r="BD4267" t="s">
        <v>11667</v>
      </c>
      <c r="BG4267" t="s">
        <v>15428</v>
      </c>
      <c r="BM4267" t="s">
        <v>15650</v>
      </c>
    </row>
    <row r="4268" spans="1:65">
      <c r="A4268" s="1">
        <f>HYPERLINK("https://lsnyc.legalserver.org/matter/dynamic-profile/view/1910201","19-1910201")</f>
        <v>0</v>
      </c>
      <c r="B4268" t="s">
        <v>227</v>
      </c>
      <c r="C4268" t="s">
        <v>246</v>
      </c>
      <c r="D4268" t="s">
        <v>976</v>
      </c>
      <c r="F4268" t="s">
        <v>2711</v>
      </c>
      <c r="G4268" t="s">
        <v>3574</v>
      </c>
      <c r="H4268" t="s">
        <v>6211</v>
      </c>
      <c r="I4268" t="s">
        <v>6407</v>
      </c>
      <c r="J4268" t="s">
        <v>7170</v>
      </c>
      <c r="K4268">
        <v>10456</v>
      </c>
      <c r="N4268" t="s">
        <v>7237</v>
      </c>
      <c r="O4268" t="s">
        <v>9920</v>
      </c>
      <c r="P4268">
        <v>2</v>
      </c>
      <c r="Q4268">
        <v>3</v>
      </c>
      <c r="R4268">
        <v>0</v>
      </c>
      <c r="U4268">
        <v>0</v>
      </c>
      <c r="W4268">
        <v>0</v>
      </c>
      <c r="Y4268" t="s">
        <v>10865</v>
      </c>
      <c r="AA4268" t="s">
        <v>10974</v>
      </c>
      <c r="AD4268" t="s">
        <v>11098</v>
      </c>
      <c r="AF4268" t="s">
        <v>11122</v>
      </c>
      <c r="AH4268" t="s">
        <v>10974</v>
      </c>
      <c r="AJ4268" t="s">
        <v>11141</v>
      </c>
      <c r="AK4268" t="s">
        <v>7225</v>
      </c>
      <c r="AL4268" t="s">
        <v>11150</v>
      </c>
      <c r="AM4268">
        <v>0</v>
      </c>
      <c r="AO4268">
        <v>30</v>
      </c>
      <c r="AQ4268" t="s">
        <v>11164</v>
      </c>
      <c r="AS4268" t="s">
        <v>11173</v>
      </c>
      <c r="AU4268">
        <v>8</v>
      </c>
      <c r="AW4268" t="s">
        <v>11187</v>
      </c>
      <c r="AX4268" t="s">
        <v>11212</v>
      </c>
      <c r="BA4268" t="s">
        <v>11222</v>
      </c>
      <c r="BE4268" t="s">
        <v>14032</v>
      </c>
      <c r="BF4268" t="s">
        <v>14364</v>
      </c>
      <c r="BM4268" t="s">
        <v>15650</v>
      </c>
    </row>
    <row r="4269" spans="1:65">
      <c r="A4269" s="1">
        <f>HYPERLINK("https://lsnyc.legalserver.org/matter/dynamic-profile/view/1910197","19-1910197")</f>
        <v>0</v>
      </c>
      <c r="B4269" t="s">
        <v>227</v>
      </c>
      <c r="C4269" t="s">
        <v>246</v>
      </c>
      <c r="D4269" t="s">
        <v>976</v>
      </c>
      <c r="F4269" t="s">
        <v>2711</v>
      </c>
      <c r="G4269" t="s">
        <v>3574</v>
      </c>
      <c r="H4269" t="s">
        <v>6211</v>
      </c>
      <c r="I4269" t="s">
        <v>6407</v>
      </c>
      <c r="J4269" t="s">
        <v>7170</v>
      </c>
      <c r="K4269">
        <v>10456</v>
      </c>
      <c r="N4269" t="s">
        <v>7237</v>
      </c>
      <c r="O4269" t="s">
        <v>9920</v>
      </c>
      <c r="P4269">
        <v>2</v>
      </c>
      <c r="Q4269">
        <v>3</v>
      </c>
      <c r="R4269">
        <v>0</v>
      </c>
      <c r="U4269">
        <v>0</v>
      </c>
      <c r="W4269">
        <v>0</v>
      </c>
      <c r="Y4269" t="s">
        <v>10865</v>
      </c>
      <c r="AA4269" t="s">
        <v>10974</v>
      </c>
      <c r="AD4269" t="s">
        <v>11101</v>
      </c>
      <c r="AF4269" t="s">
        <v>11118</v>
      </c>
      <c r="AH4269" t="s">
        <v>10974</v>
      </c>
      <c r="AJ4269" t="s">
        <v>11141</v>
      </c>
      <c r="AK4269" t="s">
        <v>7225</v>
      </c>
      <c r="AL4269" t="s">
        <v>11150</v>
      </c>
      <c r="AM4269">
        <v>0</v>
      </c>
      <c r="AO4269">
        <v>30</v>
      </c>
      <c r="AQ4269" t="s">
        <v>11164</v>
      </c>
      <c r="AS4269" t="s">
        <v>11173</v>
      </c>
      <c r="AU4269">
        <v>8</v>
      </c>
      <c r="AW4269" t="s">
        <v>11187</v>
      </c>
      <c r="AX4269" t="s">
        <v>11212</v>
      </c>
      <c r="BA4269" t="s">
        <v>11222</v>
      </c>
      <c r="BE4269" t="s">
        <v>14032</v>
      </c>
      <c r="BG4269" t="s">
        <v>15424</v>
      </c>
      <c r="BM4269" t="s">
        <v>15650</v>
      </c>
    </row>
    <row r="4270" spans="1:65">
      <c r="A4270" s="1">
        <f>HYPERLINK("https://lsnyc.legalserver.org/matter/dynamic-profile/view/1911922","19-1911922")</f>
        <v>0</v>
      </c>
      <c r="B4270" t="s">
        <v>227</v>
      </c>
      <c r="C4270" t="s">
        <v>246</v>
      </c>
      <c r="D4270" t="s">
        <v>341</v>
      </c>
      <c r="F4270" t="s">
        <v>2712</v>
      </c>
      <c r="G4270" t="s">
        <v>4591</v>
      </c>
      <c r="H4270" t="s">
        <v>5613</v>
      </c>
      <c r="I4270" t="s">
        <v>7110</v>
      </c>
      <c r="J4270" t="s">
        <v>7170</v>
      </c>
      <c r="K4270">
        <v>10458</v>
      </c>
      <c r="N4270" t="s">
        <v>7237</v>
      </c>
      <c r="O4270" t="s">
        <v>9921</v>
      </c>
      <c r="P4270">
        <v>1</v>
      </c>
      <c r="Q4270">
        <v>0</v>
      </c>
      <c r="R4270">
        <v>91.27</v>
      </c>
      <c r="U4270">
        <v>11400</v>
      </c>
      <c r="W4270">
        <v>0</v>
      </c>
      <c r="Y4270" t="s">
        <v>10865</v>
      </c>
      <c r="AA4270" t="s">
        <v>10974</v>
      </c>
      <c r="AD4270" t="s">
        <v>11101</v>
      </c>
      <c r="AF4270" t="s">
        <v>11118</v>
      </c>
      <c r="AH4270" t="s">
        <v>10974</v>
      </c>
      <c r="AJ4270" t="s">
        <v>11141</v>
      </c>
      <c r="AK4270" t="s">
        <v>7225</v>
      </c>
      <c r="AM4270">
        <v>1150</v>
      </c>
      <c r="AO4270">
        <v>94</v>
      </c>
      <c r="AQ4270" t="s">
        <v>11164</v>
      </c>
      <c r="AS4270" t="s">
        <v>11177</v>
      </c>
      <c r="AU4270">
        <v>8</v>
      </c>
      <c r="AW4270" t="s">
        <v>11189</v>
      </c>
      <c r="AX4270" t="s">
        <v>11212</v>
      </c>
      <c r="BA4270" t="s">
        <v>11222</v>
      </c>
      <c r="BE4270" t="s">
        <v>14033</v>
      </c>
      <c r="BF4270" t="s">
        <v>14364</v>
      </c>
      <c r="BM4270" t="s">
        <v>15650</v>
      </c>
    </row>
    <row r="4271" spans="1:65">
      <c r="A4271" s="1">
        <f>HYPERLINK("https://lsnyc.legalserver.org/matter/dynamic-profile/view/1908303","19-1908303")</f>
        <v>0</v>
      </c>
      <c r="B4271" t="s">
        <v>227</v>
      </c>
      <c r="C4271" t="s">
        <v>246</v>
      </c>
      <c r="D4271" t="s">
        <v>578</v>
      </c>
      <c r="F4271" t="s">
        <v>2713</v>
      </c>
      <c r="G4271" t="s">
        <v>2885</v>
      </c>
      <c r="H4271" t="s">
        <v>5979</v>
      </c>
      <c r="I4271" t="s">
        <v>6419</v>
      </c>
      <c r="J4271" t="s">
        <v>7170</v>
      </c>
      <c r="K4271">
        <v>10474</v>
      </c>
      <c r="N4271" t="s">
        <v>7237</v>
      </c>
      <c r="O4271" t="s">
        <v>9922</v>
      </c>
      <c r="P4271">
        <v>1</v>
      </c>
      <c r="Q4271">
        <v>0</v>
      </c>
      <c r="R4271">
        <v>36.41</v>
      </c>
      <c r="U4271">
        <v>4548</v>
      </c>
      <c r="W4271">
        <v>7.5</v>
      </c>
      <c r="X4271" t="s">
        <v>548</v>
      </c>
      <c r="Y4271" t="s">
        <v>227</v>
      </c>
      <c r="Z4271" t="s">
        <v>10972</v>
      </c>
      <c r="AA4271" t="s">
        <v>10976</v>
      </c>
      <c r="AD4271" t="s">
        <v>11090</v>
      </c>
      <c r="AF4271" t="s">
        <v>11120</v>
      </c>
      <c r="AH4271" t="s">
        <v>10975</v>
      </c>
      <c r="AJ4271" t="s">
        <v>11141</v>
      </c>
      <c r="AK4271" t="s">
        <v>7225</v>
      </c>
      <c r="AM4271">
        <v>309.6</v>
      </c>
      <c r="AO4271">
        <v>45</v>
      </c>
      <c r="AQ4271" t="s">
        <v>11160</v>
      </c>
      <c r="AR4271" t="s">
        <v>11172</v>
      </c>
      <c r="AU4271">
        <v>42</v>
      </c>
      <c r="AW4271" t="s">
        <v>11187</v>
      </c>
      <c r="AY4271" t="s">
        <v>11213</v>
      </c>
      <c r="AZ4271" t="s">
        <v>11221</v>
      </c>
      <c r="BE4271" t="s">
        <v>14034</v>
      </c>
      <c r="BF4271" t="s">
        <v>14364</v>
      </c>
      <c r="BG4271" t="s">
        <v>11086</v>
      </c>
      <c r="BM4271" t="s">
        <v>15650</v>
      </c>
    </row>
    <row r="4272" spans="1:65">
      <c r="A4272" s="1">
        <f>HYPERLINK("https://lsnyc.legalserver.org/matter/dynamic-profile/view/1909031","19-1909031")</f>
        <v>0</v>
      </c>
      <c r="B4272" t="s">
        <v>227</v>
      </c>
      <c r="C4272" t="s">
        <v>246</v>
      </c>
      <c r="D4272" t="s">
        <v>598</v>
      </c>
      <c r="F4272" t="s">
        <v>2714</v>
      </c>
      <c r="G4272" t="s">
        <v>3557</v>
      </c>
      <c r="H4272" t="s">
        <v>6214</v>
      </c>
      <c r="I4272" t="s">
        <v>6440</v>
      </c>
      <c r="J4272" t="s">
        <v>7170</v>
      </c>
      <c r="K4272">
        <v>10452</v>
      </c>
      <c r="N4272" t="s">
        <v>7237</v>
      </c>
      <c r="O4272" t="s">
        <v>9923</v>
      </c>
      <c r="P4272">
        <v>1</v>
      </c>
      <c r="Q4272">
        <v>0</v>
      </c>
      <c r="R4272">
        <v>92.91</v>
      </c>
      <c r="U4272">
        <v>11604</v>
      </c>
      <c r="W4272">
        <v>8.25</v>
      </c>
      <c r="X4272" t="s">
        <v>264</v>
      </c>
      <c r="Y4272" t="s">
        <v>227</v>
      </c>
      <c r="AA4272" t="s">
        <v>10974</v>
      </c>
      <c r="AD4272" t="s">
        <v>11101</v>
      </c>
      <c r="AF4272" t="s">
        <v>11118</v>
      </c>
      <c r="AH4272" t="s">
        <v>10975</v>
      </c>
      <c r="AJ4272" t="s">
        <v>11129</v>
      </c>
      <c r="AK4272" t="s">
        <v>7225</v>
      </c>
      <c r="AM4272">
        <v>1024.89</v>
      </c>
      <c r="AO4272">
        <v>41</v>
      </c>
      <c r="AQ4272" t="s">
        <v>11157</v>
      </c>
      <c r="AS4272" t="s">
        <v>11173</v>
      </c>
      <c r="AU4272">
        <v>12</v>
      </c>
      <c r="AW4272" t="s">
        <v>11189</v>
      </c>
      <c r="AY4272" t="s">
        <v>11213</v>
      </c>
      <c r="AZ4272" t="s">
        <v>11221</v>
      </c>
      <c r="BE4272" t="s">
        <v>11236</v>
      </c>
      <c r="BG4272" t="s">
        <v>15430</v>
      </c>
      <c r="BM4272" t="s">
        <v>15650</v>
      </c>
    </row>
    <row r="4273" spans="1:65">
      <c r="A4273" s="1">
        <f>HYPERLINK("https://lsnyc.legalserver.org/matter/dynamic-profile/view/1912908","19-1912908")</f>
        <v>0</v>
      </c>
      <c r="B4273" t="s">
        <v>227</v>
      </c>
      <c r="C4273" t="s">
        <v>246</v>
      </c>
      <c r="D4273" t="s">
        <v>305</v>
      </c>
      <c r="F4273" t="s">
        <v>1280</v>
      </c>
      <c r="G4273" t="s">
        <v>3385</v>
      </c>
      <c r="H4273" t="s">
        <v>5613</v>
      </c>
      <c r="I4273" t="s">
        <v>7111</v>
      </c>
      <c r="J4273" t="s">
        <v>7170</v>
      </c>
      <c r="K4273">
        <v>10458</v>
      </c>
      <c r="N4273" t="s">
        <v>7237</v>
      </c>
      <c r="O4273" t="s">
        <v>9924</v>
      </c>
      <c r="P4273">
        <v>1</v>
      </c>
      <c r="Q4273">
        <v>0</v>
      </c>
      <c r="R4273">
        <v>145.72</v>
      </c>
      <c r="U4273">
        <v>18200</v>
      </c>
      <c r="W4273">
        <v>0</v>
      </c>
      <c r="Y4273" t="s">
        <v>10865</v>
      </c>
      <c r="AA4273" t="s">
        <v>10974</v>
      </c>
      <c r="AD4273" t="s">
        <v>11101</v>
      </c>
      <c r="AF4273" t="s">
        <v>11118</v>
      </c>
      <c r="AH4273" t="s">
        <v>10974</v>
      </c>
      <c r="AJ4273" t="s">
        <v>11141</v>
      </c>
      <c r="AK4273" t="s">
        <v>7225</v>
      </c>
      <c r="AM4273">
        <v>1170</v>
      </c>
      <c r="AO4273">
        <v>94</v>
      </c>
      <c r="AQ4273" t="s">
        <v>11164</v>
      </c>
      <c r="AS4273" t="s">
        <v>11173</v>
      </c>
      <c r="AU4273">
        <v>10</v>
      </c>
      <c r="AW4273" t="s">
        <v>11187</v>
      </c>
      <c r="AX4273" t="s">
        <v>11212</v>
      </c>
      <c r="BA4273" t="s">
        <v>11222</v>
      </c>
      <c r="BE4273" t="s">
        <v>14035</v>
      </c>
      <c r="BF4273" t="s">
        <v>14364</v>
      </c>
      <c r="BM4273" t="s">
        <v>15650</v>
      </c>
    </row>
    <row r="4274" spans="1:65">
      <c r="A4274" s="1">
        <f>HYPERLINK("https://lsnyc.legalserver.org/matter/dynamic-profile/view/1912921","19-1912921")</f>
        <v>0</v>
      </c>
      <c r="B4274" t="s">
        <v>227</v>
      </c>
      <c r="C4274" t="s">
        <v>246</v>
      </c>
      <c r="D4274" t="s">
        <v>305</v>
      </c>
      <c r="F4274" t="s">
        <v>1090</v>
      </c>
      <c r="G4274" t="s">
        <v>4160</v>
      </c>
      <c r="H4274" t="s">
        <v>5613</v>
      </c>
      <c r="I4274" t="s">
        <v>6437</v>
      </c>
      <c r="J4274" t="s">
        <v>7170</v>
      </c>
      <c r="K4274">
        <v>10458</v>
      </c>
      <c r="N4274" t="s">
        <v>7237</v>
      </c>
      <c r="O4274" t="s">
        <v>9925</v>
      </c>
      <c r="P4274">
        <v>2</v>
      </c>
      <c r="Q4274">
        <v>0</v>
      </c>
      <c r="R4274">
        <v>134.48</v>
      </c>
      <c r="U4274">
        <v>22740</v>
      </c>
      <c r="W4274">
        <v>0</v>
      </c>
      <c r="Y4274" t="s">
        <v>10865</v>
      </c>
      <c r="AA4274" t="s">
        <v>10974</v>
      </c>
      <c r="AD4274" t="s">
        <v>11101</v>
      </c>
      <c r="AF4274" t="s">
        <v>11118</v>
      </c>
      <c r="AH4274" t="s">
        <v>10974</v>
      </c>
      <c r="AJ4274" t="s">
        <v>11141</v>
      </c>
      <c r="AK4274" t="s">
        <v>7225</v>
      </c>
      <c r="AM4274">
        <v>475</v>
      </c>
      <c r="AO4274">
        <v>94</v>
      </c>
      <c r="AQ4274" t="s">
        <v>11161</v>
      </c>
      <c r="AS4274" t="s">
        <v>11174</v>
      </c>
      <c r="AU4274">
        <v>39</v>
      </c>
      <c r="AW4274" t="s">
        <v>11187</v>
      </c>
      <c r="AX4274" t="s">
        <v>11212</v>
      </c>
      <c r="BA4274" t="s">
        <v>11222</v>
      </c>
      <c r="BE4274" t="s">
        <v>14036</v>
      </c>
      <c r="BF4274" t="s">
        <v>14364</v>
      </c>
      <c r="BM4274" t="s">
        <v>15650</v>
      </c>
    </row>
    <row r="4275" spans="1:65">
      <c r="A4275" s="1">
        <f>HYPERLINK("https://lsnyc.legalserver.org/matter/dynamic-profile/view/1907616","19-1907616")</f>
        <v>0</v>
      </c>
      <c r="B4275" t="s">
        <v>227</v>
      </c>
      <c r="C4275" t="s">
        <v>246</v>
      </c>
      <c r="D4275" t="s">
        <v>377</v>
      </c>
      <c r="F4275" t="s">
        <v>2715</v>
      </c>
      <c r="G4275" t="s">
        <v>2308</v>
      </c>
      <c r="H4275" t="s">
        <v>5979</v>
      </c>
      <c r="I4275" t="s">
        <v>6491</v>
      </c>
      <c r="J4275" t="s">
        <v>7170</v>
      </c>
      <c r="K4275">
        <v>10474</v>
      </c>
      <c r="N4275" t="s">
        <v>7237</v>
      </c>
      <c r="O4275" t="s">
        <v>9926</v>
      </c>
      <c r="P4275">
        <v>1</v>
      </c>
      <c r="Q4275">
        <v>2</v>
      </c>
      <c r="R4275">
        <v>199.66</v>
      </c>
      <c r="U4275">
        <v>42588</v>
      </c>
      <c r="W4275">
        <v>0</v>
      </c>
      <c r="Y4275" t="s">
        <v>200</v>
      </c>
      <c r="AA4275" t="s">
        <v>10974</v>
      </c>
      <c r="AD4275" t="s">
        <v>11098</v>
      </c>
      <c r="AF4275" t="s">
        <v>11122</v>
      </c>
      <c r="AH4275" t="s">
        <v>10974</v>
      </c>
      <c r="AJ4275" t="s">
        <v>11141</v>
      </c>
      <c r="AK4275" t="s">
        <v>7225</v>
      </c>
      <c r="AM4275">
        <v>1650</v>
      </c>
      <c r="AO4275">
        <v>40</v>
      </c>
      <c r="AQ4275" t="s">
        <v>11157</v>
      </c>
      <c r="AS4275" t="s">
        <v>11173</v>
      </c>
      <c r="AU4275">
        <v>3</v>
      </c>
      <c r="AW4275" t="s">
        <v>11187</v>
      </c>
      <c r="AX4275" t="s">
        <v>11212</v>
      </c>
      <c r="BA4275" t="s">
        <v>11222</v>
      </c>
      <c r="BE4275" t="s">
        <v>14037</v>
      </c>
      <c r="BG4275" t="s">
        <v>15264</v>
      </c>
      <c r="BM4275" t="s">
        <v>15650</v>
      </c>
    </row>
    <row r="4276" spans="1:65">
      <c r="A4276" s="1">
        <f>HYPERLINK("https://lsnyc.legalserver.org/matter/dynamic-profile/view/1909155","19-1909155")</f>
        <v>0</v>
      </c>
      <c r="B4276" t="s">
        <v>227</v>
      </c>
      <c r="C4276" t="s">
        <v>246</v>
      </c>
      <c r="D4276" t="s">
        <v>568</v>
      </c>
      <c r="F4276" t="s">
        <v>1409</v>
      </c>
      <c r="G4276" t="s">
        <v>3653</v>
      </c>
      <c r="H4276" t="s">
        <v>6213</v>
      </c>
      <c r="I4276" t="s">
        <v>6405</v>
      </c>
      <c r="J4276" t="s">
        <v>7170</v>
      </c>
      <c r="K4276">
        <v>10456</v>
      </c>
      <c r="N4276" t="s">
        <v>7237</v>
      </c>
      <c r="O4276" t="s">
        <v>9927</v>
      </c>
      <c r="P4276">
        <v>2</v>
      </c>
      <c r="Q4276">
        <v>0</v>
      </c>
      <c r="R4276">
        <v>473.09</v>
      </c>
      <c r="U4276">
        <v>80000</v>
      </c>
      <c r="W4276">
        <v>0</v>
      </c>
      <c r="Y4276" t="s">
        <v>10865</v>
      </c>
      <c r="AA4276" t="s">
        <v>10974</v>
      </c>
      <c r="AD4276" t="s">
        <v>11098</v>
      </c>
      <c r="AF4276" t="s">
        <v>11122</v>
      </c>
      <c r="AH4276" t="s">
        <v>10974</v>
      </c>
      <c r="AJ4276" t="s">
        <v>11141</v>
      </c>
      <c r="AK4276" t="s">
        <v>7225</v>
      </c>
      <c r="AM4276">
        <v>998</v>
      </c>
      <c r="AO4276">
        <v>30</v>
      </c>
      <c r="AQ4276" t="s">
        <v>11157</v>
      </c>
      <c r="AS4276" t="s">
        <v>11173</v>
      </c>
      <c r="AU4276">
        <v>32</v>
      </c>
      <c r="AW4276" t="s">
        <v>11187</v>
      </c>
      <c r="AX4276" t="s">
        <v>11212</v>
      </c>
      <c r="BA4276" t="s">
        <v>11222</v>
      </c>
      <c r="BE4276" t="s">
        <v>14038</v>
      </c>
      <c r="BF4276" t="s">
        <v>14364</v>
      </c>
      <c r="BM4276" t="s">
        <v>15650</v>
      </c>
    </row>
    <row r="4277" spans="1:65">
      <c r="A4277" s="1">
        <f>HYPERLINK("https://lsnyc.legalserver.org/matter/dynamic-profile/view/1907528","19-1907528")</f>
        <v>0</v>
      </c>
      <c r="B4277" t="s">
        <v>227</v>
      </c>
      <c r="C4277" t="s">
        <v>246</v>
      </c>
      <c r="D4277" t="s">
        <v>362</v>
      </c>
      <c r="F4277" t="s">
        <v>2713</v>
      </c>
      <c r="G4277" t="s">
        <v>2885</v>
      </c>
      <c r="H4277" t="s">
        <v>5979</v>
      </c>
      <c r="I4277" t="s">
        <v>6419</v>
      </c>
      <c r="J4277" t="s">
        <v>7170</v>
      </c>
      <c r="K4277">
        <v>10474</v>
      </c>
      <c r="N4277" t="s">
        <v>7237</v>
      </c>
      <c r="O4277" t="s">
        <v>9922</v>
      </c>
      <c r="P4277">
        <v>1</v>
      </c>
      <c r="Q4277">
        <v>0</v>
      </c>
      <c r="R4277">
        <v>36.41</v>
      </c>
      <c r="U4277">
        <v>4548</v>
      </c>
      <c r="W4277">
        <v>0</v>
      </c>
      <c r="Y4277" t="s">
        <v>227</v>
      </c>
      <c r="Z4277" t="s">
        <v>10972</v>
      </c>
      <c r="AA4277" t="s">
        <v>10976</v>
      </c>
      <c r="AD4277" t="s">
        <v>11098</v>
      </c>
      <c r="AF4277" t="s">
        <v>11122</v>
      </c>
      <c r="AH4277" t="s">
        <v>10974</v>
      </c>
      <c r="AJ4277" t="s">
        <v>11141</v>
      </c>
      <c r="AK4277" t="s">
        <v>7225</v>
      </c>
      <c r="AM4277">
        <v>390.6</v>
      </c>
      <c r="AO4277">
        <v>45</v>
      </c>
      <c r="AQ4277" t="s">
        <v>11160</v>
      </c>
      <c r="AS4277" t="s">
        <v>11173</v>
      </c>
      <c r="AU4277">
        <v>42</v>
      </c>
      <c r="AW4277" t="s">
        <v>11187</v>
      </c>
      <c r="AX4277" t="s">
        <v>11212</v>
      </c>
      <c r="AZ4277" t="s">
        <v>11221</v>
      </c>
      <c r="BE4277" t="s">
        <v>14034</v>
      </c>
      <c r="BG4277" t="s">
        <v>15264</v>
      </c>
      <c r="BM4277" t="s">
        <v>15650</v>
      </c>
    </row>
    <row r="4278" spans="1:65">
      <c r="A4278" s="1">
        <f>HYPERLINK("https://lsnyc.legalserver.org/matter/dynamic-profile/view/1909152","19-1909152")</f>
        <v>0</v>
      </c>
      <c r="B4278" t="s">
        <v>227</v>
      </c>
      <c r="C4278" t="s">
        <v>246</v>
      </c>
      <c r="D4278" t="s">
        <v>568</v>
      </c>
      <c r="F4278" t="s">
        <v>1409</v>
      </c>
      <c r="G4278" t="s">
        <v>3653</v>
      </c>
      <c r="H4278" t="s">
        <v>6213</v>
      </c>
      <c r="I4278" t="s">
        <v>6405</v>
      </c>
      <c r="J4278" t="s">
        <v>7170</v>
      </c>
      <c r="K4278">
        <v>10456</v>
      </c>
      <c r="N4278" t="s">
        <v>7237</v>
      </c>
      <c r="O4278" t="s">
        <v>9927</v>
      </c>
      <c r="P4278">
        <v>2</v>
      </c>
      <c r="Q4278">
        <v>0</v>
      </c>
      <c r="R4278">
        <v>473.09</v>
      </c>
      <c r="U4278">
        <v>80000</v>
      </c>
      <c r="W4278">
        <v>0</v>
      </c>
      <c r="Y4278" t="s">
        <v>10865</v>
      </c>
      <c r="AA4278" t="s">
        <v>10974</v>
      </c>
      <c r="AD4278" t="s">
        <v>11101</v>
      </c>
      <c r="AF4278" t="s">
        <v>11118</v>
      </c>
      <c r="AH4278" t="s">
        <v>10974</v>
      </c>
      <c r="AJ4278" t="s">
        <v>11141</v>
      </c>
      <c r="AK4278" t="s">
        <v>7225</v>
      </c>
      <c r="AM4278">
        <v>998</v>
      </c>
      <c r="AO4278">
        <v>30</v>
      </c>
      <c r="AQ4278" t="s">
        <v>11157</v>
      </c>
      <c r="AS4278" t="s">
        <v>11173</v>
      </c>
      <c r="AU4278">
        <v>32</v>
      </c>
      <c r="AW4278" t="s">
        <v>11187</v>
      </c>
      <c r="AX4278" t="s">
        <v>11212</v>
      </c>
      <c r="BA4278" t="s">
        <v>11222</v>
      </c>
      <c r="BE4278" t="s">
        <v>14038</v>
      </c>
      <c r="BG4278" t="s">
        <v>15424</v>
      </c>
      <c r="BM4278" t="s">
        <v>15650</v>
      </c>
    </row>
    <row r="4279" spans="1:65">
      <c r="A4279" s="1">
        <f>HYPERLINK("https://lsnyc.legalserver.org/matter/dynamic-profile/view/1907608","19-1907608")</f>
        <v>0</v>
      </c>
      <c r="B4279" t="s">
        <v>227</v>
      </c>
      <c r="C4279" t="s">
        <v>246</v>
      </c>
      <c r="D4279" t="s">
        <v>362</v>
      </c>
      <c r="F4279" t="s">
        <v>2715</v>
      </c>
      <c r="G4279" t="s">
        <v>2308</v>
      </c>
      <c r="H4279" t="s">
        <v>5979</v>
      </c>
      <c r="I4279" t="s">
        <v>6491</v>
      </c>
      <c r="J4279" t="s">
        <v>7170</v>
      </c>
      <c r="K4279">
        <v>10474</v>
      </c>
      <c r="N4279" t="s">
        <v>7237</v>
      </c>
      <c r="O4279" t="s">
        <v>9926</v>
      </c>
      <c r="P4279">
        <v>1</v>
      </c>
      <c r="Q4279">
        <v>2</v>
      </c>
      <c r="R4279">
        <v>199.66</v>
      </c>
      <c r="U4279">
        <v>42588</v>
      </c>
      <c r="W4279">
        <v>0</v>
      </c>
      <c r="Y4279" t="s">
        <v>200</v>
      </c>
      <c r="AA4279" t="s">
        <v>10974</v>
      </c>
      <c r="AD4279" t="s">
        <v>11101</v>
      </c>
      <c r="AF4279" t="s">
        <v>11118</v>
      </c>
      <c r="AH4279" t="s">
        <v>10974</v>
      </c>
      <c r="AI4279" t="s">
        <v>11126</v>
      </c>
      <c r="AK4279" t="s">
        <v>7225</v>
      </c>
      <c r="AM4279">
        <v>1650</v>
      </c>
      <c r="AO4279">
        <v>40</v>
      </c>
      <c r="AP4279" t="s">
        <v>11155</v>
      </c>
      <c r="AS4279" t="s">
        <v>11173</v>
      </c>
      <c r="AU4279">
        <v>3</v>
      </c>
      <c r="AW4279" t="s">
        <v>11187</v>
      </c>
      <c r="AX4279" t="s">
        <v>11212</v>
      </c>
      <c r="BA4279" t="s">
        <v>11222</v>
      </c>
      <c r="BE4279" t="s">
        <v>14037</v>
      </c>
      <c r="BF4279" t="s">
        <v>14364</v>
      </c>
      <c r="BM4279" t="s">
        <v>15650</v>
      </c>
    </row>
    <row r="4280" spans="1:65">
      <c r="A4280" s="1">
        <f>HYPERLINK("https://lsnyc.legalserver.org/matter/dynamic-profile/view/1884053","18-1884053")</f>
        <v>0</v>
      </c>
      <c r="B4280" t="s">
        <v>227</v>
      </c>
      <c r="C4280" t="s">
        <v>246</v>
      </c>
      <c r="D4280" t="s">
        <v>552</v>
      </c>
      <c r="F4280" t="s">
        <v>2716</v>
      </c>
      <c r="G4280" t="s">
        <v>1777</v>
      </c>
      <c r="H4280" t="s">
        <v>6214</v>
      </c>
      <c r="I4280" t="s">
        <v>6436</v>
      </c>
      <c r="J4280" t="s">
        <v>7170</v>
      </c>
      <c r="K4280">
        <v>10452</v>
      </c>
      <c r="N4280" t="s">
        <v>7237</v>
      </c>
      <c r="O4280" t="s">
        <v>9928</v>
      </c>
      <c r="P4280">
        <v>1</v>
      </c>
      <c r="Q4280">
        <v>0</v>
      </c>
      <c r="R4280">
        <v>551.89</v>
      </c>
      <c r="U4280">
        <v>67000</v>
      </c>
      <c r="W4280">
        <v>28.85</v>
      </c>
      <c r="X4280" t="s">
        <v>629</v>
      </c>
      <c r="Y4280" t="s">
        <v>10865</v>
      </c>
      <c r="AA4280" t="s">
        <v>10974</v>
      </c>
      <c r="AB4280" t="s">
        <v>597</v>
      </c>
      <c r="AD4280" t="s">
        <v>11083</v>
      </c>
      <c r="AF4280" t="s">
        <v>11118</v>
      </c>
      <c r="AH4280" t="s">
        <v>10975</v>
      </c>
      <c r="AJ4280" t="s">
        <v>11129</v>
      </c>
      <c r="AK4280" t="s">
        <v>7225</v>
      </c>
      <c r="AM4280">
        <v>1477.27</v>
      </c>
      <c r="AO4280">
        <v>41</v>
      </c>
      <c r="AQ4280" t="s">
        <v>11157</v>
      </c>
      <c r="AS4280" t="s">
        <v>11173</v>
      </c>
      <c r="AU4280">
        <v>12</v>
      </c>
      <c r="AW4280" t="s">
        <v>11187</v>
      </c>
      <c r="AY4280" t="s">
        <v>11213</v>
      </c>
      <c r="AZ4280" t="s">
        <v>11221</v>
      </c>
      <c r="BE4280" t="s">
        <v>14039</v>
      </c>
      <c r="BG4280" t="s">
        <v>15431</v>
      </c>
      <c r="BM4280" t="s">
        <v>15650</v>
      </c>
    </row>
    <row r="4281" spans="1:65">
      <c r="A4281" s="1">
        <f>HYPERLINK("https://lsnyc.legalserver.org/matter/dynamic-profile/view/1907531","19-1907531")</f>
        <v>0</v>
      </c>
      <c r="B4281" t="s">
        <v>227</v>
      </c>
      <c r="C4281" t="s">
        <v>246</v>
      </c>
      <c r="D4281" t="s">
        <v>362</v>
      </c>
      <c r="F4281" t="s">
        <v>2717</v>
      </c>
      <c r="G4281" t="s">
        <v>3222</v>
      </c>
      <c r="H4281" t="s">
        <v>5979</v>
      </c>
      <c r="I4281" t="s">
        <v>6412</v>
      </c>
      <c r="J4281" t="s">
        <v>7170</v>
      </c>
      <c r="K4281">
        <v>10474</v>
      </c>
      <c r="N4281" t="s">
        <v>7237</v>
      </c>
      <c r="O4281" t="s">
        <v>9929</v>
      </c>
      <c r="P4281">
        <v>1</v>
      </c>
      <c r="Q4281">
        <v>0</v>
      </c>
      <c r="R4281">
        <v>93.67</v>
      </c>
      <c r="U4281">
        <v>11700</v>
      </c>
      <c r="W4281">
        <v>0</v>
      </c>
      <c r="Y4281" t="s">
        <v>227</v>
      </c>
      <c r="Z4281" t="s">
        <v>10972</v>
      </c>
      <c r="AA4281" t="s">
        <v>10976</v>
      </c>
      <c r="AD4281" t="s">
        <v>11098</v>
      </c>
      <c r="AF4281" t="s">
        <v>11122</v>
      </c>
      <c r="AG4281" t="s">
        <v>11124</v>
      </c>
      <c r="AI4281" t="s">
        <v>11126</v>
      </c>
      <c r="AK4281" t="s">
        <v>7225</v>
      </c>
      <c r="AL4281" t="s">
        <v>11150</v>
      </c>
      <c r="AM4281">
        <v>0</v>
      </c>
      <c r="AN4281" t="s">
        <v>11151</v>
      </c>
      <c r="AO4281" t="s">
        <v>11153</v>
      </c>
      <c r="AP4281" t="s">
        <v>11155</v>
      </c>
      <c r="AR4281" t="s">
        <v>11172</v>
      </c>
      <c r="AT4281" t="s">
        <v>11184</v>
      </c>
      <c r="AU4281">
        <v>0</v>
      </c>
      <c r="AW4281" t="s">
        <v>11187</v>
      </c>
      <c r="AX4281" t="s">
        <v>11212</v>
      </c>
      <c r="AZ4281" t="s">
        <v>11221</v>
      </c>
      <c r="BE4281" t="s">
        <v>14040</v>
      </c>
      <c r="BG4281" t="s">
        <v>15264</v>
      </c>
      <c r="BM4281" t="s">
        <v>15650</v>
      </c>
    </row>
    <row r="4282" spans="1:65">
      <c r="A4282" s="1">
        <f>HYPERLINK("https://lsnyc.legalserver.org/matter/dynamic-profile/view/1910176","19-1910176")</f>
        <v>0</v>
      </c>
      <c r="B4282" t="s">
        <v>227</v>
      </c>
      <c r="C4282" t="s">
        <v>246</v>
      </c>
      <c r="D4282" t="s">
        <v>976</v>
      </c>
      <c r="F4282" t="s">
        <v>2703</v>
      </c>
      <c r="G4282" t="s">
        <v>4586</v>
      </c>
      <c r="H4282" t="s">
        <v>6211</v>
      </c>
      <c r="I4282" t="s">
        <v>6413</v>
      </c>
      <c r="J4282" t="s">
        <v>7170</v>
      </c>
      <c r="K4282">
        <v>10456</v>
      </c>
      <c r="N4282" t="s">
        <v>7237</v>
      </c>
      <c r="O4282" t="s">
        <v>9907</v>
      </c>
      <c r="P4282">
        <v>3</v>
      </c>
      <c r="Q4282">
        <v>1</v>
      </c>
      <c r="R4282">
        <v>108.52</v>
      </c>
      <c r="U4282">
        <v>27944</v>
      </c>
      <c r="W4282">
        <v>0</v>
      </c>
      <c r="Y4282" t="s">
        <v>10865</v>
      </c>
      <c r="AA4282" t="s">
        <v>10974</v>
      </c>
      <c r="AD4282" t="s">
        <v>11101</v>
      </c>
      <c r="AF4282" t="s">
        <v>11118</v>
      </c>
      <c r="AH4282" t="s">
        <v>10974</v>
      </c>
      <c r="AJ4282" t="s">
        <v>11141</v>
      </c>
      <c r="AK4282" t="s">
        <v>7225</v>
      </c>
      <c r="AM4282">
        <v>1451.25</v>
      </c>
      <c r="AO4282">
        <v>30</v>
      </c>
      <c r="AQ4282" t="s">
        <v>11164</v>
      </c>
      <c r="AS4282" t="s">
        <v>11173</v>
      </c>
      <c r="AU4282">
        <v>19</v>
      </c>
      <c r="AW4282" t="s">
        <v>11187</v>
      </c>
      <c r="AX4282" t="s">
        <v>11212</v>
      </c>
      <c r="BA4282" t="s">
        <v>11222</v>
      </c>
      <c r="BD4282" t="s">
        <v>11667</v>
      </c>
      <c r="BG4282" t="s">
        <v>15424</v>
      </c>
      <c r="BM4282" t="s">
        <v>15650</v>
      </c>
    </row>
    <row r="4283" spans="1:65">
      <c r="A4283" s="1">
        <f>HYPERLINK("https://lsnyc.legalserver.org/matter/dynamic-profile/view/1909124","19-1909124")</f>
        <v>0</v>
      </c>
      <c r="B4283" t="s">
        <v>227</v>
      </c>
      <c r="C4283" t="s">
        <v>246</v>
      </c>
      <c r="D4283" t="s">
        <v>568</v>
      </c>
      <c r="F4283" t="s">
        <v>2718</v>
      </c>
      <c r="G4283" t="s">
        <v>4085</v>
      </c>
      <c r="H4283" t="s">
        <v>6213</v>
      </c>
      <c r="I4283" t="s">
        <v>6417</v>
      </c>
      <c r="J4283" t="s">
        <v>7170</v>
      </c>
      <c r="K4283">
        <v>10456</v>
      </c>
      <c r="N4283" t="s">
        <v>7237</v>
      </c>
      <c r="O4283" t="s">
        <v>9930</v>
      </c>
      <c r="P4283">
        <v>1</v>
      </c>
      <c r="Q4283">
        <v>1</v>
      </c>
      <c r="R4283">
        <v>138.38</v>
      </c>
      <c r="U4283">
        <v>23400</v>
      </c>
      <c r="W4283">
        <v>1</v>
      </c>
      <c r="X4283" t="s">
        <v>627</v>
      </c>
      <c r="Y4283" t="s">
        <v>10865</v>
      </c>
      <c r="AA4283" t="s">
        <v>10974</v>
      </c>
      <c r="AD4283" t="s">
        <v>11098</v>
      </c>
      <c r="AF4283" t="s">
        <v>11122</v>
      </c>
      <c r="AH4283" t="s">
        <v>10974</v>
      </c>
      <c r="AJ4283" t="s">
        <v>11141</v>
      </c>
      <c r="AK4283" t="s">
        <v>7225</v>
      </c>
      <c r="AM4283">
        <v>1511.88</v>
      </c>
      <c r="AO4283">
        <v>30</v>
      </c>
      <c r="AQ4283" t="s">
        <v>11157</v>
      </c>
      <c r="AS4283" t="s">
        <v>11173</v>
      </c>
      <c r="AU4283">
        <v>5</v>
      </c>
      <c r="AW4283" t="s">
        <v>11187</v>
      </c>
      <c r="AX4283" t="s">
        <v>11212</v>
      </c>
      <c r="BA4283" t="s">
        <v>11222</v>
      </c>
      <c r="BE4283" t="s">
        <v>14041</v>
      </c>
      <c r="BF4283" t="s">
        <v>14364</v>
      </c>
      <c r="BM4283" t="s">
        <v>15650</v>
      </c>
    </row>
    <row r="4284" spans="1:65">
      <c r="A4284" s="1">
        <f>HYPERLINK("https://lsnyc.legalserver.org/matter/dynamic-profile/view/1909118","19-1909118")</f>
        <v>0</v>
      </c>
      <c r="B4284" t="s">
        <v>227</v>
      </c>
      <c r="C4284" t="s">
        <v>246</v>
      </c>
      <c r="D4284" t="s">
        <v>568</v>
      </c>
      <c r="F4284" t="s">
        <v>2718</v>
      </c>
      <c r="G4284" t="s">
        <v>4085</v>
      </c>
      <c r="H4284" t="s">
        <v>6213</v>
      </c>
      <c r="I4284" t="s">
        <v>6417</v>
      </c>
      <c r="J4284" t="s">
        <v>7170</v>
      </c>
      <c r="K4284">
        <v>10456</v>
      </c>
      <c r="N4284" t="s">
        <v>7237</v>
      </c>
      <c r="O4284" t="s">
        <v>9930</v>
      </c>
      <c r="P4284">
        <v>1</v>
      </c>
      <c r="Q4284">
        <v>1</v>
      </c>
      <c r="R4284">
        <v>138.38</v>
      </c>
      <c r="U4284">
        <v>23400</v>
      </c>
      <c r="W4284">
        <v>50.8</v>
      </c>
      <c r="X4284" t="s">
        <v>426</v>
      </c>
      <c r="Y4284" t="s">
        <v>10865</v>
      </c>
      <c r="AA4284" t="s">
        <v>10974</v>
      </c>
      <c r="AD4284" t="s">
        <v>11101</v>
      </c>
      <c r="AF4284" t="s">
        <v>11118</v>
      </c>
      <c r="AH4284" t="s">
        <v>10974</v>
      </c>
      <c r="AJ4284" t="s">
        <v>11141</v>
      </c>
      <c r="AK4284" t="s">
        <v>7225</v>
      </c>
      <c r="AM4284">
        <v>1511.88</v>
      </c>
      <c r="AO4284">
        <v>30</v>
      </c>
      <c r="AQ4284" t="s">
        <v>11157</v>
      </c>
      <c r="AS4284" t="s">
        <v>11173</v>
      </c>
      <c r="AU4284">
        <v>5</v>
      </c>
      <c r="AW4284" t="s">
        <v>11187</v>
      </c>
      <c r="AX4284" t="s">
        <v>11212</v>
      </c>
      <c r="BA4284" t="s">
        <v>11222</v>
      </c>
      <c r="BE4284" t="s">
        <v>14041</v>
      </c>
      <c r="BG4284" t="s">
        <v>15432</v>
      </c>
      <c r="BM4284" t="s">
        <v>15650</v>
      </c>
    </row>
    <row r="4285" spans="1:65">
      <c r="A4285" s="1">
        <f>HYPERLINK("https://lsnyc.legalserver.org/matter/dynamic-profile/view/1914143","19-1914143")</f>
        <v>0</v>
      </c>
      <c r="B4285" t="s">
        <v>227</v>
      </c>
      <c r="C4285" t="s">
        <v>246</v>
      </c>
      <c r="D4285" t="s">
        <v>301</v>
      </c>
      <c r="F4285" t="s">
        <v>2719</v>
      </c>
      <c r="G4285" t="s">
        <v>4592</v>
      </c>
      <c r="H4285" t="s">
        <v>6213</v>
      </c>
      <c r="I4285" t="s">
        <v>6477</v>
      </c>
      <c r="J4285" t="s">
        <v>7170</v>
      </c>
      <c r="K4285">
        <v>10456</v>
      </c>
      <c r="N4285" t="s">
        <v>7237</v>
      </c>
      <c r="O4285" t="s">
        <v>9931</v>
      </c>
      <c r="P4285">
        <v>2</v>
      </c>
      <c r="Q4285">
        <v>2</v>
      </c>
      <c r="R4285">
        <v>60.58</v>
      </c>
      <c r="U4285">
        <v>15600</v>
      </c>
      <c r="W4285">
        <v>0</v>
      </c>
      <c r="Y4285" t="s">
        <v>227</v>
      </c>
      <c r="Z4285" t="s">
        <v>10972</v>
      </c>
      <c r="AA4285" t="s">
        <v>10976</v>
      </c>
      <c r="AD4285" t="s">
        <v>11098</v>
      </c>
      <c r="AF4285" t="s">
        <v>11122</v>
      </c>
      <c r="AH4285" t="s">
        <v>10974</v>
      </c>
      <c r="AJ4285" t="s">
        <v>11141</v>
      </c>
      <c r="AK4285" t="s">
        <v>7225</v>
      </c>
      <c r="AM4285">
        <v>1150</v>
      </c>
      <c r="AO4285">
        <v>30</v>
      </c>
      <c r="AQ4285" t="s">
        <v>11157</v>
      </c>
      <c r="AR4285" t="s">
        <v>11172</v>
      </c>
      <c r="AU4285">
        <v>23</v>
      </c>
      <c r="AW4285" t="s">
        <v>11187</v>
      </c>
      <c r="AX4285" t="s">
        <v>11212</v>
      </c>
      <c r="AZ4285" t="s">
        <v>11221</v>
      </c>
      <c r="BE4285" t="s">
        <v>14042</v>
      </c>
      <c r="BF4285" t="s">
        <v>14364</v>
      </c>
      <c r="BM4285" t="s">
        <v>15650</v>
      </c>
    </row>
    <row r="4286" spans="1:65">
      <c r="A4286" s="1">
        <f>HYPERLINK("https://lsnyc.legalserver.org/matter/dynamic-profile/view/1907089","19-1907089")</f>
        <v>0</v>
      </c>
      <c r="B4286" t="s">
        <v>227</v>
      </c>
      <c r="C4286" t="s">
        <v>246</v>
      </c>
      <c r="D4286" t="s">
        <v>797</v>
      </c>
      <c r="F4286" t="s">
        <v>2713</v>
      </c>
      <c r="G4286" t="s">
        <v>2885</v>
      </c>
      <c r="H4286" t="s">
        <v>5979</v>
      </c>
      <c r="I4286" t="s">
        <v>6419</v>
      </c>
      <c r="J4286" t="s">
        <v>7170</v>
      </c>
      <c r="K4286">
        <v>10474</v>
      </c>
      <c r="N4286" t="s">
        <v>7237</v>
      </c>
      <c r="O4286" t="s">
        <v>9922</v>
      </c>
      <c r="P4286">
        <v>1</v>
      </c>
      <c r="Q4286">
        <v>0</v>
      </c>
      <c r="R4286">
        <v>36.41</v>
      </c>
      <c r="U4286">
        <v>4548</v>
      </c>
      <c r="W4286">
        <v>0</v>
      </c>
      <c r="Y4286" t="s">
        <v>216</v>
      </c>
      <c r="AA4286" t="s">
        <v>10974</v>
      </c>
      <c r="AD4286" t="s">
        <v>11101</v>
      </c>
      <c r="AF4286" t="s">
        <v>11118</v>
      </c>
      <c r="AH4286" t="s">
        <v>10974</v>
      </c>
      <c r="AJ4286" t="s">
        <v>11141</v>
      </c>
      <c r="AK4286" t="s">
        <v>7225</v>
      </c>
      <c r="AM4286">
        <v>309.6</v>
      </c>
      <c r="AO4286">
        <v>45</v>
      </c>
      <c r="AQ4286" t="s">
        <v>11164</v>
      </c>
      <c r="AS4286" t="s">
        <v>11173</v>
      </c>
      <c r="AU4286">
        <v>42</v>
      </c>
      <c r="AW4286" t="s">
        <v>11187</v>
      </c>
      <c r="AX4286" t="s">
        <v>11212</v>
      </c>
      <c r="BA4286" t="s">
        <v>11222</v>
      </c>
      <c r="BE4286" t="s">
        <v>14034</v>
      </c>
      <c r="BG4286" t="s">
        <v>15428</v>
      </c>
      <c r="BM4286" t="s">
        <v>15650</v>
      </c>
    </row>
    <row r="4287" spans="1:65">
      <c r="A4287" s="1">
        <f>HYPERLINK("https://lsnyc.legalserver.org/matter/dynamic-profile/view/1909139","19-1909139")</f>
        <v>0</v>
      </c>
      <c r="B4287" t="s">
        <v>227</v>
      </c>
      <c r="C4287" t="s">
        <v>246</v>
      </c>
      <c r="D4287" t="s">
        <v>568</v>
      </c>
      <c r="F4287" t="s">
        <v>2485</v>
      </c>
      <c r="G4287" t="s">
        <v>3079</v>
      </c>
      <c r="H4287" t="s">
        <v>6213</v>
      </c>
      <c r="I4287" t="s">
        <v>6502</v>
      </c>
      <c r="J4287" t="s">
        <v>7170</v>
      </c>
      <c r="K4287">
        <v>10456</v>
      </c>
      <c r="N4287" t="s">
        <v>7237</v>
      </c>
      <c r="O4287" t="s">
        <v>8756</v>
      </c>
      <c r="P4287">
        <v>1</v>
      </c>
      <c r="Q4287">
        <v>0</v>
      </c>
      <c r="R4287">
        <v>480.38</v>
      </c>
      <c r="U4287">
        <v>60000</v>
      </c>
      <c r="W4287">
        <v>0</v>
      </c>
      <c r="Y4287" t="s">
        <v>10865</v>
      </c>
      <c r="AA4287" t="s">
        <v>10974</v>
      </c>
      <c r="AD4287" t="s">
        <v>11101</v>
      </c>
      <c r="AF4287" t="s">
        <v>11118</v>
      </c>
      <c r="AH4287" t="s">
        <v>10974</v>
      </c>
      <c r="AJ4287" t="s">
        <v>11141</v>
      </c>
      <c r="AK4287" t="s">
        <v>7225</v>
      </c>
      <c r="AM4287">
        <v>1075</v>
      </c>
      <c r="AO4287">
        <v>30</v>
      </c>
      <c r="AQ4287" t="s">
        <v>11157</v>
      </c>
      <c r="AS4287" t="s">
        <v>11173</v>
      </c>
      <c r="AU4287">
        <v>26</v>
      </c>
      <c r="AW4287" t="s">
        <v>11187</v>
      </c>
      <c r="AX4287" t="s">
        <v>11212</v>
      </c>
      <c r="BA4287" t="s">
        <v>11222</v>
      </c>
      <c r="BE4287" t="s">
        <v>14043</v>
      </c>
      <c r="BG4287" t="s">
        <v>15424</v>
      </c>
      <c r="BM4287" t="s">
        <v>15650</v>
      </c>
    </row>
    <row r="4288" spans="1:65">
      <c r="A4288" s="1">
        <f>HYPERLINK("https://lsnyc.legalserver.org/matter/dynamic-profile/view/1907098","19-1907098")</f>
        <v>0</v>
      </c>
      <c r="B4288" t="s">
        <v>227</v>
      </c>
      <c r="C4288" t="s">
        <v>246</v>
      </c>
      <c r="D4288" t="s">
        <v>470</v>
      </c>
      <c r="F4288" t="s">
        <v>2717</v>
      </c>
      <c r="G4288" t="s">
        <v>3222</v>
      </c>
      <c r="H4288" t="s">
        <v>5979</v>
      </c>
      <c r="I4288" t="s">
        <v>6412</v>
      </c>
      <c r="J4288" t="s">
        <v>7170</v>
      </c>
      <c r="K4288">
        <v>10474</v>
      </c>
      <c r="N4288" t="s">
        <v>7237</v>
      </c>
      <c r="O4288" t="s">
        <v>9929</v>
      </c>
      <c r="P4288">
        <v>1</v>
      </c>
      <c r="Q4288">
        <v>0</v>
      </c>
      <c r="R4288">
        <v>93.67</v>
      </c>
      <c r="U4288">
        <v>11700</v>
      </c>
      <c r="W4288">
        <v>0</v>
      </c>
      <c r="Y4288" t="s">
        <v>216</v>
      </c>
      <c r="AA4288" t="s">
        <v>10974</v>
      </c>
      <c r="AD4288" t="s">
        <v>11101</v>
      </c>
      <c r="AF4288" t="s">
        <v>11118</v>
      </c>
      <c r="AH4288" t="s">
        <v>10974</v>
      </c>
      <c r="AJ4288" t="s">
        <v>11141</v>
      </c>
      <c r="AK4288" t="s">
        <v>7225</v>
      </c>
      <c r="AM4288">
        <v>215</v>
      </c>
      <c r="AO4288">
        <v>45</v>
      </c>
      <c r="AQ4288" t="s">
        <v>11157</v>
      </c>
      <c r="AS4288" t="s">
        <v>11174</v>
      </c>
      <c r="AU4288">
        <v>20</v>
      </c>
      <c r="AW4288" t="s">
        <v>11187</v>
      </c>
      <c r="AX4288" t="s">
        <v>11212</v>
      </c>
      <c r="BA4288" t="s">
        <v>11222</v>
      </c>
      <c r="BE4288" t="s">
        <v>14040</v>
      </c>
      <c r="BG4288" t="s">
        <v>15428</v>
      </c>
      <c r="BM4288" t="s">
        <v>15650</v>
      </c>
    </row>
    <row r="4289" spans="1:65">
      <c r="A4289" s="1">
        <f>HYPERLINK("https://lsnyc.legalserver.org/matter/dynamic-profile/view/1906683","19-1906683")</f>
        <v>0</v>
      </c>
      <c r="B4289" t="s">
        <v>227</v>
      </c>
      <c r="C4289" t="s">
        <v>246</v>
      </c>
      <c r="D4289" t="s">
        <v>429</v>
      </c>
      <c r="F4289" t="s">
        <v>2720</v>
      </c>
      <c r="G4289" t="s">
        <v>4593</v>
      </c>
      <c r="H4289" t="s">
        <v>6220</v>
      </c>
      <c r="I4289" t="s">
        <v>6409</v>
      </c>
      <c r="J4289" t="s">
        <v>7170</v>
      </c>
      <c r="K4289">
        <v>10462</v>
      </c>
      <c r="N4289" t="s">
        <v>7244</v>
      </c>
      <c r="O4289" t="s">
        <v>8949</v>
      </c>
      <c r="P4289">
        <v>2</v>
      </c>
      <c r="Q4289">
        <v>0</v>
      </c>
      <c r="R4289">
        <v>165.42</v>
      </c>
      <c r="U4289">
        <v>27972</v>
      </c>
      <c r="W4289">
        <v>11</v>
      </c>
      <c r="X4289" t="s">
        <v>336</v>
      </c>
      <c r="Y4289" t="s">
        <v>93</v>
      </c>
      <c r="Z4289" t="s">
        <v>10972</v>
      </c>
      <c r="AA4289" t="s">
        <v>10976</v>
      </c>
      <c r="AD4289" t="s">
        <v>11106</v>
      </c>
      <c r="AF4289" t="s">
        <v>11122</v>
      </c>
      <c r="AH4289" t="s">
        <v>10975</v>
      </c>
      <c r="AJ4289" t="s">
        <v>11137</v>
      </c>
      <c r="AK4289" t="s">
        <v>7225</v>
      </c>
      <c r="AM4289">
        <v>1600</v>
      </c>
      <c r="AO4289">
        <v>40</v>
      </c>
      <c r="AQ4289" t="s">
        <v>11164</v>
      </c>
      <c r="AS4289" t="s">
        <v>11174</v>
      </c>
      <c r="AU4289">
        <v>1</v>
      </c>
      <c r="AW4289" t="s">
        <v>11187</v>
      </c>
      <c r="AX4289" t="s">
        <v>11212</v>
      </c>
      <c r="AZ4289" t="s">
        <v>11221</v>
      </c>
      <c r="BE4289" t="s">
        <v>14044</v>
      </c>
      <c r="BF4289" t="s">
        <v>14364</v>
      </c>
      <c r="BG4289" t="s">
        <v>15433</v>
      </c>
      <c r="BM4289" t="s">
        <v>15650</v>
      </c>
    </row>
    <row r="4290" spans="1:65">
      <c r="A4290" s="1">
        <f>HYPERLINK("https://lsnyc.legalserver.org/matter/dynamic-profile/view/1912299","19-1912299")</f>
        <v>0</v>
      </c>
      <c r="B4290" t="s">
        <v>227</v>
      </c>
      <c r="C4290" t="s">
        <v>246</v>
      </c>
      <c r="D4290" t="s">
        <v>737</v>
      </c>
      <c r="F4290" t="s">
        <v>2721</v>
      </c>
      <c r="G4290" t="s">
        <v>4582</v>
      </c>
      <c r="H4290" t="s">
        <v>6213</v>
      </c>
      <c r="I4290" t="s">
        <v>6491</v>
      </c>
      <c r="J4290" t="s">
        <v>7170</v>
      </c>
      <c r="K4290">
        <v>10456</v>
      </c>
      <c r="N4290" t="s">
        <v>7237</v>
      </c>
      <c r="O4290" t="s">
        <v>9932</v>
      </c>
      <c r="P4290">
        <v>4</v>
      </c>
      <c r="Q4290">
        <v>3</v>
      </c>
      <c r="R4290">
        <v>197.39</v>
      </c>
      <c r="U4290">
        <v>77000</v>
      </c>
      <c r="W4290">
        <v>0</v>
      </c>
      <c r="Y4290" t="s">
        <v>10865</v>
      </c>
      <c r="AA4290" t="s">
        <v>10974</v>
      </c>
      <c r="AD4290" t="s">
        <v>11101</v>
      </c>
      <c r="AF4290" t="s">
        <v>11118</v>
      </c>
      <c r="AH4290" t="s">
        <v>10974</v>
      </c>
      <c r="AJ4290" t="s">
        <v>11141</v>
      </c>
      <c r="AK4290" t="s">
        <v>7225</v>
      </c>
      <c r="AM4290">
        <v>1235</v>
      </c>
      <c r="AO4290">
        <v>30</v>
      </c>
      <c r="AQ4290" t="s">
        <v>11160</v>
      </c>
      <c r="AS4290" t="s">
        <v>11173</v>
      </c>
      <c r="AU4290">
        <v>19</v>
      </c>
      <c r="AV4290" t="s">
        <v>11186</v>
      </c>
      <c r="AX4290" t="s">
        <v>11212</v>
      </c>
      <c r="BA4290" t="s">
        <v>11222</v>
      </c>
      <c r="BE4290" t="s">
        <v>14045</v>
      </c>
      <c r="BG4290" t="s">
        <v>15424</v>
      </c>
      <c r="BM4290" t="s">
        <v>15650</v>
      </c>
    </row>
    <row r="4291" spans="1:65">
      <c r="A4291" s="1">
        <f>HYPERLINK("https://lsnyc.legalserver.org/matter/dynamic-profile/view/1913789","19-1913789")</f>
        <v>0</v>
      </c>
      <c r="B4291" t="s">
        <v>227</v>
      </c>
      <c r="C4291" t="s">
        <v>246</v>
      </c>
      <c r="D4291" t="s">
        <v>735</v>
      </c>
      <c r="F4291" t="s">
        <v>2722</v>
      </c>
      <c r="G4291" t="s">
        <v>2889</v>
      </c>
      <c r="H4291" t="s">
        <v>6217</v>
      </c>
      <c r="I4291" t="s">
        <v>6415</v>
      </c>
      <c r="J4291" t="s">
        <v>7170</v>
      </c>
      <c r="K4291">
        <v>10452</v>
      </c>
      <c r="N4291" t="s">
        <v>7237</v>
      </c>
      <c r="O4291" t="s">
        <v>9933</v>
      </c>
      <c r="P4291">
        <v>5</v>
      </c>
      <c r="Q4291">
        <v>0</v>
      </c>
      <c r="R4291">
        <v>109.38</v>
      </c>
      <c r="U4291">
        <v>33000</v>
      </c>
      <c r="W4291">
        <v>0</v>
      </c>
      <c r="Y4291" t="s">
        <v>10865</v>
      </c>
      <c r="AA4291" t="s">
        <v>10974</v>
      </c>
      <c r="AD4291" t="s">
        <v>11101</v>
      </c>
      <c r="AE4291" t="s">
        <v>11117</v>
      </c>
      <c r="AH4291" t="s">
        <v>10974</v>
      </c>
      <c r="AJ4291" t="s">
        <v>11141</v>
      </c>
      <c r="AK4291" t="s">
        <v>7225</v>
      </c>
      <c r="AM4291">
        <v>1318</v>
      </c>
      <c r="AO4291">
        <v>67</v>
      </c>
      <c r="AQ4291" t="s">
        <v>11156</v>
      </c>
      <c r="AS4291" t="s">
        <v>11173</v>
      </c>
      <c r="AU4291">
        <v>20</v>
      </c>
      <c r="AW4291" t="s">
        <v>11189</v>
      </c>
      <c r="AX4291" t="s">
        <v>11212</v>
      </c>
      <c r="BA4291" t="s">
        <v>11222</v>
      </c>
      <c r="BE4291" t="s">
        <v>14046</v>
      </c>
      <c r="BF4291" t="s">
        <v>14364</v>
      </c>
      <c r="BM4291" t="s">
        <v>15650</v>
      </c>
    </row>
    <row r="4292" spans="1:65">
      <c r="A4292" s="1">
        <f>HYPERLINK("https://lsnyc.legalserver.org/matter/dynamic-profile/view/1914412","19-1914412")</f>
        <v>0</v>
      </c>
      <c r="B4292" t="s">
        <v>227</v>
      </c>
      <c r="C4292" t="s">
        <v>246</v>
      </c>
      <c r="D4292" t="s">
        <v>497</v>
      </c>
      <c r="F4292" t="s">
        <v>2704</v>
      </c>
      <c r="G4292" t="s">
        <v>3506</v>
      </c>
      <c r="H4292" t="s">
        <v>5979</v>
      </c>
      <c r="I4292" t="s">
        <v>6584</v>
      </c>
      <c r="J4292" t="s">
        <v>7170</v>
      </c>
      <c r="K4292">
        <v>10474</v>
      </c>
      <c r="N4292" t="s">
        <v>7237</v>
      </c>
      <c r="O4292" t="s">
        <v>9909</v>
      </c>
      <c r="P4292">
        <v>2</v>
      </c>
      <c r="Q4292">
        <v>0</v>
      </c>
      <c r="R4292">
        <v>70.95999999999999</v>
      </c>
      <c r="U4292">
        <v>12000</v>
      </c>
      <c r="W4292">
        <v>1</v>
      </c>
      <c r="X4292" t="s">
        <v>266</v>
      </c>
      <c r="Y4292" t="s">
        <v>227</v>
      </c>
      <c r="Z4292" t="s">
        <v>10972</v>
      </c>
      <c r="AA4292" t="s">
        <v>10976</v>
      </c>
      <c r="AD4292" t="s">
        <v>11100</v>
      </c>
      <c r="AF4292" t="s">
        <v>10384</v>
      </c>
      <c r="AH4292" t="s">
        <v>10975</v>
      </c>
      <c r="AJ4292" t="s">
        <v>11129</v>
      </c>
      <c r="AK4292" t="s">
        <v>7225</v>
      </c>
      <c r="AM4292">
        <v>1450</v>
      </c>
      <c r="AO4292">
        <v>47</v>
      </c>
      <c r="AQ4292" t="s">
        <v>11157</v>
      </c>
      <c r="AR4292" t="s">
        <v>11172</v>
      </c>
      <c r="AU4292">
        <v>2</v>
      </c>
      <c r="AW4292" t="s">
        <v>11187</v>
      </c>
      <c r="AX4292" t="s">
        <v>11212</v>
      </c>
      <c r="AZ4292" t="s">
        <v>11221</v>
      </c>
      <c r="BE4292" t="s">
        <v>14020</v>
      </c>
      <c r="BF4292" t="s">
        <v>14364</v>
      </c>
      <c r="BM4292" t="s">
        <v>15650</v>
      </c>
    </row>
    <row r="4293" spans="1:65">
      <c r="A4293" s="1">
        <f>HYPERLINK("https://lsnyc.legalserver.org/matter/dynamic-profile/view/1910183","19-1910183")</f>
        <v>0</v>
      </c>
      <c r="B4293" t="s">
        <v>227</v>
      </c>
      <c r="C4293" t="s">
        <v>246</v>
      </c>
      <c r="D4293" t="s">
        <v>976</v>
      </c>
      <c r="F4293" t="s">
        <v>2702</v>
      </c>
      <c r="G4293" t="s">
        <v>4584</v>
      </c>
      <c r="H4293" t="s">
        <v>6211</v>
      </c>
      <c r="I4293" t="s">
        <v>6436</v>
      </c>
      <c r="J4293" t="s">
        <v>7170</v>
      </c>
      <c r="K4293">
        <v>10456</v>
      </c>
      <c r="N4293" t="s">
        <v>7237</v>
      </c>
      <c r="O4293" t="s">
        <v>9697</v>
      </c>
      <c r="P4293">
        <v>5</v>
      </c>
      <c r="Q4293">
        <v>1</v>
      </c>
      <c r="R4293">
        <v>0</v>
      </c>
      <c r="U4293">
        <v>0</v>
      </c>
      <c r="W4293">
        <v>0</v>
      </c>
      <c r="Y4293" t="s">
        <v>10865</v>
      </c>
      <c r="AA4293" t="s">
        <v>10974</v>
      </c>
      <c r="AD4293" t="s">
        <v>11101</v>
      </c>
      <c r="AF4293" t="s">
        <v>11118</v>
      </c>
      <c r="AH4293" t="s">
        <v>10974</v>
      </c>
      <c r="AJ4293" t="s">
        <v>11141</v>
      </c>
      <c r="AK4293" t="s">
        <v>7225</v>
      </c>
      <c r="AM4293">
        <v>1150</v>
      </c>
      <c r="AO4293">
        <v>30</v>
      </c>
      <c r="AQ4293" t="s">
        <v>11157</v>
      </c>
      <c r="AS4293" t="s">
        <v>11173</v>
      </c>
      <c r="AU4293">
        <v>23</v>
      </c>
      <c r="AW4293" t="s">
        <v>11187</v>
      </c>
      <c r="AX4293" t="s">
        <v>11212</v>
      </c>
      <c r="BA4293" t="s">
        <v>11222</v>
      </c>
      <c r="BE4293" t="s">
        <v>14018</v>
      </c>
      <c r="BG4293" t="s">
        <v>15424</v>
      </c>
      <c r="BM4293" t="s">
        <v>15650</v>
      </c>
    </row>
    <row r="4294" spans="1:65">
      <c r="A4294" s="1">
        <f>HYPERLINK("https://lsnyc.legalserver.org/matter/dynamic-profile/view/1909140","19-1909140")</f>
        <v>0</v>
      </c>
      <c r="B4294" t="s">
        <v>227</v>
      </c>
      <c r="C4294" t="s">
        <v>246</v>
      </c>
      <c r="D4294" t="s">
        <v>568</v>
      </c>
      <c r="F4294" t="s">
        <v>2485</v>
      </c>
      <c r="G4294" t="s">
        <v>3079</v>
      </c>
      <c r="H4294" t="s">
        <v>6213</v>
      </c>
      <c r="I4294" t="s">
        <v>6502</v>
      </c>
      <c r="J4294" t="s">
        <v>7170</v>
      </c>
      <c r="K4294">
        <v>10456</v>
      </c>
      <c r="N4294" t="s">
        <v>7237</v>
      </c>
      <c r="O4294" t="s">
        <v>8756</v>
      </c>
      <c r="P4294">
        <v>1</v>
      </c>
      <c r="Q4294">
        <v>0</v>
      </c>
      <c r="R4294">
        <v>480.38</v>
      </c>
      <c r="U4294">
        <v>60000</v>
      </c>
      <c r="W4294">
        <v>0</v>
      </c>
      <c r="Y4294" t="s">
        <v>10865</v>
      </c>
      <c r="AA4294" t="s">
        <v>10974</v>
      </c>
      <c r="AD4294" t="s">
        <v>11098</v>
      </c>
      <c r="AF4294" t="s">
        <v>11122</v>
      </c>
      <c r="AH4294" t="s">
        <v>10974</v>
      </c>
      <c r="AJ4294" t="s">
        <v>11141</v>
      </c>
      <c r="AK4294" t="s">
        <v>7225</v>
      </c>
      <c r="AM4294">
        <v>30</v>
      </c>
      <c r="AO4294">
        <v>30</v>
      </c>
      <c r="AQ4294" t="s">
        <v>11157</v>
      </c>
      <c r="AS4294" t="s">
        <v>11173</v>
      </c>
      <c r="AU4294">
        <v>26</v>
      </c>
      <c r="AW4294" t="s">
        <v>11187</v>
      </c>
      <c r="AX4294" t="s">
        <v>11212</v>
      </c>
      <c r="BA4294" t="s">
        <v>11222</v>
      </c>
      <c r="BE4294" t="s">
        <v>14043</v>
      </c>
      <c r="BF4294" t="s">
        <v>14364</v>
      </c>
      <c r="BM4294" t="s">
        <v>15650</v>
      </c>
    </row>
    <row r="4295" spans="1:65">
      <c r="A4295" s="1">
        <f>HYPERLINK("https://lsnyc.legalserver.org/matter/dynamic-profile/view/1911779","19-1911779")</f>
        <v>0</v>
      </c>
      <c r="B4295" t="s">
        <v>227</v>
      </c>
      <c r="C4295" t="s">
        <v>246</v>
      </c>
      <c r="D4295" t="s">
        <v>345</v>
      </c>
      <c r="F4295" t="s">
        <v>2719</v>
      </c>
      <c r="G4295" t="s">
        <v>4592</v>
      </c>
      <c r="H4295" t="s">
        <v>6221</v>
      </c>
      <c r="I4295" t="s">
        <v>6477</v>
      </c>
      <c r="J4295" t="s">
        <v>7170</v>
      </c>
      <c r="K4295">
        <v>10456</v>
      </c>
      <c r="N4295" t="s">
        <v>7237</v>
      </c>
      <c r="O4295" t="s">
        <v>9931</v>
      </c>
      <c r="P4295">
        <v>2</v>
      </c>
      <c r="Q4295">
        <v>2</v>
      </c>
      <c r="R4295">
        <v>151.46</v>
      </c>
      <c r="U4295">
        <v>39000</v>
      </c>
      <c r="W4295">
        <v>37.05</v>
      </c>
      <c r="X4295" t="s">
        <v>10855</v>
      </c>
      <c r="Y4295" t="s">
        <v>10865</v>
      </c>
      <c r="AA4295" t="s">
        <v>10974</v>
      </c>
      <c r="AD4295" t="s">
        <v>11101</v>
      </c>
      <c r="AF4295" t="s">
        <v>11118</v>
      </c>
      <c r="AH4295" t="s">
        <v>10974</v>
      </c>
      <c r="AJ4295" t="s">
        <v>11104</v>
      </c>
      <c r="AK4295" t="s">
        <v>7225</v>
      </c>
      <c r="AM4295">
        <v>1150</v>
      </c>
      <c r="AO4295">
        <v>30</v>
      </c>
      <c r="AQ4295" t="s">
        <v>11157</v>
      </c>
      <c r="AS4295" t="s">
        <v>11173</v>
      </c>
      <c r="AU4295">
        <v>23</v>
      </c>
      <c r="AW4295" t="s">
        <v>11187</v>
      </c>
      <c r="AX4295" t="s">
        <v>11212</v>
      </c>
      <c r="BA4295" t="s">
        <v>11222</v>
      </c>
      <c r="BE4295" t="s">
        <v>14042</v>
      </c>
      <c r="BG4295" t="s">
        <v>15424</v>
      </c>
      <c r="BM4295" t="s">
        <v>15650</v>
      </c>
    </row>
    <row r="4296" spans="1:65">
      <c r="A4296" s="1">
        <f>HYPERLINK("https://lsnyc.legalserver.org/matter/dynamic-profile/view/1912303","19-1912303")</f>
        <v>0</v>
      </c>
      <c r="B4296" t="s">
        <v>227</v>
      </c>
      <c r="C4296" t="s">
        <v>246</v>
      </c>
      <c r="D4296" t="s">
        <v>737</v>
      </c>
      <c r="F4296" t="s">
        <v>2723</v>
      </c>
      <c r="G4296" t="s">
        <v>3300</v>
      </c>
      <c r="H4296" t="s">
        <v>6222</v>
      </c>
      <c r="I4296" t="s">
        <v>6412</v>
      </c>
      <c r="J4296" t="s">
        <v>7170</v>
      </c>
      <c r="K4296">
        <v>10456</v>
      </c>
      <c r="N4296" t="s">
        <v>7237</v>
      </c>
      <c r="O4296" t="s">
        <v>8420</v>
      </c>
      <c r="P4296">
        <v>2</v>
      </c>
      <c r="Q4296">
        <v>1</v>
      </c>
      <c r="R4296">
        <v>215.66</v>
      </c>
      <c r="U4296">
        <v>46000</v>
      </c>
      <c r="W4296">
        <v>0</v>
      </c>
      <c r="Y4296" t="s">
        <v>10865</v>
      </c>
      <c r="AA4296" t="s">
        <v>10974</v>
      </c>
      <c r="AD4296" t="s">
        <v>11101</v>
      </c>
      <c r="AF4296" t="s">
        <v>11118</v>
      </c>
      <c r="AH4296" t="s">
        <v>10974</v>
      </c>
      <c r="AJ4296" t="s">
        <v>11141</v>
      </c>
      <c r="AK4296" t="s">
        <v>7225</v>
      </c>
      <c r="AL4296" t="s">
        <v>11150</v>
      </c>
      <c r="AM4296">
        <v>0</v>
      </c>
      <c r="AO4296">
        <v>30</v>
      </c>
      <c r="AQ4296" t="s">
        <v>11164</v>
      </c>
      <c r="AS4296" t="s">
        <v>11173</v>
      </c>
      <c r="AU4296">
        <v>16</v>
      </c>
      <c r="AW4296" t="s">
        <v>11187</v>
      </c>
      <c r="AX4296" t="s">
        <v>11212</v>
      </c>
      <c r="BA4296" t="s">
        <v>11222</v>
      </c>
      <c r="BD4296" t="s">
        <v>11667</v>
      </c>
      <c r="BG4296" t="s">
        <v>15424</v>
      </c>
      <c r="BM4296" t="s">
        <v>15650</v>
      </c>
    </row>
    <row r="4297" spans="1:65">
      <c r="A4297" s="1">
        <f>HYPERLINK("https://lsnyc.legalserver.org/matter/dynamic-profile/view/1914136","19-1914136")</f>
        <v>0</v>
      </c>
      <c r="B4297" t="s">
        <v>227</v>
      </c>
      <c r="C4297" t="s">
        <v>246</v>
      </c>
      <c r="D4297" t="s">
        <v>301</v>
      </c>
      <c r="F4297" t="s">
        <v>2723</v>
      </c>
      <c r="G4297" t="s">
        <v>3300</v>
      </c>
      <c r="H4297" t="s">
        <v>6222</v>
      </c>
      <c r="I4297" t="s">
        <v>6412</v>
      </c>
      <c r="J4297" t="s">
        <v>7170</v>
      </c>
      <c r="K4297">
        <v>10456</v>
      </c>
      <c r="N4297" t="s">
        <v>7237</v>
      </c>
      <c r="O4297" t="s">
        <v>8420</v>
      </c>
      <c r="P4297">
        <v>2</v>
      </c>
      <c r="Q4297">
        <v>1</v>
      </c>
      <c r="R4297">
        <v>215.66</v>
      </c>
      <c r="U4297">
        <v>46000</v>
      </c>
      <c r="W4297">
        <v>0</v>
      </c>
      <c r="Y4297" t="s">
        <v>227</v>
      </c>
      <c r="Z4297" t="s">
        <v>10972</v>
      </c>
      <c r="AA4297" t="s">
        <v>10976</v>
      </c>
      <c r="AD4297" t="s">
        <v>11098</v>
      </c>
      <c r="AF4297" t="s">
        <v>11122</v>
      </c>
      <c r="AH4297" t="s">
        <v>10974</v>
      </c>
      <c r="AI4297" t="s">
        <v>11126</v>
      </c>
      <c r="AK4297" t="s">
        <v>7225</v>
      </c>
      <c r="AL4297" t="s">
        <v>11150</v>
      </c>
      <c r="AM4297">
        <v>0</v>
      </c>
      <c r="AN4297" t="s">
        <v>11151</v>
      </c>
      <c r="AO4297" t="s">
        <v>11153</v>
      </c>
      <c r="AP4297" t="s">
        <v>11155</v>
      </c>
      <c r="AR4297" t="s">
        <v>11172</v>
      </c>
      <c r="AU4297">
        <v>16</v>
      </c>
      <c r="AW4297" t="s">
        <v>11187</v>
      </c>
      <c r="AX4297" t="s">
        <v>11212</v>
      </c>
      <c r="AZ4297" t="s">
        <v>11221</v>
      </c>
      <c r="BD4297" t="s">
        <v>11667</v>
      </c>
      <c r="BF4297" t="s">
        <v>14364</v>
      </c>
      <c r="BM4297" t="s">
        <v>15650</v>
      </c>
    </row>
    <row r="4298" spans="1:65">
      <c r="A4298" s="1">
        <f>HYPERLINK("https://lsnyc.legalserver.org/matter/dynamic-profile/view/1911782","19-1911782")</f>
        <v>0</v>
      </c>
      <c r="B4298" t="s">
        <v>227</v>
      </c>
      <c r="C4298" t="s">
        <v>246</v>
      </c>
      <c r="D4298" t="s">
        <v>345</v>
      </c>
      <c r="F4298" t="s">
        <v>2698</v>
      </c>
      <c r="G4298" t="s">
        <v>4580</v>
      </c>
      <c r="H4298" t="s">
        <v>6213</v>
      </c>
      <c r="I4298" t="s">
        <v>6415</v>
      </c>
      <c r="J4298" t="s">
        <v>7170</v>
      </c>
      <c r="K4298">
        <v>10456</v>
      </c>
      <c r="N4298" t="s">
        <v>7237</v>
      </c>
      <c r="O4298" t="s">
        <v>9934</v>
      </c>
      <c r="P4298">
        <v>1</v>
      </c>
      <c r="Q4298">
        <v>2</v>
      </c>
      <c r="R4298">
        <v>0</v>
      </c>
      <c r="U4298">
        <v>0</v>
      </c>
      <c r="W4298">
        <v>0.1</v>
      </c>
      <c r="X4298" t="s">
        <v>345</v>
      </c>
      <c r="Y4298" t="s">
        <v>10865</v>
      </c>
      <c r="AA4298" t="s">
        <v>10974</v>
      </c>
      <c r="AD4298" t="s">
        <v>11101</v>
      </c>
      <c r="AF4298" t="s">
        <v>11118</v>
      </c>
      <c r="AH4298" t="s">
        <v>10974</v>
      </c>
      <c r="AJ4298" t="s">
        <v>11135</v>
      </c>
      <c r="AK4298" t="s">
        <v>7225</v>
      </c>
      <c r="AM4298">
        <v>1025</v>
      </c>
      <c r="AO4298">
        <v>30</v>
      </c>
      <c r="AQ4298" t="s">
        <v>11164</v>
      </c>
      <c r="AS4298" t="s">
        <v>11104</v>
      </c>
      <c r="AU4298">
        <v>28</v>
      </c>
      <c r="AW4298" t="s">
        <v>11187</v>
      </c>
      <c r="AX4298" t="s">
        <v>11212</v>
      </c>
      <c r="BA4298" t="s">
        <v>11222</v>
      </c>
      <c r="BE4298" t="s">
        <v>14047</v>
      </c>
      <c r="BG4298" t="s">
        <v>15424</v>
      </c>
      <c r="BM4298" t="s">
        <v>15650</v>
      </c>
    </row>
    <row r="4299" spans="1:65">
      <c r="A4299" s="1">
        <f>HYPERLINK("https://lsnyc.legalserver.org/matter/dynamic-profile/view/1914109","19-1914109")</f>
        <v>0</v>
      </c>
      <c r="B4299" t="s">
        <v>227</v>
      </c>
      <c r="C4299" t="s">
        <v>246</v>
      </c>
      <c r="D4299" t="s">
        <v>301</v>
      </c>
      <c r="F4299" t="s">
        <v>2698</v>
      </c>
      <c r="G4299" t="s">
        <v>4580</v>
      </c>
      <c r="H4299" t="s">
        <v>6213</v>
      </c>
      <c r="I4299" t="s">
        <v>6415</v>
      </c>
      <c r="J4299" t="s">
        <v>7170</v>
      </c>
      <c r="K4299">
        <v>10456</v>
      </c>
      <c r="N4299" t="s">
        <v>7237</v>
      </c>
      <c r="O4299" t="s">
        <v>9934</v>
      </c>
      <c r="P4299">
        <v>1</v>
      </c>
      <c r="Q4299">
        <v>2</v>
      </c>
      <c r="R4299">
        <v>0</v>
      </c>
      <c r="U4299">
        <v>0</v>
      </c>
      <c r="W4299">
        <v>0</v>
      </c>
      <c r="Y4299" t="s">
        <v>227</v>
      </c>
      <c r="Z4299" t="s">
        <v>10972</v>
      </c>
      <c r="AA4299" t="s">
        <v>10976</v>
      </c>
      <c r="AD4299" t="s">
        <v>11098</v>
      </c>
      <c r="AF4299" t="s">
        <v>11122</v>
      </c>
      <c r="AH4299" t="s">
        <v>10974</v>
      </c>
      <c r="AJ4299" t="s">
        <v>11141</v>
      </c>
      <c r="AK4299" t="s">
        <v>7225</v>
      </c>
      <c r="AM4299">
        <v>1025</v>
      </c>
      <c r="AO4299">
        <v>28</v>
      </c>
      <c r="AQ4299" t="s">
        <v>11157</v>
      </c>
      <c r="AR4299" t="s">
        <v>11172</v>
      </c>
      <c r="AT4299" t="s">
        <v>11184</v>
      </c>
      <c r="AU4299">
        <v>0</v>
      </c>
      <c r="AW4299" t="s">
        <v>11187</v>
      </c>
      <c r="AX4299" t="s">
        <v>11212</v>
      </c>
      <c r="AZ4299" t="s">
        <v>11221</v>
      </c>
      <c r="BE4299" t="s">
        <v>14047</v>
      </c>
      <c r="BF4299" t="s">
        <v>14364</v>
      </c>
      <c r="BM4299" t="s">
        <v>15650</v>
      </c>
    </row>
    <row r="4300" spans="1:65">
      <c r="A4300" s="1">
        <f>HYPERLINK("https://lsnyc.legalserver.org/matter/dynamic-profile/view/1914127","19-1914127")</f>
        <v>0</v>
      </c>
      <c r="B4300" t="s">
        <v>227</v>
      </c>
      <c r="C4300" t="s">
        <v>246</v>
      </c>
      <c r="D4300" t="s">
        <v>301</v>
      </c>
      <c r="F4300" t="s">
        <v>2721</v>
      </c>
      <c r="G4300" t="s">
        <v>4582</v>
      </c>
      <c r="H4300" t="s">
        <v>6213</v>
      </c>
      <c r="I4300" t="s">
        <v>6491</v>
      </c>
      <c r="J4300" t="s">
        <v>7170</v>
      </c>
      <c r="K4300">
        <v>10456</v>
      </c>
      <c r="N4300" t="s">
        <v>7237</v>
      </c>
      <c r="O4300" t="s">
        <v>9932</v>
      </c>
      <c r="P4300">
        <v>4</v>
      </c>
      <c r="Q4300">
        <v>3</v>
      </c>
      <c r="R4300">
        <v>89.72</v>
      </c>
      <c r="U4300">
        <v>35000</v>
      </c>
      <c r="W4300">
        <v>0</v>
      </c>
      <c r="Y4300" t="s">
        <v>227</v>
      </c>
      <c r="Z4300" t="s">
        <v>10972</v>
      </c>
      <c r="AA4300" t="s">
        <v>10976</v>
      </c>
      <c r="AD4300" t="s">
        <v>11098</v>
      </c>
      <c r="AF4300" t="s">
        <v>11122</v>
      </c>
      <c r="AH4300" t="s">
        <v>10974</v>
      </c>
      <c r="AJ4300" t="s">
        <v>11141</v>
      </c>
      <c r="AK4300" t="s">
        <v>7225</v>
      </c>
      <c r="AM4300">
        <v>1235</v>
      </c>
      <c r="AO4300">
        <v>30</v>
      </c>
      <c r="AQ4300" t="s">
        <v>11157</v>
      </c>
      <c r="AS4300" t="s">
        <v>11173</v>
      </c>
      <c r="AU4300">
        <v>19</v>
      </c>
      <c r="AV4300" t="s">
        <v>11186</v>
      </c>
      <c r="AX4300" t="s">
        <v>11212</v>
      </c>
      <c r="AZ4300" t="s">
        <v>11221</v>
      </c>
      <c r="BE4300" t="s">
        <v>14045</v>
      </c>
      <c r="BF4300" t="s">
        <v>14364</v>
      </c>
      <c r="BM4300" t="s">
        <v>15650</v>
      </c>
    </row>
    <row r="4301" spans="1:65">
      <c r="A4301" s="1">
        <f>HYPERLINK("https://lsnyc.legalserver.org/matter/dynamic-profile/view/1895440","19-1895440")</f>
        <v>0</v>
      </c>
      <c r="B4301" t="s">
        <v>227</v>
      </c>
      <c r="C4301" t="s">
        <v>246</v>
      </c>
      <c r="D4301" t="s">
        <v>370</v>
      </c>
      <c r="F4301" t="s">
        <v>1093</v>
      </c>
      <c r="G4301" t="s">
        <v>2877</v>
      </c>
      <c r="H4301" t="s">
        <v>6223</v>
      </c>
      <c r="I4301">
        <v>2</v>
      </c>
      <c r="J4301" t="s">
        <v>7170</v>
      </c>
      <c r="K4301">
        <v>10457</v>
      </c>
      <c r="N4301" t="s">
        <v>7244</v>
      </c>
      <c r="O4301" t="s">
        <v>9935</v>
      </c>
      <c r="P4301">
        <v>2</v>
      </c>
      <c r="Q4301">
        <v>0</v>
      </c>
      <c r="R4301">
        <v>127.74</v>
      </c>
      <c r="U4301">
        <v>21600</v>
      </c>
      <c r="W4301">
        <v>12.75</v>
      </c>
      <c r="X4301" t="s">
        <v>327</v>
      </c>
      <c r="Y4301" t="s">
        <v>10865</v>
      </c>
      <c r="AA4301" t="s">
        <v>10974</v>
      </c>
      <c r="AB4301" t="s">
        <v>10987</v>
      </c>
      <c r="AD4301" t="s">
        <v>11106</v>
      </c>
      <c r="AF4301" t="s">
        <v>11122</v>
      </c>
      <c r="AH4301" t="s">
        <v>10975</v>
      </c>
      <c r="AJ4301" t="s">
        <v>11129</v>
      </c>
      <c r="AK4301" t="s">
        <v>7225</v>
      </c>
      <c r="AM4301">
        <v>0.01</v>
      </c>
      <c r="AO4301">
        <v>1</v>
      </c>
      <c r="AQ4301" t="s">
        <v>11164</v>
      </c>
      <c r="AS4301" t="s">
        <v>11174</v>
      </c>
      <c r="AT4301" t="s">
        <v>11184</v>
      </c>
      <c r="AU4301">
        <v>0</v>
      </c>
      <c r="AW4301" t="s">
        <v>11187</v>
      </c>
      <c r="AY4301" t="s">
        <v>11213</v>
      </c>
      <c r="BA4301" t="s">
        <v>11222</v>
      </c>
      <c r="BE4301" t="s">
        <v>14048</v>
      </c>
      <c r="BF4301" t="s">
        <v>14364</v>
      </c>
      <c r="BG4301" t="s">
        <v>15434</v>
      </c>
      <c r="BM4301" t="s">
        <v>15650</v>
      </c>
    </row>
    <row r="4302" spans="1:65">
      <c r="A4302" s="1">
        <f>HYPERLINK("https://lsnyc.legalserver.org/matter/dynamic-profile/view/1911896","19-1911896")</f>
        <v>0</v>
      </c>
      <c r="B4302" t="s">
        <v>227</v>
      </c>
      <c r="C4302" t="s">
        <v>246</v>
      </c>
      <c r="D4302" t="s">
        <v>345</v>
      </c>
      <c r="F4302" t="s">
        <v>2724</v>
      </c>
      <c r="G4302" t="s">
        <v>2884</v>
      </c>
      <c r="H4302" t="s">
        <v>6217</v>
      </c>
      <c r="I4302" t="s">
        <v>6502</v>
      </c>
      <c r="J4302" t="s">
        <v>7170</v>
      </c>
      <c r="K4302">
        <v>10452</v>
      </c>
      <c r="N4302" t="s">
        <v>7237</v>
      </c>
      <c r="O4302" t="s">
        <v>9936</v>
      </c>
      <c r="P4302">
        <v>1</v>
      </c>
      <c r="Q4302">
        <v>0</v>
      </c>
      <c r="R4302">
        <v>208.17</v>
      </c>
      <c r="U4302">
        <v>26000</v>
      </c>
      <c r="W4302">
        <v>0</v>
      </c>
      <c r="Y4302" t="s">
        <v>10897</v>
      </c>
      <c r="AA4302" t="s">
        <v>10974</v>
      </c>
      <c r="AD4302" t="s">
        <v>11098</v>
      </c>
      <c r="AF4302" t="s">
        <v>11122</v>
      </c>
      <c r="AH4302" t="s">
        <v>10974</v>
      </c>
      <c r="AJ4302" t="s">
        <v>11141</v>
      </c>
      <c r="AK4302" t="s">
        <v>7225</v>
      </c>
      <c r="AM4302">
        <v>1248.48</v>
      </c>
      <c r="AO4302">
        <v>67</v>
      </c>
      <c r="AQ4302" t="s">
        <v>11164</v>
      </c>
      <c r="AS4302" t="s">
        <v>11173</v>
      </c>
      <c r="AU4302">
        <v>6</v>
      </c>
      <c r="AW4302" t="s">
        <v>11189</v>
      </c>
      <c r="AX4302" t="s">
        <v>11212</v>
      </c>
      <c r="BA4302" t="s">
        <v>11222</v>
      </c>
      <c r="BE4302" t="s">
        <v>14049</v>
      </c>
      <c r="BG4302" t="s">
        <v>15426</v>
      </c>
      <c r="BM4302" t="s">
        <v>15650</v>
      </c>
    </row>
    <row r="4303" spans="1:65">
      <c r="A4303" s="1">
        <f>HYPERLINK("https://lsnyc.legalserver.org/matter/dynamic-profile/view/1911826","19-1911826")</f>
        <v>0</v>
      </c>
      <c r="B4303" t="s">
        <v>227</v>
      </c>
      <c r="C4303" t="s">
        <v>246</v>
      </c>
      <c r="D4303" t="s">
        <v>345</v>
      </c>
      <c r="F4303" t="s">
        <v>1562</v>
      </c>
      <c r="G4303" t="s">
        <v>3770</v>
      </c>
      <c r="H4303" t="s">
        <v>6217</v>
      </c>
      <c r="I4303" t="s">
        <v>6410</v>
      </c>
      <c r="J4303" t="s">
        <v>7170</v>
      </c>
      <c r="K4303">
        <v>10452</v>
      </c>
      <c r="N4303" t="s">
        <v>7237</v>
      </c>
      <c r="O4303" t="s">
        <v>9937</v>
      </c>
      <c r="P4303">
        <v>1</v>
      </c>
      <c r="Q4303">
        <v>1</v>
      </c>
      <c r="R4303">
        <v>455.35</v>
      </c>
      <c r="U4303">
        <v>77000</v>
      </c>
      <c r="W4303">
        <v>0</v>
      </c>
      <c r="Y4303" t="s">
        <v>10897</v>
      </c>
      <c r="AA4303" t="s">
        <v>10974</v>
      </c>
      <c r="AD4303" t="s">
        <v>11098</v>
      </c>
      <c r="AF4303" t="s">
        <v>11122</v>
      </c>
      <c r="AH4303" t="s">
        <v>10974</v>
      </c>
      <c r="AJ4303" t="s">
        <v>11141</v>
      </c>
      <c r="AK4303" t="s">
        <v>7225</v>
      </c>
      <c r="AM4303">
        <v>1326</v>
      </c>
      <c r="AO4303">
        <v>67</v>
      </c>
      <c r="AQ4303" t="s">
        <v>11157</v>
      </c>
      <c r="AS4303" t="s">
        <v>11173</v>
      </c>
      <c r="AU4303">
        <v>5</v>
      </c>
      <c r="AW4303" t="s">
        <v>11187</v>
      </c>
      <c r="AX4303" t="s">
        <v>11212</v>
      </c>
      <c r="BA4303" t="s">
        <v>11222</v>
      </c>
      <c r="BE4303" t="s">
        <v>14050</v>
      </c>
      <c r="BG4303" t="s">
        <v>15426</v>
      </c>
      <c r="BM4303" t="s">
        <v>15650</v>
      </c>
    </row>
    <row r="4304" spans="1:65">
      <c r="A4304" s="1">
        <f>HYPERLINK("https://lsnyc.legalserver.org/matter/dynamic-profile/view/1908649","19-1908649")</f>
        <v>0</v>
      </c>
      <c r="B4304" t="s">
        <v>227</v>
      </c>
      <c r="C4304" t="s">
        <v>246</v>
      </c>
      <c r="D4304" t="s">
        <v>302</v>
      </c>
      <c r="F4304" t="s">
        <v>2725</v>
      </c>
      <c r="G4304" t="s">
        <v>3395</v>
      </c>
      <c r="H4304" t="s">
        <v>5979</v>
      </c>
      <c r="I4304" t="s">
        <v>6415</v>
      </c>
      <c r="J4304" t="s">
        <v>7170</v>
      </c>
      <c r="K4304">
        <v>10474</v>
      </c>
      <c r="N4304" t="s">
        <v>7237</v>
      </c>
      <c r="O4304" t="s">
        <v>9938</v>
      </c>
      <c r="P4304">
        <v>1</v>
      </c>
      <c r="Q4304">
        <v>0</v>
      </c>
      <c r="R4304">
        <v>316.41</v>
      </c>
      <c r="U4304">
        <v>39520</v>
      </c>
      <c r="W4304">
        <v>0</v>
      </c>
      <c r="Y4304" t="s">
        <v>227</v>
      </c>
      <c r="Z4304" t="s">
        <v>10972</v>
      </c>
      <c r="AA4304" t="s">
        <v>10976</v>
      </c>
      <c r="AD4304" t="s">
        <v>11098</v>
      </c>
      <c r="AF4304" t="s">
        <v>11122</v>
      </c>
      <c r="AH4304" t="s">
        <v>10974</v>
      </c>
      <c r="AI4304" t="s">
        <v>11126</v>
      </c>
      <c r="AK4304" t="s">
        <v>7225</v>
      </c>
      <c r="AL4304" t="s">
        <v>11150</v>
      </c>
      <c r="AM4304">
        <v>0</v>
      </c>
      <c r="AN4304" t="s">
        <v>11151</v>
      </c>
      <c r="AO4304" t="s">
        <v>11153</v>
      </c>
      <c r="AP4304" t="s">
        <v>11155</v>
      </c>
      <c r="AR4304" t="s">
        <v>11172</v>
      </c>
      <c r="AT4304" t="s">
        <v>11184</v>
      </c>
      <c r="AU4304">
        <v>0</v>
      </c>
      <c r="AW4304" t="s">
        <v>11187</v>
      </c>
      <c r="AX4304" t="s">
        <v>11212</v>
      </c>
      <c r="AZ4304" t="s">
        <v>11221</v>
      </c>
      <c r="BE4304" t="s">
        <v>14051</v>
      </c>
      <c r="BG4304" t="s">
        <v>15264</v>
      </c>
      <c r="BM4304" t="s">
        <v>15650</v>
      </c>
    </row>
    <row r="4305" spans="1:65">
      <c r="A4305" s="1">
        <f>HYPERLINK("https://lsnyc.legalserver.org/matter/dynamic-profile/view/1907526","19-1907526")</f>
        <v>0</v>
      </c>
      <c r="B4305" t="s">
        <v>227</v>
      </c>
      <c r="C4305" t="s">
        <v>246</v>
      </c>
      <c r="D4305" t="s">
        <v>362</v>
      </c>
      <c r="F4305" t="s">
        <v>2726</v>
      </c>
      <c r="G4305" t="s">
        <v>1187</v>
      </c>
      <c r="H4305" t="s">
        <v>5979</v>
      </c>
      <c r="I4305" t="s">
        <v>6424</v>
      </c>
      <c r="J4305" t="s">
        <v>7170</v>
      </c>
      <c r="K4305">
        <v>10474</v>
      </c>
      <c r="N4305" t="s">
        <v>7237</v>
      </c>
      <c r="O4305" t="s">
        <v>9939</v>
      </c>
      <c r="P4305">
        <v>2</v>
      </c>
      <c r="Q4305">
        <v>1</v>
      </c>
      <c r="R4305">
        <v>271.92</v>
      </c>
      <c r="U4305">
        <v>58000</v>
      </c>
      <c r="W4305">
        <v>0</v>
      </c>
      <c r="Y4305" t="s">
        <v>227</v>
      </c>
      <c r="Z4305" t="s">
        <v>10972</v>
      </c>
      <c r="AA4305" t="s">
        <v>10976</v>
      </c>
      <c r="AD4305" t="s">
        <v>11098</v>
      </c>
      <c r="AF4305" t="s">
        <v>11122</v>
      </c>
      <c r="AH4305" t="s">
        <v>10974</v>
      </c>
      <c r="AJ4305" t="s">
        <v>11141</v>
      </c>
      <c r="AK4305" t="s">
        <v>7225</v>
      </c>
      <c r="AM4305">
        <v>1650</v>
      </c>
      <c r="AO4305">
        <v>45</v>
      </c>
      <c r="AQ4305" t="s">
        <v>11157</v>
      </c>
      <c r="AS4305" t="s">
        <v>11173</v>
      </c>
      <c r="AU4305">
        <v>2</v>
      </c>
      <c r="AW4305" t="s">
        <v>11187</v>
      </c>
      <c r="AX4305" t="s">
        <v>11212</v>
      </c>
      <c r="AZ4305" t="s">
        <v>11221</v>
      </c>
      <c r="BE4305" t="s">
        <v>14052</v>
      </c>
      <c r="BG4305" t="s">
        <v>15264</v>
      </c>
      <c r="BM4305" t="s">
        <v>15650</v>
      </c>
    </row>
    <row r="4306" spans="1:65">
      <c r="A4306" s="1">
        <f>HYPERLINK("https://lsnyc.legalserver.org/matter/dynamic-profile/view/1912916","19-1912916")</f>
        <v>0</v>
      </c>
      <c r="B4306" t="s">
        <v>227</v>
      </c>
      <c r="C4306" t="s">
        <v>246</v>
      </c>
      <c r="D4306" t="s">
        <v>305</v>
      </c>
      <c r="F4306" t="s">
        <v>2145</v>
      </c>
      <c r="G4306" t="s">
        <v>3504</v>
      </c>
      <c r="H4306" t="s">
        <v>5613</v>
      </c>
      <c r="I4306" t="s">
        <v>6551</v>
      </c>
      <c r="J4306" t="s">
        <v>7170</v>
      </c>
      <c r="K4306">
        <v>10458</v>
      </c>
      <c r="N4306" t="s">
        <v>7237</v>
      </c>
      <c r="O4306" t="s">
        <v>8851</v>
      </c>
      <c r="P4306">
        <v>3</v>
      </c>
      <c r="Q4306">
        <v>1</v>
      </c>
      <c r="R4306">
        <v>87.56999999999999</v>
      </c>
      <c r="U4306">
        <v>22548</v>
      </c>
      <c r="W4306">
        <v>0</v>
      </c>
      <c r="Y4306" t="s">
        <v>10865</v>
      </c>
      <c r="AA4306" t="s">
        <v>10974</v>
      </c>
      <c r="AD4306" t="s">
        <v>11101</v>
      </c>
      <c r="AF4306" t="s">
        <v>11118</v>
      </c>
      <c r="AH4306" t="s">
        <v>10974</v>
      </c>
      <c r="AJ4306" t="s">
        <v>11141</v>
      </c>
      <c r="AK4306" t="s">
        <v>7225</v>
      </c>
      <c r="AL4306" t="s">
        <v>11150</v>
      </c>
      <c r="AM4306">
        <v>0</v>
      </c>
      <c r="AO4306">
        <v>94</v>
      </c>
      <c r="AQ4306" t="s">
        <v>11157</v>
      </c>
      <c r="AS4306" t="s">
        <v>11180</v>
      </c>
      <c r="AU4306">
        <v>7</v>
      </c>
      <c r="AW4306" t="s">
        <v>11189</v>
      </c>
      <c r="AX4306" t="s">
        <v>11212</v>
      </c>
      <c r="BA4306" t="s">
        <v>11222</v>
      </c>
      <c r="BE4306" t="s">
        <v>13105</v>
      </c>
      <c r="BF4306" t="s">
        <v>14364</v>
      </c>
      <c r="BM4306" t="s">
        <v>15650</v>
      </c>
    </row>
    <row r="4307" spans="1:65">
      <c r="A4307" s="1">
        <f>HYPERLINK("https://lsnyc.legalserver.org/matter/dynamic-profile/view/1907527","19-1907527")</f>
        <v>0</v>
      </c>
      <c r="B4307" t="s">
        <v>227</v>
      </c>
      <c r="C4307" t="s">
        <v>246</v>
      </c>
      <c r="D4307" t="s">
        <v>362</v>
      </c>
      <c r="F4307" t="s">
        <v>2727</v>
      </c>
      <c r="G4307" t="s">
        <v>2985</v>
      </c>
      <c r="H4307" t="s">
        <v>5979</v>
      </c>
      <c r="I4307" t="s">
        <v>6407</v>
      </c>
      <c r="J4307" t="s">
        <v>7170</v>
      </c>
      <c r="K4307">
        <v>10474</v>
      </c>
      <c r="N4307" t="s">
        <v>7237</v>
      </c>
      <c r="O4307" t="s">
        <v>9940</v>
      </c>
      <c r="P4307">
        <v>2</v>
      </c>
      <c r="Q4307">
        <v>0</v>
      </c>
      <c r="R4307">
        <v>680.0700000000001</v>
      </c>
      <c r="U4307">
        <v>115000</v>
      </c>
      <c r="W4307">
        <v>0</v>
      </c>
      <c r="Y4307" t="s">
        <v>227</v>
      </c>
      <c r="Z4307" t="s">
        <v>10972</v>
      </c>
      <c r="AA4307" t="s">
        <v>10976</v>
      </c>
      <c r="AD4307" t="s">
        <v>11098</v>
      </c>
      <c r="AF4307" t="s">
        <v>11122</v>
      </c>
      <c r="AH4307" t="s">
        <v>10974</v>
      </c>
      <c r="AJ4307" t="s">
        <v>11141</v>
      </c>
      <c r="AK4307" t="s">
        <v>7225</v>
      </c>
      <c r="AM4307">
        <v>1350</v>
      </c>
      <c r="AN4307" t="s">
        <v>11151</v>
      </c>
      <c r="AO4307" t="s">
        <v>11153</v>
      </c>
      <c r="AQ4307" t="s">
        <v>11157</v>
      </c>
      <c r="AR4307" t="s">
        <v>11172</v>
      </c>
      <c r="AU4307">
        <v>2</v>
      </c>
      <c r="AW4307" t="s">
        <v>11205</v>
      </c>
      <c r="AX4307" t="s">
        <v>11212</v>
      </c>
      <c r="AZ4307" t="s">
        <v>11221</v>
      </c>
      <c r="BE4307" t="s">
        <v>14053</v>
      </c>
      <c r="BG4307" t="s">
        <v>15264</v>
      </c>
      <c r="BM4307" t="s">
        <v>15650</v>
      </c>
    </row>
    <row r="4308" spans="1:65">
      <c r="A4308" s="1">
        <f>HYPERLINK("https://lsnyc.legalserver.org/matter/dynamic-profile/view/1907861","19-1907861")</f>
        <v>0</v>
      </c>
      <c r="B4308" t="s">
        <v>227</v>
      </c>
      <c r="C4308" t="s">
        <v>246</v>
      </c>
      <c r="D4308" t="s">
        <v>570</v>
      </c>
      <c r="F4308" t="s">
        <v>2725</v>
      </c>
      <c r="G4308" t="s">
        <v>3395</v>
      </c>
      <c r="H4308" t="s">
        <v>5979</v>
      </c>
      <c r="I4308" t="s">
        <v>6415</v>
      </c>
      <c r="J4308" t="s">
        <v>7170</v>
      </c>
      <c r="K4308">
        <v>10474</v>
      </c>
      <c r="N4308" t="s">
        <v>7237</v>
      </c>
      <c r="O4308" t="s">
        <v>9938</v>
      </c>
      <c r="P4308">
        <v>1</v>
      </c>
      <c r="Q4308">
        <v>0</v>
      </c>
      <c r="R4308">
        <v>316.41</v>
      </c>
      <c r="U4308">
        <v>39520</v>
      </c>
      <c r="W4308">
        <v>0</v>
      </c>
      <c r="Y4308" t="s">
        <v>200</v>
      </c>
      <c r="AA4308" t="s">
        <v>10974</v>
      </c>
      <c r="AD4308" t="s">
        <v>11101</v>
      </c>
      <c r="AF4308" t="s">
        <v>11118</v>
      </c>
      <c r="AH4308" t="s">
        <v>10974</v>
      </c>
      <c r="AJ4308" t="s">
        <v>11141</v>
      </c>
      <c r="AK4308" t="s">
        <v>7225</v>
      </c>
      <c r="AM4308">
        <v>1450</v>
      </c>
      <c r="AO4308">
        <v>40</v>
      </c>
      <c r="AQ4308" t="s">
        <v>11157</v>
      </c>
      <c r="AS4308" t="s">
        <v>11173</v>
      </c>
      <c r="AU4308">
        <v>2</v>
      </c>
      <c r="AW4308" t="s">
        <v>11187</v>
      </c>
      <c r="AX4308" t="s">
        <v>11212</v>
      </c>
      <c r="BA4308" t="s">
        <v>11222</v>
      </c>
      <c r="BE4308" t="s">
        <v>14051</v>
      </c>
      <c r="BF4308" t="s">
        <v>14364</v>
      </c>
      <c r="BM4308" t="s">
        <v>15650</v>
      </c>
    </row>
    <row r="4309" spans="1:65">
      <c r="A4309" s="1">
        <f>HYPERLINK("https://lsnyc.legalserver.org/matter/dynamic-profile/view/1911699","19-1911699")</f>
        <v>0</v>
      </c>
      <c r="B4309" t="s">
        <v>227</v>
      </c>
      <c r="C4309" t="s">
        <v>246</v>
      </c>
      <c r="D4309" t="s">
        <v>563</v>
      </c>
      <c r="F4309" t="s">
        <v>1122</v>
      </c>
      <c r="G4309" t="s">
        <v>4594</v>
      </c>
      <c r="H4309" t="s">
        <v>6217</v>
      </c>
      <c r="I4309" t="s">
        <v>6491</v>
      </c>
      <c r="J4309" t="s">
        <v>7170</v>
      </c>
      <c r="K4309">
        <v>10452</v>
      </c>
      <c r="N4309" t="s">
        <v>7237</v>
      </c>
      <c r="O4309" t="s">
        <v>9941</v>
      </c>
      <c r="P4309">
        <v>3</v>
      </c>
      <c r="Q4309">
        <v>1</v>
      </c>
      <c r="R4309">
        <v>177.55</v>
      </c>
      <c r="U4309">
        <v>45720</v>
      </c>
      <c r="W4309">
        <v>0</v>
      </c>
      <c r="Y4309" t="s">
        <v>10897</v>
      </c>
      <c r="AA4309" t="s">
        <v>10974</v>
      </c>
      <c r="AD4309" t="s">
        <v>11098</v>
      </c>
      <c r="AF4309" t="s">
        <v>11122</v>
      </c>
      <c r="AH4309" t="s">
        <v>10974</v>
      </c>
      <c r="AJ4309" t="s">
        <v>11141</v>
      </c>
      <c r="AK4309" t="s">
        <v>7225</v>
      </c>
      <c r="AM4309">
        <v>1346</v>
      </c>
      <c r="AO4309">
        <v>67</v>
      </c>
      <c r="AQ4309" t="s">
        <v>11164</v>
      </c>
      <c r="AS4309" t="s">
        <v>11173</v>
      </c>
      <c r="AU4309">
        <v>6</v>
      </c>
      <c r="AW4309" t="s">
        <v>11189</v>
      </c>
      <c r="AX4309" t="s">
        <v>11212</v>
      </c>
      <c r="BA4309" t="s">
        <v>11222</v>
      </c>
      <c r="BE4309" t="s">
        <v>14054</v>
      </c>
      <c r="BG4309" t="s">
        <v>15426</v>
      </c>
      <c r="BM4309" t="s">
        <v>15650</v>
      </c>
    </row>
    <row r="4310" spans="1:65">
      <c r="A4310" s="1">
        <f>HYPERLINK("https://lsnyc.legalserver.org/matter/dynamic-profile/view/1913534","19-1913534")</f>
        <v>0</v>
      </c>
      <c r="B4310" t="s">
        <v>227</v>
      </c>
      <c r="C4310" t="s">
        <v>246</v>
      </c>
      <c r="D4310" t="s">
        <v>293</v>
      </c>
      <c r="F4310" t="s">
        <v>1713</v>
      </c>
      <c r="G4310" t="s">
        <v>3236</v>
      </c>
      <c r="H4310" t="s">
        <v>6217</v>
      </c>
      <c r="I4310" t="s">
        <v>6468</v>
      </c>
      <c r="J4310" t="s">
        <v>7170</v>
      </c>
      <c r="K4310">
        <v>10452</v>
      </c>
      <c r="N4310" t="s">
        <v>7237</v>
      </c>
      <c r="O4310" t="s">
        <v>9942</v>
      </c>
      <c r="P4310">
        <v>2</v>
      </c>
      <c r="Q4310">
        <v>0</v>
      </c>
      <c r="R4310">
        <v>324.94</v>
      </c>
      <c r="U4310">
        <v>54948</v>
      </c>
      <c r="W4310">
        <v>0</v>
      </c>
      <c r="Y4310" t="s">
        <v>10865</v>
      </c>
      <c r="AA4310" t="s">
        <v>10974</v>
      </c>
      <c r="AD4310" t="s">
        <v>11098</v>
      </c>
      <c r="AF4310" t="s">
        <v>11122</v>
      </c>
      <c r="AH4310" t="s">
        <v>10974</v>
      </c>
      <c r="AJ4310" t="s">
        <v>11141</v>
      </c>
      <c r="AK4310" t="s">
        <v>7225</v>
      </c>
      <c r="AM4310">
        <v>485</v>
      </c>
      <c r="AO4310">
        <v>67</v>
      </c>
      <c r="AQ4310" t="s">
        <v>11157</v>
      </c>
      <c r="AS4310" t="s">
        <v>11173</v>
      </c>
      <c r="AU4310">
        <v>51</v>
      </c>
      <c r="AW4310" t="s">
        <v>11187</v>
      </c>
      <c r="AX4310" t="s">
        <v>11212</v>
      </c>
      <c r="BA4310" t="s">
        <v>11222</v>
      </c>
      <c r="BB4310" t="s">
        <v>11224</v>
      </c>
      <c r="BC4310" t="s">
        <v>11610</v>
      </c>
      <c r="BE4310" t="s">
        <v>14055</v>
      </c>
      <c r="BG4310" t="s">
        <v>15426</v>
      </c>
      <c r="BM4310" t="s">
        <v>15650</v>
      </c>
    </row>
    <row r="4311" spans="1:65">
      <c r="A4311" s="1">
        <f>HYPERLINK("https://lsnyc.legalserver.org/matter/dynamic-profile/view/1850074","17-1850074")</f>
        <v>0</v>
      </c>
      <c r="B4311" t="s">
        <v>228</v>
      </c>
      <c r="C4311" t="s">
        <v>245</v>
      </c>
      <c r="D4311" t="s">
        <v>369</v>
      </c>
      <c r="H4311" t="s">
        <v>6224</v>
      </c>
      <c r="J4311" t="s">
        <v>7169</v>
      </c>
      <c r="K4311">
        <v>10002</v>
      </c>
      <c r="N4311" t="s">
        <v>7237</v>
      </c>
      <c r="P4311">
        <v>0</v>
      </c>
      <c r="Q4311">
        <v>0</v>
      </c>
      <c r="R4311">
        <v>0</v>
      </c>
      <c r="U4311">
        <v>5000</v>
      </c>
      <c r="W4311">
        <v>101.25</v>
      </c>
      <c r="X4311" t="s">
        <v>801</v>
      </c>
      <c r="Y4311" t="s">
        <v>10862</v>
      </c>
      <c r="Z4311" t="s">
        <v>10972</v>
      </c>
      <c r="AA4311" t="s">
        <v>10976</v>
      </c>
      <c r="AC4311" t="s">
        <v>11081</v>
      </c>
      <c r="AE4311" t="s">
        <v>11117</v>
      </c>
      <c r="AG4311" t="s">
        <v>11124</v>
      </c>
      <c r="AI4311" t="s">
        <v>11126</v>
      </c>
      <c r="AK4311" t="s">
        <v>7225</v>
      </c>
      <c r="AL4311" t="s">
        <v>11150</v>
      </c>
      <c r="AM4311">
        <v>0</v>
      </c>
      <c r="AN4311" t="s">
        <v>11151</v>
      </c>
      <c r="AO4311" t="s">
        <v>11153</v>
      </c>
      <c r="AP4311" t="s">
        <v>11155</v>
      </c>
      <c r="AR4311" t="s">
        <v>11172</v>
      </c>
      <c r="AT4311" t="s">
        <v>11184</v>
      </c>
      <c r="AU4311">
        <v>0</v>
      </c>
      <c r="AV4311" t="s">
        <v>11186</v>
      </c>
      <c r="AX4311" t="s">
        <v>11212</v>
      </c>
      <c r="AZ4311" t="s">
        <v>11221</v>
      </c>
      <c r="BD4311" t="s">
        <v>11667</v>
      </c>
      <c r="BF4311" t="s">
        <v>14364</v>
      </c>
      <c r="BM4311" t="s">
        <v>15650</v>
      </c>
    </row>
    <row r="4312" spans="1:65">
      <c r="A4312" s="1">
        <f>HYPERLINK("https://lsnyc.legalserver.org/matter/dynamic-profile/view/1850587","17-1850587")</f>
        <v>0</v>
      </c>
      <c r="B4312" t="s">
        <v>228</v>
      </c>
      <c r="C4312" t="s">
        <v>245</v>
      </c>
      <c r="D4312" t="s">
        <v>391</v>
      </c>
      <c r="H4312" t="s">
        <v>4756</v>
      </c>
      <c r="J4312" t="s">
        <v>7169</v>
      </c>
      <c r="K4312">
        <v>10002</v>
      </c>
      <c r="N4312" t="s">
        <v>7237</v>
      </c>
      <c r="P4312">
        <v>0</v>
      </c>
      <c r="Q4312">
        <v>0</v>
      </c>
      <c r="R4312">
        <v>0</v>
      </c>
      <c r="U4312">
        <v>66360</v>
      </c>
      <c r="W4312">
        <v>208.15</v>
      </c>
      <c r="X4312" t="s">
        <v>599</v>
      </c>
      <c r="Y4312" t="s">
        <v>10862</v>
      </c>
      <c r="Z4312" t="s">
        <v>10972</v>
      </c>
      <c r="AA4312" t="s">
        <v>10976</v>
      </c>
      <c r="AC4312" t="s">
        <v>11081</v>
      </c>
      <c r="AE4312" t="s">
        <v>11117</v>
      </c>
      <c r="AG4312" t="s">
        <v>11124</v>
      </c>
      <c r="AI4312" t="s">
        <v>11126</v>
      </c>
      <c r="AK4312" t="s">
        <v>7225</v>
      </c>
      <c r="AL4312" t="s">
        <v>11150</v>
      </c>
      <c r="AM4312">
        <v>0</v>
      </c>
      <c r="AN4312" t="s">
        <v>11151</v>
      </c>
      <c r="AO4312" t="s">
        <v>11153</v>
      </c>
      <c r="AP4312" t="s">
        <v>11155</v>
      </c>
      <c r="AR4312" t="s">
        <v>11172</v>
      </c>
      <c r="AT4312" t="s">
        <v>11184</v>
      </c>
      <c r="AU4312">
        <v>0</v>
      </c>
      <c r="AV4312" t="s">
        <v>11186</v>
      </c>
      <c r="AX4312" t="s">
        <v>11212</v>
      </c>
      <c r="AZ4312" t="s">
        <v>11221</v>
      </c>
      <c r="BD4312" t="s">
        <v>11667</v>
      </c>
      <c r="BF4312" t="s">
        <v>14364</v>
      </c>
      <c r="BM4312" t="s">
        <v>15650</v>
      </c>
    </row>
    <row r="4313" spans="1:65">
      <c r="A4313" s="1">
        <f>HYPERLINK("https://lsnyc.legalserver.org/matter/dynamic-profile/view/0827601","17-0827601")</f>
        <v>0</v>
      </c>
      <c r="B4313" t="s">
        <v>228</v>
      </c>
      <c r="C4313" t="s">
        <v>245</v>
      </c>
      <c r="D4313" t="s">
        <v>459</v>
      </c>
      <c r="F4313" t="s">
        <v>2728</v>
      </c>
      <c r="G4313" t="s">
        <v>4595</v>
      </c>
      <c r="H4313" t="s">
        <v>4756</v>
      </c>
      <c r="I4313" t="s">
        <v>6654</v>
      </c>
      <c r="J4313" t="s">
        <v>7169</v>
      </c>
      <c r="K4313">
        <v>10002</v>
      </c>
      <c r="N4313" t="s">
        <v>7237</v>
      </c>
      <c r="O4313" t="s">
        <v>9943</v>
      </c>
      <c r="P4313">
        <v>2</v>
      </c>
      <c r="Q4313">
        <v>0</v>
      </c>
      <c r="R4313">
        <v>123.92</v>
      </c>
      <c r="U4313">
        <v>20124</v>
      </c>
      <c r="W4313">
        <v>169.4</v>
      </c>
      <c r="X4313" t="s">
        <v>436</v>
      </c>
      <c r="Y4313" t="s">
        <v>10858</v>
      </c>
      <c r="AA4313" t="s">
        <v>10974</v>
      </c>
      <c r="AB4313" t="s">
        <v>849</v>
      </c>
      <c r="AD4313" t="s">
        <v>11101</v>
      </c>
      <c r="AF4313" t="s">
        <v>11118</v>
      </c>
      <c r="AG4313" t="s">
        <v>11124</v>
      </c>
      <c r="AI4313" t="s">
        <v>11126</v>
      </c>
      <c r="AK4313" t="s">
        <v>7225</v>
      </c>
      <c r="AL4313" t="s">
        <v>11150</v>
      </c>
      <c r="AM4313">
        <v>0</v>
      </c>
      <c r="AN4313" t="s">
        <v>11151</v>
      </c>
      <c r="AO4313" t="s">
        <v>11153</v>
      </c>
      <c r="AP4313" t="s">
        <v>11155</v>
      </c>
      <c r="AR4313" t="s">
        <v>11172</v>
      </c>
      <c r="AT4313" t="s">
        <v>11184</v>
      </c>
      <c r="AU4313">
        <v>0</v>
      </c>
      <c r="AW4313" t="s">
        <v>11192</v>
      </c>
      <c r="AZ4313" t="s">
        <v>11221</v>
      </c>
      <c r="BE4313" t="s">
        <v>14056</v>
      </c>
      <c r="BF4313" t="s">
        <v>14364</v>
      </c>
      <c r="BM4313" t="s">
        <v>15650</v>
      </c>
    </row>
    <row r="4314" spans="1:65">
      <c r="A4314" s="1">
        <f>HYPERLINK("https://lsnyc.legalserver.org/matter/dynamic-profile/view/1862088","18-1862088")</f>
        <v>0</v>
      </c>
      <c r="B4314" t="s">
        <v>228</v>
      </c>
      <c r="C4314" t="s">
        <v>245</v>
      </c>
      <c r="D4314" t="s">
        <v>388</v>
      </c>
      <c r="F4314" t="s">
        <v>2729</v>
      </c>
      <c r="G4314" t="s">
        <v>4596</v>
      </c>
      <c r="H4314" t="s">
        <v>6225</v>
      </c>
      <c r="I4314">
        <v>713</v>
      </c>
      <c r="J4314" t="s">
        <v>7169</v>
      </c>
      <c r="K4314">
        <v>10001</v>
      </c>
      <c r="N4314" t="s">
        <v>7237</v>
      </c>
      <c r="O4314" t="s">
        <v>9944</v>
      </c>
      <c r="P4314">
        <v>2</v>
      </c>
      <c r="Q4314">
        <v>1</v>
      </c>
      <c r="R4314">
        <v>161.69</v>
      </c>
      <c r="U4314">
        <v>33600</v>
      </c>
      <c r="W4314">
        <v>119.8</v>
      </c>
      <c r="X4314" t="s">
        <v>262</v>
      </c>
      <c r="Y4314" t="s">
        <v>10862</v>
      </c>
      <c r="AA4314" t="s">
        <v>10974</v>
      </c>
      <c r="AB4314" t="s">
        <v>718</v>
      </c>
      <c r="AD4314" t="s">
        <v>11083</v>
      </c>
      <c r="AF4314" t="s">
        <v>11118</v>
      </c>
      <c r="AH4314" t="s">
        <v>10975</v>
      </c>
      <c r="AJ4314" t="s">
        <v>11131</v>
      </c>
      <c r="AK4314" t="s">
        <v>7225</v>
      </c>
      <c r="AM4314">
        <v>800</v>
      </c>
      <c r="AN4314" t="s">
        <v>11151</v>
      </c>
      <c r="AO4314" t="s">
        <v>11153</v>
      </c>
      <c r="AQ4314" t="s">
        <v>11164</v>
      </c>
      <c r="AR4314" t="s">
        <v>11172</v>
      </c>
      <c r="AU4314">
        <v>18</v>
      </c>
      <c r="AW4314" t="s">
        <v>11188</v>
      </c>
      <c r="BA4314" t="s">
        <v>11222</v>
      </c>
      <c r="BE4314" t="s">
        <v>14057</v>
      </c>
      <c r="BG4314" t="s">
        <v>15435</v>
      </c>
      <c r="BM4314" t="s">
        <v>15650</v>
      </c>
    </row>
    <row r="4315" spans="1:65">
      <c r="A4315" s="1">
        <f>HYPERLINK("https://lsnyc.legalserver.org/matter/dynamic-profile/view/1843143","17-1843143")</f>
        <v>0</v>
      </c>
      <c r="B4315" t="s">
        <v>228</v>
      </c>
      <c r="C4315" t="s">
        <v>245</v>
      </c>
      <c r="D4315" t="s">
        <v>821</v>
      </c>
      <c r="F4315" t="s">
        <v>2730</v>
      </c>
      <c r="G4315" t="s">
        <v>4196</v>
      </c>
      <c r="H4315" t="s">
        <v>6224</v>
      </c>
      <c r="I4315">
        <v>2</v>
      </c>
      <c r="J4315" t="s">
        <v>7169</v>
      </c>
      <c r="K4315">
        <v>10002</v>
      </c>
      <c r="M4315" t="s">
        <v>7224</v>
      </c>
      <c r="N4315" t="s">
        <v>7237</v>
      </c>
      <c r="O4315" t="s">
        <v>9945</v>
      </c>
      <c r="P4315">
        <v>2</v>
      </c>
      <c r="Q4315">
        <v>2</v>
      </c>
      <c r="R4315">
        <v>78.05</v>
      </c>
      <c r="U4315">
        <v>38400</v>
      </c>
      <c r="W4315">
        <v>45.15</v>
      </c>
      <c r="X4315" t="s">
        <v>1032</v>
      </c>
      <c r="Y4315" t="s">
        <v>10860</v>
      </c>
      <c r="Z4315" t="s">
        <v>10972</v>
      </c>
      <c r="AA4315" t="s">
        <v>10976</v>
      </c>
      <c r="AD4315" t="s">
        <v>11086</v>
      </c>
      <c r="AF4315" t="s">
        <v>11118</v>
      </c>
      <c r="AG4315" t="s">
        <v>11124</v>
      </c>
      <c r="AI4315" t="s">
        <v>11126</v>
      </c>
      <c r="AK4315" t="s">
        <v>7225</v>
      </c>
      <c r="AL4315" t="s">
        <v>11150</v>
      </c>
      <c r="AM4315">
        <v>0</v>
      </c>
      <c r="AN4315" t="s">
        <v>11151</v>
      </c>
      <c r="AO4315" t="s">
        <v>11153</v>
      </c>
      <c r="AP4315" t="s">
        <v>11155</v>
      </c>
      <c r="AR4315" t="s">
        <v>11172</v>
      </c>
      <c r="AT4315" t="s">
        <v>11184</v>
      </c>
      <c r="AU4315">
        <v>0</v>
      </c>
      <c r="AV4315" t="s">
        <v>11186</v>
      </c>
      <c r="AX4315" t="s">
        <v>11212</v>
      </c>
      <c r="AZ4315" t="s">
        <v>11221</v>
      </c>
      <c r="BE4315" t="s">
        <v>14058</v>
      </c>
      <c r="BF4315" t="s">
        <v>14364</v>
      </c>
      <c r="BM4315" t="s">
        <v>15650</v>
      </c>
    </row>
    <row r="4316" spans="1:65">
      <c r="A4316" s="1">
        <f>HYPERLINK("https://lsnyc.legalserver.org/matter/dynamic-profile/view/0745411","13-0745411")</f>
        <v>0</v>
      </c>
      <c r="B4316" t="s">
        <v>229</v>
      </c>
      <c r="C4316" t="s">
        <v>248</v>
      </c>
      <c r="D4316" t="s">
        <v>1044</v>
      </c>
      <c r="F4316" t="s">
        <v>2731</v>
      </c>
      <c r="G4316" t="s">
        <v>4597</v>
      </c>
      <c r="H4316" t="s">
        <v>6226</v>
      </c>
      <c r="J4316" t="s">
        <v>7174</v>
      </c>
      <c r="K4316">
        <v>11211</v>
      </c>
      <c r="M4316" t="s">
        <v>7226</v>
      </c>
      <c r="N4316" t="s">
        <v>7237</v>
      </c>
      <c r="O4316" t="s">
        <v>9946</v>
      </c>
      <c r="P4316">
        <v>4</v>
      </c>
      <c r="Q4316">
        <v>4</v>
      </c>
      <c r="R4316">
        <v>70.65000000000001</v>
      </c>
      <c r="U4316">
        <v>28000</v>
      </c>
      <c r="W4316">
        <v>849.95</v>
      </c>
      <c r="X4316" t="s">
        <v>519</v>
      </c>
      <c r="Y4316" t="s">
        <v>10968</v>
      </c>
      <c r="Z4316" t="s">
        <v>10972</v>
      </c>
      <c r="AA4316" t="s">
        <v>10975</v>
      </c>
      <c r="AC4316" t="s">
        <v>11081</v>
      </c>
      <c r="AF4316" t="s">
        <v>11118</v>
      </c>
      <c r="AG4316" t="s">
        <v>11124</v>
      </c>
      <c r="AI4316" t="s">
        <v>11126</v>
      </c>
      <c r="AK4316" t="s">
        <v>7225</v>
      </c>
      <c r="AL4316" t="s">
        <v>11150</v>
      </c>
      <c r="AM4316">
        <v>0</v>
      </c>
      <c r="AN4316" t="s">
        <v>11151</v>
      </c>
      <c r="AO4316" t="s">
        <v>11153</v>
      </c>
      <c r="AP4316" t="s">
        <v>11155</v>
      </c>
      <c r="AR4316" t="s">
        <v>11172</v>
      </c>
      <c r="AT4316" t="s">
        <v>11184</v>
      </c>
      <c r="AU4316">
        <v>0</v>
      </c>
      <c r="AW4316" t="s">
        <v>11187</v>
      </c>
      <c r="AX4316" t="s">
        <v>11212</v>
      </c>
      <c r="AZ4316" t="s">
        <v>11221</v>
      </c>
      <c r="BE4316" t="s">
        <v>14059</v>
      </c>
      <c r="BG4316" t="s">
        <v>15436</v>
      </c>
      <c r="BM4316" t="s">
        <v>15650</v>
      </c>
    </row>
    <row r="4317" spans="1:65">
      <c r="A4317" s="1">
        <f>HYPERLINK("https://lsnyc.legalserver.org/matter/dynamic-profile/view/1895991","19-1895991")</f>
        <v>0</v>
      </c>
      <c r="B4317" t="s">
        <v>230</v>
      </c>
      <c r="C4317" t="s">
        <v>247</v>
      </c>
      <c r="D4317" t="s">
        <v>295</v>
      </c>
      <c r="F4317" t="s">
        <v>2732</v>
      </c>
      <c r="G4317" t="s">
        <v>4598</v>
      </c>
      <c r="H4317" t="s">
        <v>6227</v>
      </c>
      <c r="I4317" t="s">
        <v>7112</v>
      </c>
      <c r="J4317" t="s">
        <v>7175</v>
      </c>
      <c r="K4317">
        <v>11423</v>
      </c>
      <c r="N4317" t="s">
        <v>7237</v>
      </c>
      <c r="O4317" t="s">
        <v>9947</v>
      </c>
      <c r="P4317">
        <v>1</v>
      </c>
      <c r="Q4317">
        <v>2</v>
      </c>
      <c r="R4317">
        <v>131.08</v>
      </c>
      <c r="U4317">
        <v>27960</v>
      </c>
      <c r="W4317">
        <v>4.95</v>
      </c>
      <c r="X4317" t="s">
        <v>269</v>
      </c>
      <c r="Y4317" t="s">
        <v>10939</v>
      </c>
      <c r="AA4317" t="s">
        <v>10974</v>
      </c>
      <c r="AB4317" t="s">
        <v>295</v>
      </c>
      <c r="AD4317" t="s">
        <v>11083</v>
      </c>
      <c r="AF4317" t="s">
        <v>11119</v>
      </c>
      <c r="AH4317" t="s">
        <v>10975</v>
      </c>
      <c r="AJ4317" t="s">
        <v>11138</v>
      </c>
      <c r="AK4317" t="s">
        <v>7225</v>
      </c>
      <c r="AM4317">
        <v>1800</v>
      </c>
      <c r="AO4317">
        <v>2</v>
      </c>
      <c r="AQ4317" t="s">
        <v>11156</v>
      </c>
      <c r="AS4317" t="s">
        <v>11104</v>
      </c>
      <c r="AU4317">
        <v>14</v>
      </c>
      <c r="AW4317" t="s">
        <v>11187</v>
      </c>
      <c r="AY4317" t="s">
        <v>11213</v>
      </c>
      <c r="BA4317" t="s">
        <v>11222</v>
      </c>
      <c r="BB4317" t="s">
        <v>11224</v>
      </c>
      <c r="BC4317" t="s">
        <v>11236</v>
      </c>
      <c r="BE4317" t="s">
        <v>14060</v>
      </c>
      <c r="BG4317" t="s">
        <v>15437</v>
      </c>
      <c r="BM4317" t="s">
        <v>15650</v>
      </c>
    </row>
    <row r="4318" spans="1:65">
      <c r="A4318" s="1">
        <f>HYPERLINK("https://lsnyc.legalserver.org/matter/dynamic-profile/view/1886287","18-1886287")</f>
        <v>0</v>
      </c>
      <c r="B4318" t="s">
        <v>230</v>
      </c>
      <c r="C4318" t="s">
        <v>247</v>
      </c>
      <c r="D4318" t="s">
        <v>678</v>
      </c>
      <c r="F4318" t="s">
        <v>2733</v>
      </c>
      <c r="G4318" t="s">
        <v>4599</v>
      </c>
      <c r="H4318" t="s">
        <v>6228</v>
      </c>
      <c r="I4318">
        <v>1</v>
      </c>
      <c r="J4318" t="s">
        <v>7194</v>
      </c>
      <c r="K4318">
        <v>11692</v>
      </c>
      <c r="N4318" t="s">
        <v>7237</v>
      </c>
      <c r="O4318" t="s">
        <v>9948</v>
      </c>
      <c r="P4318">
        <v>4</v>
      </c>
      <c r="Q4318">
        <v>1</v>
      </c>
      <c r="R4318">
        <v>135.96</v>
      </c>
      <c r="U4318">
        <v>40000</v>
      </c>
      <c r="W4318">
        <v>1.15</v>
      </c>
      <c r="X4318" t="s">
        <v>685</v>
      </c>
      <c r="Y4318" t="s">
        <v>202</v>
      </c>
      <c r="AA4318" t="s">
        <v>10974</v>
      </c>
      <c r="AD4318" t="s">
        <v>11083</v>
      </c>
      <c r="AE4318" t="s">
        <v>11117</v>
      </c>
      <c r="AH4318" t="s">
        <v>10975</v>
      </c>
      <c r="AJ4318" t="s">
        <v>11138</v>
      </c>
      <c r="AK4318" t="s">
        <v>7225</v>
      </c>
      <c r="AL4318" t="s">
        <v>11150</v>
      </c>
      <c r="AM4318">
        <v>0</v>
      </c>
      <c r="AO4318">
        <v>2</v>
      </c>
      <c r="AP4318" t="s">
        <v>11155</v>
      </c>
      <c r="AS4318" t="s">
        <v>11173</v>
      </c>
      <c r="AU4318">
        <v>8</v>
      </c>
      <c r="AW4318" t="s">
        <v>11187</v>
      </c>
      <c r="AX4318" t="s">
        <v>11212</v>
      </c>
      <c r="AZ4318" t="s">
        <v>11221</v>
      </c>
      <c r="BE4318" t="s">
        <v>14061</v>
      </c>
      <c r="BG4318" t="s">
        <v>15438</v>
      </c>
      <c r="BM4318" t="s">
        <v>15650</v>
      </c>
    </row>
    <row r="4319" spans="1:65">
      <c r="A4319" s="1">
        <f>HYPERLINK("https://lsnyc.legalserver.org/matter/dynamic-profile/view/1833880","17-1833880")</f>
        <v>0</v>
      </c>
      <c r="B4319" t="s">
        <v>230</v>
      </c>
      <c r="C4319" t="s">
        <v>247</v>
      </c>
      <c r="D4319" t="s">
        <v>256</v>
      </c>
      <c r="F4319" t="s">
        <v>1383</v>
      </c>
      <c r="G4319" t="s">
        <v>2886</v>
      </c>
      <c r="H4319" t="s">
        <v>6229</v>
      </c>
      <c r="J4319" t="s">
        <v>7212</v>
      </c>
      <c r="K4319">
        <v>11413</v>
      </c>
      <c r="N4319" t="s">
        <v>7238</v>
      </c>
      <c r="O4319" t="s">
        <v>9949</v>
      </c>
      <c r="P4319">
        <v>1</v>
      </c>
      <c r="Q4319">
        <v>1</v>
      </c>
      <c r="R4319">
        <v>117.73</v>
      </c>
      <c r="U4319">
        <v>19120</v>
      </c>
      <c r="W4319">
        <v>11.2</v>
      </c>
      <c r="X4319" t="s">
        <v>626</v>
      </c>
      <c r="Y4319" t="s">
        <v>10939</v>
      </c>
      <c r="Z4319" t="s">
        <v>10972</v>
      </c>
      <c r="AA4319" t="s">
        <v>10976</v>
      </c>
      <c r="AD4319" t="s">
        <v>11094</v>
      </c>
      <c r="AF4319" t="s">
        <v>11122</v>
      </c>
      <c r="AG4319" t="s">
        <v>11124</v>
      </c>
      <c r="AI4319" t="s">
        <v>11126</v>
      </c>
      <c r="AK4319" t="s">
        <v>7225</v>
      </c>
      <c r="AM4319">
        <v>1658</v>
      </c>
      <c r="AN4319" t="s">
        <v>11151</v>
      </c>
      <c r="AO4319" t="s">
        <v>11153</v>
      </c>
      <c r="AP4319" t="s">
        <v>11155</v>
      </c>
      <c r="AS4319" t="s">
        <v>11174</v>
      </c>
      <c r="AT4319" t="s">
        <v>11184</v>
      </c>
      <c r="AU4319">
        <v>0</v>
      </c>
      <c r="AV4319" t="s">
        <v>11186</v>
      </c>
      <c r="AX4319" t="s">
        <v>11212</v>
      </c>
      <c r="AZ4319" t="s">
        <v>11221</v>
      </c>
      <c r="BE4319" t="s">
        <v>14062</v>
      </c>
      <c r="BF4319" t="s">
        <v>14364</v>
      </c>
      <c r="BG4319" t="s">
        <v>15439</v>
      </c>
      <c r="BM4319" t="s">
        <v>15650</v>
      </c>
    </row>
    <row r="4320" spans="1:65">
      <c r="A4320" s="1">
        <f>HYPERLINK("https://lsnyc.legalserver.org/matter/dynamic-profile/view/1900415","19-1900415")</f>
        <v>0</v>
      </c>
      <c r="B4320" t="s">
        <v>230</v>
      </c>
      <c r="C4320" t="s">
        <v>247</v>
      </c>
      <c r="D4320" t="s">
        <v>275</v>
      </c>
      <c r="F4320" t="s">
        <v>1877</v>
      </c>
      <c r="G4320" t="s">
        <v>4600</v>
      </c>
      <c r="H4320" t="s">
        <v>6144</v>
      </c>
      <c r="I4320">
        <v>206</v>
      </c>
      <c r="J4320" t="s">
        <v>7194</v>
      </c>
      <c r="K4320">
        <v>11692</v>
      </c>
      <c r="N4320" t="s">
        <v>7237</v>
      </c>
      <c r="O4320" t="s">
        <v>9950</v>
      </c>
      <c r="P4320">
        <v>1</v>
      </c>
      <c r="Q4320">
        <v>0</v>
      </c>
      <c r="R4320">
        <v>0</v>
      </c>
      <c r="U4320">
        <v>0</v>
      </c>
      <c r="W4320">
        <v>2.1</v>
      </c>
      <c r="X4320" t="s">
        <v>866</v>
      </c>
      <c r="Y4320" t="s">
        <v>10870</v>
      </c>
      <c r="AA4320" t="s">
        <v>10974</v>
      </c>
      <c r="AB4320" t="s">
        <v>275</v>
      </c>
      <c r="AD4320" t="s">
        <v>11082</v>
      </c>
      <c r="AF4320" t="s">
        <v>11119</v>
      </c>
      <c r="AH4320" t="s">
        <v>10975</v>
      </c>
      <c r="AJ4320" t="s">
        <v>11130</v>
      </c>
      <c r="AK4320" t="s">
        <v>7225</v>
      </c>
      <c r="AM4320">
        <v>1673</v>
      </c>
      <c r="AO4320">
        <v>1091</v>
      </c>
      <c r="AQ4320" t="s">
        <v>11156</v>
      </c>
      <c r="AS4320" t="s">
        <v>11174</v>
      </c>
      <c r="AU4320">
        <v>6</v>
      </c>
      <c r="AW4320" t="s">
        <v>11187</v>
      </c>
      <c r="AY4320" t="s">
        <v>11213</v>
      </c>
      <c r="BA4320" t="s">
        <v>11222</v>
      </c>
      <c r="BB4320" t="s">
        <v>11224</v>
      </c>
      <c r="BC4320" t="s">
        <v>11236</v>
      </c>
      <c r="BE4320" t="s">
        <v>14063</v>
      </c>
      <c r="BG4320" t="s">
        <v>15440</v>
      </c>
      <c r="BM4320" t="s">
        <v>15650</v>
      </c>
    </row>
    <row r="4321" spans="1:67">
      <c r="A4321" s="1">
        <f>HYPERLINK("https://lsnyc.legalserver.org/matter/dynamic-profile/view/1906250","19-1906250")</f>
        <v>0</v>
      </c>
      <c r="B4321" t="s">
        <v>230</v>
      </c>
      <c r="C4321" t="s">
        <v>247</v>
      </c>
      <c r="D4321" t="s">
        <v>524</v>
      </c>
      <c r="F4321" t="s">
        <v>1221</v>
      </c>
      <c r="G4321" t="s">
        <v>4048</v>
      </c>
      <c r="H4321" t="s">
        <v>6230</v>
      </c>
      <c r="I4321" t="s">
        <v>6628</v>
      </c>
      <c r="J4321" t="s">
        <v>7181</v>
      </c>
      <c r="K4321">
        <v>11101</v>
      </c>
      <c r="N4321" t="s">
        <v>7237</v>
      </c>
      <c r="O4321" t="s">
        <v>9951</v>
      </c>
      <c r="P4321">
        <v>2</v>
      </c>
      <c r="Q4321">
        <v>0</v>
      </c>
      <c r="R4321">
        <v>118.27</v>
      </c>
      <c r="U4321">
        <v>20000</v>
      </c>
      <c r="W4321">
        <v>3.93</v>
      </c>
      <c r="X4321" t="s">
        <v>653</v>
      </c>
      <c r="Y4321" t="s">
        <v>10875</v>
      </c>
      <c r="AA4321" t="s">
        <v>10974</v>
      </c>
      <c r="AD4321" t="s">
        <v>11082</v>
      </c>
      <c r="AF4321" t="s">
        <v>11121</v>
      </c>
      <c r="AH4321" t="s">
        <v>10974</v>
      </c>
      <c r="AJ4321" t="s">
        <v>11138</v>
      </c>
      <c r="AK4321" t="s">
        <v>7225</v>
      </c>
      <c r="AM4321">
        <v>997</v>
      </c>
      <c r="AO4321">
        <v>60</v>
      </c>
      <c r="AQ4321" t="s">
        <v>11164</v>
      </c>
      <c r="AS4321" t="s">
        <v>11173</v>
      </c>
      <c r="AU4321">
        <v>22</v>
      </c>
      <c r="AV4321" t="s">
        <v>11186</v>
      </c>
      <c r="AX4321" t="s">
        <v>11212</v>
      </c>
      <c r="BA4321" t="s">
        <v>11222</v>
      </c>
      <c r="BB4321" t="s">
        <v>11224</v>
      </c>
      <c r="BC4321" t="s">
        <v>11611</v>
      </c>
      <c r="BE4321" t="s">
        <v>14064</v>
      </c>
      <c r="BG4321" t="s">
        <v>15441</v>
      </c>
      <c r="BM4321" t="s">
        <v>15650</v>
      </c>
    </row>
    <row r="4322" spans="1:67">
      <c r="A4322" s="1">
        <f>HYPERLINK("https://lsnyc.legalserver.org/matter/dynamic-profile/view/1908828","19-1908828")</f>
        <v>0</v>
      </c>
      <c r="B4322" t="s">
        <v>231</v>
      </c>
      <c r="C4322" t="s">
        <v>248</v>
      </c>
      <c r="D4322" t="s">
        <v>422</v>
      </c>
      <c r="F4322" t="s">
        <v>1106</v>
      </c>
      <c r="G4322" t="s">
        <v>4601</v>
      </c>
      <c r="H4322" t="s">
        <v>6231</v>
      </c>
      <c r="I4322">
        <v>2</v>
      </c>
      <c r="J4322" t="s">
        <v>7174</v>
      </c>
      <c r="K4322">
        <v>11215</v>
      </c>
      <c r="N4322" t="s">
        <v>7249</v>
      </c>
      <c r="O4322" t="s">
        <v>9952</v>
      </c>
      <c r="P4322">
        <v>1</v>
      </c>
      <c r="Q4322">
        <v>0</v>
      </c>
      <c r="R4322">
        <v>371.82</v>
      </c>
      <c r="U4322">
        <v>46440</v>
      </c>
      <c r="W4322">
        <v>13.85</v>
      </c>
      <c r="X4322" t="s">
        <v>548</v>
      </c>
      <c r="Y4322" t="s">
        <v>10914</v>
      </c>
      <c r="Z4322" t="s">
        <v>10972</v>
      </c>
      <c r="AA4322" t="s">
        <v>10976</v>
      </c>
      <c r="AC4322" t="s">
        <v>11081</v>
      </c>
      <c r="AE4322" t="s">
        <v>11117</v>
      </c>
      <c r="AG4322" t="s">
        <v>11124</v>
      </c>
      <c r="AI4322" t="s">
        <v>11126</v>
      </c>
      <c r="AK4322" t="s">
        <v>7225</v>
      </c>
      <c r="AL4322" t="s">
        <v>11150</v>
      </c>
      <c r="AM4322">
        <v>0</v>
      </c>
      <c r="AN4322" t="s">
        <v>11151</v>
      </c>
      <c r="AO4322" t="s">
        <v>11153</v>
      </c>
      <c r="AP4322" t="s">
        <v>11155</v>
      </c>
      <c r="AR4322" t="s">
        <v>11172</v>
      </c>
      <c r="AT4322" t="s">
        <v>11184</v>
      </c>
      <c r="AU4322">
        <v>0</v>
      </c>
      <c r="AW4322" t="s">
        <v>11187</v>
      </c>
      <c r="AX4322" t="s">
        <v>11212</v>
      </c>
      <c r="AZ4322" t="s">
        <v>11221</v>
      </c>
      <c r="BE4322" t="s">
        <v>14065</v>
      </c>
      <c r="BF4322" t="s">
        <v>14364</v>
      </c>
      <c r="BM4322" t="s">
        <v>15650</v>
      </c>
    </row>
    <row r="4323" spans="1:67">
      <c r="A4323" s="1">
        <f>HYPERLINK("https://lsnyc.legalserver.org/matter/dynamic-profile/view/1904468","19-1904468")</f>
        <v>0</v>
      </c>
      <c r="B4323" t="s">
        <v>232</v>
      </c>
      <c r="C4323" t="s">
        <v>246</v>
      </c>
      <c r="D4323" t="s">
        <v>310</v>
      </c>
      <c r="E4323" t="s">
        <v>297</v>
      </c>
      <c r="F4323" t="s">
        <v>2734</v>
      </c>
      <c r="G4323" t="s">
        <v>2877</v>
      </c>
      <c r="H4323" t="s">
        <v>6232</v>
      </c>
      <c r="I4323" t="s">
        <v>6419</v>
      </c>
      <c r="J4323" t="s">
        <v>7170</v>
      </c>
      <c r="K4323">
        <v>10470</v>
      </c>
      <c r="L4323" t="s">
        <v>7219</v>
      </c>
      <c r="N4323" t="s">
        <v>7237</v>
      </c>
      <c r="O4323" t="s">
        <v>9953</v>
      </c>
      <c r="P4323">
        <v>1</v>
      </c>
      <c r="Q4323">
        <v>3</v>
      </c>
      <c r="R4323">
        <v>21.06</v>
      </c>
      <c r="U4323">
        <v>5424</v>
      </c>
      <c r="W4323">
        <v>0.5</v>
      </c>
      <c r="X4323" t="s">
        <v>297</v>
      </c>
      <c r="Y4323" t="s">
        <v>216</v>
      </c>
      <c r="AA4323" t="s">
        <v>10974</v>
      </c>
      <c r="AD4323" t="s">
        <v>11101</v>
      </c>
      <c r="AF4323" t="s">
        <v>11118</v>
      </c>
      <c r="AH4323" t="s">
        <v>10974</v>
      </c>
      <c r="AJ4323" t="s">
        <v>11141</v>
      </c>
      <c r="AK4323" t="s">
        <v>7225</v>
      </c>
      <c r="AM4323">
        <v>1532.94</v>
      </c>
      <c r="AO4323">
        <v>63</v>
      </c>
      <c r="AQ4323" t="s">
        <v>11164</v>
      </c>
      <c r="AS4323" t="s">
        <v>11180</v>
      </c>
      <c r="AU4323">
        <v>4</v>
      </c>
      <c r="AW4323" t="s">
        <v>11187</v>
      </c>
      <c r="AX4323" t="s">
        <v>11212</v>
      </c>
      <c r="BA4323" t="s">
        <v>11222</v>
      </c>
      <c r="BE4323" t="s">
        <v>14066</v>
      </c>
      <c r="BF4323" t="s">
        <v>14364</v>
      </c>
      <c r="BG4323" t="s">
        <v>15442</v>
      </c>
      <c r="BJ4323" t="s">
        <v>15615</v>
      </c>
      <c r="BM4323" t="s">
        <v>15651</v>
      </c>
    </row>
    <row r="4324" spans="1:67">
      <c r="A4324" s="1">
        <f>HYPERLINK("https://lsnyc.legalserver.org/matter/dynamic-profile/view/1850179","17-1850179")</f>
        <v>0</v>
      </c>
      <c r="B4324" t="s">
        <v>232</v>
      </c>
      <c r="C4324" t="s">
        <v>246</v>
      </c>
      <c r="D4324" t="s">
        <v>1045</v>
      </c>
      <c r="F4324" t="s">
        <v>2248</v>
      </c>
      <c r="G4324" t="s">
        <v>4602</v>
      </c>
      <c r="H4324" t="s">
        <v>6233</v>
      </c>
      <c r="I4324" t="s">
        <v>6448</v>
      </c>
      <c r="J4324" t="s">
        <v>7170</v>
      </c>
      <c r="K4324">
        <v>10453</v>
      </c>
      <c r="N4324" t="s">
        <v>7237</v>
      </c>
      <c r="O4324" t="s">
        <v>9954</v>
      </c>
      <c r="P4324">
        <v>1</v>
      </c>
      <c r="Q4324">
        <v>3</v>
      </c>
      <c r="R4324">
        <v>25.37</v>
      </c>
      <c r="U4324">
        <v>6240</v>
      </c>
      <c r="V4324" t="s">
        <v>10306</v>
      </c>
      <c r="W4324">
        <v>46.5</v>
      </c>
      <c r="X4324" t="s">
        <v>435</v>
      </c>
      <c r="Y4324" t="s">
        <v>10899</v>
      </c>
      <c r="AA4324" t="s">
        <v>10974</v>
      </c>
      <c r="AB4324" t="s">
        <v>1045</v>
      </c>
      <c r="AD4324" t="s">
        <v>11082</v>
      </c>
      <c r="AF4324" t="s">
        <v>11118</v>
      </c>
      <c r="AH4324" t="s">
        <v>10975</v>
      </c>
      <c r="AJ4324" t="s">
        <v>11136</v>
      </c>
      <c r="AK4324" t="s">
        <v>7225</v>
      </c>
      <c r="AM4324">
        <v>922</v>
      </c>
      <c r="AO4324">
        <v>32</v>
      </c>
      <c r="AQ4324" t="s">
        <v>11160</v>
      </c>
      <c r="AS4324" t="s">
        <v>11174</v>
      </c>
      <c r="AU4324">
        <v>17</v>
      </c>
      <c r="AW4324" t="s">
        <v>11187</v>
      </c>
      <c r="AZ4324" t="s">
        <v>11221</v>
      </c>
      <c r="BC4324" t="s">
        <v>11612</v>
      </c>
      <c r="BE4324" t="s">
        <v>14067</v>
      </c>
      <c r="BG4324" t="s">
        <v>15443</v>
      </c>
      <c r="BM4324" t="s">
        <v>15650</v>
      </c>
    </row>
    <row r="4325" spans="1:67">
      <c r="A4325" s="1">
        <f>HYPERLINK("https://lsnyc.legalserver.org/matter/dynamic-profile/view/1880957","18-1880957")</f>
        <v>0</v>
      </c>
      <c r="B4325" t="s">
        <v>232</v>
      </c>
      <c r="C4325" t="s">
        <v>246</v>
      </c>
      <c r="D4325" t="s">
        <v>323</v>
      </c>
      <c r="F4325" t="s">
        <v>1204</v>
      </c>
      <c r="G4325" t="s">
        <v>3017</v>
      </c>
      <c r="H4325" t="s">
        <v>6234</v>
      </c>
      <c r="I4325">
        <v>2</v>
      </c>
      <c r="J4325" t="s">
        <v>7170</v>
      </c>
      <c r="K4325">
        <v>10453</v>
      </c>
      <c r="N4325" t="s">
        <v>7237</v>
      </c>
      <c r="O4325" t="s">
        <v>9955</v>
      </c>
      <c r="P4325">
        <v>1</v>
      </c>
      <c r="Q4325">
        <v>0</v>
      </c>
      <c r="R4325">
        <v>11.86</v>
      </c>
      <c r="U4325">
        <v>1440</v>
      </c>
      <c r="W4325">
        <v>38.5</v>
      </c>
      <c r="X4325" t="s">
        <v>611</v>
      </c>
      <c r="Y4325" t="s">
        <v>216</v>
      </c>
      <c r="AA4325" t="s">
        <v>10974</v>
      </c>
      <c r="AB4325" t="s">
        <v>323</v>
      </c>
      <c r="AD4325" t="s">
        <v>11083</v>
      </c>
      <c r="AF4325" t="s">
        <v>11118</v>
      </c>
      <c r="AG4325" t="s">
        <v>11124</v>
      </c>
      <c r="AJ4325" t="s">
        <v>11141</v>
      </c>
      <c r="AK4325" t="s">
        <v>7225</v>
      </c>
      <c r="AM4325">
        <v>1300</v>
      </c>
      <c r="AN4325" t="s">
        <v>11151</v>
      </c>
      <c r="AO4325" t="s">
        <v>11153</v>
      </c>
      <c r="AQ4325" t="s">
        <v>11156</v>
      </c>
      <c r="AS4325" t="s">
        <v>11174</v>
      </c>
      <c r="AU4325">
        <v>13</v>
      </c>
      <c r="AW4325" t="s">
        <v>11187</v>
      </c>
      <c r="AY4325" t="s">
        <v>11213</v>
      </c>
      <c r="AZ4325" t="s">
        <v>11221</v>
      </c>
      <c r="BE4325" t="s">
        <v>14068</v>
      </c>
      <c r="BG4325" t="s">
        <v>15444</v>
      </c>
      <c r="BM4325" t="s">
        <v>15650</v>
      </c>
    </row>
    <row r="4326" spans="1:67">
      <c r="A4326" s="1">
        <f>HYPERLINK("https://lsnyc.legalserver.org/matter/dynamic-profile/view/0809597","16-0809597")</f>
        <v>0</v>
      </c>
      <c r="B4326" t="s">
        <v>232</v>
      </c>
      <c r="C4326" t="s">
        <v>246</v>
      </c>
      <c r="D4326" t="s">
        <v>499</v>
      </c>
      <c r="F4326" t="s">
        <v>2415</v>
      </c>
      <c r="G4326" t="s">
        <v>3007</v>
      </c>
      <c r="H4326" t="s">
        <v>5233</v>
      </c>
      <c r="I4326" t="s">
        <v>6969</v>
      </c>
      <c r="J4326" t="s">
        <v>7170</v>
      </c>
      <c r="K4326">
        <v>10453</v>
      </c>
      <c r="N4326" t="s">
        <v>7237</v>
      </c>
      <c r="O4326" t="s">
        <v>9360</v>
      </c>
      <c r="P4326">
        <v>1</v>
      </c>
      <c r="Q4326">
        <v>2</v>
      </c>
      <c r="R4326">
        <v>90.2</v>
      </c>
      <c r="U4326">
        <v>18184</v>
      </c>
      <c r="W4326">
        <v>100.4</v>
      </c>
      <c r="X4326" t="s">
        <v>371</v>
      </c>
      <c r="Y4326" t="s">
        <v>10864</v>
      </c>
      <c r="AA4326" t="s">
        <v>10974</v>
      </c>
      <c r="AB4326" t="s">
        <v>283</v>
      </c>
      <c r="AD4326" t="s">
        <v>11082</v>
      </c>
      <c r="AF4326" t="s">
        <v>11118</v>
      </c>
      <c r="AH4326" t="s">
        <v>10975</v>
      </c>
      <c r="AJ4326" t="s">
        <v>11129</v>
      </c>
      <c r="AK4326" t="s">
        <v>7225</v>
      </c>
      <c r="AM4326">
        <v>1139.81</v>
      </c>
      <c r="AO4326">
        <v>46</v>
      </c>
      <c r="AQ4326" t="s">
        <v>11157</v>
      </c>
      <c r="AS4326" t="s">
        <v>11176</v>
      </c>
      <c r="AU4326">
        <v>5</v>
      </c>
      <c r="AW4326" t="s">
        <v>11189</v>
      </c>
      <c r="AZ4326" t="s">
        <v>11221</v>
      </c>
      <c r="BB4326" t="s">
        <v>11224</v>
      </c>
      <c r="BC4326" t="s">
        <v>11613</v>
      </c>
      <c r="BE4326" t="s">
        <v>13578</v>
      </c>
      <c r="BG4326" t="s">
        <v>15445</v>
      </c>
      <c r="BK4326" t="s">
        <v>15647</v>
      </c>
      <c r="BM4326" t="s">
        <v>15650</v>
      </c>
      <c r="BN4326" t="s">
        <v>15652</v>
      </c>
      <c r="BO4326" t="s">
        <v>15747</v>
      </c>
    </row>
    <row r="4327" spans="1:67">
      <c r="A4327" s="1">
        <f>HYPERLINK("https://lsnyc.legalserver.org/matter/dynamic-profile/view/1907394","19-1907394")</f>
        <v>0</v>
      </c>
      <c r="B4327" t="s">
        <v>232</v>
      </c>
      <c r="C4327" t="s">
        <v>246</v>
      </c>
      <c r="D4327" t="s">
        <v>433</v>
      </c>
      <c r="F4327" t="s">
        <v>1375</v>
      </c>
      <c r="G4327" t="s">
        <v>3151</v>
      </c>
      <c r="H4327" t="s">
        <v>4989</v>
      </c>
      <c r="I4327" t="s">
        <v>6566</v>
      </c>
      <c r="J4327" t="s">
        <v>7170</v>
      </c>
      <c r="K4327">
        <v>10453</v>
      </c>
      <c r="N4327" t="s">
        <v>7237</v>
      </c>
      <c r="O4327" t="s">
        <v>7594</v>
      </c>
      <c r="P4327">
        <v>2</v>
      </c>
      <c r="Q4327">
        <v>0</v>
      </c>
      <c r="R4327">
        <v>260.2</v>
      </c>
      <c r="U4327">
        <v>44000</v>
      </c>
      <c r="W4327">
        <v>5.9</v>
      </c>
      <c r="X4327" t="s">
        <v>554</v>
      </c>
      <c r="Y4327" t="s">
        <v>93</v>
      </c>
      <c r="AA4327" t="s">
        <v>10974</v>
      </c>
      <c r="AC4327" t="s">
        <v>11081</v>
      </c>
      <c r="AE4327" t="s">
        <v>11117</v>
      </c>
      <c r="AH4327" t="s">
        <v>10974</v>
      </c>
      <c r="AJ4327" t="s">
        <v>11141</v>
      </c>
      <c r="AK4327" t="s">
        <v>7225</v>
      </c>
      <c r="AM4327">
        <v>802.4400000000001</v>
      </c>
      <c r="AO4327">
        <v>170</v>
      </c>
      <c r="AQ4327" t="s">
        <v>11157</v>
      </c>
      <c r="AS4327" t="s">
        <v>11173</v>
      </c>
      <c r="AU4327">
        <v>30</v>
      </c>
      <c r="AW4327" t="s">
        <v>11187</v>
      </c>
      <c r="AX4327" t="s">
        <v>11212</v>
      </c>
      <c r="AZ4327" t="s">
        <v>11221</v>
      </c>
      <c r="BE4327" t="s">
        <v>11968</v>
      </c>
      <c r="BF4327" t="s">
        <v>14364</v>
      </c>
      <c r="BM4327" t="s">
        <v>15650</v>
      </c>
    </row>
    <row r="4328" spans="1:67">
      <c r="A4328" s="1">
        <f>HYPERLINK("https://lsnyc.legalserver.org/matter/dynamic-profile/view/1858397","18-1858397")</f>
        <v>0</v>
      </c>
      <c r="B4328" t="s">
        <v>232</v>
      </c>
      <c r="C4328" t="s">
        <v>246</v>
      </c>
      <c r="D4328" t="s">
        <v>842</v>
      </c>
      <c r="F4328" t="s">
        <v>1268</v>
      </c>
      <c r="G4328" t="s">
        <v>2956</v>
      </c>
      <c r="H4328" t="s">
        <v>6235</v>
      </c>
      <c r="I4328" t="s">
        <v>7113</v>
      </c>
      <c r="J4328" t="s">
        <v>7170</v>
      </c>
      <c r="K4328">
        <v>10453</v>
      </c>
      <c r="N4328" t="s">
        <v>7237</v>
      </c>
      <c r="O4328" t="s">
        <v>9956</v>
      </c>
      <c r="P4328">
        <v>3</v>
      </c>
      <c r="Q4328">
        <v>0</v>
      </c>
      <c r="R4328">
        <v>606.0700000000001</v>
      </c>
      <c r="U4328">
        <v>136132</v>
      </c>
      <c r="V4328" t="s">
        <v>10778</v>
      </c>
      <c r="W4328">
        <v>67.90000000000001</v>
      </c>
      <c r="X4328" t="s">
        <v>310</v>
      </c>
      <c r="Y4328" t="s">
        <v>10865</v>
      </c>
      <c r="AA4328" t="s">
        <v>10974</v>
      </c>
      <c r="AB4328" t="s">
        <v>824</v>
      </c>
      <c r="AC4328" t="s">
        <v>11081</v>
      </c>
      <c r="AF4328" t="s">
        <v>11118</v>
      </c>
      <c r="AG4328" t="s">
        <v>11124</v>
      </c>
      <c r="AI4328" t="s">
        <v>11126</v>
      </c>
      <c r="AK4328" t="s">
        <v>7225</v>
      </c>
      <c r="AM4328">
        <v>738</v>
      </c>
      <c r="AN4328" t="s">
        <v>11151</v>
      </c>
      <c r="AO4328" t="s">
        <v>11153</v>
      </c>
      <c r="AP4328" t="s">
        <v>11155</v>
      </c>
      <c r="AR4328" t="s">
        <v>11172</v>
      </c>
      <c r="AU4328">
        <v>25</v>
      </c>
      <c r="AW4328" t="s">
        <v>11189</v>
      </c>
      <c r="AZ4328" t="s">
        <v>11221</v>
      </c>
      <c r="BE4328" t="s">
        <v>14069</v>
      </c>
      <c r="BG4328" t="s">
        <v>15446</v>
      </c>
      <c r="BM4328" t="s">
        <v>15650</v>
      </c>
    </row>
    <row r="4329" spans="1:67">
      <c r="A4329" s="1">
        <f>HYPERLINK("https://lsnyc.legalserver.org/matter/dynamic-profile/view/1868236","18-1868236")</f>
        <v>0</v>
      </c>
      <c r="B4329" t="s">
        <v>232</v>
      </c>
      <c r="C4329" t="s">
        <v>246</v>
      </c>
      <c r="D4329" t="s">
        <v>572</v>
      </c>
      <c r="F4329" t="s">
        <v>2735</v>
      </c>
      <c r="G4329" t="s">
        <v>4548</v>
      </c>
      <c r="H4329" t="s">
        <v>6236</v>
      </c>
      <c r="I4329" t="s">
        <v>7114</v>
      </c>
      <c r="J4329" t="s">
        <v>7170</v>
      </c>
      <c r="K4329">
        <v>10453</v>
      </c>
      <c r="N4329" t="s">
        <v>7237</v>
      </c>
      <c r="O4329" t="s">
        <v>9957</v>
      </c>
      <c r="P4329">
        <v>1</v>
      </c>
      <c r="Q4329">
        <v>0</v>
      </c>
      <c r="R4329">
        <v>90.56999999999999</v>
      </c>
      <c r="U4329">
        <v>10994.64</v>
      </c>
      <c r="V4329" t="s">
        <v>10306</v>
      </c>
      <c r="W4329">
        <v>22</v>
      </c>
      <c r="X4329" t="s">
        <v>669</v>
      </c>
      <c r="Y4329" t="s">
        <v>138</v>
      </c>
      <c r="AA4329" t="s">
        <v>10974</v>
      </c>
      <c r="AB4329" t="s">
        <v>939</v>
      </c>
      <c r="AD4329" t="s">
        <v>11083</v>
      </c>
      <c r="AF4329" t="s">
        <v>11118</v>
      </c>
      <c r="AH4329" t="s">
        <v>10975</v>
      </c>
      <c r="AJ4329" t="s">
        <v>11141</v>
      </c>
      <c r="AK4329" t="s">
        <v>7225</v>
      </c>
      <c r="AM4329">
        <v>729</v>
      </c>
      <c r="AN4329" t="s">
        <v>11151</v>
      </c>
      <c r="AO4329" t="s">
        <v>11153</v>
      </c>
      <c r="AP4329" t="s">
        <v>11155</v>
      </c>
      <c r="AS4329" t="s">
        <v>11174</v>
      </c>
      <c r="AT4329" t="s">
        <v>11184</v>
      </c>
      <c r="AU4329">
        <v>0</v>
      </c>
      <c r="AW4329" t="s">
        <v>11189</v>
      </c>
      <c r="AZ4329" t="s">
        <v>11221</v>
      </c>
      <c r="BE4329" t="s">
        <v>14070</v>
      </c>
      <c r="BG4329" t="s">
        <v>15447</v>
      </c>
      <c r="BI4329" t="s">
        <v>15609</v>
      </c>
      <c r="BK4329" t="s">
        <v>15620</v>
      </c>
      <c r="BM4329" t="s">
        <v>15650</v>
      </c>
      <c r="BN4329" t="s">
        <v>15652</v>
      </c>
      <c r="BO4329" t="s">
        <v>15748</v>
      </c>
    </row>
    <row r="4330" spans="1:67">
      <c r="A4330" s="1">
        <f>HYPERLINK("https://lsnyc.legalserver.org/matter/dynamic-profile/view/1904499","19-1904499")</f>
        <v>0</v>
      </c>
      <c r="B4330" t="s">
        <v>232</v>
      </c>
      <c r="C4330" t="s">
        <v>246</v>
      </c>
      <c r="D4330" t="s">
        <v>380</v>
      </c>
      <c r="E4330" t="s">
        <v>297</v>
      </c>
      <c r="F4330" t="s">
        <v>1988</v>
      </c>
      <c r="G4330" t="s">
        <v>1656</v>
      </c>
      <c r="H4330" t="s">
        <v>6237</v>
      </c>
      <c r="I4330" t="s">
        <v>6436</v>
      </c>
      <c r="J4330" t="s">
        <v>7170</v>
      </c>
      <c r="K4330">
        <v>10470</v>
      </c>
      <c r="L4330" t="s">
        <v>7219</v>
      </c>
      <c r="N4330" t="s">
        <v>7237</v>
      </c>
      <c r="O4330" t="s">
        <v>9958</v>
      </c>
      <c r="P4330">
        <v>1</v>
      </c>
      <c r="Q4330">
        <v>0</v>
      </c>
      <c r="R4330">
        <v>624.5</v>
      </c>
      <c r="U4330">
        <v>78000</v>
      </c>
      <c r="W4330">
        <v>0.5</v>
      </c>
      <c r="X4330" t="s">
        <v>297</v>
      </c>
      <c r="Y4330" t="s">
        <v>10865</v>
      </c>
      <c r="AA4330" t="s">
        <v>10974</v>
      </c>
      <c r="AD4330" t="s">
        <v>11101</v>
      </c>
      <c r="AF4330" t="s">
        <v>11118</v>
      </c>
      <c r="AH4330" t="s">
        <v>10974</v>
      </c>
      <c r="AJ4330" t="s">
        <v>11141</v>
      </c>
      <c r="AK4330" t="s">
        <v>7225</v>
      </c>
      <c r="AM4330">
        <v>1402.5</v>
      </c>
      <c r="AO4330">
        <v>63</v>
      </c>
      <c r="AQ4330" t="s">
        <v>11157</v>
      </c>
      <c r="AS4330" t="s">
        <v>11173</v>
      </c>
      <c r="AU4330">
        <v>3</v>
      </c>
      <c r="AW4330" t="s">
        <v>11187</v>
      </c>
      <c r="AX4330" t="s">
        <v>11212</v>
      </c>
      <c r="BA4330" t="s">
        <v>11222</v>
      </c>
      <c r="BE4330" t="s">
        <v>14071</v>
      </c>
      <c r="BF4330" t="s">
        <v>14364</v>
      </c>
      <c r="BG4330" t="s">
        <v>15442</v>
      </c>
      <c r="BJ4330" t="s">
        <v>15615</v>
      </c>
      <c r="BM4330" t="s">
        <v>15651</v>
      </c>
    </row>
    <row r="4331" spans="1:67">
      <c r="A4331" s="1">
        <f>HYPERLINK("https://lsnyc.legalserver.org/matter/dynamic-profile/view/1867183","18-1867183")</f>
        <v>0</v>
      </c>
      <c r="B4331" t="s">
        <v>232</v>
      </c>
      <c r="C4331" t="s">
        <v>246</v>
      </c>
      <c r="D4331" t="s">
        <v>261</v>
      </c>
      <c r="F4331" t="s">
        <v>2736</v>
      </c>
      <c r="G4331" t="s">
        <v>1157</v>
      </c>
      <c r="H4331" t="s">
        <v>6238</v>
      </c>
      <c r="I4331" t="s">
        <v>6789</v>
      </c>
      <c r="J4331" t="s">
        <v>7170</v>
      </c>
      <c r="K4331">
        <v>10452</v>
      </c>
      <c r="N4331" t="s">
        <v>7237</v>
      </c>
      <c r="O4331" t="s">
        <v>9959</v>
      </c>
      <c r="P4331">
        <v>1</v>
      </c>
      <c r="Q4331">
        <v>0</v>
      </c>
      <c r="R4331">
        <v>15.02</v>
      </c>
      <c r="U4331">
        <v>1824</v>
      </c>
      <c r="V4331" t="s">
        <v>10306</v>
      </c>
      <c r="W4331">
        <v>33.5</v>
      </c>
      <c r="X4331" t="s">
        <v>497</v>
      </c>
      <c r="Y4331" t="s">
        <v>216</v>
      </c>
      <c r="AA4331" t="s">
        <v>10974</v>
      </c>
      <c r="AB4331" t="s">
        <v>724</v>
      </c>
      <c r="AD4331" t="s">
        <v>11082</v>
      </c>
      <c r="AF4331" t="s">
        <v>11118</v>
      </c>
      <c r="AH4331" t="s">
        <v>10975</v>
      </c>
      <c r="AJ4331" t="s">
        <v>11129</v>
      </c>
      <c r="AK4331" t="s">
        <v>7225</v>
      </c>
      <c r="AM4331">
        <v>129</v>
      </c>
      <c r="AO4331">
        <v>18</v>
      </c>
      <c r="AQ4331" t="s">
        <v>11161</v>
      </c>
      <c r="AS4331" t="s">
        <v>11174</v>
      </c>
      <c r="AU4331">
        <v>36</v>
      </c>
      <c r="AW4331" t="s">
        <v>11187</v>
      </c>
      <c r="AZ4331" t="s">
        <v>11221</v>
      </c>
      <c r="BB4331" t="s">
        <v>11224</v>
      </c>
      <c r="BC4331" t="s">
        <v>11614</v>
      </c>
      <c r="BE4331" t="s">
        <v>14072</v>
      </c>
      <c r="BG4331" t="s">
        <v>15448</v>
      </c>
      <c r="BM4331" t="s">
        <v>15650</v>
      </c>
    </row>
    <row r="4332" spans="1:67">
      <c r="A4332" s="1">
        <f>HYPERLINK("https://lsnyc.legalserver.org/matter/dynamic-profile/view/1876957","18-1876957")</f>
        <v>0</v>
      </c>
      <c r="B4332" t="s">
        <v>232</v>
      </c>
      <c r="C4332" t="s">
        <v>246</v>
      </c>
      <c r="D4332" t="s">
        <v>658</v>
      </c>
      <c r="F4332" t="s">
        <v>1125</v>
      </c>
      <c r="G4332" t="s">
        <v>2964</v>
      </c>
      <c r="H4332" t="s">
        <v>5753</v>
      </c>
      <c r="I4332" t="s">
        <v>6448</v>
      </c>
      <c r="J4332" t="s">
        <v>7170</v>
      </c>
      <c r="K4332">
        <v>10459</v>
      </c>
      <c r="N4332" t="s">
        <v>7237</v>
      </c>
      <c r="O4332" t="s">
        <v>9960</v>
      </c>
      <c r="P4332">
        <v>2</v>
      </c>
      <c r="Q4332">
        <v>2</v>
      </c>
      <c r="R4332">
        <v>93.23</v>
      </c>
      <c r="U4332">
        <v>23400</v>
      </c>
      <c r="W4332">
        <v>33.5</v>
      </c>
      <c r="X4332" t="s">
        <v>528</v>
      </c>
      <c r="Y4332" t="s">
        <v>216</v>
      </c>
      <c r="AA4332" t="s">
        <v>10974</v>
      </c>
      <c r="AB4332" t="s">
        <v>959</v>
      </c>
      <c r="AD4332" t="s">
        <v>11082</v>
      </c>
      <c r="AF4332" t="s">
        <v>11118</v>
      </c>
      <c r="AH4332" t="s">
        <v>10975</v>
      </c>
      <c r="AJ4332" t="s">
        <v>11135</v>
      </c>
      <c r="AK4332" t="s">
        <v>7225</v>
      </c>
      <c r="AM4332">
        <v>890</v>
      </c>
      <c r="AO4332">
        <v>56</v>
      </c>
      <c r="AQ4332" t="s">
        <v>11157</v>
      </c>
      <c r="AS4332" t="s">
        <v>11178</v>
      </c>
      <c r="AU4332">
        <v>1</v>
      </c>
      <c r="AW4332" t="s">
        <v>11187</v>
      </c>
      <c r="AZ4332" t="s">
        <v>11221</v>
      </c>
      <c r="BE4332" t="s">
        <v>14073</v>
      </c>
      <c r="BG4332" t="s">
        <v>15449</v>
      </c>
      <c r="BM4332" t="s">
        <v>15650</v>
      </c>
    </row>
    <row r="4333" spans="1:67">
      <c r="A4333" s="1">
        <f>HYPERLINK("https://lsnyc.legalserver.org/matter/dynamic-profile/view/1905047","19-1905047")</f>
        <v>0</v>
      </c>
      <c r="B4333" t="s">
        <v>232</v>
      </c>
      <c r="C4333" t="s">
        <v>246</v>
      </c>
      <c r="D4333" t="s">
        <v>332</v>
      </c>
      <c r="F4333" t="s">
        <v>1860</v>
      </c>
      <c r="G4333" t="s">
        <v>3709</v>
      </c>
      <c r="H4333" t="s">
        <v>5388</v>
      </c>
      <c r="I4333" t="s">
        <v>6404</v>
      </c>
      <c r="J4333" t="s">
        <v>7170</v>
      </c>
      <c r="K4333">
        <v>10453</v>
      </c>
      <c r="N4333" t="s">
        <v>7237</v>
      </c>
      <c r="O4333" t="s">
        <v>8418</v>
      </c>
      <c r="P4333">
        <v>1</v>
      </c>
      <c r="Q4333">
        <v>0</v>
      </c>
      <c r="R4333">
        <v>74.94</v>
      </c>
      <c r="U4333">
        <v>9360</v>
      </c>
      <c r="V4333" t="s">
        <v>10779</v>
      </c>
      <c r="W4333">
        <v>13</v>
      </c>
      <c r="X4333" t="s">
        <v>272</v>
      </c>
      <c r="Y4333" t="s">
        <v>10877</v>
      </c>
      <c r="Z4333" t="s">
        <v>10972</v>
      </c>
      <c r="AA4333" t="s">
        <v>10976</v>
      </c>
      <c r="AC4333" t="s">
        <v>11081</v>
      </c>
      <c r="AE4333" t="s">
        <v>11117</v>
      </c>
      <c r="AG4333" t="s">
        <v>11124</v>
      </c>
      <c r="AJ4333" t="s">
        <v>11129</v>
      </c>
      <c r="AK4333" t="s">
        <v>7225</v>
      </c>
      <c r="AM4333">
        <v>963.8</v>
      </c>
      <c r="AO4333">
        <v>100</v>
      </c>
      <c r="AQ4333" t="s">
        <v>11160</v>
      </c>
      <c r="AS4333" t="s">
        <v>11174</v>
      </c>
      <c r="AU4333">
        <v>28</v>
      </c>
      <c r="AW4333" t="s">
        <v>11187</v>
      </c>
      <c r="AX4333" t="s">
        <v>11212</v>
      </c>
      <c r="AZ4333" t="s">
        <v>11221</v>
      </c>
      <c r="BE4333" t="s">
        <v>14074</v>
      </c>
      <c r="BF4333" t="s">
        <v>14364</v>
      </c>
      <c r="BM4333" t="s">
        <v>15650</v>
      </c>
    </row>
    <row r="4334" spans="1:67">
      <c r="A4334" s="1">
        <f>HYPERLINK("https://lsnyc.legalserver.org/matter/dynamic-profile/view/1884239","18-1884239")</f>
        <v>0</v>
      </c>
      <c r="B4334" t="s">
        <v>232</v>
      </c>
      <c r="C4334" t="s">
        <v>246</v>
      </c>
      <c r="D4334" t="s">
        <v>795</v>
      </c>
      <c r="F4334" t="s">
        <v>1280</v>
      </c>
      <c r="G4334" t="s">
        <v>3529</v>
      </c>
      <c r="H4334" t="s">
        <v>6239</v>
      </c>
      <c r="I4334" t="s">
        <v>7080</v>
      </c>
      <c r="J4334" t="s">
        <v>7170</v>
      </c>
      <c r="K4334">
        <v>10458</v>
      </c>
      <c r="N4334" t="s">
        <v>7237</v>
      </c>
      <c r="O4334" t="s">
        <v>9961</v>
      </c>
      <c r="P4334">
        <v>1</v>
      </c>
      <c r="Q4334">
        <v>2</v>
      </c>
      <c r="R4334">
        <v>7.38</v>
      </c>
      <c r="U4334">
        <v>1534</v>
      </c>
      <c r="W4334">
        <v>9.300000000000001</v>
      </c>
      <c r="X4334" t="s">
        <v>566</v>
      </c>
      <c r="Y4334" t="s">
        <v>10905</v>
      </c>
      <c r="AA4334" t="s">
        <v>10974</v>
      </c>
      <c r="AB4334" t="s">
        <v>795</v>
      </c>
      <c r="AD4334" t="s">
        <v>11082</v>
      </c>
      <c r="AF4334" t="s">
        <v>11118</v>
      </c>
      <c r="AG4334" t="s">
        <v>11124</v>
      </c>
      <c r="AJ4334" t="s">
        <v>11138</v>
      </c>
      <c r="AK4334" t="s">
        <v>7225</v>
      </c>
      <c r="AM4334">
        <v>2600</v>
      </c>
      <c r="AN4334" t="s">
        <v>11151</v>
      </c>
      <c r="AO4334" t="s">
        <v>11153</v>
      </c>
      <c r="AQ4334" t="s">
        <v>11164</v>
      </c>
      <c r="AR4334" t="s">
        <v>11172</v>
      </c>
      <c r="AT4334" t="s">
        <v>11184</v>
      </c>
      <c r="AU4334">
        <v>0</v>
      </c>
      <c r="AW4334" t="s">
        <v>11189</v>
      </c>
      <c r="AZ4334" t="s">
        <v>11221</v>
      </c>
      <c r="BC4334" t="s">
        <v>11615</v>
      </c>
      <c r="BE4334" t="s">
        <v>14075</v>
      </c>
      <c r="BG4334" t="s">
        <v>15450</v>
      </c>
      <c r="BM4334" t="s">
        <v>15650</v>
      </c>
    </row>
    <row r="4335" spans="1:67">
      <c r="A4335" s="1">
        <f>HYPERLINK("https://lsnyc.legalserver.org/matter/dynamic-profile/view/1853338","17-1853338")</f>
        <v>0</v>
      </c>
      <c r="B4335" t="s">
        <v>232</v>
      </c>
      <c r="C4335" t="s">
        <v>246</v>
      </c>
      <c r="D4335" t="s">
        <v>713</v>
      </c>
      <c r="F4335" t="s">
        <v>1280</v>
      </c>
      <c r="G4335" t="s">
        <v>2892</v>
      </c>
      <c r="H4335" t="s">
        <v>6240</v>
      </c>
      <c r="I4335" t="s">
        <v>6743</v>
      </c>
      <c r="J4335" t="s">
        <v>7170</v>
      </c>
      <c r="K4335">
        <v>10453</v>
      </c>
      <c r="N4335" t="s">
        <v>7237</v>
      </c>
      <c r="O4335" t="s">
        <v>9962</v>
      </c>
      <c r="P4335">
        <v>4</v>
      </c>
      <c r="Q4335">
        <v>0</v>
      </c>
      <c r="R4335">
        <v>666.67</v>
      </c>
      <c r="U4335">
        <v>164000</v>
      </c>
      <c r="W4335">
        <v>0.25</v>
      </c>
      <c r="X4335" t="s">
        <v>557</v>
      </c>
      <c r="Y4335" t="s">
        <v>10864</v>
      </c>
      <c r="AA4335" t="s">
        <v>10974</v>
      </c>
      <c r="AB4335" t="s">
        <v>10992</v>
      </c>
      <c r="AD4335" t="s">
        <v>11096</v>
      </c>
      <c r="AF4335" t="s">
        <v>11122</v>
      </c>
      <c r="AH4335" t="s">
        <v>10974</v>
      </c>
      <c r="AJ4335" t="s">
        <v>11141</v>
      </c>
      <c r="AK4335" t="s">
        <v>7225</v>
      </c>
      <c r="AM4335">
        <v>855.4400000000001</v>
      </c>
      <c r="AO4335">
        <v>21</v>
      </c>
      <c r="AQ4335" t="s">
        <v>11157</v>
      </c>
      <c r="AR4335" t="s">
        <v>11172</v>
      </c>
      <c r="AT4335" t="s">
        <v>11184</v>
      </c>
      <c r="AU4335">
        <v>0</v>
      </c>
      <c r="AW4335" t="s">
        <v>11189</v>
      </c>
      <c r="AZ4335" t="s">
        <v>11221</v>
      </c>
      <c r="BE4335" t="s">
        <v>14076</v>
      </c>
      <c r="BG4335" t="s">
        <v>15451</v>
      </c>
      <c r="BM4335" t="s">
        <v>15650</v>
      </c>
    </row>
    <row r="4336" spans="1:67">
      <c r="A4336" s="1">
        <f>HYPERLINK("https://lsnyc.legalserver.org/matter/dynamic-profile/view/1900614","19-1900614")</f>
        <v>0</v>
      </c>
      <c r="B4336" t="s">
        <v>232</v>
      </c>
      <c r="C4336" t="s">
        <v>246</v>
      </c>
      <c r="D4336" t="s">
        <v>549</v>
      </c>
      <c r="F4336" t="s">
        <v>1738</v>
      </c>
      <c r="G4336" t="s">
        <v>3032</v>
      </c>
      <c r="H4336" t="s">
        <v>6241</v>
      </c>
      <c r="I4336" t="s">
        <v>7115</v>
      </c>
      <c r="J4336" t="s">
        <v>7170</v>
      </c>
      <c r="K4336">
        <v>10452</v>
      </c>
      <c r="N4336" t="s">
        <v>7237</v>
      </c>
      <c r="O4336" t="s">
        <v>9963</v>
      </c>
      <c r="P4336">
        <v>1</v>
      </c>
      <c r="Q4336">
        <v>3</v>
      </c>
      <c r="R4336">
        <v>0</v>
      </c>
      <c r="U4336">
        <v>0</v>
      </c>
      <c r="W4336">
        <v>24.2</v>
      </c>
      <c r="X4336" t="s">
        <v>548</v>
      </c>
      <c r="Y4336" t="s">
        <v>10880</v>
      </c>
      <c r="AA4336" t="s">
        <v>10974</v>
      </c>
      <c r="AB4336" t="s">
        <v>10979</v>
      </c>
      <c r="AD4336" t="s">
        <v>11082</v>
      </c>
      <c r="AF4336" t="s">
        <v>11118</v>
      </c>
      <c r="AH4336" t="s">
        <v>10975</v>
      </c>
      <c r="AJ4336" t="s">
        <v>11130</v>
      </c>
      <c r="AK4336" t="s">
        <v>7225</v>
      </c>
      <c r="AM4336">
        <v>1000</v>
      </c>
      <c r="AN4336" t="s">
        <v>11151</v>
      </c>
      <c r="AO4336" t="s">
        <v>11153</v>
      </c>
      <c r="AQ4336" t="s">
        <v>11157</v>
      </c>
      <c r="AS4336" t="s">
        <v>11180</v>
      </c>
      <c r="AU4336">
        <v>22</v>
      </c>
      <c r="AW4336" t="s">
        <v>11187</v>
      </c>
      <c r="AY4336" t="s">
        <v>11214</v>
      </c>
      <c r="BA4336" t="s">
        <v>11223</v>
      </c>
      <c r="BC4336" t="s">
        <v>11616</v>
      </c>
      <c r="BE4336" t="s">
        <v>14077</v>
      </c>
      <c r="BG4336" t="s">
        <v>15452</v>
      </c>
      <c r="BM4336" t="s">
        <v>15650</v>
      </c>
    </row>
    <row r="4337" spans="1:65">
      <c r="A4337" s="1">
        <f>HYPERLINK("https://lsnyc.legalserver.org/matter/dynamic-profile/view/1892240","19-1892240")</f>
        <v>0</v>
      </c>
      <c r="B4337" t="s">
        <v>232</v>
      </c>
      <c r="C4337" t="s">
        <v>246</v>
      </c>
      <c r="D4337" t="s">
        <v>503</v>
      </c>
      <c r="F4337" t="s">
        <v>2737</v>
      </c>
      <c r="G4337" t="s">
        <v>2884</v>
      </c>
      <c r="H4337" t="s">
        <v>6242</v>
      </c>
      <c r="J4337" t="s">
        <v>7170</v>
      </c>
      <c r="K4337">
        <v>10452</v>
      </c>
      <c r="N4337" t="s">
        <v>7237</v>
      </c>
      <c r="O4337" t="s">
        <v>9964</v>
      </c>
      <c r="P4337">
        <v>1</v>
      </c>
      <c r="Q4337">
        <v>0</v>
      </c>
      <c r="R4337">
        <v>0</v>
      </c>
      <c r="U4337">
        <v>0</v>
      </c>
      <c r="W4337">
        <v>40.7</v>
      </c>
      <c r="X4337" t="s">
        <v>271</v>
      </c>
      <c r="Y4337" t="s">
        <v>10865</v>
      </c>
      <c r="AA4337" t="s">
        <v>10974</v>
      </c>
      <c r="AB4337" t="s">
        <v>296</v>
      </c>
      <c r="AD4337" t="s">
        <v>11082</v>
      </c>
      <c r="AF4337" t="s">
        <v>11118</v>
      </c>
      <c r="AH4337" t="s">
        <v>10975</v>
      </c>
      <c r="AI4337" t="s">
        <v>11126</v>
      </c>
      <c r="AK4337" t="s">
        <v>7225</v>
      </c>
      <c r="AL4337" t="s">
        <v>11150</v>
      </c>
      <c r="AM4337">
        <v>0</v>
      </c>
      <c r="AN4337" t="s">
        <v>11151</v>
      </c>
      <c r="AO4337" t="s">
        <v>11153</v>
      </c>
      <c r="AP4337" t="s">
        <v>11155</v>
      </c>
      <c r="AR4337" t="s">
        <v>11172</v>
      </c>
      <c r="AT4337" t="s">
        <v>11184</v>
      </c>
      <c r="AU4337">
        <v>0</v>
      </c>
      <c r="AV4337" t="s">
        <v>11186</v>
      </c>
      <c r="AZ4337" t="s">
        <v>11221</v>
      </c>
      <c r="BE4337" t="s">
        <v>14078</v>
      </c>
      <c r="BG4337" t="s">
        <v>15453</v>
      </c>
      <c r="BM4337" t="s">
        <v>15650</v>
      </c>
    </row>
    <row r="4338" spans="1:65">
      <c r="A4338" s="1">
        <f>HYPERLINK("https://lsnyc.legalserver.org/matter/dynamic-profile/view/1840965","17-1840965")</f>
        <v>0</v>
      </c>
      <c r="B4338" t="s">
        <v>232</v>
      </c>
      <c r="C4338" t="s">
        <v>246</v>
      </c>
      <c r="D4338" t="s">
        <v>885</v>
      </c>
      <c r="F4338" t="s">
        <v>2738</v>
      </c>
      <c r="G4338" t="s">
        <v>2886</v>
      </c>
      <c r="H4338" t="s">
        <v>6243</v>
      </c>
      <c r="I4338" t="s">
        <v>6493</v>
      </c>
      <c r="J4338" t="s">
        <v>7170</v>
      </c>
      <c r="K4338">
        <v>10453</v>
      </c>
      <c r="N4338" t="s">
        <v>7237</v>
      </c>
      <c r="O4338" t="s">
        <v>9965</v>
      </c>
      <c r="P4338">
        <v>1</v>
      </c>
      <c r="Q4338">
        <v>0</v>
      </c>
      <c r="R4338">
        <v>0</v>
      </c>
      <c r="U4338">
        <v>0</v>
      </c>
      <c r="W4338">
        <v>7.9</v>
      </c>
      <c r="X4338" t="s">
        <v>1053</v>
      </c>
      <c r="Y4338" t="s">
        <v>10890</v>
      </c>
      <c r="AA4338" t="s">
        <v>10974</v>
      </c>
      <c r="AB4338" t="s">
        <v>1050</v>
      </c>
      <c r="AD4338" t="s">
        <v>11082</v>
      </c>
      <c r="AF4338" t="s">
        <v>11120</v>
      </c>
      <c r="AG4338" t="s">
        <v>11124</v>
      </c>
      <c r="AI4338" t="s">
        <v>11126</v>
      </c>
      <c r="AK4338" t="s">
        <v>7225</v>
      </c>
      <c r="AM4338">
        <v>1086</v>
      </c>
      <c r="AO4338">
        <v>20</v>
      </c>
      <c r="AQ4338" t="s">
        <v>11160</v>
      </c>
      <c r="AR4338" t="s">
        <v>11172</v>
      </c>
      <c r="AU4338">
        <v>16</v>
      </c>
      <c r="AW4338" t="s">
        <v>11189</v>
      </c>
      <c r="AZ4338" t="s">
        <v>11221</v>
      </c>
      <c r="BE4338" t="s">
        <v>14079</v>
      </c>
      <c r="BF4338" t="s">
        <v>14364</v>
      </c>
      <c r="BG4338" t="s">
        <v>15454</v>
      </c>
      <c r="BM4338" t="s">
        <v>15650</v>
      </c>
    </row>
    <row r="4339" spans="1:65">
      <c r="A4339" s="1">
        <f>HYPERLINK("https://lsnyc.legalserver.org/matter/dynamic-profile/view/1853337","17-1853337")</f>
        <v>0</v>
      </c>
      <c r="B4339" t="s">
        <v>232</v>
      </c>
      <c r="C4339" t="s">
        <v>246</v>
      </c>
      <c r="D4339" t="s">
        <v>713</v>
      </c>
      <c r="F4339" t="s">
        <v>2207</v>
      </c>
      <c r="G4339" t="s">
        <v>3697</v>
      </c>
      <c r="H4339" t="s">
        <v>6240</v>
      </c>
      <c r="I4339" t="s">
        <v>7116</v>
      </c>
      <c r="J4339" t="s">
        <v>7170</v>
      </c>
      <c r="K4339">
        <v>10453</v>
      </c>
      <c r="N4339" t="s">
        <v>7237</v>
      </c>
      <c r="O4339" t="s">
        <v>9966</v>
      </c>
      <c r="P4339">
        <v>2</v>
      </c>
      <c r="Q4339">
        <v>2</v>
      </c>
      <c r="R4339">
        <v>0</v>
      </c>
      <c r="U4339">
        <v>0</v>
      </c>
      <c r="W4339">
        <v>0</v>
      </c>
      <c r="Y4339" t="s">
        <v>10864</v>
      </c>
      <c r="AA4339" t="s">
        <v>10974</v>
      </c>
      <c r="AB4339" t="s">
        <v>10992</v>
      </c>
      <c r="AD4339" t="s">
        <v>11096</v>
      </c>
      <c r="AF4339" t="s">
        <v>11122</v>
      </c>
      <c r="AH4339" t="s">
        <v>10974</v>
      </c>
      <c r="AJ4339" t="s">
        <v>11141</v>
      </c>
      <c r="AK4339" t="s">
        <v>7225</v>
      </c>
      <c r="AM4339">
        <v>900.11</v>
      </c>
      <c r="AO4339">
        <v>21</v>
      </c>
      <c r="AQ4339" t="s">
        <v>11157</v>
      </c>
      <c r="AR4339" t="s">
        <v>11172</v>
      </c>
      <c r="AT4339" t="s">
        <v>11184</v>
      </c>
      <c r="AU4339">
        <v>0</v>
      </c>
      <c r="AW4339" t="s">
        <v>11189</v>
      </c>
      <c r="AZ4339" t="s">
        <v>11221</v>
      </c>
      <c r="BE4339" t="s">
        <v>14080</v>
      </c>
      <c r="BG4339" t="s">
        <v>15451</v>
      </c>
      <c r="BM4339" t="s">
        <v>15650</v>
      </c>
    </row>
    <row r="4340" spans="1:65">
      <c r="A4340" s="1">
        <f>HYPERLINK("https://lsnyc.legalserver.org/matter/dynamic-profile/view/1904494","19-1904494")</f>
        <v>0</v>
      </c>
      <c r="B4340" t="s">
        <v>232</v>
      </c>
      <c r="C4340" t="s">
        <v>246</v>
      </c>
      <c r="D4340" t="s">
        <v>380</v>
      </c>
      <c r="E4340" t="s">
        <v>297</v>
      </c>
      <c r="F4340" t="s">
        <v>2739</v>
      </c>
      <c r="G4340" t="s">
        <v>4233</v>
      </c>
      <c r="H4340" t="s">
        <v>6232</v>
      </c>
      <c r="I4340" t="s">
        <v>6424</v>
      </c>
      <c r="J4340" t="s">
        <v>7170</v>
      </c>
      <c r="K4340">
        <v>10470</v>
      </c>
      <c r="L4340" t="s">
        <v>7219</v>
      </c>
      <c r="N4340" t="s">
        <v>7237</v>
      </c>
      <c r="O4340" t="s">
        <v>9967</v>
      </c>
      <c r="P4340">
        <v>2</v>
      </c>
      <c r="Q4340">
        <v>0</v>
      </c>
      <c r="R4340">
        <v>739.21</v>
      </c>
      <c r="U4340">
        <v>125000</v>
      </c>
      <c r="W4340">
        <v>0.25</v>
      </c>
      <c r="X4340" t="s">
        <v>297</v>
      </c>
      <c r="Y4340" t="s">
        <v>10865</v>
      </c>
      <c r="AA4340" t="s">
        <v>10974</v>
      </c>
      <c r="AD4340" t="s">
        <v>11101</v>
      </c>
      <c r="AF4340" t="s">
        <v>11118</v>
      </c>
      <c r="AH4340" t="s">
        <v>10974</v>
      </c>
      <c r="AJ4340" t="s">
        <v>11135</v>
      </c>
      <c r="AK4340" t="s">
        <v>7225</v>
      </c>
      <c r="AM4340">
        <v>931</v>
      </c>
      <c r="AO4340">
        <v>63</v>
      </c>
      <c r="AQ4340" t="s">
        <v>11164</v>
      </c>
      <c r="AS4340" t="s">
        <v>11173</v>
      </c>
      <c r="AU4340">
        <v>11</v>
      </c>
      <c r="AW4340" t="s">
        <v>11187</v>
      </c>
      <c r="AX4340" t="s">
        <v>11212</v>
      </c>
      <c r="BA4340" t="s">
        <v>11222</v>
      </c>
      <c r="BE4340" t="s">
        <v>14081</v>
      </c>
      <c r="BF4340" t="s">
        <v>14364</v>
      </c>
      <c r="BG4340" t="s">
        <v>15442</v>
      </c>
      <c r="BJ4340" t="s">
        <v>15615</v>
      </c>
      <c r="BM4340" t="s">
        <v>15651</v>
      </c>
    </row>
    <row r="4341" spans="1:65">
      <c r="A4341" s="1">
        <f>HYPERLINK("https://lsnyc.legalserver.org/matter/dynamic-profile/view/1902859","19-1902859")</f>
        <v>0</v>
      </c>
      <c r="B4341" t="s">
        <v>232</v>
      </c>
      <c r="C4341" t="s">
        <v>246</v>
      </c>
      <c r="D4341" t="s">
        <v>322</v>
      </c>
      <c r="F4341" t="s">
        <v>2740</v>
      </c>
      <c r="G4341" t="s">
        <v>4603</v>
      </c>
      <c r="H4341" t="s">
        <v>6244</v>
      </c>
      <c r="I4341">
        <v>2</v>
      </c>
      <c r="J4341" t="s">
        <v>7170</v>
      </c>
      <c r="K4341">
        <v>10458</v>
      </c>
      <c r="N4341" t="s">
        <v>7237</v>
      </c>
      <c r="O4341" t="s">
        <v>9968</v>
      </c>
      <c r="P4341">
        <v>3</v>
      </c>
      <c r="Q4341">
        <v>2</v>
      </c>
      <c r="R4341">
        <v>95.45999999999999</v>
      </c>
      <c r="U4341">
        <v>28800</v>
      </c>
      <c r="W4341">
        <v>0</v>
      </c>
      <c r="Y4341" t="s">
        <v>232</v>
      </c>
      <c r="AA4341" t="s">
        <v>10974</v>
      </c>
      <c r="AB4341" t="s">
        <v>10979</v>
      </c>
      <c r="AD4341" t="s">
        <v>11083</v>
      </c>
      <c r="AF4341" t="s">
        <v>11119</v>
      </c>
      <c r="AG4341" t="s">
        <v>11124</v>
      </c>
      <c r="AI4341" t="s">
        <v>11126</v>
      </c>
      <c r="AK4341" t="s">
        <v>7225</v>
      </c>
      <c r="AM4341">
        <v>1900</v>
      </c>
      <c r="AN4341" t="s">
        <v>11151</v>
      </c>
      <c r="AO4341" t="s">
        <v>11153</v>
      </c>
      <c r="AP4341" t="s">
        <v>11155</v>
      </c>
      <c r="AR4341" t="s">
        <v>11172</v>
      </c>
      <c r="AU4341">
        <v>3</v>
      </c>
      <c r="AW4341" t="s">
        <v>11189</v>
      </c>
      <c r="AY4341" t="s">
        <v>11213</v>
      </c>
      <c r="BA4341" t="s">
        <v>11222</v>
      </c>
      <c r="BD4341" t="s">
        <v>11667</v>
      </c>
      <c r="BF4341" t="s">
        <v>14364</v>
      </c>
      <c r="BM4341" t="s">
        <v>15650</v>
      </c>
    </row>
    <row r="4342" spans="1:65">
      <c r="A4342" s="1">
        <f>HYPERLINK("https://lsnyc.legalserver.org/matter/dynamic-profile/view/1872575","18-1872575")</f>
        <v>0</v>
      </c>
      <c r="B4342" t="s">
        <v>232</v>
      </c>
      <c r="C4342" t="s">
        <v>246</v>
      </c>
      <c r="D4342" t="s">
        <v>1039</v>
      </c>
      <c r="F4342" t="s">
        <v>1381</v>
      </c>
      <c r="G4342" t="s">
        <v>4604</v>
      </c>
      <c r="H4342" t="s">
        <v>6245</v>
      </c>
      <c r="I4342" t="s">
        <v>6843</v>
      </c>
      <c r="J4342" t="s">
        <v>7170</v>
      </c>
      <c r="K4342">
        <v>10463</v>
      </c>
      <c r="N4342" t="s">
        <v>7237</v>
      </c>
      <c r="O4342" t="s">
        <v>9969</v>
      </c>
      <c r="P4342">
        <v>1</v>
      </c>
      <c r="Q4342">
        <v>0</v>
      </c>
      <c r="R4342">
        <v>95.98</v>
      </c>
      <c r="U4342">
        <v>11652</v>
      </c>
      <c r="W4342">
        <v>21</v>
      </c>
      <c r="X4342" t="s">
        <v>273</v>
      </c>
      <c r="Y4342" t="s">
        <v>216</v>
      </c>
      <c r="AA4342" t="s">
        <v>10974</v>
      </c>
      <c r="AB4342" t="s">
        <v>730</v>
      </c>
      <c r="AD4342" t="s">
        <v>11083</v>
      </c>
      <c r="AF4342" t="s">
        <v>11118</v>
      </c>
      <c r="AG4342" t="s">
        <v>11124</v>
      </c>
      <c r="AI4342" t="s">
        <v>11126</v>
      </c>
      <c r="AK4342" t="s">
        <v>7225</v>
      </c>
      <c r="AL4342" t="s">
        <v>11150</v>
      </c>
      <c r="AM4342">
        <v>0</v>
      </c>
      <c r="AO4342">
        <v>145</v>
      </c>
      <c r="AP4342" t="s">
        <v>11155</v>
      </c>
      <c r="AR4342" t="s">
        <v>11172</v>
      </c>
      <c r="AT4342" t="s">
        <v>11184</v>
      </c>
      <c r="AU4342">
        <v>0</v>
      </c>
      <c r="AW4342" t="s">
        <v>11189</v>
      </c>
      <c r="AZ4342" t="s">
        <v>11221</v>
      </c>
      <c r="BE4342" t="s">
        <v>11236</v>
      </c>
      <c r="BF4342" t="s">
        <v>14364</v>
      </c>
      <c r="BG4342" t="s">
        <v>15455</v>
      </c>
      <c r="BM4342" t="s">
        <v>15650</v>
      </c>
    </row>
    <row r="4343" spans="1:65">
      <c r="A4343" s="1">
        <f>HYPERLINK("https://lsnyc.legalserver.org/matter/dynamic-profile/view/1853193","17-1853193")</f>
        <v>0</v>
      </c>
      <c r="B4343" t="s">
        <v>232</v>
      </c>
      <c r="C4343" t="s">
        <v>246</v>
      </c>
      <c r="D4343" t="s">
        <v>1046</v>
      </c>
      <c r="F4343" t="s">
        <v>2741</v>
      </c>
      <c r="G4343" t="s">
        <v>4605</v>
      </c>
      <c r="H4343" t="s">
        <v>6246</v>
      </c>
      <c r="I4343" t="s">
        <v>6684</v>
      </c>
      <c r="J4343" t="s">
        <v>7170</v>
      </c>
      <c r="K4343">
        <v>10467</v>
      </c>
      <c r="N4343" t="s">
        <v>7237</v>
      </c>
      <c r="O4343" t="s">
        <v>9970</v>
      </c>
      <c r="P4343">
        <v>1</v>
      </c>
      <c r="Q4343">
        <v>1</v>
      </c>
      <c r="R4343">
        <v>96.06</v>
      </c>
      <c r="S4343" t="s">
        <v>10254</v>
      </c>
      <c r="T4343" t="s">
        <v>10275</v>
      </c>
      <c r="U4343">
        <v>15600</v>
      </c>
      <c r="W4343">
        <v>6.4</v>
      </c>
      <c r="X4343" t="s">
        <v>757</v>
      </c>
      <c r="Y4343" t="s">
        <v>10908</v>
      </c>
      <c r="AA4343" t="s">
        <v>10974</v>
      </c>
      <c r="AB4343" t="s">
        <v>11075</v>
      </c>
      <c r="AD4343" t="s">
        <v>11086</v>
      </c>
      <c r="AF4343" t="s">
        <v>11119</v>
      </c>
      <c r="AH4343" t="s">
        <v>10975</v>
      </c>
      <c r="AJ4343" t="s">
        <v>11133</v>
      </c>
      <c r="AK4343" t="s">
        <v>11149</v>
      </c>
      <c r="AM4343">
        <v>1175</v>
      </c>
      <c r="AO4343">
        <v>66</v>
      </c>
      <c r="AQ4343" t="s">
        <v>11157</v>
      </c>
      <c r="AS4343" t="s">
        <v>11173</v>
      </c>
      <c r="AU4343">
        <v>3</v>
      </c>
      <c r="AW4343" t="s">
        <v>11189</v>
      </c>
      <c r="AZ4343" t="s">
        <v>11221</v>
      </c>
      <c r="BE4343" t="s">
        <v>14082</v>
      </c>
      <c r="BF4343" t="s">
        <v>14364</v>
      </c>
      <c r="BM4343" t="s">
        <v>15650</v>
      </c>
    </row>
    <row r="4344" spans="1:65">
      <c r="A4344" s="1">
        <f>HYPERLINK("https://lsnyc.legalserver.org/matter/dynamic-profile/view/1907676","19-1907676")</f>
        <v>0</v>
      </c>
      <c r="B4344" t="s">
        <v>232</v>
      </c>
      <c r="C4344" t="s">
        <v>246</v>
      </c>
      <c r="D4344" t="s">
        <v>544</v>
      </c>
      <c r="F4344" t="s">
        <v>1166</v>
      </c>
      <c r="G4344" t="s">
        <v>2937</v>
      </c>
      <c r="H4344" t="s">
        <v>6247</v>
      </c>
      <c r="I4344" t="s">
        <v>7117</v>
      </c>
      <c r="J4344" t="s">
        <v>7170</v>
      </c>
      <c r="K4344">
        <v>10457</v>
      </c>
      <c r="N4344" t="s">
        <v>7241</v>
      </c>
      <c r="O4344" t="s">
        <v>9971</v>
      </c>
      <c r="P4344">
        <v>1</v>
      </c>
      <c r="Q4344">
        <v>1</v>
      </c>
      <c r="R4344">
        <v>0</v>
      </c>
      <c r="U4344">
        <v>0</v>
      </c>
      <c r="W4344">
        <v>5.5</v>
      </c>
      <c r="X4344" t="s">
        <v>735</v>
      </c>
      <c r="Y4344" t="s">
        <v>10892</v>
      </c>
      <c r="Z4344" t="s">
        <v>10972</v>
      </c>
      <c r="AA4344" t="s">
        <v>10976</v>
      </c>
      <c r="AC4344" t="s">
        <v>11081</v>
      </c>
      <c r="AF4344" t="s">
        <v>11122</v>
      </c>
      <c r="AG4344" t="s">
        <v>11124</v>
      </c>
      <c r="AJ4344" t="s">
        <v>11135</v>
      </c>
      <c r="AK4344" t="s">
        <v>7225</v>
      </c>
      <c r="AM4344">
        <v>1696</v>
      </c>
      <c r="AO4344">
        <v>84</v>
      </c>
      <c r="AP4344" t="s">
        <v>11155</v>
      </c>
      <c r="AS4344" t="s">
        <v>11174</v>
      </c>
      <c r="AU4344">
        <v>5</v>
      </c>
      <c r="AW4344" t="s">
        <v>11187</v>
      </c>
      <c r="AX4344" t="s">
        <v>11212</v>
      </c>
      <c r="AZ4344" t="s">
        <v>11221</v>
      </c>
      <c r="BE4344" t="s">
        <v>14083</v>
      </c>
      <c r="BF4344" t="s">
        <v>14364</v>
      </c>
      <c r="BM4344" t="s">
        <v>15650</v>
      </c>
    </row>
    <row r="4345" spans="1:65">
      <c r="A4345" s="1">
        <f>HYPERLINK("https://lsnyc.legalserver.org/matter/dynamic-profile/view/1880802","18-1880802")</f>
        <v>0</v>
      </c>
      <c r="B4345" t="s">
        <v>232</v>
      </c>
      <c r="C4345" t="s">
        <v>246</v>
      </c>
      <c r="D4345" t="s">
        <v>323</v>
      </c>
      <c r="F4345" t="s">
        <v>1525</v>
      </c>
      <c r="G4345" t="s">
        <v>4606</v>
      </c>
      <c r="H4345" t="s">
        <v>6248</v>
      </c>
      <c r="I4345" t="s">
        <v>7118</v>
      </c>
      <c r="J4345" t="s">
        <v>7170</v>
      </c>
      <c r="K4345">
        <v>10460</v>
      </c>
      <c r="N4345" t="s">
        <v>7237</v>
      </c>
      <c r="O4345" t="s">
        <v>9972</v>
      </c>
      <c r="P4345">
        <v>2</v>
      </c>
      <c r="Q4345">
        <v>3</v>
      </c>
      <c r="R4345">
        <v>0</v>
      </c>
      <c r="U4345">
        <v>0</v>
      </c>
      <c r="W4345">
        <v>32.5</v>
      </c>
      <c r="X4345" t="s">
        <v>272</v>
      </c>
      <c r="Y4345" t="s">
        <v>10875</v>
      </c>
      <c r="AA4345" t="s">
        <v>10974</v>
      </c>
      <c r="AB4345" t="s">
        <v>323</v>
      </c>
      <c r="AD4345" t="s">
        <v>11082</v>
      </c>
      <c r="AF4345" t="s">
        <v>11118</v>
      </c>
      <c r="AG4345" t="s">
        <v>11124</v>
      </c>
      <c r="AJ4345" t="s">
        <v>11104</v>
      </c>
      <c r="AK4345" t="s">
        <v>7225</v>
      </c>
      <c r="AM4345">
        <v>1325</v>
      </c>
      <c r="AO4345">
        <v>44</v>
      </c>
      <c r="AQ4345" t="s">
        <v>11164</v>
      </c>
      <c r="AS4345" t="s">
        <v>11174</v>
      </c>
      <c r="AU4345">
        <v>3</v>
      </c>
      <c r="AW4345" t="s">
        <v>11187</v>
      </c>
      <c r="AZ4345" t="s">
        <v>11221</v>
      </c>
      <c r="BE4345" t="s">
        <v>14084</v>
      </c>
      <c r="BG4345" t="s">
        <v>15456</v>
      </c>
      <c r="BM4345" t="s">
        <v>15650</v>
      </c>
    </row>
    <row r="4346" spans="1:65">
      <c r="A4346" s="1">
        <f>HYPERLINK("https://lsnyc.legalserver.org/matter/dynamic-profile/view/1899279","19-1899279")</f>
        <v>0</v>
      </c>
      <c r="B4346" t="s">
        <v>232</v>
      </c>
      <c r="C4346" t="s">
        <v>246</v>
      </c>
      <c r="D4346" t="s">
        <v>675</v>
      </c>
      <c r="F4346" t="s">
        <v>1497</v>
      </c>
      <c r="G4346" t="s">
        <v>3680</v>
      </c>
      <c r="H4346" t="s">
        <v>5377</v>
      </c>
      <c r="I4346" t="s">
        <v>6551</v>
      </c>
      <c r="J4346" t="s">
        <v>7170</v>
      </c>
      <c r="K4346">
        <v>10453</v>
      </c>
      <c r="N4346" t="s">
        <v>7238</v>
      </c>
      <c r="O4346" t="s">
        <v>9973</v>
      </c>
      <c r="P4346">
        <v>1</v>
      </c>
      <c r="Q4346">
        <v>0</v>
      </c>
      <c r="R4346">
        <v>11.53</v>
      </c>
      <c r="U4346">
        <v>1440</v>
      </c>
      <c r="V4346" t="s">
        <v>10780</v>
      </c>
      <c r="W4346">
        <v>0.9</v>
      </c>
      <c r="X4346" t="s">
        <v>312</v>
      </c>
      <c r="Y4346" t="s">
        <v>232</v>
      </c>
      <c r="Z4346" t="s">
        <v>10972</v>
      </c>
      <c r="AA4346" t="s">
        <v>10976</v>
      </c>
      <c r="AC4346" t="s">
        <v>11081</v>
      </c>
      <c r="AF4346" t="s">
        <v>11120</v>
      </c>
      <c r="AG4346" t="s">
        <v>11124</v>
      </c>
      <c r="AI4346" t="s">
        <v>11126</v>
      </c>
      <c r="AK4346" t="s">
        <v>7225</v>
      </c>
      <c r="AL4346" t="s">
        <v>11150</v>
      </c>
      <c r="AM4346">
        <v>0</v>
      </c>
      <c r="AO4346">
        <v>55</v>
      </c>
      <c r="AP4346" t="s">
        <v>11155</v>
      </c>
      <c r="AR4346" t="s">
        <v>11172</v>
      </c>
      <c r="AT4346" t="s">
        <v>11184</v>
      </c>
      <c r="AU4346">
        <v>0</v>
      </c>
      <c r="AW4346" t="s">
        <v>11189</v>
      </c>
      <c r="AX4346" t="s">
        <v>11212</v>
      </c>
      <c r="AZ4346" t="s">
        <v>11221</v>
      </c>
      <c r="BE4346" t="s">
        <v>14085</v>
      </c>
      <c r="BF4346" t="s">
        <v>14364</v>
      </c>
      <c r="BM4346" t="s">
        <v>15650</v>
      </c>
    </row>
    <row r="4347" spans="1:65">
      <c r="A4347" s="1">
        <f>HYPERLINK("https://lsnyc.legalserver.org/matter/dynamic-profile/view/1872232","18-1872232")</f>
        <v>0</v>
      </c>
      <c r="B4347" t="s">
        <v>232</v>
      </c>
      <c r="C4347" t="s">
        <v>246</v>
      </c>
      <c r="D4347" t="s">
        <v>541</v>
      </c>
      <c r="F4347" t="s">
        <v>2742</v>
      </c>
      <c r="G4347" t="s">
        <v>3521</v>
      </c>
      <c r="H4347" t="s">
        <v>6249</v>
      </c>
      <c r="I4347" t="s">
        <v>6417</v>
      </c>
      <c r="J4347" t="s">
        <v>7170</v>
      </c>
      <c r="K4347">
        <v>10453</v>
      </c>
      <c r="N4347" t="s">
        <v>7237</v>
      </c>
      <c r="O4347" t="s">
        <v>9974</v>
      </c>
      <c r="P4347">
        <v>1</v>
      </c>
      <c r="Q4347">
        <v>1</v>
      </c>
      <c r="R4347">
        <v>89.16</v>
      </c>
      <c r="U4347">
        <v>14676</v>
      </c>
      <c r="V4347" t="s">
        <v>10781</v>
      </c>
      <c r="W4347">
        <v>7.9</v>
      </c>
      <c r="X4347" t="s">
        <v>473</v>
      </c>
      <c r="Y4347" t="s">
        <v>10877</v>
      </c>
      <c r="AA4347" t="s">
        <v>10974</v>
      </c>
      <c r="AB4347" t="s">
        <v>372</v>
      </c>
      <c r="AD4347" t="s">
        <v>11082</v>
      </c>
      <c r="AF4347" t="s">
        <v>11118</v>
      </c>
      <c r="AG4347" t="s">
        <v>11124</v>
      </c>
      <c r="AJ4347" t="s">
        <v>11131</v>
      </c>
      <c r="AK4347" t="s">
        <v>7225</v>
      </c>
      <c r="AM4347">
        <v>612.61</v>
      </c>
      <c r="AO4347">
        <v>72</v>
      </c>
      <c r="AQ4347" t="s">
        <v>11160</v>
      </c>
      <c r="AS4347" t="s">
        <v>11173</v>
      </c>
      <c r="AU4347">
        <v>36</v>
      </c>
      <c r="AW4347" t="s">
        <v>11187</v>
      </c>
      <c r="AZ4347" t="s">
        <v>11221</v>
      </c>
      <c r="BC4347" t="s">
        <v>11617</v>
      </c>
      <c r="BE4347" t="s">
        <v>14086</v>
      </c>
      <c r="BG4347" t="s">
        <v>15457</v>
      </c>
      <c r="BM4347" t="s">
        <v>15650</v>
      </c>
    </row>
    <row r="4348" spans="1:65">
      <c r="A4348" s="1">
        <f>HYPERLINK("https://lsnyc.legalserver.org/matter/dynamic-profile/view/1911100","19-1911100")</f>
        <v>0</v>
      </c>
      <c r="B4348" t="s">
        <v>232</v>
      </c>
      <c r="C4348" t="s">
        <v>246</v>
      </c>
      <c r="D4348" t="s">
        <v>626</v>
      </c>
      <c r="F4348" t="s">
        <v>1294</v>
      </c>
      <c r="G4348" t="s">
        <v>2221</v>
      </c>
      <c r="H4348" t="s">
        <v>6166</v>
      </c>
      <c r="I4348" t="s">
        <v>6407</v>
      </c>
      <c r="J4348" t="s">
        <v>7170</v>
      </c>
      <c r="K4348">
        <v>10453</v>
      </c>
      <c r="N4348" t="s">
        <v>7237</v>
      </c>
      <c r="O4348" t="s">
        <v>9975</v>
      </c>
      <c r="P4348">
        <v>1</v>
      </c>
      <c r="Q4348">
        <v>3</v>
      </c>
      <c r="R4348">
        <v>34.16</v>
      </c>
      <c r="U4348">
        <v>8796</v>
      </c>
      <c r="W4348">
        <v>7</v>
      </c>
      <c r="X4348" t="s">
        <v>297</v>
      </c>
      <c r="Y4348" t="s">
        <v>232</v>
      </c>
      <c r="Z4348" t="s">
        <v>10972</v>
      </c>
      <c r="AA4348" t="s">
        <v>10976</v>
      </c>
      <c r="AD4348" t="s">
        <v>11083</v>
      </c>
      <c r="AF4348" t="s">
        <v>11118</v>
      </c>
      <c r="AH4348" t="s">
        <v>10975</v>
      </c>
      <c r="AI4348" t="s">
        <v>11126</v>
      </c>
      <c r="AK4348" t="s">
        <v>7225</v>
      </c>
      <c r="AM4348">
        <v>1600</v>
      </c>
      <c r="AN4348" t="s">
        <v>11151</v>
      </c>
      <c r="AO4348" t="s">
        <v>11153</v>
      </c>
      <c r="AQ4348" t="s">
        <v>11157</v>
      </c>
      <c r="AR4348" t="s">
        <v>11172</v>
      </c>
      <c r="AT4348" t="s">
        <v>11184</v>
      </c>
      <c r="AU4348">
        <v>0</v>
      </c>
      <c r="AW4348" t="s">
        <v>11187</v>
      </c>
      <c r="AY4348" t="s">
        <v>11215</v>
      </c>
      <c r="AZ4348" t="s">
        <v>11221</v>
      </c>
      <c r="BE4348" t="s">
        <v>14087</v>
      </c>
      <c r="BF4348" t="s">
        <v>14364</v>
      </c>
      <c r="BG4348" t="s">
        <v>15458</v>
      </c>
      <c r="BM4348" t="s">
        <v>15650</v>
      </c>
    </row>
    <row r="4349" spans="1:65">
      <c r="A4349" s="1">
        <f>HYPERLINK("https://lsnyc.legalserver.org/matter/dynamic-profile/view/1897089","19-1897089")</f>
        <v>0</v>
      </c>
      <c r="B4349" t="s">
        <v>232</v>
      </c>
      <c r="C4349" t="s">
        <v>246</v>
      </c>
      <c r="D4349" t="s">
        <v>872</v>
      </c>
      <c r="F4349" t="s">
        <v>2735</v>
      </c>
      <c r="G4349" t="s">
        <v>4548</v>
      </c>
      <c r="H4349" t="s">
        <v>6236</v>
      </c>
      <c r="I4349" t="s">
        <v>7114</v>
      </c>
      <c r="J4349" t="s">
        <v>7170</v>
      </c>
      <c r="K4349">
        <v>10453</v>
      </c>
      <c r="N4349" t="s">
        <v>7237</v>
      </c>
      <c r="O4349" t="s">
        <v>9957</v>
      </c>
      <c r="P4349">
        <v>1</v>
      </c>
      <c r="Q4349">
        <v>0</v>
      </c>
      <c r="R4349">
        <v>88.03</v>
      </c>
      <c r="U4349">
        <v>10994.64</v>
      </c>
      <c r="W4349">
        <v>31.2</v>
      </c>
      <c r="X4349" t="s">
        <v>345</v>
      </c>
      <c r="Y4349" t="s">
        <v>216</v>
      </c>
      <c r="AA4349" t="s">
        <v>10974</v>
      </c>
      <c r="AB4349" t="s">
        <v>633</v>
      </c>
      <c r="AD4349" t="s">
        <v>11082</v>
      </c>
      <c r="AF4349" t="s">
        <v>11118</v>
      </c>
      <c r="AH4349" t="s">
        <v>10975</v>
      </c>
      <c r="AJ4349" t="s">
        <v>11129</v>
      </c>
      <c r="AK4349" t="s">
        <v>7225</v>
      </c>
      <c r="AM4349">
        <v>729</v>
      </c>
      <c r="AO4349">
        <v>69</v>
      </c>
      <c r="AP4349" t="s">
        <v>11155</v>
      </c>
      <c r="AS4349" t="s">
        <v>11174</v>
      </c>
      <c r="AT4349" t="s">
        <v>11184</v>
      </c>
      <c r="AU4349">
        <v>0</v>
      </c>
      <c r="AW4349" t="s">
        <v>11189</v>
      </c>
      <c r="BA4349" t="s">
        <v>11223</v>
      </c>
      <c r="BC4349" t="s">
        <v>11618</v>
      </c>
      <c r="BE4349" t="s">
        <v>14070</v>
      </c>
      <c r="BG4349" t="s">
        <v>15459</v>
      </c>
      <c r="BM4349" t="s">
        <v>15650</v>
      </c>
    </row>
    <row r="4350" spans="1:65">
      <c r="A4350" s="1">
        <f>HYPERLINK("https://lsnyc.legalserver.org/matter/dynamic-profile/view/1844285","17-1844285")</f>
        <v>0</v>
      </c>
      <c r="B4350" t="s">
        <v>232</v>
      </c>
      <c r="C4350" t="s">
        <v>246</v>
      </c>
      <c r="D4350" t="s">
        <v>500</v>
      </c>
      <c r="F4350" t="s">
        <v>2059</v>
      </c>
      <c r="G4350" t="s">
        <v>2885</v>
      </c>
      <c r="H4350" t="s">
        <v>6250</v>
      </c>
      <c r="I4350" t="s">
        <v>6440</v>
      </c>
      <c r="J4350" t="s">
        <v>7170</v>
      </c>
      <c r="K4350">
        <v>10470</v>
      </c>
      <c r="N4350" t="s">
        <v>7237</v>
      </c>
      <c r="O4350" t="s">
        <v>9976</v>
      </c>
      <c r="P4350">
        <v>1</v>
      </c>
      <c r="Q4350">
        <v>0</v>
      </c>
      <c r="R4350">
        <v>74.73</v>
      </c>
      <c r="S4350" t="s">
        <v>10254</v>
      </c>
      <c r="T4350" t="s">
        <v>10275</v>
      </c>
      <c r="U4350">
        <v>9012</v>
      </c>
      <c r="W4350">
        <v>47.3</v>
      </c>
      <c r="X4350" t="s">
        <v>766</v>
      </c>
      <c r="Y4350" t="s">
        <v>10908</v>
      </c>
      <c r="AA4350" t="s">
        <v>10974</v>
      </c>
      <c r="AB4350" t="s">
        <v>11048</v>
      </c>
      <c r="AD4350" t="s">
        <v>11082</v>
      </c>
      <c r="AF4350" t="s">
        <v>11118</v>
      </c>
      <c r="AH4350" t="s">
        <v>10975</v>
      </c>
      <c r="AJ4350" t="s">
        <v>11133</v>
      </c>
      <c r="AK4350" t="s">
        <v>11149</v>
      </c>
      <c r="AM4350">
        <v>1190.04</v>
      </c>
      <c r="AO4350">
        <v>6</v>
      </c>
      <c r="AQ4350" t="s">
        <v>11157</v>
      </c>
      <c r="AS4350" t="s">
        <v>11174</v>
      </c>
      <c r="AU4350">
        <v>5</v>
      </c>
      <c r="AW4350" t="s">
        <v>11187</v>
      </c>
      <c r="AZ4350" t="s">
        <v>11221</v>
      </c>
      <c r="BC4350" t="s">
        <v>11619</v>
      </c>
      <c r="BE4350" t="s">
        <v>14088</v>
      </c>
      <c r="BG4350" t="s">
        <v>15460</v>
      </c>
      <c r="BM4350" t="s">
        <v>15650</v>
      </c>
    </row>
    <row r="4351" spans="1:65">
      <c r="A4351" s="1">
        <f>HYPERLINK("https://lsnyc.legalserver.org/matter/dynamic-profile/view/1864233","18-1864233")</f>
        <v>0</v>
      </c>
      <c r="B4351" t="s">
        <v>232</v>
      </c>
      <c r="C4351" t="s">
        <v>246</v>
      </c>
      <c r="D4351" t="s">
        <v>1047</v>
      </c>
      <c r="F4351" t="s">
        <v>2059</v>
      </c>
      <c r="G4351" t="s">
        <v>2885</v>
      </c>
      <c r="H4351" t="s">
        <v>6250</v>
      </c>
      <c r="I4351" t="s">
        <v>6440</v>
      </c>
      <c r="J4351" t="s">
        <v>7170</v>
      </c>
      <c r="K4351">
        <v>10470</v>
      </c>
      <c r="N4351" t="s">
        <v>7241</v>
      </c>
      <c r="O4351" t="s">
        <v>9976</v>
      </c>
      <c r="P4351">
        <v>1</v>
      </c>
      <c r="Q4351">
        <v>0</v>
      </c>
      <c r="R4351">
        <v>74.23</v>
      </c>
      <c r="U4351">
        <v>9012</v>
      </c>
      <c r="V4351" t="s">
        <v>10782</v>
      </c>
      <c r="W4351">
        <v>0</v>
      </c>
      <c r="Y4351" t="s">
        <v>192</v>
      </c>
      <c r="AA4351" t="s">
        <v>10974</v>
      </c>
      <c r="AB4351" t="s">
        <v>1047</v>
      </c>
      <c r="AC4351" t="s">
        <v>11081</v>
      </c>
      <c r="AF4351" t="s">
        <v>11120</v>
      </c>
      <c r="AH4351" t="s">
        <v>10975</v>
      </c>
      <c r="AJ4351" t="s">
        <v>11133</v>
      </c>
      <c r="AK4351" t="s">
        <v>7225</v>
      </c>
      <c r="AM4351">
        <v>1190.04</v>
      </c>
      <c r="AO4351">
        <v>6</v>
      </c>
      <c r="AQ4351" t="s">
        <v>11157</v>
      </c>
      <c r="AS4351" t="s">
        <v>11174</v>
      </c>
      <c r="AU4351">
        <v>5</v>
      </c>
      <c r="AW4351" t="s">
        <v>11187</v>
      </c>
      <c r="AZ4351" t="s">
        <v>11221</v>
      </c>
      <c r="BC4351" t="s">
        <v>11619</v>
      </c>
      <c r="BE4351" t="s">
        <v>14088</v>
      </c>
      <c r="BF4351" t="s">
        <v>14364</v>
      </c>
      <c r="BM4351" t="s">
        <v>15650</v>
      </c>
    </row>
    <row r="4352" spans="1:65">
      <c r="A4352" s="1">
        <f>HYPERLINK("https://lsnyc.legalserver.org/matter/dynamic-profile/view/1856807","18-1856807")</f>
        <v>0</v>
      </c>
      <c r="B4352" t="s">
        <v>232</v>
      </c>
      <c r="C4352" t="s">
        <v>246</v>
      </c>
      <c r="D4352" t="s">
        <v>383</v>
      </c>
      <c r="F4352" t="s">
        <v>1122</v>
      </c>
      <c r="G4352" t="s">
        <v>3226</v>
      </c>
      <c r="H4352" t="s">
        <v>6240</v>
      </c>
      <c r="I4352" t="s">
        <v>6436</v>
      </c>
      <c r="J4352" t="s">
        <v>7170</v>
      </c>
      <c r="K4352">
        <v>10453</v>
      </c>
      <c r="N4352" t="s">
        <v>7237</v>
      </c>
      <c r="O4352" t="s">
        <v>9977</v>
      </c>
      <c r="P4352">
        <v>1</v>
      </c>
      <c r="Q4352">
        <v>0</v>
      </c>
      <c r="R4352">
        <v>72.23999999999999</v>
      </c>
      <c r="U4352">
        <v>8712</v>
      </c>
      <c r="W4352">
        <v>4.25</v>
      </c>
      <c r="X4352" t="s">
        <v>842</v>
      </c>
      <c r="Y4352" t="s">
        <v>10865</v>
      </c>
      <c r="AA4352" t="s">
        <v>10974</v>
      </c>
      <c r="AB4352" t="s">
        <v>458</v>
      </c>
      <c r="AD4352" t="s">
        <v>11096</v>
      </c>
      <c r="AF4352" t="s">
        <v>11122</v>
      </c>
      <c r="AH4352" t="s">
        <v>10975</v>
      </c>
      <c r="AJ4352" t="s">
        <v>11141</v>
      </c>
      <c r="AK4352" t="s">
        <v>7225</v>
      </c>
      <c r="AM4352">
        <v>866.08</v>
      </c>
      <c r="AO4352">
        <v>21</v>
      </c>
      <c r="AQ4352" t="s">
        <v>11157</v>
      </c>
      <c r="AS4352" t="s">
        <v>11173</v>
      </c>
      <c r="AU4352">
        <v>8</v>
      </c>
      <c r="AW4352" t="s">
        <v>11189</v>
      </c>
      <c r="AZ4352" t="s">
        <v>11221</v>
      </c>
      <c r="BC4352" t="s">
        <v>11620</v>
      </c>
      <c r="BE4352" t="s">
        <v>14089</v>
      </c>
      <c r="BF4352" t="s">
        <v>14364</v>
      </c>
      <c r="BM4352" t="s">
        <v>15650</v>
      </c>
    </row>
    <row r="4353" spans="1:65">
      <c r="A4353" s="1">
        <f>HYPERLINK("https://lsnyc.legalserver.org/matter/dynamic-profile/view/1874137","18-1874137")</f>
        <v>0</v>
      </c>
      <c r="B4353" t="s">
        <v>232</v>
      </c>
      <c r="C4353" t="s">
        <v>246</v>
      </c>
      <c r="D4353" t="s">
        <v>897</v>
      </c>
      <c r="F4353" t="s">
        <v>2743</v>
      </c>
      <c r="G4353" t="s">
        <v>3190</v>
      </c>
      <c r="H4353" t="s">
        <v>6251</v>
      </c>
      <c r="I4353" t="s">
        <v>6502</v>
      </c>
      <c r="J4353" t="s">
        <v>7170</v>
      </c>
      <c r="K4353">
        <v>10460</v>
      </c>
      <c r="N4353" t="s">
        <v>7237</v>
      </c>
      <c r="O4353" t="s">
        <v>9978</v>
      </c>
      <c r="P4353">
        <v>3</v>
      </c>
      <c r="Q4353">
        <v>3</v>
      </c>
      <c r="R4353">
        <v>71.28</v>
      </c>
      <c r="U4353">
        <v>24050</v>
      </c>
      <c r="W4353">
        <v>56</v>
      </c>
      <c r="X4353" t="s">
        <v>664</v>
      </c>
      <c r="Y4353" t="s">
        <v>10897</v>
      </c>
      <c r="AA4353" t="s">
        <v>10974</v>
      </c>
      <c r="AB4353" t="s">
        <v>897</v>
      </c>
      <c r="AD4353" t="s">
        <v>11082</v>
      </c>
      <c r="AF4353" t="s">
        <v>11118</v>
      </c>
      <c r="AH4353" t="s">
        <v>10975</v>
      </c>
      <c r="AJ4353" t="s">
        <v>11128</v>
      </c>
      <c r="AK4353" t="s">
        <v>7225</v>
      </c>
      <c r="AL4353" t="s">
        <v>11150</v>
      </c>
      <c r="AM4353">
        <v>0</v>
      </c>
      <c r="AO4353">
        <v>200</v>
      </c>
      <c r="AP4353" t="s">
        <v>11155</v>
      </c>
      <c r="AS4353" t="s">
        <v>11174</v>
      </c>
      <c r="AU4353">
        <v>10</v>
      </c>
      <c r="AW4353" t="s">
        <v>11187</v>
      </c>
      <c r="AZ4353" t="s">
        <v>11221</v>
      </c>
      <c r="BC4353" t="s">
        <v>11621</v>
      </c>
      <c r="BE4353" t="s">
        <v>14090</v>
      </c>
      <c r="BG4353" t="s">
        <v>15461</v>
      </c>
      <c r="BM4353" t="s">
        <v>15650</v>
      </c>
    </row>
    <row r="4354" spans="1:65">
      <c r="A4354" s="1">
        <f>HYPERLINK("https://lsnyc.legalserver.org/matter/dynamic-profile/view/1905887","19-1905887")</f>
        <v>0</v>
      </c>
      <c r="B4354" t="s">
        <v>232</v>
      </c>
      <c r="C4354" t="s">
        <v>246</v>
      </c>
      <c r="D4354" t="s">
        <v>337</v>
      </c>
      <c r="F4354" t="s">
        <v>2744</v>
      </c>
      <c r="G4354" t="s">
        <v>4607</v>
      </c>
      <c r="H4354" t="s">
        <v>6252</v>
      </c>
      <c r="I4354" t="s">
        <v>6608</v>
      </c>
      <c r="J4354" t="s">
        <v>7170</v>
      </c>
      <c r="K4354">
        <v>10453</v>
      </c>
      <c r="N4354" t="s">
        <v>7237</v>
      </c>
      <c r="O4354" t="s">
        <v>9979</v>
      </c>
      <c r="P4354">
        <v>1</v>
      </c>
      <c r="Q4354">
        <v>0</v>
      </c>
      <c r="R4354">
        <v>80.7</v>
      </c>
      <c r="U4354">
        <v>10080</v>
      </c>
      <c r="W4354">
        <v>1</v>
      </c>
      <c r="X4354" t="s">
        <v>337</v>
      </c>
      <c r="Y4354" t="s">
        <v>10877</v>
      </c>
      <c r="Z4354" t="s">
        <v>10972</v>
      </c>
      <c r="AA4354" t="s">
        <v>10976</v>
      </c>
      <c r="AC4354" t="s">
        <v>11081</v>
      </c>
      <c r="AE4354" t="s">
        <v>11117</v>
      </c>
      <c r="AG4354" t="s">
        <v>11124</v>
      </c>
      <c r="AJ4354" t="s">
        <v>11131</v>
      </c>
      <c r="AK4354" t="s">
        <v>7225</v>
      </c>
      <c r="AM4354">
        <v>1126</v>
      </c>
      <c r="AO4354">
        <v>35</v>
      </c>
      <c r="AP4354" t="s">
        <v>11155</v>
      </c>
      <c r="AS4354" t="s">
        <v>11173</v>
      </c>
      <c r="AU4354">
        <v>16</v>
      </c>
      <c r="AW4354" t="s">
        <v>11187</v>
      </c>
      <c r="AX4354" t="s">
        <v>11212</v>
      </c>
      <c r="AZ4354" t="s">
        <v>11221</v>
      </c>
      <c r="BE4354" t="s">
        <v>14091</v>
      </c>
      <c r="BF4354" t="s">
        <v>14364</v>
      </c>
      <c r="BM4354" t="s">
        <v>15650</v>
      </c>
    </row>
    <row r="4355" spans="1:65">
      <c r="A4355" s="1">
        <f>HYPERLINK("https://lsnyc.legalserver.org/matter/dynamic-profile/view/1878094","18-1878094")</f>
        <v>0</v>
      </c>
      <c r="B4355" t="s">
        <v>232</v>
      </c>
      <c r="C4355" t="s">
        <v>246</v>
      </c>
      <c r="D4355" t="s">
        <v>279</v>
      </c>
      <c r="F4355" t="s">
        <v>1294</v>
      </c>
      <c r="G4355" t="s">
        <v>2221</v>
      </c>
      <c r="H4355" t="s">
        <v>6166</v>
      </c>
      <c r="I4355" t="s">
        <v>6407</v>
      </c>
      <c r="J4355" t="s">
        <v>7170</v>
      </c>
      <c r="K4355">
        <v>10453</v>
      </c>
      <c r="N4355" t="s">
        <v>7241</v>
      </c>
      <c r="O4355" t="s">
        <v>9975</v>
      </c>
      <c r="P4355">
        <v>1</v>
      </c>
      <c r="Q4355">
        <v>3</v>
      </c>
      <c r="R4355">
        <v>70.09</v>
      </c>
      <c r="U4355">
        <v>17592</v>
      </c>
      <c r="W4355">
        <v>7</v>
      </c>
      <c r="X4355" t="s">
        <v>561</v>
      </c>
      <c r="Y4355" t="s">
        <v>216</v>
      </c>
      <c r="AA4355" t="s">
        <v>10974</v>
      </c>
      <c r="AB4355" t="s">
        <v>609</v>
      </c>
      <c r="AD4355" t="s">
        <v>11095</v>
      </c>
      <c r="AF4355" t="s">
        <v>11122</v>
      </c>
      <c r="AH4355" t="s">
        <v>10975</v>
      </c>
      <c r="AJ4355" t="s">
        <v>11129</v>
      </c>
      <c r="AK4355" t="s">
        <v>7225</v>
      </c>
      <c r="AM4355">
        <v>1600</v>
      </c>
      <c r="AO4355">
        <v>48</v>
      </c>
      <c r="AQ4355" t="s">
        <v>11157</v>
      </c>
      <c r="AS4355" t="s">
        <v>11174</v>
      </c>
      <c r="AU4355">
        <v>3</v>
      </c>
      <c r="AW4355" t="s">
        <v>11187</v>
      </c>
      <c r="AZ4355" t="s">
        <v>11221</v>
      </c>
      <c r="BC4355" t="s">
        <v>11622</v>
      </c>
      <c r="BE4355" t="s">
        <v>14087</v>
      </c>
      <c r="BF4355" t="s">
        <v>14364</v>
      </c>
      <c r="BM4355" t="s">
        <v>15650</v>
      </c>
    </row>
    <row r="4356" spans="1:65">
      <c r="A4356" s="1">
        <f>HYPERLINK("https://lsnyc.legalserver.org/matter/dynamic-profile/view/1869615","18-1869615")</f>
        <v>0</v>
      </c>
      <c r="B4356" t="s">
        <v>232</v>
      </c>
      <c r="C4356" t="s">
        <v>246</v>
      </c>
      <c r="D4356" t="s">
        <v>607</v>
      </c>
      <c r="F4356" t="s">
        <v>1294</v>
      </c>
      <c r="G4356" t="s">
        <v>2221</v>
      </c>
      <c r="H4356" t="s">
        <v>6166</v>
      </c>
      <c r="I4356" t="s">
        <v>6407</v>
      </c>
      <c r="J4356" t="s">
        <v>7170</v>
      </c>
      <c r="K4356">
        <v>10453</v>
      </c>
      <c r="N4356" t="s">
        <v>7237</v>
      </c>
      <c r="O4356" t="s">
        <v>9975</v>
      </c>
      <c r="P4356">
        <v>1</v>
      </c>
      <c r="Q4356">
        <v>3</v>
      </c>
      <c r="R4356">
        <v>70.09</v>
      </c>
      <c r="U4356">
        <v>17592</v>
      </c>
      <c r="W4356">
        <v>45.65</v>
      </c>
      <c r="X4356" t="s">
        <v>578</v>
      </c>
      <c r="Y4356" t="s">
        <v>10897</v>
      </c>
      <c r="AA4356" t="s">
        <v>10974</v>
      </c>
      <c r="AB4356" t="s">
        <v>975</v>
      </c>
      <c r="AD4356" t="s">
        <v>11083</v>
      </c>
      <c r="AF4356" t="s">
        <v>11118</v>
      </c>
      <c r="AH4356" t="s">
        <v>10975</v>
      </c>
      <c r="AJ4356" t="s">
        <v>11128</v>
      </c>
      <c r="AK4356" t="s">
        <v>7225</v>
      </c>
      <c r="AM4356">
        <v>1600</v>
      </c>
      <c r="AN4356" t="s">
        <v>11151</v>
      </c>
      <c r="AO4356" t="s">
        <v>11153</v>
      </c>
      <c r="AQ4356" t="s">
        <v>11157</v>
      </c>
      <c r="AS4356" t="s">
        <v>11174</v>
      </c>
      <c r="AU4356">
        <v>3</v>
      </c>
      <c r="AW4356" t="s">
        <v>11187</v>
      </c>
      <c r="AZ4356" t="s">
        <v>11221</v>
      </c>
      <c r="BC4356" t="s">
        <v>11622</v>
      </c>
      <c r="BE4356" t="s">
        <v>14087</v>
      </c>
      <c r="BG4356" t="s">
        <v>15462</v>
      </c>
      <c r="BM4356" t="s">
        <v>15650</v>
      </c>
    </row>
    <row r="4357" spans="1:65">
      <c r="A4357" s="1">
        <f>HYPERLINK("https://lsnyc.legalserver.org/matter/dynamic-profile/view/1840918","17-1840918")</f>
        <v>0</v>
      </c>
      <c r="B4357" t="s">
        <v>232</v>
      </c>
      <c r="C4357" t="s">
        <v>246</v>
      </c>
      <c r="D4357" t="s">
        <v>1048</v>
      </c>
      <c r="F4357" t="s">
        <v>1417</v>
      </c>
      <c r="G4357" t="s">
        <v>4608</v>
      </c>
      <c r="H4357" t="s">
        <v>6253</v>
      </c>
      <c r="I4357" t="s">
        <v>6410</v>
      </c>
      <c r="J4357" t="s">
        <v>7170</v>
      </c>
      <c r="K4357">
        <v>10453</v>
      </c>
      <c r="N4357" t="s">
        <v>7237</v>
      </c>
      <c r="O4357" t="s">
        <v>9980</v>
      </c>
      <c r="P4357">
        <v>1</v>
      </c>
      <c r="Q4357">
        <v>0</v>
      </c>
      <c r="R4357">
        <v>69.65000000000001</v>
      </c>
      <c r="U4357">
        <v>8400</v>
      </c>
      <c r="W4357">
        <v>79.8</v>
      </c>
      <c r="X4357" t="s">
        <v>614</v>
      </c>
      <c r="Y4357" t="s">
        <v>10875</v>
      </c>
      <c r="AA4357" t="s">
        <v>10974</v>
      </c>
      <c r="AB4357" t="s">
        <v>1048</v>
      </c>
      <c r="AD4357" t="s">
        <v>11083</v>
      </c>
      <c r="AF4357" t="s">
        <v>11118</v>
      </c>
      <c r="AG4357" t="s">
        <v>11124</v>
      </c>
      <c r="AJ4357" t="s">
        <v>11143</v>
      </c>
      <c r="AK4357" t="s">
        <v>7225</v>
      </c>
      <c r="AM4357">
        <v>894.7</v>
      </c>
      <c r="AO4357">
        <v>36</v>
      </c>
      <c r="AQ4357" t="s">
        <v>11157</v>
      </c>
      <c r="AS4357" t="s">
        <v>11174</v>
      </c>
      <c r="AU4357">
        <v>39</v>
      </c>
      <c r="AW4357" t="s">
        <v>11189</v>
      </c>
      <c r="AZ4357" t="s">
        <v>11221</v>
      </c>
      <c r="BE4357" t="s">
        <v>14092</v>
      </c>
      <c r="BG4357" t="s">
        <v>15463</v>
      </c>
      <c r="BM4357" t="s">
        <v>15650</v>
      </c>
    </row>
    <row r="4358" spans="1:65">
      <c r="A4358" s="1">
        <f>HYPERLINK("https://lsnyc.legalserver.org/matter/dynamic-profile/view/1875115","18-1875115")</f>
        <v>0</v>
      </c>
      <c r="B4358" t="s">
        <v>232</v>
      </c>
      <c r="C4358" t="s">
        <v>246</v>
      </c>
      <c r="D4358" t="s">
        <v>844</v>
      </c>
      <c r="F4358" t="s">
        <v>2407</v>
      </c>
      <c r="G4358" t="s">
        <v>4609</v>
      </c>
      <c r="H4358" t="s">
        <v>6254</v>
      </c>
      <c r="I4358" t="s">
        <v>6620</v>
      </c>
      <c r="J4358" t="s">
        <v>7170</v>
      </c>
      <c r="K4358">
        <v>10453</v>
      </c>
      <c r="N4358" t="s">
        <v>7237</v>
      </c>
      <c r="O4358" t="s">
        <v>9981</v>
      </c>
      <c r="P4358">
        <v>1</v>
      </c>
      <c r="Q4358">
        <v>0</v>
      </c>
      <c r="R4358">
        <v>411.86</v>
      </c>
      <c r="U4358">
        <v>50000</v>
      </c>
      <c r="V4358" t="s">
        <v>10783</v>
      </c>
      <c r="W4358">
        <v>13.5</v>
      </c>
      <c r="X4358" t="s">
        <v>721</v>
      </c>
      <c r="Y4358" t="s">
        <v>10897</v>
      </c>
      <c r="AA4358" t="s">
        <v>10974</v>
      </c>
      <c r="AB4358" t="s">
        <v>10979</v>
      </c>
      <c r="AD4358" t="s">
        <v>11082</v>
      </c>
      <c r="AF4358" t="s">
        <v>11118</v>
      </c>
      <c r="AH4358" t="s">
        <v>10975</v>
      </c>
      <c r="AJ4358" t="s">
        <v>11138</v>
      </c>
      <c r="AK4358" t="s">
        <v>7225</v>
      </c>
      <c r="AM4358">
        <v>1040</v>
      </c>
      <c r="AN4358" t="s">
        <v>11151</v>
      </c>
      <c r="AO4358" t="s">
        <v>11153</v>
      </c>
      <c r="AQ4358" t="s">
        <v>11157</v>
      </c>
      <c r="AS4358" t="s">
        <v>11173</v>
      </c>
      <c r="AU4358">
        <v>26</v>
      </c>
      <c r="AV4358" t="s">
        <v>11186</v>
      </c>
      <c r="AZ4358" t="s">
        <v>11221</v>
      </c>
      <c r="BE4358" t="s">
        <v>14093</v>
      </c>
      <c r="BG4358" t="s">
        <v>15464</v>
      </c>
      <c r="BM4358" t="s">
        <v>15650</v>
      </c>
    </row>
    <row r="4359" spans="1:65">
      <c r="A4359" s="1">
        <f>HYPERLINK("https://lsnyc.legalserver.org/matter/dynamic-profile/view/1860598","18-1860598")</f>
        <v>0</v>
      </c>
      <c r="B4359" t="s">
        <v>232</v>
      </c>
      <c r="C4359" t="s">
        <v>246</v>
      </c>
      <c r="D4359" t="s">
        <v>717</v>
      </c>
      <c r="F4359" t="s">
        <v>1456</v>
      </c>
      <c r="G4359" t="s">
        <v>2949</v>
      </c>
      <c r="H4359" t="s">
        <v>6255</v>
      </c>
      <c r="I4359" t="s">
        <v>6495</v>
      </c>
      <c r="J4359" t="s">
        <v>7170</v>
      </c>
      <c r="K4359">
        <v>10452</v>
      </c>
      <c r="N4359" t="s">
        <v>7237</v>
      </c>
      <c r="O4359" t="s">
        <v>9982</v>
      </c>
      <c r="P4359">
        <v>1</v>
      </c>
      <c r="Q4359">
        <v>0</v>
      </c>
      <c r="R4359">
        <v>68.11</v>
      </c>
      <c r="U4359">
        <v>8268</v>
      </c>
      <c r="V4359" t="s">
        <v>10306</v>
      </c>
      <c r="W4359">
        <v>6</v>
      </c>
      <c r="X4359" t="s">
        <v>668</v>
      </c>
      <c r="Y4359" t="s">
        <v>10866</v>
      </c>
      <c r="AA4359" t="s">
        <v>10974</v>
      </c>
      <c r="AB4359" t="s">
        <v>11007</v>
      </c>
      <c r="AC4359" t="s">
        <v>11081</v>
      </c>
      <c r="AF4359" t="s">
        <v>11120</v>
      </c>
      <c r="AG4359" t="s">
        <v>11124</v>
      </c>
      <c r="AI4359" t="s">
        <v>11126</v>
      </c>
      <c r="AK4359" t="s">
        <v>7225</v>
      </c>
      <c r="AL4359" t="s">
        <v>11150</v>
      </c>
      <c r="AM4359">
        <v>0</v>
      </c>
      <c r="AN4359" t="s">
        <v>11151</v>
      </c>
      <c r="AO4359" t="s">
        <v>11153</v>
      </c>
      <c r="AP4359" t="s">
        <v>11155</v>
      </c>
      <c r="AR4359" t="s">
        <v>11172</v>
      </c>
      <c r="AT4359" t="s">
        <v>11184</v>
      </c>
      <c r="AU4359">
        <v>0</v>
      </c>
      <c r="AW4359" t="s">
        <v>11187</v>
      </c>
      <c r="AZ4359" t="s">
        <v>11221</v>
      </c>
      <c r="BE4359" t="s">
        <v>14094</v>
      </c>
      <c r="BF4359" t="s">
        <v>14364</v>
      </c>
      <c r="BM4359" t="s">
        <v>15650</v>
      </c>
    </row>
    <row r="4360" spans="1:65">
      <c r="A4360" s="1">
        <f>HYPERLINK("https://lsnyc.legalserver.org/matter/dynamic-profile/view/1912700","19-1912700")</f>
        <v>0</v>
      </c>
      <c r="B4360" t="s">
        <v>232</v>
      </c>
      <c r="C4360" t="s">
        <v>246</v>
      </c>
      <c r="D4360" t="s">
        <v>634</v>
      </c>
      <c r="F4360" t="s">
        <v>2745</v>
      </c>
      <c r="G4360" t="s">
        <v>2921</v>
      </c>
      <c r="H4360" t="s">
        <v>6256</v>
      </c>
      <c r="I4360" t="s">
        <v>6497</v>
      </c>
      <c r="J4360" t="s">
        <v>7170</v>
      </c>
      <c r="K4360">
        <v>10453</v>
      </c>
      <c r="N4360" t="s">
        <v>7237</v>
      </c>
      <c r="O4360" t="s">
        <v>9983</v>
      </c>
      <c r="P4360">
        <v>3</v>
      </c>
      <c r="Q4360">
        <v>4</v>
      </c>
      <c r="R4360">
        <v>64.59999999999999</v>
      </c>
      <c r="U4360">
        <v>25200</v>
      </c>
      <c r="W4360">
        <v>4</v>
      </c>
      <c r="X4360" t="s">
        <v>264</v>
      </c>
      <c r="Y4360" t="s">
        <v>216</v>
      </c>
      <c r="AA4360" t="s">
        <v>10974</v>
      </c>
      <c r="AD4360" t="s">
        <v>11082</v>
      </c>
      <c r="AE4360" t="s">
        <v>11117</v>
      </c>
      <c r="AH4360" t="s">
        <v>10975</v>
      </c>
      <c r="AJ4360" t="s">
        <v>11129</v>
      </c>
      <c r="AK4360" t="s">
        <v>7225</v>
      </c>
      <c r="AM4360">
        <v>1956</v>
      </c>
      <c r="AN4360" t="s">
        <v>11151</v>
      </c>
      <c r="AO4360" t="s">
        <v>11153</v>
      </c>
      <c r="AQ4360" t="s">
        <v>11164</v>
      </c>
      <c r="AS4360" t="s">
        <v>11180</v>
      </c>
      <c r="AU4360">
        <v>4</v>
      </c>
      <c r="AW4360" t="s">
        <v>11187</v>
      </c>
      <c r="AX4360" t="s">
        <v>11212</v>
      </c>
      <c r="BA4360" t="s">
        <v>11222</v>
      </c>
      <c r="BE4360" t="s">
        <v>14095</v>
      </c>
      <c r="BG4360" t="s">
        <v>15465</v>
      </c>
      <c r="BM4360" t="s">
        <v>15650</v>
      </c>
    </row>
    <row r="4361" spans="1:65">
      <c r="A4361" s="1">
        <f>HYPERLINK("https://lsnyc.legalserver.org/matter/dynamic-profile/view/1838171","17-1838171")</f>
        <v>0</v>
      </c>
      <c r="B4361" t="s">
        <v>232</v>
      </c>
      <c r="C4361" t="s">
        <v>246</v>
      </c>
      <c r="D4361" t="s">
        <v>504</v>
      </c>
      <c r="F4361" t="s">
        <v>1557</v>
      </c>
      <c r="G4361" t="s">
        <v>3333</v>
      </c>
      <c r="H4361" t="s">
        <v>5286</v>
      </c>
      <c r="I4361" t="s">
        <v>7119</v>
      </c>
      <c r="J4361" t="s">
        <v>7170</v>
      </c>
      <c r="K4361">
        <v>10453</v>
      </c>
      <c r="N4361" t="s">
        <v>7237</v>
      </c>
      <c r="O4361" t="s">
        <v>9984</v>
      </c>
      <c r="P4361">
        <v>2</v>
      </c>
      <c r="Q4361">
        <v>0</v>
      </c>
      <c r="R4361">
        <v>26.38</v>
      </c>
      <c r="U4361">
        <v>4284</v>
      </c>
      <c r="W4361">
        <v>69.95</v>
      </c>
      <c r="X4361" t="s">
        <v>676</v>
      </c>
      <c r="Y4361" t="s">
        <v>10864</v>
      </c>
      <c r="AA4361" t="s">
        <v>10974</v>
      </c>
      <c r="AB4361" t="s">
        <v>694</v>
      </c>
      <c r="AD4361" t="s">
        <v>11082</v>
      </c>
      <c r="AF4361" t="s">
        <v>11118</v>
      </c>
      <c r="AG4361" t="s">
        <v>11124</v>
      </c>
      <c r="AI4361" t="s">
        <v>11126</v>
      </c>
      <c r="AK4361" t="s">
        <v>7225</v>
      </c>
      <c r="AL4361" t="s">
        <v>11150</v>
      </c>
      <c r="AM4361">
        <v>0</v>
      </c>
      <c r="AN4361" t="s">
        <v>11151</v>
      </c>
      <c r="AO4361" t="s">
        <v>11153</v>
      </c>
      <c r="AP4361" t="s">
        <v>11155</v>
      </c>
      <c r="AS4361" t="s">
        <v>11174</v>
      </c>
      <c r="AU4361">
        <v>10</v>
      </c>
      <c r="AW4361" t="s">
        <v>11187</v>
      </c>
      <c r="AZ4361" t="s">
        <v>11221</v>
      </c>
      <c r="BB4361" t="s">
        <v>11224</v>
      </c>
      <c r="BC4361" t="s">
        <v>11623</v>
      </c>
      <c r="BE4361" t="s">
        <v>14096</v>
      </c>
      <c r="BG4361" t="s">
        <v>15466</v>
      </c>
      <c r="BM4361" t="s">
        <v>15650</v>
      </c>
    </row>
    <row r="4362" spans="1:65">
      <c r="A4362" s="1">
        <f>HYPERLINK("https://lsnyc.legalserver.org/matter/dynamic-profile/view/1902136","19-1902136")</f>
        <v>0</v>
      </c>
      <c r="B4362" t="s">
        <v>232</v>
      </c>
      <c r="C4362" t="s">
        <v>246</v>
      </c>
      <c r="D4362" t="s">
        <v>629</v>
      </c>
      <c r="E4362" t="s">
        <v>264</v>
      </c>
      <c r="F4362" t="s">
        <v>2746</v>
      </c>
      <c r="G4362" t="s">
        <v>4610</v>
      </c>
      <c r="H4362" t="s">
        <v>6257</v>
      </c>
      <c r="I4362">
        <v>1</v>
      </c>
      <c r="J4362" t="s">
        <v>7170</v>
      </c>
      <c r="K4362">
        <v>10459</v>
      </c>
      <c r="L4362" t="s">
        <v>7216</v>
      </c>
      <c r="N4362" t="s">
        <v>7237</v>
      </c>
      <c r="O4362" t="s">
        <v>9985</v>
      </c>
      <c r="P4362">
        <v>2</v>
      </c>
      <c r="Q4362">
        <v>1</v>
      </c>
      <c r="R4362">
        <v>60.95</v>
      </c>
      <c r="U4362">
        <v>13000</v>
      </c>
      <c r="V4362" t="s">
        <v>10784</v>
      </c>
      <c r="W4362">
        <v>2.5</v>
      </c>
      <c r="X4362" t="s">
        <v>571</v>
      </c>
      <c r="Y4362" t="s">
        <v>10882</v>
      </c>
      <c r="Z4362" t="s">
        <v>10972</v>
      </c>
      <c r="AA4362" t="s">
        <v>10975</v>
      </c>
      <c r="AD4362" t="s">
        <v>11086</v>
      </c>
      <c r="AE4362" t="s">
        <v>11117</v>
      </c>
      <c r="AH4362" t="s">
        <v>10975</v>
      </c>
      <c r="AI4362" t="s">
        <v>11126</v>
      </c>
      <c r="AK4362" t="s">
        <v>7225</v>
      </c>
      <c r="AM4362">
        <v>1200</v>
      </c>
      <c r="AO4362">
        <v>3</v>
      </c>
      <c r="AQ4362" t="s">
        <v>11164</v>
      </c>
      <c r="AS4362" t="s">
        <v>11173</v>
      </c>
      <c r="AU4362">
        <v>11</v>
      </c>
      <c r="AW4362" t="s">
        <v>11189</v>
      </c>
      <c r="AX4362" t="s">
        <v>11212</v>
      </c>
      <c r="AZ4362" t="s">
        <v>11221</v>
      </c>
      <c r="BA4362" t="s">
        <v>11173</v>
      </c>
      <c r="BD4362" t="s">
        <v>11667</v>
      </c>
      <c r="BF4362" t="s">
        <v>14364</v>
      </c>
      <c r="BM4362" t="s">
        <v>15651</v>
      </c>
    </row>
    <row r="4363" spans="1:65">
      <c r="A4363" s="1">
        <f>HYPERLINK("https://lsnyc.legalserver.org/matter/dynamic-profile/view/1874385","18-1874385")</f>
        <v>0</v>
      </c>
      <c r="B4363" t="s">
        <v>232</v>
      </c>
      <c r="C4363" t="s">
        <v>246</v>
      </c>
      <c r="D4363" t="s">
        <v>846</v>
      </c>
      <c r="F4363" t="s">
        <v>2747</v>
      </c>
      <c r="G4363" t="s">
        <v>4611</v>
      </c>
      <c r="H4363" t="s">
        <v>6258</v>
      </c>
      <c r="I4363">
        <v>7</v>
      </c>
      <c r="J4363" t="s">
        <v>7170</v>
      </c>
      <c r="K4363">
        <v>10460</v>
      </c>
      <c r="N4363" t="s">
        <v>7237</v>
      </c>
      <c r="O4363" t="s">
        <v>9986</v>
      </c>
      <c r="P4363">
        <v>2</v>
      </c>
      <c r="Q4363">
        <v>1</v>
      </c>
      <c r="R4363">
        <v>59.25</v>
      </c>
      <c r="U4363">
        <v>12312</v>
      </c>
      <c r="W4363">
        <v>32.6</v>
      </c>
      <c r="X4363" t="s">
        <v>275</v>
      </c>
      <c r="Y4363" t="s">
        <v>10897</v>
      </c>
      <c r="AA4363" t="s">
        <v>10974</v>
      </c>
      <c r="AB4363" t="s">
        <v>609</v>
      </c>
      <c r="AD4363" t="s">
        <v>11082</v>
      </c>
      <c r="AF4363" t="s">
        <v>11118</v>
      </c>
      <c r="AH4363" t="s">
        <v>10975</v>
      </c>
      <c r="AJ4363" t="s">
        <v>11136</v>
      </c>
      <c r="AK4363" t="s">
        <v>7225</v>
      </c>
      <c r="AL4363" t="s">
        <v>11150</v>
      </c>
      <c r="AM4363">
        <v>0</v>
      </c>
      <c r="AO4363">
        <v>30</v>
      </c>
      <c r="AQ4363" t="s">
        <v>11161</v>
      </c>
      <c r="AS4363" t="s">
        <v>11174</v>
      </c>
      <c r="AT4363" t="s">
        <v>11184</v>
      </c>
      <c r="AU4363">
        <v>0</v>
      </c>
      <c r="AW4363" t="s">
        <v>11187</v>
      </c>
      <c r="AZ4363" t="s">
        <v>11221</v>
      </c>
      <c r="BC4363" t="s">
        <v>11624</v>
      </c>
      <c r="BE4363" t="s">
        <v>14097</v>
      </c>
      <c r="BG4363" t="s">
        <v>15467</v>
      </c>
      <c r="BM4363" t="s">
        <v>15650</v>
      </c>
    </row>
    <row r="4364" spans="1:65">
      <c r="A4364" s="1">
        <f>HYPERLINK("https://lsnyc.legalserver.org/matter/dynamic-profile/view/1904604","19-1904604")</f>
        <v>0</v>
      </c>
      <c r="B4364" t="s">
        <v>232</v>
      </c>
      <c r="C4364" t="s">
        <v>246</v>
      </c>
      <c r="D4364" t="s">
        <v>380</v>
      </c>
      <c r="F4364" t="s">
        <v>2747</v>
      </c>
      <c r="G4364" t="s">
        <v>4611</v>
      </c>
      <c r="H4364" t="s">
        <v>6258</v>
      </c>
      <c r="I4364">
        <v>7</v>
      </c>
      <c r="J4364" t="s">
        <v>7170</v>
      </c>
      <c r="K4364">
        <v>10460</v>
      </c>
      <c r="N4364" t="s">
        <v>7237</v>
      </c>
      <c r="O4364" t="s">
        <v>9986</v>
      </c>
      <c r="P4364">
        <v>2</v>
      </c>
      <c r="Q4364">
        <v>1</v>
      </c>
      <c r="R4364">
        <v>57.72</v>
      </c>
      <c r="U4364">
        <v>12312</v>
      </c>
      <c r="W4364">
        <v>0</v>
      </c>
      <c r="Y4364" t="s">
        <v>216</v>
      </c>
      <c r="AA4364" t="s">
        <v>10974</v>
      </c>
      <c r="AB4364" t="s">
        <v>436</v>
      </c>
      <c r="AD4364" t="s">
        <v>11095</v>
      </c>
      <c r="AF4364" t="s">
        <v>11118</v>
      </c>
      <c r="AH4364" t="s">
        <v>10975</v>
      </c>
      <c r="AJ4364" t="s">
        <v>11129</v>
      </c>
      <c r="AK4364" t="s">
        <v>7225</v>
      </c>
      <c r="AL4364" t="s">
        <v>11150</v>
      </c>
      <c r="AM4364">
        <v>0</v>
      </c>
      <c r="AO4364">
        <v>30</v>
      </c>
      <c r="AQ4364" t="s">
        <v>11161</v>
      </c>
      <c r="AS4364" t="s">
        <v>11174</v>
      </c>
      <c r="AT4364" t="s">
        <v>11184</v>
      </c>
      <c r="AU4364">
        <v>0</v>
      </c>
      <c r="AW4364" t="s">
        <v>11187</v>
      </c>
      <c r="BA4364" t="s">
        <v>11222</v>
      </c>
      <c r="BC4364" t="s">
        <v>11624</v>
      </c>
      <c r="BE4364" t="s">
        <v>14097</v>
      </c>
      <c r="BG4364" t="s">
        <v>15467</v>
      </c>
      <c r="BM4364" t="s">
        <v>15650</v>
      </c>
    </row>
    <row r="4365" spans="1:65">
      <c r="A4365" s="1">
        <f>HYPERLINK("https://lsnyc.legalserver.org/matter/dynamic-profile/view/1868559","18-1868559")</f>
        <v>0</v>
      </c>
      <c r="B4365" t="s">
        <v>232</v>
      </c>
      <c r="C4365" t="s">
        <v>246</v>
      </c>
      <c r="D4365" t="s">
        <v>1049</v>
      </c>
      <c r="F4365" t="s">
        <v>2748</v>
      </c>
      <c r="G4365" t="s">
        <v>4612</v>
      </c>
      <c r="H4365" t="s">
        <v>6259</v>
      </c>
      <c r="I4365" t="s">
        <v>6421</v>
      </c>
      <c r="J4365" t="s">
        <v>7170</v>
      </c>
      <c r="K4365">
        <v>10453</v>
      </c>
      <c r="N4365" t="s">
        <v>7237</v>
      </c>
      <c r="O4365" t="s">
        <v>9987</v>
      </c>
      <c r="P4365">
        <v>1</v>
      </c>
      <c r="Q4365">
        <v>0</v>
      </c>
      <c r="R4365">
        <v>55.45</v>
      </c>
      <c r="U4365">
        <v>6732</v>
      </c>
      <c r="W4365">
        <v>10.35</v>
      </c>
      <c r="X4365" t="s">
        <v>656</v>
      </c>
      <c r="Y4365" t="s">
        <v>10865</v>
      </c>
      <c r="AA4365" t="s">
        <v>10974</v>
      </c>
      <c r="AB4365" t="s">
        <v>1049</v>
      </c>
      <c r="AD4365" t="s">
        <v>11082</v>
      </c>
      <c r="AF4365" t="s">
        <v>11118</v>
      </c>
      <c r="AH4365" t="s">
        <v>10975</v>
      </c>
      <c r="AJ4365" t="s">
        <v>11138</v>
      </c>
      <c r="AK4365" t="s">
        <v>7225</v>
      </c>
      <c r="AM4365">
        <v>915</v>
      </c>
      <c r="AO4365">
        <v>36</v>
      </c>
      <c r="AQ4365" t="s">
        <v>11157</v>
      </c>
      <c r="AS4365" t="s">
        <v>11174</v>
      </c>
      <c r="AU4365">
        <v>15</v>
      </c>
      <c r="AV4365" t="s">
        <v>11186</v>
      </c>
      <c r="AZ4365" t="s">
        <v>11221</v>
      </c>
      <c r="BB4365" t="s">
        <v>11224</v>
      </c>
      <c r="BC4365" t="s">
        <v>11625</v>
      </c>
      <c r="BE4365" t="s">
        <v>14098</v>
      </c>
      <c r="BG4365" t="s">
        <v>15468</v>
      </c>
      <c r="BM4365" t="s">
        <v>15650</v>
      </c>
    </row>
    <row r="4366" spans="1:65">
      <c r="A4366" s="1">
        <f>HYPERLINK("https://lsnyc.legalserver.org/matter/dynamic-profile/view/1845030","17-1845030")</f>
        <v>0</v>
      </c>
      <c r="B4366" t="s">
        <v>232</v>
      </c>
      <c r="C4366" t="s">
        <v>246</v>
      </c>
      <c r="D4366" t="s">
        <v>1050</v>
      </c>
      <c r="F4366" t="s">
        <v>1493</v>
      </c>
      <c r="G4366" t="s">
        <v>4613</v>
      </c>
      <c r="H4366" t="s">
        <v>6260</v>
      </c>
      <c r="I4366" t="s">
        <v>6433</v>
      </c>
      <c r="J4366" t="s">
        <v>7170</v>
      </c>
      <c r="K4366">
        <v>10458</v>
      </c>
      <c r="N4366" t="s">
        <v>7237</v>
      </c>
      <c r="O4366" t="s">
        <v>9988</v>
      </c>
      <c r="P4366">
        <v>1</v>
      </c>
      <c r="Q4366">
        <v>2</v>
      </c>
      <c r="R4366">
        <v>54.36</v>
      </c>
      <c r="S4366" t="s">
        <v>10254</v>
      </c>
      <c r="T4366" t="s">
        <v>10275</v>
      </c>
      <c r="U4366">
        <v>11100</v>
      </c>
      <c r="W4366">
        <v>86.63</v>
      </c>
      <c r="X4366" t="s">
        <v>567</v>
      </c>
      <c r="Y4366" t="s">
        <v>10908</v>
      </c>
      <c r="AA4366" t="s">
        <v>10974</v>
      </c>
      <c r="AB4366" t="s">
        <v>1050</v>
      </c>
      <c r="AD4366" t="s">
        <v>11082</v>
      </c>
      <c r="AF4366" t="s">
        <v>11118</v>
      </c>
      <c r="AH4366" t="s">
        <v>10975</v>
      </c>
      <c r="AJ4366" t="s">
        <v>11133</v>
      </c>
      <c r="AK4366" t="s">
        <v>11149</v>
      </c>
      <c r="AM4366">
        <v>15100</v>
      </c>
      <c r="AO4366">
        <v>3</v>
      </c>
      <c r="AP4366" t="s">
        <v>11155</v>
      </c>
      <c r="AS4366" t="s">
        <v>11180</v>
      </c>
      <c r="AU4366">
        <v>1</v>
      </c>
      <c r="AW4366" t="s">
        <v>11187</v>
      </c>
      <c r="AZ4366" t="s">
        <v>11221</v>
      </c>
      <c r="BC4366" t="s">
        <v>11626</v>
      </c>
      <c r="BE4366" t="s">
        <v>14099</v>
      </c>
      <c r="BF4366" t="s">
        <v>14364</v>
      </c>
      <c r="BG4366" t="s">
        <v>15469</v>
      </c>
      <c r="BM4366" t="s">
        <v>15650</v>
      </c>
    </row>
    <row r="4367" spans="1:65">
      <c r="A4367" s="1">
        <f>HYPERLINK("https://lsnyc.legalserver.org/matter/dynamic-profile/view/1894473","19-1894473")</f>
        <v>0</v>
      </c>
      <c r="B4367" t="s">
        <v>232</v>
      </c>
      <c r="C4367" t="s">
        <v>246</v>
      </c>
      <c r="D4367" t="s">
        <v>472</v>
      </c>
      <c r="F4367" t="s">
        <v>1708</v>
      </c>
      <c r="G4367" t="s">
        <v>3288</v>
      </c>
      <c r="H4367" t="s">
        <v>4973</v>
      </c>
      <c r="I4367">
        <v>612</v>
      </c>
      <c r="J4367" t="s">
        <v>7170</v>
      </c>
      <c r="K4367">
        <v>10453</v>
      </c>
      <c r="N4367" t="s">
        <v>7237</v>
      </c>
      <c r="O4367" t="s">
        <v>9989</v>
      </c>
      <c r="P4367">
        <v>1</v>
      </c>
      <c r="Q4367">
        <v>2</v>
      </c>
      <c r="R4367">
        <v>45.74</v>
      </c>
      <c r="U4367">
        <v>9756</v>
      </c>
      <c r="W4367">
        <v>2.6</v>
      </c>
      <c r="X4367" t="s">
        <v>525</v>
      </c>
      <c r="Y4367" t="s">
        <v>216</v>
      </c>
      <c r="AA4367" t="s">
        <v>10974</v>
      </c>
      <c r="AB4367" t="s">
        <v>10979</v>
      </c>
      <c r="AC4367" t="s">
        <v>11081</v>
      </c>
      <c r="AF4367" t="s">
        <v>10384</v>
      </c>
      <c r="AH4367" t="s">
        <v>10975</v>
      </c>
      <c r="AJ4367" t="s">
        <v>11141</v>
      </c>
      <c r="AK4367" t="s">
        <v>7225</v>
      </c>
      <c r="AM4367">
        <v>948</v>
      </c>
      <c r="AO4367">
        <v>146</v>
      </c>
      <c r="AQ4367" t="s">
        <v>11157</v>
      </c>
      <c r="AS4367" t="s">
        <v>11175</v>
      </c>
      <c r="AU4367">
        <v>12</v>
      </c>
      <c r="AW4367" t="s">
        <v>11187</v>
      </c>
      <c r="BA4367" t="s">
        <v>11222</v>
      </c>
      <c r="BE4367" t="s">
        <v>14100</v>
      </c>
      <c r="BF4367" t="s">
        <v>14364</v>
      </c>
      <c r="BM4367" t="s">
        <v>15650</v>
      </c>
    </row>
    <row r="4368" spans="1:65">
      <c r="A4368" s="1">
        <f>HYPERLINK("https://lsnyc.legalserver.org/matter/dynamic-profile/view/1904532","19-1904532")</f>
        <v>0</v>
      </c>
      <c r="B4368" t="s">
        <v>232</v>
      </c>
      <c r="C4368" t="s">
        <v>246</v>
      </c>
      <c r="D4368" t="s">
        <v>571</v>
      </c>
      <c r="E4368" t="s">
        <v>297</v>
      </c>
      <c r="F4368" t="s">
        <v>1502</v>
      </c>
      <c r="G4368" t="s">
        <v>3314</v>
      </c>
      <c r="H4368" t="s">
        <v>6237</v>
      </c>
      <c r="I4368" t="s">
        <v>6433</v>
      </c>
      <c r="J4368" t="s">
        <v>7170</v>
      </c>
      <c r="K4368">
        <v>10470</v>
      </c>
      <c r="L4368" t="s">
        <v>7219</v>
      </c>
      <c r="N4368" t="s">
        <v>7237</v>
      </c>
      <c r="O4368" t="s">
        <v>9990</v>
      </c>
      <c r="P4368">
        <v>3</v>
      </c>
      <c r="Q4368">
        <v>1</v>
      </c>
      <c r="R4368">
        <v>44.04</v>
      </c>
      <c r="U4368">
        <v>11340</v>
      </c>
      <c r="W4368">
        <v>0.25</v>
      </c>
      <c r="X4368" t="s">
        <v>297</v>
      </c>
      <c r="Y4368" t="s">
        <v>216</v>
      </c>
      <c r="AA4368" t="s">
        <v>10974</v>
      </c>
      <c r="AD4368" t="s">
        <v>11101</v>
      </c>
      <c r="AF4368" t="s">
        <v>11118</v>
      </c>
      <c r="AH4368" t="s">
        <v>10974</v>
      </c>
      <c r="AJ4368" t="s">
        <v>11141</v>
      </c>
      <c r="AK4368" t="s">
        <v>7225</v>
      </c>
      <c r="AM4368">
        <v>961</v>
      </c>
      <c r="AO4368">
        <v>63</v>
      </c>
      <c r="AQ4368" t="s">
        <v>11165</v>
      </c>
      <c r="AS4368" t="s">
        <v>11181</v>
      </c>
      <c r="AU4368">
        <v>24</v>
      </c>
      <c r="AW4368" t="s">
        <v>11187</v>
      </c>
      <c r="AX4368" t="s">
        <v>11212</v>
      </c>
      <c r="BA4368" t="s">
        <v>11222</v>
      </c>
      <c r="BE4368" t="s">
        <v>14101</v>
      </c>
      <c r="BF4368" t="s">
        <v>14364</v>
      </c>
      <c r="BG4368" t="s">
        <v>15442</v>
      </c>
      <c r="BJ4368" t="s">
        <v>15615</v>
      </c>
      <c r="BM4368" t="s">
        <v>15651</v>
      </c>
    </row>
    <row r="4369" spans="1:65">
      <c r="A4369" s="1">
        <f>HYPERLINK("https://lsnyc.legalserver.org/matter/dynamic-profile/view/1880580","18-1880580")</f>
        <v>0</v>
      </c>
      <c r="B4369" t="s">
        <v>232</v>
      </c>
      <c r="C4369" t="s">
        <v>246</v>
      </c>
      <c r="D4369" t="s">
        <v>365</v>
      </c>
      <c r="F4369" t="s">
        <v>2749</v>
      </c>
      <c r="G4369" t="s">
        <v>2956</v>
      </c>
      <c r="H4369" t="s">
        <v>5897</v>
      </c>
      <c r="I4369">
        <v>4</v>
      </c>
      <c r="J4369" t="s">
        <v>7170</v>
      </c>
      <c r="K4369">
        <v>10453</v>
      </c>
      <c r="N4369" t="s">
        <v>7237</v>
      </c>
      <c r="O4369" t="s">
        <v>9991</v>
      </c>
      <c r="P4369">
        <v>2</v>
      </c>
      <c r="Q4369">
        <v>3</v>
      </c>
      <c r="R4369">
        <v>42.6</v>
      </c>
      <c r="U4369">
        <v>12532</v>
      </c>
      <c r="W4369">
        <v>16.2</v>
      </c>
      <c r="X4369" t="s">
        <v>449</v>
      </c>
      <c r="Y4369" t="s">
        <v>10875</v>
      </c>
      <c r="AA4369" t="s">
        <v>10974</v>
      </c>
      <c r="AB4369" t="s">
        <v>552</v>
      </c>
      <c r="AD4369" t="s">
        <v>11082</v>
      </c>
      <c r="AF4369" t="s">
        <v>11118</v>
      </c>
      <c r="AG4369" t="s">
        <v>11124</v>
      </c>
      <c r="AJ4369" t="s">
        <v>11135</v>
      </c>
      <c r="AK4369" t="s">
        <v>7225</v>
      </c>
      <c r="AM4369">
        <v>1351.5</v>
      </c>
      <c r="AO4369">
        <v>30</v>
      </c>
      <c r="AQ4369" t="s">
        <v>11164</v>
      </c>
      <c r="AS4369" t="s">
        <v>11173</v>
      </c>
      <c r="AU4369">
        <v>2</v>
      </c>
      <c r="AW4369" t="s">
        <v>11189</v>
      </c>
      <c r="AZ4369" t="s">
        <v>11221</v>
      </c>
      <c r="BC4369" t="s">
        <v>11627</v>
      </c>
      <c r="BE4369" t="s">
        <v>14102</v>
      </c>
      <c r="BG4369" t="s">
        <v>15470</v>
      </c>
      <c r="BM4369" t="s">
        <v>15650</v>
      </c>
    </row>
    <row r="4370" spans="1:65">
      <c r="A4370" s="1">
        <f>HYPERLINK("https://lsnyc.legalserver.org/matter/dynamic-profile/view/1896516","19-1896516")</f>
        <v>0</v>
      </c>
      <c r="B4370" t="s">
        <v>232</v>
      </c>
      <c r="C4370" t="s">
        <v>246</v>
      </c>
      <c r="D4370" t="s">
        <v>427</v>
      </c>
      <c r="F4370" t="s">
        <v>1400</v>
      </c>
      <c r="G4370" t="s">
        <v>2877</v>
      </c>
      <c r="H4370" t="s">
        <v>4989</v>
      </c>
      <c r="I4370" t="s">
        <v>6580</v>
      </c>
      <c r="J4370" t="s">
        <v>7170</v>
      </c>
      <c r="K4370">
        <v>10453</v>
      </c>
      <c r="N4370" t="s">
        <v>7237</v>
      </c>
      <c r="O4370" t="s">
        <v>7626</v>
      </c>
      <c r="P4370">
        <v>3</v>
      </c>
      <c r="Q4370">
        <v>3</v>
      </c>
      <c r="R4370">
        <v>42.19</v>
      </c>
      <c r="U4370">
        <v>14592</v>
      </c>
      <c r="W4370">
        <v>12.75</v>
      </c>
      <c r="X4370" t="s">
        <v>655</v>
      </c>
      <c r="Y4370" t="s">
        <v>216</v>
      </c>
      <c r="AA4370" t="s">
        <v>10974</v>
      </c>
      <c r="AB4370" t="s">
        <v>896</v>
      </c>
      <c r="AD4370" t="s">
        <v>11082</v>
      </c>
      <c r="AF4370" t="s">
        <v>11118</v>
      </c>
      <c r="AH4370" t="s">
        <v>10975</v>
      </c>
      <c r="AJ4370" t="s">
        <v>11129</v>
      </c>
      <c r="AK4370" t="s">
        <v>7225</v>
      </c>
      <c r="AM4370">
        <v>1011.37</v>
      </c>
      <c r="AN4370" t="s">
        <v>11151</v>
      </c>
      <c r="AO4370" t="s">
        <v>11153</v>
      </c>
      <c r="AQ4370" t="s">
        <v>11157</v>
      </c>
      <c r="AS4370" t="s">
        <v>11176</v>
      </c>
      <c r="AU4370">
        <v>12</v>
      </c>
      <c r="AW4370" t="s">
        <v>11189</v>
      </c>
      <c r="BA4370" t="s">
        <v>11222</v>
      </c>
      <c r="BE4370" t="s">
        <v>11996</v>
      </c>
      <c r="BG4370" t="s">
        <v>15471</v>
      </c>
      <c r="BM4370" t="s">
        <v>15650</v>
      </c>
    </row>
    <row r="4371" spans="1:65">
      <c r="A4371" s="1">
        <f>HYPERLINK("https://lsnyc.legalserver.org/matter/dynamic-profile/view/1870815","18-1870815")</f>
        <v>0</v>
      </c>
      <c r="B4371" t="s">
        <v>232</v>
      </c>
      <c r="C4371" t="s">
        <v>246</v>
      </c>
      <c r="D4371" t="s">
        <v>726</v>
      </c>
      <c r="F4371" t="s">
        <v>1222</v>
      </c>
      <c r="G4371" t="s">
        <v>4614</v>
      </c>
      <c r="H4371" t="s">
        <v>6261</v>
      </c>
      <c r="I4371" t="s">
        <v>6628</v>
      </c>
      <c r="J4371" t="s">
        <v>7170</v>
      </c>
      <c r="K4371">
        <v>10457</v>
      </c>
      <c r="N4371" t="s">
        <v>7237</v>
      </c>
      <c r="O4371" t="s">
        <v>9992</v>
      </c>
      <c r="P4371">
        <v>1</v>
      </c>
      <c r="Q4371">
        <v>0</v>
      </c>
      <c r="R4371">
        <v>85.11</v>
      </c>
      <c r="U4371">
        <v>10332</v>
      </c>
      <c r="W4371">
        <v>3.3</v>
      </c>
      <c r="X4371" t="s">
        <v>402</v>
      </c>
      <c r="Y4371" t="s">
        <v>10872</v>
      </c>
      <c r="AA4371" t="s">
        <v>10974</v>
      </c>
      <c r="AB4371" t="s">
        <v>702</v>
      </c>
      <c r="AD4371" t="s">
        <v>11082</v>
      </c>
      <c r="AF4371" t="s">
        <v>11118</v>
      </c>
      <c r="AG4371" t="s">
        <v>11124</v>
      </c>
      <c r="AJ4371" t="s">
        <v>11130</v>
      </c>
      <c r="AK4371" t="s">
        <v>7225</v>
      </c>
      <c r="AM4371">
        <v>1242</v>
      </c>
      <c r="AO4371">
        <v>54</v>
      </c>
      <c r="AQ4371" t="s">
        <v>11159</v>
      </c>
      <c r="AS4371" t="s">
        <v>11174</v>
      </c>
      <c r="AU4371">
        <v>9</v>
      </c>
      <c r="AW4371" t="s">
        <v>11187</v>
      </c>
      <c r="AZ4371" t="s">
        <v>11221</v>
      </c>
      <c r="BC4371" t="s">
        <v>11628</v>
      </c>
      <c r="BE4371" t="s">
        <v>14103</v>
      </c>
      <c r="BG4371" t="s">
        <v>15472</v>
      </c>
      <c r="BM4371" t="s">
        <v>15650</v>
      </c>
    </row>
    <row r="4372" spans="1:65">
      <c r="A4372" s="1">
        <f>HYPERLINK("https://lsnyc.legalserver.org/matter/dynamic-profile/view/1867812","18-1867812")</f>
        <v>0</v>
      </c>
      <c r="B4372" t="s">
        <v>232</v>
      </c>
      <c r="C4372" t="s">
        <v>246</v>
      </c>
      <c r="D4372" t="s">
        <v>893</v>
      </c>
      <c r="F4372" t="s">
        <v>2750</v>
      </c>
      <c r="G4372" t="s">
        <v>3918</v>
      </c>
      <c r="H4372" t="s">
        <v>6262</v>
      </c>
      <c r="I4372" t="s">
        <v>6423</v>
      </c>
      <c r="J4372" t="s">
        <v>7170</v>
      </c>
      <c r="K4372">
        <v>10468</v>
      </c>
      <c r="N4372" t="s">
        <v>7237</v>
      </c>
      <c r="O4372" t="s">
        <v>9487</v>
      </c>
      <c r="P4372">
        <v>2</v>
      </c>
      <c r="Q4372">
        <v>0</v>
      </c>
      <c r="R4372">
        <v>34.75</v>
      </c>
      <c r="U4372">
        <v>5720</v>
      </c>
      <c r="W4372">
        <v>27.5</v>
      </c>
      <c r="X4372" t="s">
        <v>320</v>
      </c>
      <c r="Y4372" t="s">
        <v>216</v>
      </c>
      <c r="AA4372" t="s">
        <v>10974</v>
      </c>
      <c r="AB4372" t="s">
        <v>939</v>
      </c>
      <c r="AD4372" t="s">
        <v>11082</v>
      </c>
      <c r="AF4372" t="s">
        <v>11118</v>
      </c>
      <c r="AG4372" t="s">
        <v>11124</v>
      </c>
      <c r="AI4372" t="s">
        <v>11126</v>
      </c>
      <c r="AK4372" t="s">
        <v>7225</v>
      </c>
      <c r="AM4372">
        <v>817.85</v>
      </c>
      <c r="AN4372" t="s">
        <v>11151</v>
      </c>
      <c r="AO4372" t="s">
        <v>11153</v>
      </c>
      <c r="AQ4372" t="s">
        <v>11157</v>
      </c>
      <c r="AR4372" t="s">
        <v>11172</v>
      </c>
      <c r="AU4372">
        <v>42</v>
      </c>
      <c r="AW4372" t="s">
        <v>11187</v>
      </c>
      <c r="AZ4372" t="s">
        <v>11221</v>
      </c>
      <c r="BE4372" t="s">
        <v>14104</v>
      </c>
      <c r="BF4372" t="s">
        <v>14364</v>
      </c>
      <c r="BG4372" t="s">
        <v>15473</v>
      </c>
      <c r="BM4372" t="s">
        <v>15650</v>
      </c>
    </row>
    <row r="4373" spans="1:65">
      <c r="A4373" s="1">
        <f>HYPERLINK("https://lsnyc.legalserver.org/matter/dynamic-profile/view/1853703","17-1853703")</f>
        <v>0</v>
      </c>
      <c r="B4373" t="s">
        <v>232</v>
      </c>
      <c r="C4373" t="s">
        <v>246</v>
      </c>
      <c r="D4373" t="s">
        <v>828</v>
      </c>
      <c r="F4373" t="s">
        <v>2751</v>
      </c>
      <c r="G4373" t="s">
        <v>4615</v>
      </c>
      <c r="H4373" t="s">
        <v>6240</v>
      </c>
      <c r="I4373" t="s">
        <v>6423</v>
      </c>
      <c r="J4373" t="s">
        <v>7170</v>
      </c>
      <c r="K4373">
        <v>10453</v>
      </c>
      <c r="N4373" t="s">
        <v>7237</v>
      </c>
      <c r="O4373" t="s">
        <v>9993</v>
      </c>
      <c r="P4373">
        <v>1</v>
      </c>
      <c r="Q4373">
        <v>0</v>
      </c>
      <c r="R4373">
        <v>547.26</v>
      </c>
      <c r="U4373">
        <v>66000</v>
      </c>
      <c r="V4373" t="s">
        <v>10785</v>
      </c>
      <c r="W4373">
        <v>1.7</v>
      </c>
      <c r="X4373" t="s">
        <v>419</v>
      </c>
      <c r="Y4373" t="s">
        <v>10899</v>
      </c>
      <c r="AA4373" t="s">
        <v>10974</v>
      </c>
      <c r="AB4373" t="s">
        <v>700</v>
      </c>
      <c r="AD4373" t="s">
        <v>11086</v>
      </c>
      <c r="AF4373" t="s">
        <v>11120</v>
      </c>
      <c r="AG4373" t="s">
        <v>11124</v>
      </c>
      <c r="AJ4373" t="s">
        <v>11141</v>
      </c>
      <c r="AK4373" t="s">
        <v>7225</v>
      </c>
      <c r="AM4373">
        <v>921.09</v>
      </c>
      <c r="AO4373">
        <v>21</v>
      </c>
      <c r="AQ4373" t="s">
        <v>11157</v>
      </c>
      <c r="AS4373" t="s">
        <v>11173</v>
      </c>
      <c r="AU4373">
        <v>11</v>
      </c>
      <c r="AW4373" t="s">
        <v>11187</v>
      </c>
      <c r="AZ4373" t="s">
        <v>11221</v>
      </c>
      <c r="BE4373" t="s">
        <v>14105</v>
      </c>
      <c r="BF4373" t="s">
        <v>14364</v>
      </c>
      <c r="BM4373" t="s">
        <v>15650</v>
      </c>
    </row>
    <row r="4374" spans="1:65">
      <c r="A4374" s="1">
        <f>HYPERLINK("https://lsnyc.legalserver.org/matter/dynamic-profile/view/1873228","18-1873228")</f>
        <v>0</v>
      </c>
      <c r="B4374" t="s">
        <v>232</v>
      </c>
      <c r="C4374" t="s">
        <v>246</v>
      </c>
      <c r="D4374" t="s">
        <v>366</v>
      </c>
      <c r="F4374" t="s">
        <v>1650</v>
      </c>
      <c r="G4374" t="s">
        <v>4616</v>
      </c>
      <c r="H4374" t="s">
        <v>5292</v>
      </c>
      <c r="I4374" t="s">
        <v>7120</v>
      </c>
      <c r="J4374" t="s">
        <v>7170</v>
      </c>
      <c r="K4374">
        <v>10453</v>
      </c>
      <c r="N4374" t="s">
        <v>7237</v>
      </c>
      <c r="O4374" t="s">
        <v>9994</v>
      </c>
      <c r="P4374">
        <v>1</v>
      </c>
      <c r="Q4374">
        <v>0</v>
      </c>
      <c r="R4374">
        <v>59.96</v>
      </c>
      <c r="U4374">
        <v>7279.44</v>
      </c>
      <c r="W4374">
        <v>7.25</v>
      </c>
      <c r="X4374" t="s">
        <v>553</v>
      </c>
      <c r="Y4374" t="s">
        <v>216</v>
      </c>
      <c r="AA4374" t="s">
        <v>10974</v>
      </c>
      <c r="AB4374" t="s">
        <v>609</v>
      </c>
      <c r="AD4374" t="s">
        <v>11082</v>
      </c>
      <c r="AF4374" t="s">
        <v>11118</v>
      </c>
      <c r="AH4374" t="s">
        <v>10975</v>
      </c>
      <c r="AJ4374" t="s">
        <v>11138</v>
      </c>
      <c r="AK4374" t="s">
        <v>7225</v>
      </c>
      <c r="AM4374">
        <v>1562</v>
      </c>
      <c r="AO4374">
        <v>766</v>
      </c>
      <c r="AP4374" t="s">
        <v>11155</v>
      </c>
      <c r="AS4374" t="s">
        <v>11179</v>
      </c>
      <c r="AU4374">
        <v>3</v>
      </c>
      <c r="AW4374" t="s">
        <v>11187</v>
      </c>
      <c r="AZ4374" t="s">
        <v>11221</v>
      </c>
      <c r="BE4374" t="s">
        <v>14106</v>
      </c>
      <c r="BG4374" t="s">
        <v>15474</v>
      </c>
      <c r="BM4374" t="s">
        <v>15650</v>
      </c>
    </row>
    <row r="4375" spans="1:65">
      <c r="A4375" s="1">
        <f>HYPERLINK("https://lsnyc.legalserver.org/matter/dynamic-profile/view/1907850","19-1907850")</f>
        <v>0</v>
      </c>
      <c r="B4375" t="s">
        <v>232</v>
      </c>
      <c r="C4375" t="s">
        <v>246</v>
      </c>
      <c r="D4375" t="s">
        <v>637</v>
      </c>
      <c r="F4375" t="s">
        <v>2752</v>
      </c>
      <c r="G4375" t="s">
        <v>1624</v>
      </c>
      <c r="H4375" t="s">
        <v>6263</v>
      </c>
      <c r="I4375" t="s">
        <v>7121</v>
      </c>
      <c r="J4375" t="s">
        <v>7170</v>
      </c>
      <c r="K4375">
        <v>10460</v>
      </c>
      <c r="N4375" t="s">
        <v>7237</v>
      </c>
      <c r="O4375" t="s">
        <v>9995</v>
      </c>
      <c r="P4375">
        <v>1</v>
      </c>
      <c r="Q4375">
        <v>2</v>
      </c>
      <c r="R4375">
        <v>56.26</v>
      </c>
      <c r="U4375">
        <v>12000</v>
      </c>
      <c r="W4375">
        <v>9</v>
      </c>
      <c r="X4375" t="s">
        <v>669</v>
      </c>
      <c r="Y4375" t="s">
        <v>10892</v>
      </c>
      <c r="AA4375" t="s">
        <v>10974</v>
      </c>
      <c r="AD4375" t="s">
        <v>11082</v>
      </c>
      <c r="AF4375" t="s">
        <v>11118</v>
      </c>
      <c r="AH4375" t="s">
        <v>10975</v>
      </c>
      <c r="AJ4375" t="s">
        <v>11140</v>
      </c>
      <c r="AK4375" t="s">
        <v>7225</v>
      </c>
      <c r="AM4375">
        <v>1550</v>
      </c>
      <c r="AO4375">
        <v>177</v>
      </c>
      <c r="AP4375" t="s">
        <v>11155</v>
      </c>
      <c r="AR4375" t="s">
        <v>11172</v>
      </c>
      <c r="AU4375">
        <v>1</v>
      </c>
      <c r="AW4375" t="s">
        <v>11187</v>
      </c>
      <c r="AX4375" t="s">
        <v>11212</v>
      </c>
      <c r="BA4375" t="s">
        <v>11222</v>
      </c>
      <c r="BE4375" t="s">
        <v>14107</v>
      </c>
      <c r="BG4375" t="s">
        <v>15475</v>
      </c>
      <c r="BM4375" t="s">
        <v>15650</v>
      </c>
    </row>
    <row r="4376" spans="1:65">
      <c r="A4376" s="1">
        <f>HYPERLINK("https://lsnyc.legalserver.org/matter/dynamic-profile/view/0814096","16-0814096")</f>
        <v>0</v>
      </c>
      <c r="B4376" t="s">
        <v>232</v>
      </c>
      <c r="C4376" t="s">
        <v>246</v>
      </c>
      <c r="D4376" t="s">
        <v>934</v>
      </c>
      <c r="F4376" t="s">
        <v>1251</v>
      </c>
      <c r="G4376" t="s">
        <v>4617</v>
      </c>
      <c r="H4376" t="s">
        <v>6264</v>
      </c>
      <c r="J4376" t="s">
        <v>7170</v>
      </c>
      <c r="K4376">
        <v>10456</v>
      </c>
      <c r="N4376" t="s">
        <v>7237</v>
      </c>
      <c r="O4376" t="s">
        <v>9996</v>
      </c>
      <c r="P4376">
        <v>3</v>
      </c>
      <c r="Q4376">
        <v>0</v>
      </c>
      <c r="R4376">
        <v>90.28</v>
      </c>
      <c r="S4376" t="s">
        <v>10274</v>
      </c>
      <c r="U4376">
        <v>28600</v>
      </c>
      <c r="W4376">
        <v>0</v>
      </c>
      <c r="Y4376" t="s">
        <v>138</v>
      </c>
      <c r="AA4376" t="s">
        <v>10974</v>
      </c>
      <c r="AB4376" t="s">
        <v>1024</v>
      </c>
      <c r="AD4376" t="s">
        <v>11085</v>
      </c>
      <c r="AF4376" t="s">
        <v>11118</v>
      </c>
      <c r="AH4376" t="s">
        <v>10974</v>
      </c>
      <c r="AJ4376" t="s">
        <v>11132</v>
      </c>
      <c r="AK4376" t="s">
        <v>7225</v>
      </c>
      <c r="AM4376">
        <v>900</v>
      </c>
      <c r="AO4376">
        <v>9</v>
      </c>
      <c r="AQ4376" t="s">
        <v>11157</v>
      </c>
      <c r="AS4376" t="s">
        <v>11173</v>
      </c>
      <c r="AU4376">
        <v>8</v>
      </c>
      <c r="AW4376" t="s">
        <v>11189</v>
      </c>
      <c r="AZ4376" t="s">
        <v>11221</v>
      </c>
      <c r="BE4376" t="s">
        <v>14108</v>
      </c>
      <c r="BF4376" t="s">
        <v>14364</v>
      </c>
      <c r="BG4376" t="s">
        <v>15476</v>
      </c>
      <c r="BM4376" t="s">
        <v>15650</v>
      </c>
    </row>
    <row r="4377" spans="1:65">
      <c r="A4377" s="1">
        <f>HYPERLINK("https://lsnyc.legalserver.org/matter/dynamic-profile/view/1877225","18-1877225")</f>
        <v>0</v>
      </c>
      <c r="B4377" t="s">
        <v>232</v>
      </c>
      <c r="C4377" t="s">
        <v>246</v>
      </c>
      <c r="D4377" t="s">
        <v>864</v>
      </c>
      <c r="F4377" t="s">
        <v>2753</v>
      </c>
      <c r="G4377" t="s">
        <v>3094</v>
      </c>
      <c r="H4377" t="s">
        <v>6265</v>
      </c>
      <c r="I4377" t="s">
        <v>6433</v>
      </c>
      <c r="J4377" t="s">
        <v>7170</v>
      </c>
      <c r="K4377">
        <v>10460</v>
      </c>
      <c r="N4377" t="s">
        <v>7237</v>
      </c>
      <c r="O4377" t="s">
        <v>9997</v>
      </c>
      <c r="P4377">
        <v>2</v>
      </c>
      <c r="Q4377">
        <v>0</v>
      </c>
      <c r="R4377">
        <v>110.74</v>
      </c>
      <c r="U4377">
        <v>18228</v>
      </c>
      <c r="V4377" t="s">
        <v>10767</v>
      </c>
      <c r="W4377">
        <v>15.5</v>
      </c>
      <c r="X4377" t="s">
        <v>267</v>
      </c>
      <c r="Y4377" t="s">
        <v>10865</v>
      </c>
      <c r="AA4377" t="s">
        <v>10974</v>
      </c>
      <c r="AB4377" t="s">
        <v>573</v>
      </c>
      <c r="AD4377" t="s">
        <v>11082</v>
      </c>
      <c r="AF4377" t="s">
        <v>11118</v>
      </c>
      <c r="AH4377" t="s">
        <v>10975</v>
      </c>
      <c r="AI4377" t="s">
        <v>11126</v>
      </c>
      <c r="AK4377" t="s">
        <v>7225</v>
      </c>
      <c r="AM4377">
        <v>1025</v>
      </c>
      <c r="AO4377">
        <v>10</v>
      </c>
      <c r="AQ4377" t="s">
        <v>11157</v>
      </c>
      <c r="AS4377" t="s">
        <v>11175</v>
      </c>
      <c r="AT4377" t="s">
        <v>11184</v>
      </c>
      <c r="AU4377">
        <v>0</v>
      </c>
      <c r="AW4377" t="s">
        <v>11187</v>
      </c>
      <c r="AZ4377" t="s">
        <v>11221</v>
      </c>
      <c r="BE4377" t="s">
        <v>14109</v>
      </c>
      <c r="BG4377" t="s">
        <v>15477</v>
      </c>
      <c r="BM4377" t="s">
        <v>15650</v>
      </c>
    </row>
    <row r="4378" spans="1:65">
      <c r="A4378" s="1">
        <f>HYPERLINK("https://lsnyc.legalserver.org/matter/dynamic-profile/view/1867589","18-1867589")</f>
        <v>0</v>
      </c>
      <c r="B4378" t="s">
        <v>232</v>
      </c>
      <c r="C4378" t="s">
        <v>246</v>
      </c>
      <c r="D4378" t="s">
        <v>683</v>
      </c>
      <c r="F4378" t="s">
        <v>2754</v>
      </c>
      <c r="G4378" t="s">
        <v>4301</v>
      </c>
      <c r="H4378" t="s">
        <v>6266</v>
      </c>
      <c r="I4378" t="s">
        <v>6499</v>
      </c>
      <c r="J4378" t="s">
        <v>7170</v>
      </c>
      <c r="K4378">
        <v>10453</v>
      </c>
      <c r="N4378" t="s">
        <v>7237</v>
      </c>
      <c r="O4378" t="s">
        <v>9998</v>
      </c>
      <c r="P4378">
        <v>2</v>
      </c>
      <c r="Q4378">
        <v>0</v>
      </c>
      <c r="R4378">
        <v>265.95</v>
      </c>
      <c r="S4378" t="s">
        <v>10255</v>
      </c>
      <c r="U4378">
        <v>43776</v>
      </c>
      <c r="V4378" t="s">
        <v>10786</v>
      </c>
      <c r="W4378">
        <v>14.25</v>
      </c>
      <c r="X4378" t="s">
        <v>469</v>
      </c>
      <c r="Y4378" t="s">
        <v>10865</v>
      </c>
      <c r="AA4378" t="s">
        <v>10974</v>
      </c>
      <c r="AB4378" t="s">
        <v>676</v>
      </c>
      <c r="AD4378" t="s">
        <v>11083</v>
      </c>
      <c r="AF4378" t="s">
        <v>11118</v>
      </c>
      <c r="AH4378" t="s">
        <v>10975</v>
      </c>
      <c r="AJ4378" t="s">
        <v>11129</v>
      </c>
      <c r="AK4378" t="s">
        <v>7225</v>
      </c>
      <c r="AM4378">
        <v>1649.53</v>
      </c>
      <c r="AO4378">
        <v>66</v>
      </c>
      <c r="AQ4378" t="s">
        <v>11157</v>
      </c>
      <c r="AS4378" t="s">
        <v>11173</v>
      </c>
      <c r="AU4378">
        <v>20</v>
      </c>
      <c r="AW4378" t="s">
        <v>11187</v>
      </c>
      <c r="AZ4378" t="s">
        <v>11221</v>
      </c>
      <c r="BE4378" t="s">
        <v>14110</v>
      </c>
      <c r="BF4378" t="s">
        <v>14364</v>
      </c>
      <c r="BG4378" t="s">
        <v>15478</v>
      </c>
      <c r="BM4378" t="s">
        <v>15650</v>
      </c>
    </row>
    <row r="4379" spans="1:65">
      <c r="A4379" s="1">
        <f>HYPERLINK("https://lsnyc.legalserver.org/matter/dynamic-profile/view/1855004","18-1855004")</f>
        <v>0</v>
      </c>
      <c r="B4379" t="s">
        <v>232</v>
      </c>
      <c r="C4379" t="s">
        <v>246</v>
      </c>
      <c r="D4379" t="s">
        <v>360</v>
      </c>
      <c r="F4379" t="s">
        <v>2755</v>
      </c>
      <c r="G4379" t="s">
        <v>4106</v>
      </c>
      <c r="H4379" t="s">
        <v>6267</v>
      </c>
      <c r="I4379" t="s">
        <v>6573</v>
      </c>
      <c r="J4379" t="s">
        <v>7170</v>
      </c>
      <c r="K4379">
        <v>10453</v>
      </c>
      <c r="N4379" t="s">
        <v>7237</v>
      </c>
      <c r="O4379" t="s">
        <v>9999</v>
      </c>
      <c r="P4379">
        <v>2</v>
      </c>
      <c r="Q4379">
        <v>2</v>
      </c>
      <c r="R4379">
        <v>162.6</v>
      </c>
      <c r="U4379">
        <v>40000</v>
      </c>
      <c r="V4379" t="s">
        <v>10787</v>
      </c>
      <c r="W4379">
        <v>4.5</v>
      </c>
      <c r="X4379" t="s">
        <v>1017</v>
      </c>
      <c r="Y4379" t="s">
        <v>10906</v>
      </c>
      <c r="Z4379" t="s">
        <v>10972</v>
      </c>
      <c r="AA4379" t="s">
        <v>10976</v>
      </c>
      <c r="AD4379" t="s">
        <v>11094</v>
      </c>
      <c r="AE4379" t="s">
        <v>11117</v>
      </c>
      <c r="AG4379" t="s">
        <v>11124</v>
      </c>
      <c r="AI4379" t="s">
        <v>11126</v>
      </c>
      <c r="AK4379" t="s">
        <v>7225</v>
      </c>
      <c r="AL4379" t="s">
        <v>11150</v>
      </c>
      <c r="AM4379">
        <v>0</v>
      </c>
      <c r="AO4379">
        <v>25</v>
      </c>
      <c r="AP4379" t="s">
        <v>11155</v>
      </c>
      <c r="AR4379" t="s">
        <v>11172</v>
      </c>
      <c r="AT4379" t="s">
        <v>11184</v>
      </c>
      <c r="AU4379">
        <v>0</v>
      </c>
      <c r="AV4379" t="s">
        <v>11186</v>
      </c>
      <c r="AX4379" t="s">
        <v>11212</v>
      </c>
      <c r="AZ4379" t="s">
        <v>11221</v>
      </c>
      <c r="BE4379" t="s">
        <v>14111</v>
      </c>
      <c r="BF4379" t="s">
        <v>14364</v>
      </c>
      <c r="BM4379" t="s">
        <v>15650</v>
      </c>
    </row>
    <row r="4380" spans="1:65">
      <c r="A4380" s="1">
        <f>HYPERLINK("https://lsnyc.legalserver.org/matter/dynamic-profile/view/1904483","19-1904483")</f>
        <v>0</v>
      </c>
      <c r="B4380" t="s">
        <v>232</v>
      </c>
      <c r="C4380" t="s">
        <v>246</v>
      </c>
      <c r="D4380" t="s">
        <v>380</v>
      </c>
      <c r="E4380" t="s">
        <v>297</v>
      </c>
      <c r="F4380" t="s">
        <v>1345</v>
      </c>
      <c r="G4380" t="s">
        <v>4160</v>
      </c>
      <c r="H4380" t="s">
        <v>6232</v>
      </c>
      <c r="I4380" t="s">
        <v>6573</v>
      </c>
      <c r="J4380" t="s">
        <v>7170</v>
      </c>
      <c r="K4380">
        <v>10470</v>
      </c>
      <c r="L4380" t="s">
        <v>7219</v>
      </c>
      <c r="N4380" t="s">
        <v>7237</v>
      </c>
      <c r="O4380" t="s">
        <v>9807</v>
      </c>
      <c r="P4380">
        <v>1</v>
      </c>
      <c r="Q4380">
        <v>0</v>
      </c>
      <c r="R4380">
        <v>106.44</v>
      </c>
      <c r="U4380">
        <v>13294.56</v>
      </c>
      <c r="W4380">
        <v>0.75</v>
      </c>
      <c r="X4380" t="s">
        <v>297</v>
      </c>
      <c r="Y4380" t="s">
        <v>10865</v>
      </c>
      <c r="AA4380" t="s">
        <v>10974</v>
      </c>
      <c r="AD4380" t="s">
        <v>11101</v>
      </c>
      <c r="AF4380" t="s">
        <v>11118</v>
      </c>
      <c r="AH4380" t="s">
        <v>10974</v>
      </c>
      <c r="AJ4380" t="s">
        <v>11141</v>
      </c>
      <c r="AK4380" t="s">
        <v>7225</v>
      </c>
      <c r="AM4380">
        <v>1107.88</v>
      </c>
      <c r="AO4380">
        <v>63</v>
      </c>
      <c r="AQ4380" t="s">
        <v>11164</v>
      </c>
      <c r="AS4380" t="s">
        <v>11175</v>
      </c>
      <c r="AU4380">
        <v>20</v>
      </c>
      <c r="AV4380" t="s">
        <v>11186</v>
      </c>
      <c r="AX4380" t="s">
        <v>11212</v>
      </c>
      <c r="BA4380" t="s">
        <v>11222</v>
      </c>
      <c r="BE4380" t="s">
        <v>14112</v>
      </c>
      <c r="BF4380" t="s">
        <v>14364</v>
      </c>
      <c r="BG4380" t="s">
        <v>15442</v>
      </c>
      <c r="BJ4380" t="s">
        <v>15615</v>
      </c>
      <c r="BM4380" t="s">
        <v>15651</v>
      </c>
    </row>
    <row r="4381" spans="1:65">
      <c r="A4381" s="1">
        <f>HYPERLINK("https://lsnyc.legalserver.org/matter/dynamic-profile/view/1867681","18-1867681")</f>
        <v>0</v>
      </c>
      <c r="B4381" t="s">
        <v>232</v>
      </c>
      <c r="C4381" t="s">
        <v>246</v>
      </c>
      <c r="D4381" t="s">
        <v>676</v>
      </c>
      <c r="F4381" t="s">
        <v>2756</v>
      </c>
      <c r="G4381" t="s">
        <v>4618</v>
      </c>
      <c r="H4381" t="s">
        <v>6268</v>
      </c>
      <c r="I4381" t="s">
        <v>6479</v>
      </c>
      <c r="J4381" t="s">
        <v>7170</v>
      </c>
      <c r="K4381">
        <v>10459</v>
      </c>
      <c r="N4381" t="s">
        <v>7237</v>
      </c>
      <c r="O4381" t="s">
        <v>9266</v>
      </c>
      <c r="P4381">
        <v>3</v>
      </c>
      <c r="Q4381">
        <v>2</v>
      </c>
      <c r="R4381">
        <v>159.06</v>
      </c>
      <c r="U4381">
        <v>46796.4</v>
      </c>
      <c r="V4381" t="s">
        <v>10393</v>
      </c>
      <c r="W4381">
        <v>39.65</v>
      </c>
      <c r="X4381" t="s">
        <v>946</v>
      </c>
      <c r="Y4381" t="s">
        <v>216</v>
      </c>
      <c r="AA4381" t="s">
        <v>10974</v>
      </c>
      <c r="AB4381" t="s">
        <v>10850</v>
      </c>
      <c r="AD4381" t="s">
        <v>11083</v>
      </c>
      <c r="AF4381" t="s">
        <v>11118</v>
      </c>
      <c r="AG4381" t="s">
        <v>11124</v>
      </c>
      <c r="AI4381" t="s">
        <v>11126</v>
      </c>
      <c r="AK4381" t="s">
        <v>7225</v>
      </c>
      <c r="AM4381">
        <v>810</v>
      </c>
      <c r="AN4381" t="s">
        <v>11151</v>
      </c>
      <c r="AO4381" t="s">
        <v>11153</v>
      </c>
      <c r="AP4381" t="s">
        <v>11155</v>
      </c>
      <c r="AR4381" t="s">
        <v>11172</v>
      </c>
      <c r="AT4381" t="s">
        <v>11184</v>
      </c>
      <c r="AU4381">
        <v>0</v>
      </c>
      <c r="AV4381" t="s">
        <v>11186</v>
      </c>
      <c r="AZ4381" t="s">
        <v>11221</v>
      </c>
      <c r="BD4381" t="s">
        <v>11667</v>
      </c>
      <c r="BG4381" t="s">
        <v>15479</v>
      </c>
      <c r="BM4381" t="s">
        <v>15650</v>
      </c>
    </row>
    <row r="4382" spans="1:65">
      <c r="A4382" s="1">
        <f>HYPERLINK("https://lsnyc.legalserver.org/matter/dynamic-profile/view/1882299","18-1882299")</f>
        <v>0</v>
      </c>
      <c r="B4382" t="s">
        <v>232</v>
      </c>
      <c r="C4382" t="s">
        <v>246</v>
      </c>
      <c r="D4382" t="s">
        <v>365</v>
      </c>
      <c r="F4382" t="s">
        <v>1531</v>
      </c>
      <c r="G4382" t="s">
        <v>4619</v>
      </c>
      <c r="H4382" t="s">
        <v>6269</v>
      </c>
      <c r="I4382" t="s">
        <v>6806</v>
      </c>
      <c r="J4382" t="s">
        <v>7170</v>
      </c>
      <c r="K4382">
        <v>10451</v>
      </c>
      <c r="N4382" t="s">
        <v>7237</v>
      </c>
      <c r="O4382" t="s">
        <v>10000</v>
      </c>
      <c r="P4382">
        <v>2</v>
      </c>
      <c r="Q4382">
        <v>0</v>
      </c>
      <c r="R4382">
        <v>157.96</v>
      </c>
      <c r="U4382">
        <v>26000</v>
      </c>
      <c r="W4382">
        <v>0</v>
      </c>
      <c r="Y4382" t="s">
        <v>216</v>
      </c>
      <c r="AA4382" t="s">
        <v>10974</v>
      </c>
      <c r="AB4382" t="s">
        <v>597</v>
      </c>
      <c r="AD4382" t="s">
        <v>11101</v>
      </c>
      <c r="AF4382" t="s">
        <v>11118</v>
      </c>
      <c r="AH4382" t="s">
        <v>10974</v>
      </c>
      <c r="AJ4382" t="s">
        <v>11141</v>
      </c>
      <c r="AK4382" t="s">
        <v>7225</v>
      </c>
      <c r="AM4382">
        <v>1000</v>
      </c>
      <c r="AO4382">
        <v>100</v>
      </c>
      <c r="AQ4382" t="s">
        <v>11157</v>
      </c>
      <c r="AS4382" t="s">
        <v>11173</v>
      </c>
      <c r="AU4382">
        <v>1</v>
      </c>
      <c r="AW4382" t="s">
        <v>11189</v>
      </c>
      <c r="AZ4382" t="s">
        <v>11221</v>
      </c>
      <c r="BE4382" t="s">
        <v>14113</v>
      </c>
      <c r="BG4382" t="s">
        <v>15480</v>
      </c>
      <c r="BM4382" t="s">
        <v>15650</v>
      </c>
    </row>
    <row r="4383" spans="1:65">
      <c r="A4383" s="1">
        <f>HYPERLINK("https://lsnyc.legalserver.org/matter/dynamic-profile/view/1841882","17-1841882")</f>
        <v>0</v>
      </c>
      <c r="B4383" t="s">
        <v>232</v>
      </c>
      <c r="C4383" t="s">
        <v>246</v>
      </c>
      <c r="D4383" t="s">
        <v>496</v>
      </c>
      <c r="F4383" t="s">
        <v>2757</v>
      </c>
      <c r="G4383" t="s">
        <v>3623</v>
      </c>
      <c r="H4383" t="s">
        <v>5754</v>
      </c>
      <c r="I4383">
        <v>804</v>
      </c>
      <c r="J4383" t="s">
        <v>7170</v>
      </c>
      <c r="K4383">
        <v>10453</v>
      </c>
      <c r="N4383" t="s">
        <v>7237</v>
      </c>
      <c r="O4383" t="s">
        <v>10001</v>
      </c>
      <c r="P4383">
        <v>1</v>
      </c>
      <c r="Q4383">
        <v>2</v>
      </c>
      <c r="R4383">
        <v>156.92</v>
      </c>
      <c r="U4383">
        <v>32044.08</v>
      </c>
      <c r="W4383">
        <v>66.55</v>
      </c>
      <c r="X4383" t="s">
        <v>438</v>
      </c>
      <c r="Y4383" t="s">
        <v>10899</v>
      </c>
      <c r="AA4383" t="s">
        <v>10974</v>
      </c>
      <c r="AB4383" t="s">
        <v>11048</v>
      </c>
      <c r="AD4383" t="s">
        <v>11082</v>
      </c>
      <c r="AF4383" t="s">
        <v>11118</v>
      </c>
      <c r="AH4383" t="s">
        <v>10975</v>
      </c>
      <c r="AI4383" t="s">
        <v>11126</v>
      </c>
      <c r="AK4383" t="s">
        <v>7225</v>
      </c>
      <c r="AM4383">
        <v>1157</v>
      </c>
      <c r="AO4383">
        <v>55</v>
      </c>
      <c r="AQ4383" t="s">
        <v>11157</v>
      </c>
      <c r="AS4383" t="s">
        <v>11174</v>
      </c>
      <c r="AU4383">
        <v>7</v>
      </c>
      <c r="AW4383" t="s">
        <v>11187</v>
      </c>
      <c r="AZ4383" t="s">
        <v>11221</v>
      </c>
      <c r="BE4383" t="s">
        <v>14114</v>
      </c>
      <c r="BG4383" t="s">
        <v>15481</v>
      </c>
      <c r="BM4383" t="s">
        <v>15650</v>
      </c>
    </row>
    <row r="4384" spans="1:65">
      <c r="A4384" s="1">
        <f>HYPERLINK("https://lsnyc.legalserver.org/matter/dynamic-profile/view/0809645","16-0809645")</f>
        <v>0</v>
      </c>
      <c r="B4384" t="s">
        <v>232</v>
      </c>
      <c r="C4384" t="s">
        <v>246</v>
      </c>
      <c r="D4384" t="s">
        <v>499</v>
      </c>
      <c r="F4384" t="s">
        <v>1270</v>
      </c>
      <c r="G4384" t="s">
        <v>4620</v>
      </c>
      <c r="H4384" t="s">
        <v>6264</v>
      </c>
      <c r="I4384" t="s">
        <v>6424</v>
      </c>
      <c r="J4384" t="s">
        <v>7170</v>
      </c>
      <c r="K4384">
        <v>10456</v>
      </c>
      <c r="N4384" t="s">
        <v>7237</v>
      </c>
      <c r="O4384" t="s">
        <v>8877</v>
      </c>
      <c r="P4384">
        <v>1</v>
      </c>
      <c r="Q4384">
        <v>0</v>
      </c>
      <c r="R4384">
        <v>178.8</v>
      </c>
      <c r="S4384" t="s">
        <v>10274</v>
      </c>
      <c r="U4384">
        <v>21242</v>
      </c>
      <c r="W4384">
        <v>142.64</v>
      </c>
      <c r="X4384" t="s">
        <v>314</v>
      </c>
      <c r="Y4384" t="s">
        <v>210</v>
      </c>
      <c r="AA4384" t="s">
        <v>10974</v>
      </c>
      <c r="AB4384" t="s">
        <v>10993</v>
      </c>
      <c r="AD4384" t="s">
        <v>11085</v>
      </c>
      <c r="AF4384" t="s">
        <v>11118</v>
      </c>
      <c r="AH4384" t="s">
        <v>10974</v>
      </c>
      <c r="AJ4384" t="s">
        <v>11131</v>
      </c>
      <c r="AK4384" t="s">
        <v>7225</v>
      </c>
      <c r="AM4384">
        <v>800</v>
      </c>
      <c r="AO4384">
        <v>3</v>
      </c>
      <c r="AQ4384" t="s">
        <v>11157</v>
      </c>
      <c r="AS4384" t="s">
        <v>11173</v>
      </c>
      <c r="AU4384">
        <v>4</v>
      </c>
      <c r="AW4384" t="s">
        <v>11187</v>
      </c>
      <c r="AZ4384" t="s">
        <v>11221</v>
      </c>
      <c r="BE4384" t="s">
        <v>14115</v>
      </c>
      <c r="BF4384" t="s">
        <v>14364</v>
      </c>
      <c r="BG4384" t="s">
        <v>15476</v>
      </c>
      <c r="BM4384" t="s">
        <v>15650</v>
      </c>
    </row>
    <row r="4385" spans="1:67">
      <c r="A4385" s="1">
        <f>HYPERLINK("https://lsnyc.legalserver.org/matter/dynamic-profile/view/1904575","19-1904575")</f>
        <v>0</v>
      </c>
      <c r="B4385" t="s">
        <v>232</v>
      </c>
      <c r="C4385" t="s">
        <v>246</v>
      </c>
      <c r="D4385" t="s">
        <v>651</v>
      </c>
      <c r="E4385" t="s">
        <v>297</v>
      </c>
      <c r="F4385" t="s">
        <v>2758</v>
      </c>
      <c r="G4385" t="s">
        <v>1409</v>
      </c>
      <c r="H4385" t="s">
        <v>6270</v>
      </c>
      <c r="I4385" t="s">
        <v>6468</v>
      </c>
      <c r="J4385" t="s">
        <v>7170</v>
      </c>
      <c r="K4385">
        <v>10470</v>
      </c>
      <c r="L4385" t="s">
        <v>7219</v>
      </c>
      <c r="N4385" t="s">
        <v>7237</v>
      </c>
      <c r="O4385" t="s">
        <v>9635</v>
      </c>
      <c r="P4385">
        <v>2</v>
      </c>
      <c r="Q4385">
        <v>1</v>
      </c>
      <c r="R4385">
        <v>97.52</v>
      </c>
      <c r="U4385">
        <v>20800</v>
      </c>
      <c r="V4385" t="s">
        <v>10788</v>
      </c>
      <c r="W4385">
        <v>0.5</v>
      </c>
      <c r="X4385" t="s">
        <v>297</v>
      </c>
      <c r="Y4385" t="s">
        <v>216</v>
      </c>
      <c r="AA4385" t="s">
        <v>10974</v>
      </c>
      <c r="AD4385" t="s">
        <v>11101</v>
      </c>
      <c r="AF4385" t="s">
        <v>11118</v>
      </c>
      <c r="AH4385" t="s">
        <v>10974</v>
      </c>
      <c r="AJ4385" t="s">
        <v>11141</v>
      </c>
      <c r="AK4385" t="s">
        <v>7225</v>
      </c>
      <c r="AM4385">
        <v>1276</v>
      </c>
      <c r="AO4385">
        <v>63</v>
      </c>
      <c r="AQ4385" t="s">
        <v>11157</v>
      </c>
      <c r="AS4385" t="s">
        <v>11173</v>
      </c>
      <c r="AU4385">
        <v>8</v>
      </c>
      <c r="AW4385" t="s">
        <v>11187</v>
      </c>
      <c r="AX4385" t="s">
        <v>11212</v>
      </c>
      <c r="BA4385" t="s">
        <v>11222</v>
      </c>
      <c r="BD4385" t="s">
        <v>11667</v>
      </c>
      <c r="BF4385" t="s">
        <v>14364</v>
      </c>
      <c r="BG4385" t="s">
        <v>15442</v>
      </c>
      <c r="BJ4385" t="s">
        <v>15615</v>
      </c>
      <c r="BM4385" t="s">
        <v>15651</v>
      </c>
    </row>
    <row r="4386" spans="1:67">
      <c r="A4386" s="1">
        <f>HYPERLINK("https://lsnyc.legalserver.org/matter/dynamic-profile/view/1868856","18-1868856")</f>
        <v>0</v>
      </c>
      <c r="B4386" t="s">
        <v>232</v>
      </c>
      <c r="C4386" t="s">
        <v>246</v>
      </c>
      <c r="D4386" t="s">
        <v>1049</v>
      </c>
      <c r="F4386" t="s">
        <v>2759</v>
      </c>
      <c r="G4386" t="s">
        <v>2938</v>
      </c>
      <c r="H4386" t="s">
        <v>6271</v>
      </c>
      <c r="I4386" t="s">
        <v>6618</v>
      </c>
      <c r="J4386" t="s">
        <v>7170</v>
      </c>
      <c r="K4386">
        <v>10460</v>
      </c>
      <c r="N4386" t="s">
        <v>7237</v>
      </c>
      <c r="O4386" t="s">
        <v>10002</v>
      </c>
      <c r="P4386">
        <v>1</v>
      </c>
      <c r="Q4386">
        <v>0</v>
      </c>
      <c r="R4386">
        <v>111.37</v>
      </c>
      <c r="U4386">
        <v>13520</v>
      </c>
      <c r="W4386">
        <v>16.9</v>
      </c>
      <c r="X4386" t="s">
        <v>562</v>
      </c>
      <c r="Y4386" t="s">
        <v>216</v>
      </c>
      <c r="AA4386" t="s">
        <v>10974</v>
      </c>
      <c r="AB4386" t="s">
        <v>939</v>
      </c>
      <c r="AD4386" t="s">
        <v>11082</v>
      </c>
      <c r="AF4386" t="s">
        <v>11118</v>
      </c>
      <c r="AG4386" t="s">
        <v>11124</v>
      </c>
      <c r="AI4386" t="s">
        <v>11126</v>
      </c>
      <c r="AK4386" t="s">
        <v>7225</v>
      </c>
      <c r="AM4386">
        <v>612</v>
      </c>
      <c r="AN4386" t="s">
        <v>11151</v>
      </c>
      <c r="AO4386" t="s">
        <v>11153</v>
      </c>
      <c r="AQ4386" t="s">
        <v>11161</v>
      </c>
      <c r="AR4386" t="s">
        <v>11172</v>
      </c>
      <c r="AU4386">
        <v>9</v>
      </c>
      <c r="AW4386" t="s">
        <v>11187</v>
      </c>
      <c r="AZ4386" t="s">
        <v>11221</v>
      </c>
      <c r="BE4386" t="s">
        <v>14116</v>
      </c>
      <c r="BG4386" t="s">
        <v>15482</v>
      </c>
      <c r="BM4386" t="s">
        <v>15650</v>
      </c>
    </row>
    <row r="4387" spans="1:67">
      <c r="A4387" s="1">
        <f>HYPERLINK("https://lsnyc.legalserver.org/matter/dynamic-profile/view/1896368","19-1896368")</f>
        <v>0</v>
      </c>
      <c r="B4387" t="s">
        <v>232</v>
      </c>
      <c r="C4387" t="s">
        <v>246</v>
      </c>
      <c r="D4387" t="s">
        <v>412</v>
      </c>
      <c r="F4387" t="s">
        <v>2760</v>
      </c>
      <c r="G4387" t="s">
        <v>4621</v>
      </c>
      <c r="H4387" t="s">
        <v>6272</v>
      </c>
      <c r="I4387" t="s">
        <v>7122</v>
      </c>
      <c r="J4387" t="s">
        <v>7170</v>
      </c>
      <c r="K4387">
        <v>10459</v>
      </c>
      <c r="N4387" t="s">
        <v>7237</v>
      </c>
      <c r="O4387" t="s">
        <v>10003</v>
      </c>
      <c r="P4387">
        <v>1</v>
      </c>
      <c r="Q4387">
        <v>2</v>
      </c>
      <c r="R4387">
        <v>146.27</v>
      </c>
      <c r="U4387">
        <v>31200</v>
      </c>
      <c r="W4387">
        <v>1.6</v>
      </c>
      <c r="X4387" t="s">
        <v>373</v>
      </c>
      <c r="Y4387" t="s">
        <v>216</v>
      </c>
      <c r="AA4387" t="s">
        <v>10974</v>
      </c>
      <c r="AB4387" t="s">
        <v>10979</v>
      </c>
      <c r="AC4387" t="s">
        <v>11081</v>
      </c>
      <c r="AF4387" t="s">
        <v>10384</v>
      </c>
      <c r="AG4387" t="s">
        <v>11124</v>
      </c>
      <c r="AJ4387" t="s">
        <v>11139</v>
      </c>
      <c r="AK4387" t="s">
        <v>7225</v>
      </c>
      <c r="AM4387">
        <v>1059</v>
      </c>
      <c r="AO4387">
        <v>35</v>
      </c>
      <c r="AQ4387" t="s">
        <v>11157</v>
      </c>
      <c r="AS4387" t="s">
        <v>11173</v>
      </c>
      <c r="AU4387">
        <v>7</v>
      </c>
      <c r="AW4387" t="s">
        <v>11189</v>
      </c>
      <c r="BA4387" t="s">
        <v>11222</v>
      </c>
      <c r="BE4387" t="s">
        <v>14117</v>
      </c>
      <c r="BF4387" t="s">
        <v>14364</v>
      </c>
      <c r="BM4387" t="s">
        <v>15650</v>
      </c>
    </row>
    <row r="4388" spans="1:67">
      <c r="A4388" s="1">
        <f>HYPERLINK("https://lsnyc.legalserver.org/matter/dynamic-profile/view/1879973","18-1879973")</f>
        <v>0</v>
      </c>
      <c r="B4388" t="s">
        <v>232</v>
      </c>
      <c r="C4388" t="s">
        <v>246</v>
      </c>
      <c r="D4388" t="s">
        <v>609</v>
      </c>
      <c r="F4388" t="s">
        <v>1632</v>
      </c>
      <c r="G4388" t="s">
        <v>2962</v>
      </c>
      <c r="H4388" t="s">
        <v>5757</v>
      </c>
      <c r="I4388">
        <v>1</v>
      </c>
      <c r="J4388" t="s">
        <v>7170</v>
      </c>
      <c r="K4388">
        <v>10475</v>
      </c>
      <c r="N4388" t="s">
        <v>7237</v>
      </c>
      <c r="O4388" t="s">
        <v>10004</v>
      </c>
      <c r="P4388">
        <v>1</v>
      </c>
      <c r="Q4388">
        <v>2</v>
      </c>
      <c r="R4388">
        <v>206.74</v>
      </c>
      <c r="S4388" t="s">
        <v>605</v>
      </c>
      <c r="T4388" t="s">
        <v>10276</v>
      </c>
      <c r="U4388">
        <v>42960</v>
      </c>
      <c r="W4388">
        <v>46</v>
      </c>
      <c r="X4388" t="s">
        <v>341</v>
      </c>
      <c r="Y4388" t="s">
        <v>232</v>
      </c>
      <c r="AA4388" t="s">
        <v>10974</v>
      </c>
      <c r="AB4388" t="s">
        <v>609</v>
      </c>
      <c r="AD4388" t="s">
        <v>11084</v>
      </c>
      <c r="AF4388" t="s">
        <v>11118</v>
      </c>
      <c r="AH4388" t="s">
        <v>10975</v>
      </c>
      <c r="AI4388" t="s">
        <v>11126</v>
      </c>
      <c r="AK4388" t="s">
        <v>7225</v>
      </c>
      <c r="AM4388">
        <v>1513</v>
      </c>
      <c r="AO4388">
        <v>10914</v>
      </c>
      <c r="AQ4388" t="s">
        <v>11158</v>
      </c>
      <c r="AR4388" t="s">
        <v>11172</v>
      </c>
      <c r="AU4388">
        <v>12</v>
      </c>
      <c r="AW4388" t="s">
        <v>11187</v>
      </c>
      <c r="AZ4388" t="s">
        <v>11221</v>
      </c>
      <c r="BD4388" t="s">
        <v>11667</v>
      </c>
      <c r="BG4388" t="s">
        <v>15483</v>
      </c>
      <c r="BM4388" t="s">
        <v>15650</v>
      </c>
    </row>
    <row r="4389" spans="1:67">
      <c r="A4389" s="1">
        <f>HYPERLINK("https://lsnyc.legalserver.org/matter/dynamic-profile/view/0829854","17-0829854")</f>
        <v>0</v>
      </c>
      <c r="B4389" t="s">
        <v>232</v>
      </c>
      <c r="C4389" t="s">
        <v>246</v>
      </c>
      <c r="D4389" t="s">
        <v>1018</v>
      </c>
      <c r="F4389" t="s">
        <v>2262</v>
      </c>
      <c r="G4389" t="s">
        <v>4622</v>
      </c>
      <c r="H4389" t="s">
        <v>6264</v>
      </c>
      <c r="I4389">
        <v>2</v>
      </c>
      <c r="J4389" t="s">
        <v>7170</v>
      </c>
      <c r="K4389">
        <v>10456</v>
      </c>
      <c r="N4389" t="s">
        <v>7237</v>
      </c>
      <c r="O4389" t="s">
        <v>10005</v>
      </c>
      <c r="P4389">
        <v>2</v>
      </c>
      <c r="Q4389">
        <v>2</v>
      </c>
      <c r="R4389">
        <v>105.69</v>
      </c>
      <c r="S4389" t="s">
        <v>10274</v>
      </c>
      <c r="U4389">
        <v>26000</v>
      </c>
      <c r="W4389">
        <v>46.5</v>
      </c>
      <c r="X4389" t="s">
        <v>535</v>
      </c>
      <c r="Y4389" t="s">
        <v>10905</v>
      </c>
      <c r="AA4389" t="s">
        <v>10974</v>
      </c>
      <c r="AB4389" t="s">
        <v>1018</v>
      </c>
      <c r="AD4389" t="s">
        <v>11085</v>
      </c>
      <c r="AF4389" t="s">
        <v>11118</v>
      </c>
      <c r="AH4389" t="s">
        <v>10974</v>
      </c>
      <c r="AJ4389" t="s">
        <v>11104</v>
      </c>
      <c r="AK4389" t="s">
        <v>7225</v>
      </c>
      <c r="AM4389">
        <v>1200</v>
      </c>
      <c r="AO4389">
        <v>9</v>
      </c>
      <c r="AQ4389" t="s">
        <v>11157</v>
      </c>
      <c r="AR4389" t="s">
        <v>11172</v>
      </c>
      <c r="AU4389">
        <v>3</v>
      </c>
      <c r="AW4389" t="s">
        <v>11187</v>
      </c>
      <c r="AZ4389" t="s">
        <v>11221</v>
      </c>
      <c r="BE4389" t="s">
        <v>14118</v>
      </c>
      <c r="BG4389" t="s">
        <v>15484</v>
      </c>
      <c r="BM4389" t="s">
        <v>15650</v>
      </c>
    </row>
    <row r="4390" spans="1:67">
      <c r="A4390" s="1">
        <f>HYPERLINK("https://lsnyc.legalserver.org/matter/dynamic-profile/view/1860067","18-1860067")</f>
        <v>0</v>
      </c>
      <c r="B4390" t="s">
        <v>232</v>
      </c>
      <c r="C4390" t="s">
        <v>246</v>
      </c>
      <c r="D4390" t="s">
        <v>1051</v>
      </c>
      <c r="F4390" t="s">
        <v>1812</v>
      </c>
      <c r="G4390" t="s">
        <v>4623</v>
      </c>
      <c r="H4390" t="s">
        <v>4973</v>
      </c>
      <c r="I4390">
        <v>211</v>
      </c>
      <c r="J4390" t="s">
        <v>7170</v>
      </c>
      <c r="K4390">
        <v>10453</v>
      </c>
      <c r="N4390" t="s">
        <v>7237</v>
      </c>
      <c r="O4390" t="s">
        <v>10006</v>
      </c>
      <c r="P4390">
        <v>1</v>
      </c>
      <c r="Q4390">
        <v>1</v>
      </c>
      <c r="R4390">
        <v>140.89</v>
      </c>
      <c r="U4390">
        <v>22880</v>
      </c>
      <c r="V4390" t="s">
        <v>10306</v>
      </c>
      <c r="W4390">
        <v>7.6</v>
      </c>
      <c r="X4390" t="s">
        <v>642</v>
      </c>
      <c r="Y4390" t="s">
        <v>10911</v>
      </c>
      <c r="AA4390" t="s">
        <v>10974</v>
      </c>
      <c r="AB4390" t="s">
        <v>790</v>
      </c>
      <c r="AD4390" t="s">
        <v>11082</v>
      </c>
      <c r="AF4390" t="s">
        <v>11123</v>
      </c>
      <c r="AG4390" t="s">
        <v>11124</v>
      </c>
      <c r="AI4390" t="s">
        <v>11126</v>
      </c>
      <c r="AK4390" t="s">
        <v>7225</v>
      </c>
      <c r="AM4390">
        <v>1021.63</v>
      </c>
      <c r="AN4390" t="s">
        <v>11151</v>
      </c>
      <c r="AO4390" t="s">
        <v>11153</v>
      </c>
      <c r="AQ4390" t="s">
        <v>11157</v>
      </c>
      <c r="AR4390" t="s">
        <v>11172</v>
      </c>
      <c r="AU4390">
        <v>40</v>
      </c>
      <c r="AW4390" t="s">
        <v>11187</v>
      </c>
      <c r="AZ4390" t="s">
        <v>11221</v>
      </c>
      <c r="BE4390" t="s">
        <v>14119</v>
      </c>
      <c r="BG4390" t="s">
        <v>15485</v>
      </c>
      <c r="BI4390" t="s">
        <v>15609</v>
      </c>
      <c r="BK4390" t="s">
        <v>15620</v>
      </c>
      <c r="BM4390" t="s">
        <v>15650</v>
      </c>
      <c r="BN4390" t="s">
        <v>15652</v>
      </c>
      <c r="BO4390" t="s">
        <v>15749</v>
      </c>
    </row>
    <row r="4391" spans="1:67">
      <c r="A4391" s="1">
        <f>HYPERLINK("https://lsnyc.legalserver.org/matter/dynamic-profile/view/1876956","18-1876956")</f>
        <v>0</v>
      </c>
      <c r="B4391" t="s">
        <v>232</v>
      </c>
      <c r="C4391" t="s">
        <v>246</v>
      </c>
      <c r="D4391" t="s">
        <v>662</v>
      </c>
      <c r="F4391" t="s">
        <v>2761</v>
      </c>
      <c r="G4391" t="s">
        <v>3236</v>
      </c>
      <c r="H4391" t="s">
        <v>6273</v>
      </c>
      <c r="I4391" t="s">
        <v>7123</v>
      </c>
      <c r="J4391" t="s">
        <v>7170</v>
      </c>
      <c r="K4391">
        <v>10459</v>
      </c>
      <c r="N4391" t="s">
        <v>7237</v>
      </c>
      <c r="O4391" t="s">
        <v>10007</v>
      </c>
      <c r="P4391">
        <v>2</v>
      </c>
      <c r="Q4391">
        <v>2</v>
      </c>
      <c r="R4391">
        <v>134.5</v>
      </c>
      <c r="S4391" t="s">
        <v>10254</v>
      </c>
      <c r="T4391" t="s">
        <v>10275</v>
      </c>
      <c r="U4391">
        <v>33760</v>
      </c>
      <c r="W4391">
        <v>58.6</v>
      </c>
      <c r="X4391" t="s">
        <v>436</v>
      </c>
      <c r="Y4391" t="s">
        <v>10908</v>
      </c>
      <c r="AA4391" t="s">
        <v>10974</v>
      </c>
      <c r="AB4391" t="s">
        <v>662</v>
      </c>
      <c r="AD4391" t="s">
        <v>11083</v>
      </c>
      <c r="AF4391" t="s">
        <v>11118</v>
      </c>
      <c r="AH4391" t="s">
        <v>10975</v>
      </c>
      <c r="AJ4391" t="s">
        <v>11133</v>
      </c>
      <c r="AK4391" t="s">
        <v>11149</v>
      </c>
      <c r="AM4391">
        <v>1720</v>
      </c>
      <c r="AO4391">
        <v>128</v>
      </c>
      <c r="AQ4391" t="s">
        <v>11157</v>
      </c>
      <c r="AS4391" t="s">
        <v>11173</v>
      </c>
      <c r="AU4391">
        <v>11</v>
      </c>
      <c r="AW4391" t="s">
        <v>11187</v>
      </c>
      <c r="AZ4391" t="s">
        <v>11221</v>
      </c>
      <c r="BE4391" t="s">
        <v>14120</v>
      </c>
      <c r="BF4391" t="s">
        <v>14364</v>
      </c>
      <c r="BM4391" t="s">
        <v>15650</v>
      </c>
    </row>
    <row r="4392" spans="1:67">
      <c r="A4392" s="1">
        <f>HYPERLINK("https://lsnyc.legalserver.org/matter/dynamic-profile/view/1879874","18-1879874")</f>
        <v>0</v>
      </c>
      <c r="B4392" t="s">
        <v>232</v>
      </c>
      <c r="C4392" t="s">
        <v>246</v>
      </c>
      <c r="D4392" t="s">
        <v>595</v>
      </c>
      <c r="F4392" t="s">
        <v>2762</v>
      </c>
      <c r="G4392" t="s">
        <v>4437</v>
      </c>
      <c r="H4392" t="s">
        <v>5292</v>
      </c>
      <c r="I4392" t="s">
        <v>6421</v>
      </c>
      <c r="J4392" t="s">
        <v>7170</v>
      </c>
      <c r="K4392">
        <v>10453</v>
      </c>
      <c r="N4392" t="s">
        <v>7237</v>
      </c>
      <c r="O4392" t="s">
        <v>10008</v>
      </c>
      <c r="P4392">
        <v>3</v>
      </c>
      <c r="Q4392">
        <v>0</v>
      </c>
      <c r="R4392">
        <v>118.38</v>
      </c>
      <c r="U4392">
        <v>24600</v>
      </c>
      <c r="W4392">
        <v>24.5</v>
      </c>
      <c r="X4392" t="s">
        <v>332</v>
      </c>
      <c r="Y4392" t="s">
        <v>10873</v>
      </c>
      <c r="AA4392" t="s">
        <v>10974</v>
      </c>
      <c r="AB4392" t="s">
        <v>10979</v>
      </c>
      <c r="AD4392" t="s">
        <v>11082</v>
      </c>
      <c r="AF4392" t="s">
        <v>11118</v>
      </c>
      <c r="AH4392" t="s">
        <v>10975</v>
      </c>
      <c r="AI4392" t="s">
        <v>11126</v>
      </c>
      <c r="AK4392" t="s">
        <v>7225</v>
      </c>
      <c r="AM4392">
        <v>2000</v>
      </c>
      <c r="AO4392">
        <v>300</v>
      </c>
      <c r="AP4392" t="s">
        <v>11155</v>
      </c>
      <c r="AR4392" t="s">
        <v>11172</v>
      </c>
      <c r="AU4392">
        <v>27</v>
      </c>
      <c r="AW4392" t="s">
        <v>11187</v>
      </c>
      <c r="AY4392" t="s">
        <v>11213</v>
      </c>
      <c r="BA4392" t="s">
        <v>11222</v>
      </c>
      <c r="BE4392" t="s">
        <v>14121</v>
      </c>
      <c r="BG4392" t="s">
        <v>15486</v>
      </c>
      <c r="BM4392" t="s">
        <v>15650</v>
      </c>
    </row>
    <row r="4393" spans="1:67">
      <c r="A4393" s="1">
        <f>HYPERLINK("https://lsnyc.legalserver.org/matter/dynamic-profile/view/1846792","17-1846792")</f>
        <v>0</v>
      </c>
      <c r="B4393" t="s">
        <v>232</v>
      </c>
      <c r="C4393" t="s">
        <v>246</v>
      </c>
      <c r="D4393" t="s">
        <v>1052</v>
      </c>
      <c r="F4393" t="s">
        <v>2763</v>
      </c>
      <c r="G4393" t="s">
        <v>4624</v>
      </c>
      <c r="H4393" t="s">
        <v>6274</v>
      </c>
      <c r="I4393" t="s">
        <v>6433</v>
      </c>
      <c r="J4393" t="s">
        <v>7170</v>
      </c>
      <c r="K4393">
        <v>10453</v>
      </c>
      <c r="N4393" t="s">
        <v>7237</v>
      </c>
      <c r="O4393" t="s">
        <v>10009</v>
      </c>
      <c r="P4393">
        <v>2</v>
      </c>
      <c r="Q4393">
        <v>3</v>
      </c>
      <c r="R4393">
        <v>118.43</v>
      </c>
      <c r="U4393">
        <v>42881.28</v>
      </c>
      <c r="V4393" t="s">
        <v>10789</v>
      </c>
      <c r="W4393">
        <v>69.90000000000001</v>
      </c>
      <c r="X4393" t="s">
        <v>595</v>
      </c>
      <c r="Y4393" t="s">
        <v>10884</v>
      </c>
      <c r="AA4393" t="s">
        <v>10974</v>
      </c>
      <c r="AB4393" t="s">
        <v>10821</v>
      </c>
      <c r="AD4393" t="s">
        <v>11082</v>
      </c>
      <c r="AF4393" t="s">
        <v>11118</v>
      </c>
      <c r="AH4393" t="s">
        <v>10975</v>
      </c>
      <c r="AJ4393" t="s">
        <v>11129</v>
      </c>
      <c r="AK4393" t="s">
        <v>7225</v>
      </c>
      <c r="AM4393">
        <v>896</v>
      </c>
      <c r="AO4393">
        <v>20</v>
      </c>
      <c r="AQ4393" t="s">
        <v>11162</v>
      </c>
      <c r="AS4393" t="s">
        <v>11180</v>
      </c>
      <c r="AU4393">
        <v>18</v>
      </c>
      <c r="AW4393" t="s">
        <v>11187</v>
      </c>
      <c r="AZ4393" t="s">
        <v>11221</v>
      </c>
      <c r="BE4393" t="s">
        <v>14122</v>
      </c>
      <c r="BG4393" t="s">
        <v>15487</v>
      </c>
      <c r="BM4393" t="s">
        <v>15650</v>
      </c>
    </row>
    <row r="4394" spans="1:67">
      <c r="A4394" s="1">
        <f>HYPERLINK("https://lsnyc.legalserver.org/matter/dynamic-profile/view/1910518","19-1910518")</f>
        <v>0</v>
      </c>
      <c r="B4394" t="s">
        <v>232</v>
      </c>
      <c r="C4394" t="s">
        <v>246</v>
      </c>
      <c r="D4394" t="s">
        <v>561</v>
      </c>
      <c r="F4394" t="s">
        <v>1738</v>
      </c>
      <c r="G4394" t="s">
        <v>4263</v>
      </c>
      <c r="H4394" t="s">
        <v>5916</v>
      </c>
      <c r="I4394" t="s">
        <v>6415</v>
      </c>
      <c r="J4394" t="s">
        <v>7170</v>
      </c>
      <c r="K4394">
        <v>10467</v>
      </c>
      <c r="N4394" t="s">
        <v>7237</v>
      </c>
      <c r="O4394" t="s">
        <v>9422</v>
      </c>
      <c r="P4394">
        <v>1</v>
      </c>
      <c r="Q4394">
        <v>0</v>
      </c>
      <c r="R4394">
        <v>340.27</v>
      </c>
      <c r="U4394">
        <v>42500</v>
      </c>
      <c r="W4394">
        <v>6.1</v>
      </c>
      <c r="X4394" t="s">
        <v>436</v>
      </c>
      <c r="Y4394" t="s">
        <v>10865</v>
      </c>
      <c r="AA4394" t="s">
        <v>10974</v>
      </c>
      <c r="AD4394" t="s">
        <v>11083</v>
      </c>
      <c r="AE4394" t="s">
        <v>11117</v>
      </c>
      <c r="AH4394" t="s">
        <v>10975</v>
      </c>
      <c r="AJ4394" t="s">
        <v>11129</v>
      </c>
      <c r="AK4394" t="s">
        <v>7225</v>
      </c>
      <c r="AM4394">
        <v>752</v>
      </c>
      <c r="AO4394">
        <v>59</v>
      </c>
      <c r="AQ4394" t="s">
        <v>11157</v>
      </c>
      <c r="AS4394" t="s">
        <v>11173</v>
      </c>
      <c r="AU4394">
        <v>19</v>
      </c>
      <c r="AW4394" t="s">
        <v>11187</v>
      </c>
      <c r="AX4394" t="s">
        <v>11212</v>
      </c>
      <c r="BA4394" t="s">
        <v>11222</v>
      </c>
      <c r="BE4394" t="s">
        <v>13640</v>
      </c>
      <c r="BG4394" t="s">
        <v>15488</v>
      </c>
      <c r="BM4394" t="s">
        <v>15650</v>
      </c>
    </row>
    <row r="4395" spans="1:67">
      <c r="A4395" s="1">
        <f>HYPERLINK("https://lsnyc.legalserver.org/matter/dynamic-profile/view/1904878","19-1904878")</f>
        <v>0</v>
      </c>
      <c r="B4395" t="s">
        <v>232</v>
      </c>
      <c r="C4395" t="s">
        <v>246</v>
      </c>
      <c r="D4395" t="s">
        <v>923</v>
      </c>
      <c r="F4395" t="s">
        <v>2761</v>
      </c>
      <c r="G4395" t="s">
        <v>3236</v>
      </c>
      <c r="H4395" t="s">
        <v>6273</v>
      </c>
      <c r="I4395" t="s">
        <v>7123</v>
      </c>
      <c r="J4395" t="s">
        <v>7170</v>
      </c>
      <c r="K4395">
        <v>10459</v>
      </c>
      <c r="N4395" t="s">
        <v>7241</v>
      </c>
      <c r="O4395" t="s">
        <v>10007</v>
      </c>
      <c r="P4395">
        <v>2</v>
      </c>
      <c r="Q4395">
        <v>2</v>
      </c>
      <c r="R4395">
        <v>131.11</v>
      </c>
      <c r="U4395">
        <v>33760</v>
      </c>
      <c r="W4395">
        <v>2.7</v>
      </c>
      <c r="X4395" t="s">
        <v>563</v>
      </c>
      <c r="Y4395" t="s">
        <v>216</v>
      </c>
      <c r="AA4395" t="s">
        <v>10974</v>
      </c>
      <c r="AB4395" t="s">
        <v>536</v>
      </c>
      <c r="AD4395" t="s">
        <v>11095</v>
      </c>
      <c r="AF4395" t="s">
        <v>11118</v>
      </c>
      <c r="AH4395" t="s">
        <v>10975</v>
      </c>
      <c r="AI4395" t="s">
        <v>11126</v>
      </c>
      <c r="AK4395" t="s">
        <v>7225</v>
      </c>
      <c r="AM4395">
        <v>1720</v>
      </c>
      <c r="AO4395">
        <v>128</v>
      </c>
      <c r="AQ4395" t="s">
        <v>11157</v>
      </c>
      <c r="AS4395" t="s">
        <v>11173</v>
      </c>
      <c r="AU4395">
        <v>11</v>
      </c>
      <c r="AW4395" t="s">
        <v>11187</v>
      </c>
      <c r="BA4395" t="s">
        <v>11222</v>
      </c>
      <c r="BE4395" t="s">
        <v>14120</v>
      </c>
      <c r="BF4395" t="s">
        <v>14364</v>
      </c>
      <c r="BG4395" t="s">
        <v>15489</v>
      </c>
      <c r="BM4395" t="s">
        <v>15650</v>
      </c>
    </row>
    <row r="4396" spans="1:67">
      <c r="A4396" s="1">
        <f>HYPERLINK("https://lsnyc.legalserver.org/matter/dynamic-profile/view/1871016","18-1871016")</f>
        <v>0</v>
      </c>
      <c r="B4396" t="s">
        <v>232</v>
      </c>
      <c r="C4396" t="s">
        <v>246</v>
      </c>
      <c r="D4396" t="s">
        <v>642</v>
      </c>
      <c r="F4396" t="s">
        <v>1700</v>
      </c>
      <c r="G4396" t="s">
        <v>2922</v>
      </c>
      <c r="H4396" t="s">
        <v>6275</v>
      </c>
      <c r="I4396" t="s">
        <v>7124</v>
      </c>
      <c r="J4396" t="s">
        <v>7170</v>
      </c>
      <c r="K4396">
        <v>10460</v>
      </c>
      <c r="N4396" t="s">
        <v>7237</v>
      </c>
      <c r="O4396" t="s">
        <v>10010</v>
      </c>
      <c r="P4396">
        <v>1</v>
      </c>
      <c r="Q4396">
        <v>0</v>
      </c>
      <c r="R4396">
        <v>197.69</v>
      </c>
      <c r="U4396">
        <v>24000</v>
      </c>
      <c r="W4396">
        <v>49.2</v>
      </c>
      <c r="X4396" t="s">
        <v>1075</v>
      </c>
      <c r="Y4396" t="s">
        <v>10921</v>
      </c>
      <c r="AA4396" t="s">
        <v>10974</v>
      </c>
      <c r="AB4396" t="s">
        <v>802</v>
      </c>
      <c r="AD4396" t="s">
        <v>11082</v>
      </c>
      <c r="AF4396" t="s">
        <v>11118</v>
      </c>
      <c r="AG4396" t="s">
        <v>11124</v>
      </c>
      <c r="AJ4396" t="s">
        <v>11104</v>
      </c>
      <c r="AK4396" t="s">
        <v>7225</v>
      </c>
      <c r="AM4396">
        <v>1250</v>
      </c>
      <c r="AO4396">
        <v>25</v>
      </c>
      <c r="AQ4396" t="s">
        <v>11157</v>
      </c>
      <c r="AS4396" t="s">
        <v>11173</v>
      </c>
      <c r="AU4396">
        <v>4</v>
      </c>
      <c r="AW4396" t="s">
        <v>11187</v>
      </c>
      <c r="AY4396" t="s">
        <v>11213</v>
      </c>
      <c r="AZ4396" t="s">
        <v>11221</v>
      </c>
      <c r="BE4396" t="s">
        <v>14123</v>
      </c>
      <c r="BG4396" t="s">
        <v>15490</v>
      </c>
      <c r="BM4396" t="s">
        <v>15650</v>
      </c>
    </row>
    <row r="4397" spans="1:67">
      <c r="A4397" s="1">
        <f>HYPERLINK("https://lsnyc.legalserver.org/matter/dynamic-profile/view/1904464","19-1904464")</f>
        <v>0</v>
      </c>
      <c r="B4397" t="s">
        <v>232</v>
      </c>
      <c r="C4397" t="s">
        <v>246</v>
      </c>
      <c r="D4397" t="s">
        <v>260</v>
      </c>
      <c r="E4397" t="s">
        <v>297</v>
      </c>
      <c r="F4397" t="s">
        <v>2248</v>
      </c>
      <c r="G4397" t="s">
        <v>3714</v>
      </c>
      <c r="H4397" t="s">
        <v>6232</v>
      </c>
      <c r="J4397" t="s">
        <v>7170</v>
      </c>
      <c r="K4397">
        <v>10470</v>
      </c>
      <c r="L4397" t="s">
        <v>7219</v>
      </c>
      <c r="N4397" t="s">
        <v>7237</v>
      </c>
      <c r="O4397" t="s">
        <v>10011</v>
      </c>
      <c r="P4397">
        <v>1</v>
      </c>
      <c r="Q4397">
        <v>2</v>
      </c>
      <c r="R4397">
        <v>129.96</v>
      </c>
      <c r="U4397">
        <v>27720</v>
      </c>
      <c r="W4397">
        <v>3</v>
      </c>
      <c r="X4397" t="s">
        <v>297</v>
      </c>
      <c r="Y4397" t="s">
        <v>216</v>
      </c>
      <c r="AA4397" t="s">
        <v>10974</v>
      </c>
      <c r="AD4397" t="s">
        <v>11101</v>
      </c>
      <c r="AF4397" t="s">
        <v>11118</v>
      </c>
      <c r="AH4397" t="s">
        <v>10974</v>
      </c>
      <c r="AJ4397" t="s">
        <v>11141</v>
      </c>
      <c r="AK4397" t="s">
        <v>7225</v>
      </c>
      <c r="AM4397">
        <v>1564</v>
      </c>
      <c r="AO4397">
        <v>63</v>
      </c>
      <c r="AQ4397" t="s">
        <v>11164</v>
      </c>
      <c r="AS4397" t="s">
        <v>11180</v>
      </c>
      <c r="AU4397">
        <v>4</v>
      </c>
      <c r="AW4397" t="s">
        <v>11187</v>
      </c>
      <c r="AX4397" t="s">
        <v>11212</v>
      </c>
      <c r="BA4397" t="s">
        <v>11222</v>
      </c>
      <c r="BE4397" t="s">
        <v>14124</v>
      </c>
      <c r="BF4397" t="s">
        <v>14364</v>
      </c>
      <c r="BG4397" t="s">
        <v>15442</v>
      </c>
      <c r="BJ4397" t="s">
        <v>15615</v>
      </c>
      <c r="BM4397" t="s">
        <v>15651</v>
      </c>
    </row>
    <row r="4398" spans="1:67">
      <c r="A4398" s="1">
        <f>HYPERLINK("https://lsnyc.legalserver.org/matter/dynamic-profile/view/1904539","19-1904539")</f>
        <v>0</v>
      </c>
      <c r="B4398" t="s">
        <v>232</v>
      </c>
      <c r="C4398" t="s">
        <v>246</v>
      </c>
      <c r="D4398" t="s">
        <v>311</v>
      </c>
      <c r="E4398" t="s">
        <v>297</v>
      </c>
      <c r="F4398" t="s">
        <v>1453</v>
      </c>
      <c r="G4398" t="s">
        <v>3623</v>
      </c>
      <c r="H4398" t="s">
        <v>6237</v>
      </c>
      <c r="I4398" t="s">
        <v>6417</v>
      </c>
      <c r="J4398" t="s">
        <v>7170</v>
      </c>
      <c r="K4398">
        <v>10470</v>
      </c>
      <c r="L4398" t="s">
        <v>7219</v>
      </c>
      <c r="N4398" t="s">
        <v>7237</v>
      </c>
      <c r="O4398" t="s">
        <v>10012</v>
      </c>
      <c r="P4398">
        <v>1</v>
      </c>
      <c r="Q4398">
        <v>1</v>
      </c>
      <c r="R4398">
        <v>127.74</v>
      </c>
      <c r="U4398">
        <v>21600</v>
      </c>
      <c r="W4398">
        <v>0.75</v>
      </c>
      <c r="X4398" t="s">
        <v>297</v>
      </c>
      <c r="Y4398" t="s">
        <v>216</v>
      </c>
      <c r="AA4398" t="s">
        <v>10974</v>
      </c>
      <c r="AD4398" t="s">
        <v>11101</v>
      </c>
      <c r="AF4398" t="s">
        <v>11118</v>
      </c>
      <c r="AH4398" t="s">
        <v>10974</v>
      </c>
      <c r="AJ4398" t="s">
        <v>11141</v>
      </c>
      <c r="AK4398" t="s">
        <v>7225</v>
      </c>
      <c r="AM4398">
        <v>1734</v>
      </c>
      <c r="AO4398">
        <v>63</v>
      </c>
      <c r="AQ4398" t="s">
        <v>11156</v>
      </c>
      <c r="AS4398" t="s">
        <v>11104</v>
      </c>
      <c r="AU4398">
        <v>3</v>
      </c>
      <c r="AW4398" t="s">
        <v>11187</v>
      </c>
      <c r="AX4398" t="s">
        <v>11212</v>
      </c>
      <c r="BA4398" t="s">
        <v>11222</v>
      </c>
      <c r="BC4398" t="s">
        <v>11629</v>
      </c>
      <c r="BD4398" t="s">
        <v>11667</v>
      </c>
      <c r="BF4398" t="s">
        <v>14364</v>
      </c>
      <c r="BG4398" t="s">
        <v>15442</v>
      </c>
      <c r="BJ4398" t="s">
        <v>15615</v>
      </c>
      <c r="BM4398" t="s">
        <v>15651</v>
      </c>
    </row>
    <row r="4399" spans="1:67">
      <c r="A4399" s="1">
        <f>HYPERLINK("https://lsnyc.legalserver.org/matter/dynamic-profile/view/1869166","18-1869166")</f>
        <v>0</v>
      </c>
      <c r="B4399" t="s">
        <v>232</v>
      </c>
      <c r="C4399" t="s">
        <v>246</v>
      </c>
      <c r="D4399" t="s">
        <v>572</v>
      </c>
      <c r="F4399" t="s">
        <v>1375</v>
      </c>
      <c r="G4399" t="s">
        <v>2985</v>
      </c>
      <c r="H4399" t="s">
        <v>4997</v>
      </c>
      <c r="I4399">
        <v>55</v>
      </c>
      <c r="J4399" t="s">
        <v>7170</v>
      </c>
      <c r="K4399">
        <v>10453</v>
      </c>
      <c r="N4399" t="s">
        <v>7237</v>
      </c>
      <c r="O4399" t="s">
        <v>7707</v>
      </c>
      <c r="P4399">
        <v>1</v>
      </c>
      <c r="Q4399">
        <v>0</v>
      </c>
      <c r="R4399">
        <v>195.58</v>
      </c>
      <c r="U4399">
        <v>23744</v>
      </c>
      <c r="W4399">
        <v>9</v>
      </c>
      <c r="X4399" t="s">
        <v>556</v>
      </c>
      <c r="Y4399" t="s">
        <v>10897</v>
      </c>
      <c r="AA4399" t="s">
        <v>10974</v>
      </c>
      <c r="AB4399" t="s">
        <v>939</v>
      </c>
      <c r="AD4399" t="s">
        <v>11082</v>
      </c>
      <c r="AF4399" t="s">
        <v>11118</v>
      </c>
      <c r="AH4399" t="s">
        <v>10975</v>
      </c>
      <c r="AJ4399" t="s">
        <v>11132</v>
      </c>
      <c r="AK4399" t="s">
        <v>7225</v>
      </c>
      <c r="AM4399">
        <v>1136.42</v>
      </c>
      <c r="AO4399">
        <v>43</v>
      </c>
      <c r="AQ4399" t="s">
        <v>11157</v>
      </c>
      <c r="AR4399" t="s">
        <v>11172</v>
      </c>
      <c r="AU4399">
        <v>21</v>
      </c>
      <c r="AW4399" t="s">
        <v>11189</v>
      </c>
      <c r="AZ4399" t="s">
        <v>11221</v>
      </c>
      <c r="BE4399" t="s">
        <v>12068</v>
      </c>
      <c r="BG4399" t="s">
        <v>15491</v>
      </c>
      <c r="BM4399" t="s">
        <v>15650</v>
      </c>
    </row>
    <row r="4400" spans="1:67">
      <c r="A4400" s="1">
        <f>HYPERLINK("https://lsnyc.legalserver.org/matter/dynamic-profile/view/1839117","17-1839117")</f>
        <v>0</v>
      </c>
      <c r="B4400" t="s">
        <v>232</v>
      </c>
      <c r="C4400" t="s">
        <v>246</v>
      </c>
      <c r="D4400" t="s">
        <v>983</v>
      </c>
      <c r="F4400" t="s">
        <v>1352</v>
      </c>
      <c r="G4400" t="s">
        <v>3478</v>
      </c>
      <c r="H4400" t="s">
        <v>6276</v>
      </c>
      <c r="I4400" t="s">
        <v>6497</v>
      </c>
      <c r="J4400" t="s">
        <v>7170</v>
      </c>
      <c r="K4400">
        <v>10453</v>
      </c>
      <c r="N4400" t="s">
        <v>7237</v>
      </c>
      <c r="O4400" t="s">
        <v>8065</v>
      </c>
      <c r="P4400">
        <v>1</v>
      </c>
      <c r="Q4400">
        <v>3</v>
      </c>
      <c r="R4400">
        <v>126.83</v>
      </c>
      <c r="U4400">
        <v>31200</v>
      </c>
      <c r="W4400">
        <v>24.75</v>
      </c>
      <c r="X4400" t="s">
        <v>414</v>
      </c>
      <c r="Y4400" t="s">
        <v>10899</v>
      </c>
      <c r="AA4400" t="s">
        <v>10974</v>
      </c>
      <c r="AB4400" t="s">
        <v>694</v>
      </c>
      <c r="AD4400" t="s">
        <v>11082</v>
      </c>
      <c r="AF4400" t="s">
        <v>11118</v>
      </c>
      <c r="AH4400" t="s">
        <v>10975</v>
      </c>
      <c r="AJ4400" t="s">
        <v>11129</v>
      </c>
      <c r="AK4400" t="s">
        <v>7225</v>
      </c>
      <c r="AM4400">
        <v>1054.69</v>
      </c>
      <c r="AN4400" t="s">
        <v>11151</v>
      </c>
      <c r="AO4400" t="s">
        <v>11153</v>
      </c>
      <c r="AQ4400" t="s">
        <v>11160</v>
      </c>
      <c r="AS4400" t="s">
        <v>11173</v>
      </c>
      <c r="AU4400">
        <v>6</v>
      </c>
      <c r="AW4400" t="s">
        <v>11187</v>
      </c>
      <c r="AZ4400" t="s">
        <v>11221</v>
      </c>
      <c r="BC4400" t="s">
        <v>11630</v>
      </c>
      <c r="BE4400" t="s">
        <v>12382</v>
      </c>
      <c r="BG4400" t="s">
        <v>15492</v>
      </c>
      <c r="BM4400" t="s">
        <v>15650</v>
      </c>
    </row>
    <row r="4401" spans="1:65">
      <c r="A4401" s="1">
        <f>HYPERLINK("https://lsnyc.legalserver.org/matter/dynamic-profile/view/1904484","19-1904484")</f>
        <v>0</v>
      </c>
      <c r="B4401" t="s">
        <v>232</v>
      </c>
      <c r="C4401" t="s">
        <v>246</v>
      </c>
      <c r="D4401" t="s">
        <v>380</v>
      </c>
      <c r="E4401" t="s">
        <v>297</v>
      </c>
      <c r="F4401" t="s">
        <v>2764</v>
      </c>
      <c r="G4401" t="s">
        <v>2885</v>
      </c>
      <c r="H4401" t="s">
        <v>6232</v>
      </c>
      <c r="I4401" t="s">
        <v>6405</v>
      </c>
      <c r="J4401" t="s">
        <v>7170</v>
      </c>
      <c r="K4401">
        <v>10470</v>
      </c>
      <c r="L4401" t="s">
        <v>7219</v>
      </c>
      <c r="N4401" t="s">
        <v>7237</v>
      </c>
      <c r="O4401" t="s">
        <v>10013</v>
      </c>
      <c r="P4401">
        <v>2</v>
      </c>
      <c r="Q4401">
        <v>0</v>
      </c>
      <c r="R4401">
        <v>331.28</v>
      </c>
      <c r="U4401">
        <v>56020</v>
      </c>
      <c r="V4401" t="s">
        <v>10790</v>
      </c>
      <c r="W4401">
        <v>60</v>
      </c>
      <c r="X4401" t="s">
        <v>297</v>
      </c>
      <c r="Y4401" t="s">
        <v>10865</v>
      </c>
      <c r="Z4401" t="s">
        <v>10972</v>
      </c>
      <c r="AA4401" t="s">
        <v>10975</v>
      </c>
      <c r="AD4401" t="s">
        <v>11101</v>
      </c>
      <c r="AF4401" t="s">
        <v>11118</v>
      </c>
      <c r="AH4401" t="s">
        <v>10975</v>
      </c>
      <c r="AJ4401" t="s">
        <v>11141</v>
      </c>
      <c r="AK4401" t="s">
        <v>7225</v>
      </c>
      <c r="AM4401">
        <v>966.6</v>
      </c>
      <c r="AO4401">
        <v>63</v>
      </c>
      <c r="AQ4401" t="s">
        <v>11157</v>
      </c>
      <c r="AS4401" t="s">
        <v>11173</v>
      </c>
      <c r="AU4401">
        <v>10</v>
      </c>
      <c r="AW4401" t="s">
        <v>11187</v>
      </c>
      <c r="AX4401" t="s">
        <v>11212</v>
      </c>
      <c r="BA4401" t="s">
        <v>11222</v>
      </c>
      <c r="BE4401" t="s">
        <v>14125</v>
      </c>
      <c r="BF4401" t="s">
        <v>14364</v>
      </c>
      <c r="BG4401" t="s">
        <v>15442</v>
      </c>
      <c r="BJ4401" t="s">
        <v>15615</v>
      </c>
      <c r="BM4401" t="s">
        <v>15651</v>
      </c>
    </row>
    <row r="4402" spans="1:65">
      <c r="A4402" s="1">
        <f>HYPERLINK("https://lsnyc.legalserver.org/matter/dynamic-profile/view/1890260","19-1890260")</f>
        <v>0</v>
      </c>
      <c r="B4402" t="s">
        <v>232</v>
      </c>
      <c r="C4402" t="s">
        <v>246</v>
      </c>
      <c r="D4402" t="s">
        <v>424</v>
      </c>
      <c r="F4402" t="s">
        <v>2765</v>
      </c>
      <c r="G4402" t="s">
        <v>2145</v>
      </c>
      <c r="H4402" t="s">
        <v>6275</v>
      </c>
      <c r="I4402" t="s">
        <v>7125</v>
      </c>
      <c r="J4402" t="s">
        <v>7170</v>
      </c>
      <c r="K4402">
        <v>10460</v>
      </c>
      <c r="N4402" t="s">
        <v>7237</v>
      </c>
      <c r="O4402" t="s">
        <v>10014</v>
      </c>
      <c r="P4402">
        <v>1</v>
      </c>
      <c r="Q4402">
        <v>0</v>
      </c>
      <c r="R4402">
        <v>135.47</v>
      </c>
      <c r="U4402">
        <v>16920</v>
      </c>
      <c r="W4402">
        <v>5.2</v>
      </c>
      <c r="X4402" t="s">
        <v>582</v>
      </c>
      <c r="Y4402" t="s">
        <v>10882</v>
      </c>
      <c r="AA4402" t="s">
        <v>10974</v>
      </c>
      <c r="AB4402" t="s">
        <v>10979</v>
      </c>
      <c r="AD4402" t="s">
        <v>11086</v>
      </c>
      <c r="AF4402" t="s">
        <v>11120</v>
      </c>
      <c r="AH4402" t="s">
        <v>10975</v>
      </c>
      <c r="AI4402" t="s">
        <v>11126</v>
      </c>
      <c r="AK4402" t="s">
        <v>7225</v>
      </c>
      <c r="AM4402">
        <v>1400</v>
      </c>
      <c r="AO4402">
        <v>30</v>
      </c>
      <c r="AQ4402" t="s">
        <v>11157</v>
      </c>
      <c r="AS4402" t="s">
        <v>11173</v>
      </c>
      <c r="AU4402">
        <v>2</v>
      </c>
      <c r="AW4402" t="s">
        <v>11187</v>
      </c>
      <c r="BA4402" t="s">
        <v>11222</v>
      </c>
      <c r="BE4402" t="s">
        <v>14126</v>
      </c>
      <c r="BF4402" t="s">
        <v>14364</v>
      </c>
      <c r="BM4402" t="s">
        <v>15650</v>
      </c>
    </row>
    <row r="4403" spans="1:65">
      <c r="A4403" s="1">
        <f>HYPERLINK("https://lsnyc.legalserver.org/matter/dynamic-profile/view/1870000","18-1870000")</f>
        <v>0</v>
      </c>
      <c r="B4403" t="s">
        <v>232</v>
      </c>
      <c r="C4403" t="s">
        <v>246</v>
      </c>
      <c r="D4403" t="s">
        <v>522</v>
      </c>
      <c r="F4403" t="s">
        <v>2766</v>
      </c>
      <c r="G4403" t="s">
        <v>4625</v>
      </c>
      <c r="H4403" t="s">
        <v>6277</v>
      </c>
      <c r="I4403" t="s">
        <v>6628</v>
      </c>
      <c r="J4403" t="s">
        <v>7170</v>
      </c>
      <c r="K4403">
        <v>10452</v>
      </c>
      <c r="N4403" t="s">
        <v>7238</v>
      </c>
      <c r="O4403" t="s">
        <v>10015</v>
      </c>
      <c r="P4403">
        <v>2</v>
      </c>
      <c r="Q4403">
        <v>0</v>
      </c>
      <c r="R4403">
        <v>292.27</v>
      </c>
      <c r="U4403">
        <v>48108</v>
      </c>
      <c r="W4403">
        <v>0.6</v>
      </c>
      <c r="X4403" t="s">
        <v>702</v>
      </c>
      <c r="Y4403" t="s">
        <v>10920</v>
      </c>
      <c r="AA4403" t="s">
        <v>10974</v>
      </c>
      <c r="AB4403" t="s">
        <v>939</v>
      </c>
      <c r="AD4403" t="s">
        <v>11088</v>
      </c>
      <c r="AF4403" t="s">
        <v>11120</v>
      </c>
      <c r="AH4403" t="s">
        <v>10975</v>
      </c>
      <c r="AI4403" t="s">
        <v>11126</v>
      </c>
      <c r="AK4403" t="s">
        <v>7225</v>
      </c>
      <c r="AM4403">
        <v>1333.03</v>
      </c>
      <c r="AN4403" t="s">
        <v>11151</v>
      </c>
      <c r="AO4403" t="s">
        <v>11153</v>
      </c>
      <c r="AQ4403" t="s">
        <v>11157</v>
      </c>
      <c r="AR4403" t="s">
        <v>11172</v>
      </c>
      <c r="AU4403">
        <v>20</v>
      </c>
      <c r="AW4403" t="s">
        <v>11189</v>
      </c>
      <c r="AZ4403" t="s">
        <v>11221</v>
      </c>
      <c r="BE4403" t="s">
        <v>14127</v>
      </c>
      <c r="BF4403" t="s">
        <v>14364</v>
      </c>
      <c r="BM4403" t="s">
        <v>15650</v>
      </c>
    </row>
    <row r="4404" spans="1:65">
      <c r="A4404" s="1">
        <f>HYPERLINK("https://lsnyc.legalserver.org/matter/dynamic-profile/view/1890315","19-1890315")</f>
        <v>0</v>
      </c>
      <c r="B4404" t="s">
        <v>232</v>
      </c>
      <c r="C4404" t="s">
        <v>246</v>
      </c>
      <c r="D4404" t="s">
        <v>424</v>
      </c>
      <c r="F4404" t="s">
        <v>2767</v>
      </c>
      <c r="G4404" t="s">
        <v>4626</v>
      </c>
      <c r="H4404" t="s">
        <v>6278</v>
      </c>
      <c r="I4404" t="s">
        <v>6491</v>
      </c>
      <c r="J4404" t="s">
        <v>7170</v>
      </c>
      <c r="K4404">
        <v>10453</v>
      </c>
      <c r="N4404" t="s">
        <v>7237</v>
      </c>
      <c r="O4404" t="s">
        <v>10016</v>
      </c>
      <c r="P4404">
        <v>2</v>
      </c>
      <c r="Q4404">
        <v>1</v>
      </c>
      <c r="R4404">
        <v>195.03</v>
      </c>
      <c r="U4404">
        <v>41600</v>
      </c>
      <c r="W4404">
        <v>0</v>
      </c>
      <c r="Y4404" t="s">
        <v>232</v>
      </c>
      <c r="AA4404" t="s">
        <v>10974</v>
      </c>
      <c r="AB4404" t="s">
        <v>10979</v>
      </c>
      <c r="AD4404" t="s">
        <v>11082</v>
      </c>
      <c r="AF4404" t="s">
        <v>11119</v>
      </c>
      <c r="AG4404" t="s">
        <v>11124</v>
      </c>
      <c r="AI4404" t="s">
        <v>11126</v>
      </c>
      <c r="AK4404" t="s">
        <v>7225</v>
      </c>
      <c r="AM4404">
        <v>1098</v>
      </c>
      <c r="AN4404" t="s">
        <v>11151</v>
      </c>
      <c r="AO4404" t="s">
        <v>11153</v>
      </c>
      <c r="AP4404" t="s">
        <v>11155</v>
      </c>
      <c r="AR4404" t="s">
        <v>11172</v>
      </c>
      <c r="AU4404">
        <v>6</v>
      </c>
      <c r="AW4404" t="s">
        <v>11187</v>
      </c>
      <c r="BA4404" t="s">
        <v>11222</v>
      </c>
      <c r="BD4404" t="s">
        <v>11667</v>
      </c>
      <c r="BF4404" t="s">
        <v>14364</v>
      </c>
      <c r="BM4404" t="s">
        <v>15650</v>
      </c>
    </row>
    <row r="4405" spans="1:65">
      <c r="A4405" s="1">
        <f>HYPERLINK("https://lsnyc.legalserver.org/matter/dynamic-profile/view/1904489","19-1904489")</f>
        <v>0</v>
      </c>
      <c r="B4405" t="s">
        <v>232</v>
      </c>
      <c r="C4405" t="s">
        <v>246</v>
      </c>
      <c r="D4405" t="s">
        <v>380</v>
      </c>
      <c r="E4405" t="s">
        <v>297</v>
      </c>
      <c r="F4405" t="s">
        <v>2066</v>
      </c>
      <c r="G4405" t="s">
        <v>4627</v>
      </c>
      <c r="H4405" t="s">
        <v>6232</v>
      </c>
      <c r="I4405" t="s">
        <v>6448</v>
      </c>
      <c r="J4405" t="s">
        <v>7170</v>
      </c>
      <c r="K4405">
        <v>10470</v>
      </c>
      <c r="L4405" t="s">
        <v>7219</v>
      </c>
      <c r="N4405" t="s">
        <v>7237</v>
      </c>
      <c r="O4405" t="s">
        <v>10017</v>
      </c>
      <c r="P4405">
        <v>2</v>
      </c>
      <c r="Q4405">
        <v>0</v>
      </c>
      <c r="R4405">
        <v>99.51000000000001</v>
      </c>
      <c r="U4405">
        <v>16826.4</v>
      </c>
      <c r="W4405">
        <v>0.25</v>
      </c>
      <c r="X4405" t="s">
        <v>297</v>
      </c>
      <c r="Y4405" t="s">
        <v>10865</v>
      </c>
      <c r="AA4405" t="s">
        <v>10974</v>
      </c>
      <c r="AD4405" t="s">
        <v>11101</v>
      </c>
      <c r="AF4405" t="s">
        <v>11118</v>
      </c>
      <c r="AH4405" t="s">
        <v>10974</v>
      </c>
      <c r="AJ4405" t="s">
        <v>11141</v>
      </c>
      <c r="AK4405" t="s">
        <v>7225</v>
      </c>
      <c r="AM4405">
        <v>806.16</v>
      </c>
      <c r="AO4405">
        <v>63</v>
      </c>
      <c r="AQ4405" t="s">
        <v>11157</v>
      </c>
      <c r="AS4405" t="s">
        <v>11173</v>
      </c>
      <c r="AU4405">
        <v>44</v>
      </c>
      <c r="AW4405" t="s">
        <v>11187</v>
      </c>
      <c r="AX4405" t="s">
        <v>11212</v>
      </c>
      <c r="BA4405" t="s">
        <v>11222</v>
      </c>
      <c r="BE4405" t="s">
        <v>14128</v>
      </c>
      <c r="BF4405" t="s">
        <v>14364</v>
      </c>
      <c r="BG4405" t="s">
        <v>15442</v>
      </c>
      <c r="BJ4405" t="s">
        <v>15615</v>
      </c>
      <c r="BM4405" t="s">
        <v>15651</v>
      </c>
    </row>
    <row r="4406" spans="1:65">
      <c r="A4406" s="1">
        <f>HYPERLINK("https://lsnyc.legalserver.org/matter/dynamic-profile/view/1859459","18-1859459")</f>
        <v>0</v>
      </c>
      <c r="B4406" t="s">
        <v>232</v>
      </c>
      <c r="C4406" t="s">
        <v>246</v>
      </c>
      <c r="D4406" t="s">
        <v>1019</v>
      </c>
      <c r="F4406" t="s">
        <v>2763</v>
      </c>
      <c r="G4406" t="s">
        <v>4624</v>
      </c>
      <c r="H4406" t="s">
        <v>6274</v>
      </c>
      <c r="I4406" t="s">
        <v>6433</v>
      </c>
      <c r="J4406" t="s">
        <v>7170</v>
      </c>
      <c r="K4406">
        <v>10453</v>
      </c>
      <c r="N4406" t="s">
        <v>7237</v>
      </c>
      <c r="O4406" t="s">
        <v>10009</v>
      </c>
      <c r="P4406">
        <v>2</v>
      </c>
      <c r="Q4406">
        <v>3</v>
      </c>
      <c r="R4406">
        <v>104.24</v>
      </c>
      <c r="U4406">
        <v>38796</v>
      </c>
      <c r="W4406">
        <v>6</v>
      </c>
      <c r="X4406" t="s">
        <v>789</v>
      </c>
      <c r="Y4406" t="s">
        <v>232</v>
      </c>
      <c r="AA4406" t="s">
        <v>10974</v>
      </c>
      <c r="AB4406" t="s">
        <v>824</v>
      </c>
      <c r="AD4406" t="s">
        <v>11083</v>
      </c>
      <c r="AF4406" t="s">
        <v>11118</v>
      </c>
      <c r="AH4406" t="s">
        <v>10975</v>
      </c>
      <c r="AJ4406" t="s">
        <v>11129</v>
      </c>
      <c r="AK4406" t="s">
        <v>7225</v>
      </c>
      <c r="AM4406">
        <v>896</v>
      </c>
      <c r="AO4406">
        <v>20</v>
      </c>
      <c r="AQ4406" t="s">
        <v>11162</v>
      </c>
      <c r="AS4406" t="s">
        <v>11180</v>
      </c>
      <c r="AU4406">
        <v>18</v>
      </c>
      <c r="AW4406" t="s">
        <v>11187</v>
      </c>
      <c r="AZ4406" t="s">
        <v>11221</v>
      </c>
      <c r="BB4406" t="s">
        <v>11224</v>
      </c>
      <c r="BC4406" t="s">
        <v>11631</v>
      </c>
      <c r="BE4406" t="s">
        <v>14122</v>
      </c>
      <c r="BG4406" t="s">
        <v>15493</v>
      </c>
      <c r="BM4406" t="s">
        <v>15650</v>
      </c>
    </row>
    <row r="4407" spans="1:65">
      <c r="A4407" s="1">
        <f>HYPERLINK("https://lsnyc.legalserver.org/matter/dynamic-profile/view/1904486","19-1904486")</f>
        <v>0</v>
      </c>
      <c r="B4407" t="s">
        <v>232</v>
      </c>
      <c r="C4407" t="s">
        <v>246</v>
      </c>
      <c r="D4407" t="s">
        <v>380</v>
      </c>
      <c r="E4407" t="s">
        <v>297</v>
      </c>
      <c r="F4407" t="s">
        <v>2333</v>
      </c>
      <c r="G4407" t="s">
        <v>4628</v>
      </c>
      <c r="H4407" t="s">
        <v>6232</v>
      </c>
      <c r="I4407" t="s">
        <v>6436</v>
      </c>
      <c r="J4407" t="s">
        <v>7170</v>
      </c>
      <c r="K4407">
        <v>10470</v>
      </c>
      <c r="L4407" t="s">
        <v>7219</v>
      </c>
      <c r="N4407" t="s">
        <v>7237</v>
      </c>
      <c r="O4407" t="s">
        <v>10018</v>
      </c>
      <c r="P4407">
        <v>1</v>
      </c>
      <c r="Q4407">
        <v>0</v>
      </c>
      <c r="R4407">
        <v>104.22</v>
      </c>
      <c r="U4407">
        <v>13017.6</v>
      </c>
      <c r="W4407">
        <v>3.75</v>
      </c>
      <c r="X4407" t="s">
        <v>297</v>
      </c>
      <c r="Y4407" t="s">
        <v>10865</v>
      </c>
      <c r="AA4407" t="s">
        <v>10974</v>
      </c>
      <c r="AD4407" t="s">
        <v>11101</v>
      </c>
      <c r="AF4407" t="s">
        <v>11118</v>
      </c>
      <c r="AH4407" t="s">
        <v>10974</v>
      </c>
      <c r="AJ4407" t="s">
        <v>11141</v>
      </c>
      <c r="AK4407" t="s">
        <v>7225</v>
      </c>
      <c r="AM4407">
        <v>1450</v>
      </c>
      <c r="AO4407">
        <v>63</v>
      </c>
      <c r="AQ4407" t="s">
        <v>11161</v>
      </c>
      <c r="AS4407" t="s">
        <v>11174</v>
      </c>
      <c r="AU4407">
        <v>16</v>
      </c>
      <c r="AW4407" t="s">
        <v>11187</v>
      </c>
      <c r="AX4407" t="s">
        <v>11212</v>
      </c>
      <c r="BA4407" t="s">
        <v>11222</v>
      </c>
      <c r="BE4407" t="s">
        <v>14129</v>
      </c>
      <c r="BF4407" t="s">
        <v>14364</v>
      </c>
      <c r="BG4407" t="s">
        <v>15442</v>
      </c>
      <c r="BJ4407" t="s">
        <v>15615</v>
      </c>
      <c r="BM4407" t="s">
        <v>15651</v>
      </c>
    </row>
    <row r="4408" spans="1:65">
      <c r="A4408" s="1">
        <f>HYPERLINK("https://lsnyc.legalserver.org/matter/dynamic-profile/view/1853335","17-1853335")</f>
        <v>0</v>
      </c>
      <c r="B4408" t="s">
        <v>232</v>
      </c>
      <c r="C4408" t="s">
        <v>246</v>
      </c>
      <c r="D4408" t="s">
        <v>713</v>
      </c>
      <c r="F4408" t="s">
        <v>2768</v>
      </c>
      <c r="G4408" t="s">
        <v>4629</v>
      </c>
      <c r="H4408" t="s">
        <v>6240</v>
      </c>
      <c r="I4408" t="s">
        <v>7126</v>
      </c>
      <c r="J4408" t="s">
        <v>7170</v>
      </c>
      <c r="K4408">
        <v>10453</v>
      </c>
      <c r="N4408" t="s">
        <v>7237</v>
      </c>
      <c r="O4408" t="s">
        <v>10019</v>
      </c>
      <c r="P4408">
        <v>2</v>
      </c>
      <c r="Q4408">
        <v>1</v>
      </c>
      <c r="R4408">
        <v>165.01</v>
      </c>
      <c r="U4408">
        <v>33696</v>
      </c>
      <c r="W4408">
        <v>10.25</v>
      </c>
      <c r="X4408" t="s">
        <v>557</v>
      </c>
      <c r="Y4408" t="s">
        <v>10864</v>
      </c>
      <c r="AA4408" t="s">
        <v>10974</v>
      </c>
      <c r="AB4408" t="s">
        <v>10992</v>
      </c>
      <c r="AD4408" t="s">
        <v>11096</v>
      </c>
      <c r="AF4408" t="s">
        <v>11122</v>
      </c>
      <c r="AH4408" t="s">
        <v>10974</v>
      </c>
      <c r="AJ4408" t="s">
        <v>11141</v>
      </c>
      <c r="AK4408" t="s">
        <v>7225</v>
      </c>
      <c r="AM4408">
        <v>836.0700000000001</v>
      </c>
      <c r="AO4408">
        <v>21</v>
      </c>
      <c r="AQ4408" t="s">
        <v>11157</v>
      </c>
      <c r="AS4408" t="s">
        <v>11173</v>
      </c>
      <c r="AT4408" t="s">
        <v>11184</v>
      </c>
      <c r="AU4408">
        <v>0</v>
      </c>
      <c r="AW4408" t="s">
        <v>11189</v>
      </c>
      <c r="AZ4408" t="s">
        <v>11221</v>
      </c>
      <c r="BE4408" t="s">
        <v>14130</v>
      </c>
      <c r="BG4408" t="s">
        <v>15451</v>
      </c>
      <c r="BM4408" t="s">
        <v>15650</v>
      </c>
    </row>
    <row r="4409" spans="1:65">
      <c r="A4409" s="1">
        <f>HYPERLINK("https://lsnyc.legalserver.org/matter/dynamic-profile/view/1856547","18-1856547")</f>
        <v>0</v>
      </c>
      <c r="B4409" t="s">
        <v>232</v>
      </c>
      <c r="C4409" t="s">
        <v>246</v>
      </c>
      <c r="D4409" t="s">
        <v>1053</v>
      </c>
      <c r="F4409" t="s">
        <v>2738</v>
      </c>
      <c r="G4409" t="s">
        <v>2886</v>
      </c>
      <c r="H4409" t="s">
        <v>6243</v>
      </c>
      <c r="I4409" t="s">
        <v>6493</v>
      </c>
      <c r="J4409" t="s">
        <v>7170</v>
      </c>
      <c r="K4409">
        <v>10453</v>
      </c>
      <c r="N4409" t="s">
        <v>7237</v>
      </c>
      <c r="O4409" t="s">
        <v>9965</v>
      </c>
      <c r="P4409">
        <v>2</v>
      </c>
      <c r="Q4409">
        <v>1</v>
      </c>
      <c r="R4409">
        <v>97.84999999999999</v>
      </c>
      <c r="U4409">
        <v>20334</v>
      </c>
      <c r="W4409">
        <v>37.2</v>
      </c>
      <c r="X4409" t="s">
        <v>420</v>
      </c>
      <c r="Y4409" t="s">
        <v>232</v>
      </c>
      <c r="AA4409" t="s">
        <v>10974</v>
      </c>
      <c r="AB4409" t="s">
        <v>825</v>
      </c>
      <c r="AD4409" t="s">
        <v>11082</v>
      </c>
      <c r="AF4409" t="s">
        <v>11118</v>
      </c>
      <c r="AH4409" t="s">
        <v>10975</v>
      </c>
      <c r="AI4409" t="s">
        <v>11126</v>
      </c>
      <c r="AK4409" t="s">
        <v>7225</v>
      </c>
      <c r="AM4409">
        <v>1086.1</v>
      </c>
      <c r="AO4409">
        <v>20</v>
      </c>
      <c r="AQ4409" t="s">
        <v>11160</v>
      </c>
      <c r="AR4409" t="s">
        <v>11172</v>
      </c>
      <c r="AU4409">
        <v>18</v>
      </c>
      <c r="AW4409" t="s">
        <v>11189</v>
      </c>
      <c r="AZ4409" t="s">
        <v>11221</v>
      </c>
      <c r="BC4409" t="s">
        <v>11632</v>
      </c>
      <c r="BE4409" t="s">
        <v>14079</v>
      </c>
      <c r="BG4409" t="s">
        <v>15494</v>
      </c>
      <c r="BM4409" t="s">
        <v>15650</v>
      </c>
    </row>
    <row r="4410" spans="1:65">
      <c r="A4410" s="1">
        <f>HYPERLINK("https://lsnyc.legalserver.org/matter/dynamic-profile/view/1905665","19-1905665")</f>
        <v>0</v>
      </c>
      <c r="B4410" t="s">
        <v>232</v>
      </c>
      <c r="C4410" t="s">
        <v>246</v>
      </c>
      <c r="D4410" t="s">
        <v>511</v>
      </c>
      <c r="F4410" t="s">
        <v>2315</v>
      </c>
      <c r="G4410" t="s">
        <v>4630</v>
      </c>
      <c r="H4410" t="s">
        <v>6279</v>
      </c>
      <c r="I4410" t="s">
        <v>6608</v>
      </c>
      <c r="J4410" t="s">
        <v>7170</v>
      </c>
      <c r="K4410">
        <v>10453</v>
      </c>
      <c r="N4410" t="s">
        <v>7237</v>
      </c>
      <c r="O4410" t="s">
        <v>10020</v>
      </c>
      <c r="P4410">
        <v>1</v>
      </c>
      <c r="Q4410">
        <v>0</v>
      </c>
      <c r="R4410">
        <v>104.08</v>
      </c>
      <c r="U4410">
        <v>13000</v>
      </c>
      <c r="W4410">
        <v>1.66</v>
      </c>
      <c r="X4410" t="s">
        <v>420</v>
      </c>
      <c r="Y4410" t="s">
        <v>10877</v>
      </c>
      <c r="Z4410" t="s">
        <v>10972</v>
      </c>
      <c r="AA4410" t="s">
        <v>10976</v>
      </c>
      <c r="AC4410" t="s">
        <v>11081</v>
      </c>
      <c r="AE4410" t="s">
        <v>11117</v>
      </c>
      <c r="AG4410" t="s">
        <v>11124</v>
      </c>
      <c r="AJ4410" t="s">
        <v>11129</v>
      </c>
      <c r="AK4410" t="s">
        <v>7225</v>
      </c>
      <c r="AM4410">
        <v>877</v>
      </c>
      <c r="AO4410">
        <v>65</v>
      </c>
      <c r="AQ4410" t="s">
        <v>11157</v>
      </c>
      <c r="AS4410" t="s">
        <v>11173</v>
      </c>
      <c r="AU4410">
        <v>5</v>
      </c>
      <c r="AW4410" t="s">
        <v>11187</v>
      </c>
      <c r="AX4410" t="s">
        <v>11212</v>
      </c>
      <c r="AZ4410" t="s">
        <v>11221</v>
      </c>
      <c r="BE4410" t="s">
        <v>14131</v>
      </c>
      <c r="BF4410" t="s">
        <v>14364</v>
      </c>
      <c r="BM4410" t="s">
        <v>15650</v>
      </c>
    </row>
    <row r="4411" spans="1:65">
      <c r="A4411" s="1">
        <f>HYPERLINK("https://lsnyc.legalserver.org/matter/dynamic-profile/view/1910526","19-1910526")</f>
        <v>0</v>
      </c>
      <c r="B4411" t="s">
        <v>232</v>
      </c>
      <c r="C4411" t="s">
        <v>246</v>
      </c>
      <c r="D4411" t="s">
        <v>561</v>
      </c>
      <c r="F4411" t="s">
        <v>2244</v>
      </c>
      <c r="G4411" t="s">
        <v>2877</v>
      </c>
      <c r="H4411" t="s">
        <v>5702</v>
      </c>
      <c r="I4411">
        <v>26</v>
      </c>
      <c r="J4411" t="s">
        <v>7170</v>
      </c>
      <c r="K4411">
        <v>10458</v>
      </c>
      <c r="N4411" t="s">
        <v>7237</v>
      </c>
      <c r="O4411" t="s">
        <v>9037</v>
      </c>
      <c r="P4411">
        <v>1</v>
      </c>
      <c r="Q4411">
        <v>0</v>
      </c>
      <c r="R4411">
        <v>99.92</v>
      </c>
      <c r="U4411">
        <v>12480</v>
      </c>
      <c r="W4411">
        <v>7.72</v>
      </c>
      <c r="X4411" t="s">
        <v>669</v>
      </c>
      <c r="Y4411" t="s">
        <v>10865</v>
      </c>
      <c r="AA4411" t="s">
        <v>10974</v>
      </c>
      <c r="AD4411" t="s">
        <v>11083</v>
      </c>
      <c r="AE4411" t="s">
        <v>11117</v>
      </c>
      <c r="AH4411" t="s">
        <v>10975</v>
      </c>
      <c r="AJ4411" t="s">
        <v>11141</v>
      </c>
      <c r="AK4411" t="s">
        <v>7225</v>
      </c>
      <c r="AM4411">
        <v>986.4</v>
      </c>
      <c r="AO4411">
        <v>30</v>
      </c>
      <c r="AQ4411" t="s">
        <v>11157</v>
      </c>
      <c r="AS4411" t="s">
        <v>11180</v>
      </c>
      <c r="AU4411">
        <v>5</v>
      </c>
      <c r="AW4411" t="s">
        <v>11189</v>
      </c>
      <c r="AX4411" t="s">
        <v>11212</v>
      </c>
      <c r="BA4411" t="s">
        <v>11222</v>
      </c>
      <c r="BB4411" t="s">
        <v>11224</v>
      </c>
      <c r="BC4411" t="s">
        <v>11450</v>
      </c>
      <c r="BE4411" t="s">
        <v>13270</v>
      </c>
      <c r="BG4411" t="s">
        <v>15495</v>
      </c>
      <c r="BM4411" t="s">
        <v>15650</v>
      </c>
    </row>
    <row r="4412" spans="1:65">
      <c r="A4412" s="1">
        <f>HYPERLINK("https://lsnyc.legalserver.org/matter/dynamic-profile/view/1883662","18-1883662")</f>
        <v>0</v>
      </c>
      <c r="B4412" t="s">
        <v>232</v>
      </c>
      <c r="C4412" t="s">
        <v>246</v>
      </c>
      <c r="D4412" t="s">
        <v>1054</v>
      </c>
      <c r="F4412" t="s">
        <v>1313</v>
      </c>
      <c r="G4412" t="s">
        <v>1762</v>
      </c>
      <c r="H4412" t="s">
        <v>5717</v>
      </c>
      <c r="I4412" t="s">
        <v>7127</v>
      </c>
      <c r="J4412" t="s">
        <v>7170</v>
      </c>
      <c r="K4412">
        <v>10452</v>
      </c>
      <c r="N4412" t="s">
        <v>7237</v>
      </c>
      <c r="O4412" t="s">
        <v>10021</v>
      </c>
      <c r="P4412">
        <v>1</v>
      </c>
      <c r="Q4412">
        <v>1</v>
      </c>
      <c r="R4412">
        <v>170.11</v>
      </c>
      <c r="U4412">
        <v>28000</v>
      </c>
      <c r="V4412" t="s">
        <v>10791</v>
      </c>
      <c r="W4412">
        <v>3.8</v>
      </c>
      <c r="X4412" t="s">
        <v>995</v>
      </c>
      <c r="Y4412" t="s">
        <v>232</v>
      </c>
      <c r="AA4412" t="s">
        <v>10974</v>
      </c>
      <c r="AB4412" t="s">
        <v>296</v>
      </c>
      <c r="AD4412" t="s">
        <v>11083</v>
      </c>
      <c r="AF4412" t="s">
        <v>11118</v>
      </c>
      <c r="AH4412" t="s">
        <v>10975</v>
      </c>
      <c r="AI4412" t="s">
        <v>11126</v>
      </c>
      <c r="AK4412" t="s">
        <v>7225</v>
      </c>
      <c r="AM4412">
        <v>850</v>
      </c>
      <c r="AN4412" t="s">
        <v>11151</v>
      </c>
      <c r="AO4412" t="s">
        <v>11153</v>
      </c>
      <c r="AQ4412" t="s">
        <v>11157</v>
      </c>
      <c r="AR4412" t="s">
        <v>11172</v>
      </c>
      <c r="AU4412">
        <v>4</v>
      </c>
      <c r="AW4412" t="s">
        <v>11189</v>
      </c>
      <c r="AY4412" t="s">
        <v>11213</v>
      </c>
      <c r="AZ4412" t="s">
        <v>11221</v>
      </c>
      <c r="BB4412" t="s">
        <v>11224</v>
      </c>
      <c r="BC4412">
        <v>13789714</v>
      </c>
      <c r="BE4412" t="s">
        <v>14132</v>
      </c>
      <c r="BG4412" t="s">
        <v>15496</v>
      </c>
      <c r="BM4412" t="s">
        <v>15650</v>
      </c>
    </row>
    <row r="4413" spans="1:65">
      <c r="A4413" s="1">
        <f>HYPERLINK("https://lsnyc.legalserver.org/matter/dynamic-profile/view/1845650","17-1845650")</f>
        <v>0</v>
      </c>
      <c r="B4413" t="s">
        <v>232</v>
      </c>
      <c r="C4413" t="s">
        <v>246</v>
      </c>
      <c r="D4413" t="s">
        <v>353</v>
      </c>
      <c r="F4413" t="s">
        <v>2769</v>
      </c>
      <c r="G4413" t="s">
        <v>4631</v>
      </c>
      <c r="H4413" t="s">
        <v>6280</v>
      </c>
      <c r="I4413" t="s">
        <v>6792</v>
      </c>
      <c r="J4413" t="s">
        <v>7170</v>
      </c>
      <c r="K4413">
        <v>10452</v>
      </c>
      <c r="N4413" t="s">
        <v>7237</v>
      </c>
      <c r="O4413" t="s">
        <v>10022</v>
      </c>
      <c r="P4413">
        <v>2</v>
      </c>
      <c r="Q4413">
        <v>0</v>
      </c>
      <c r="R4413">
        <v>246.31</v>
      </c>
      <c r="S4413" t="s">
        <v>10255</v>
      </c>
      <c r="U4413">
        <v>40000</v>
      </c>
      <c r="V4413" t="s">
        <v>10792</v>
      </c>
      <c r="W4413">
        <v>53.53</v>
      </c>
      <c r="X4413" t="s">
        <v>658</v>
      </c>
      <c r="Y4413" t="s">
        <v>10897</v>
      </c>
      <c r="AA4413" t="s">
        <v>10974</v>
      </c>
      <c r="AB4413" t="s">
        <v>10992</v>
      </c>
      <c r="AD4413" t="s">
        <v>11083</v>
      </c>
      <c r="AF4413" t="s">
        <v>11118</v>
      </c>
      <c r="AH4413" t="s">
        <v>10975</v>
      </c>
      <c r="AJ4413" t="s">
        <v>11141</v>
      </c>
      <c r="AK4413" t="s">
        <v>7225</v>
      </c>
      <c r="AM4413">
        <v>775</v>
      </c>
      <c r="AO4413">
        <v>49</v>
      </c>
      <c r="AQ4413" t="s">
        <v>11157</v>
      </c>
      <c r="AS4413" t="s">
        <v>11173</v>
      </c>
      <c r="AU4413">
        <v>4</v>
      </c>
      <c r="AW4413" t="s">
        <v>11187</v>
      </c>
      <c r="AZ4413" t="s">
        <v>11221</v>
      </c>
      <c r="BE4413" t="s">
        <v>14133</v>
      </c>
      <c r="BG4413" t="s">
        <v>15497</v>
      </c>
      <c r="BM4413" t="s">
        <v>15650</v>
      </c>
    </row>
    <row r="4414" spans="1:65">
      <c r="A4414" s="1">
        <f>HYPERLINK("https://lsnyc.legalserver.org/matter/dynamic-profile/view/1861144","18-1861144")</f>
        <v>0</v>
      </c>
      <c r="B4414" t="s">
        <v>232</v>
      </c>
      <c r="C4414" t="s">
        <v>246</v>
      </c>
      <c r="D4414" t="s">
        <v>414</v>
      </c>
      <c r="F4414" t="s">
        <v>1187</v>
      </c>
      <c r="G4414" t="s">
        <v>4632</v>
      </c>
      <c r="H4414" t="s">
        <v>6281</v>
      </c>
      <c r="I4414" t="s">
        <v>6410</v>
      </c>
      <c r="J4414" t="s">
        <v>7170</v>
      </c>
      <c r="K4414">
        <v>10453</v>
      </c>
      <c r="N4414" t="s">
        <v>7237</v>
      </c>
      <c r="O4414" t="s">
        <v>10023</v>
      </c>
      <c r="P4414">
        <v>2</v>
      </c>
      <c r="Q4414">
        <v>0</v>
      </c>
      <c r="R4414">
        <v>256.18</v>
      </c>
      <c r="S4414" t="s">
        <v>10255</v>
      </c>
      <c r="U4414">
        <v>42168</v>
      </c>
      <c r="V4414" t="s">
        <v>10785</v>
      </c>
      <c r="W4414">
        <v>10.75</v>
      </c>
      <c r="X4414" t="s">
        <v>683</v>
      </c>
      <c r="Y4414" t="s">
        <v>10919</v>
      </c>
      <c r="AA4414" t="s">
        <v>10974</v>
      </c>
      <c r="AB4414" t="s">
        <v>419</v>
      </c>
      <c r="AD4414" t="s">
        <v>11082</v>
      </c>
      <c r="AF4414" t="s">
        <v>11118</v>
      </c>
      <c r="AG4414" t="s">
        <v>11124</v>
      </c>
      <c r="AI4414" t="s">
        <v>11126</v>
      </c>
      <c r="AK4414" t="s">
        <v>7225</v>
      </c>
      <c r="AM4414">
        <v>892</v>
      </c>
      <c r="AO4414">
        <v>27</v>
      </c>
      <c r="AQ4414" t="s">
        <v>11157</v>
      </c>
      <c r="AR4414" t="s">
        <v>11172</v>
      </c>
      <c r="AU4414">
        <v>44</v>
      </c>
      <c r="AW4414" t="s">
        <v>11189</v>
      </c>
      <c r="AZ4414" t="s">
        <v>11221</v>
      </c>
      <c r="BE4414" t="s">
        <v>14134</v>
      </c>
      <c r="BG4414" t="s">
        <v>15498</v>
      </c>
      <c r="BM4414" t="s">
        <v>15650</v>
      </c>
    </row>
    <row r="4415" spans="1:65">
      <c r="A4415" s="1">
        <f>HYPERLINK("https://lsnyc.legalserver.org/matter/dynamic-profile/view/1884240","18-1884240")</f>
        <v>0</v>
      </c>
      <c r="B4415" t="s">
        <v>232</v>
      </c>
      <c r="C4415" t="s">
        <v>246</v>
      </c>
      <c r="D4415" t="s">
        <v>795</v>
      </c>
      <c r="F4415" t="s">
        <v>2770</v>
      </c>
      <c r="G4415" t="s">
        <v>4633</v>
      </c>
      <c r="H4415" t="s">
        <v>6282</v>
      </c>
      <c r="I4415" t="s">
        <v>6421</v>
      </c>
      <c r="J4415" t="s">
        <v>7170</v>
      </c>
      <c r="K4415">
        <v>10456</v>
      </c>
      <c r="N4415" t="s">
        <v>7237</v>
      </c>
      <c r="O4415" t="s">
        <v>10024</v>
      </c>
      <c r="P4415">
        <v>2</v>
      </c>
      <c r="Q4415">
        <v>1</v>
      </c>
      <c r="R4415">
        <v>100.09</v>
      </c>
      <c r="U4415">
        <v>20798.4</v>
      </c>
      <c r="V4415" t="s">
        <v>10767</v>
      </c>
      <c r="W4415">
        <v>9.300000000000001</v>
      </c>
      <c r="X4415" t="s">
        <v>267</v>
      </c>
      <c r="Y4415" t="s">
        <v>10866</v>
      </c>
      <c r="AA4415" t="s">
        <v>10974</v>
      </c>
      <c r="AB4415" t="s">
        <v>795</v>
      </c>
      <c r="AD4415" t="s">
        <v>11082</v>
      </c>
      <c r="AF4415" t="s">
        <v>11118</v>
      </c>
      <c r="AG4415" t="s">
        <v>11124</v>
      </c>
      <c r="AJ4415" t="s">
        <v>11138</v>
      </c>
      <c r="AK4415" t="s">
        <v>7225</v>
      </c>
      <c r="AM4415">
        <v>1358</v>
      </c>
      <c r="AN4415" t="s">
        <v>11151</v>
      </c>
      <c r="AO4415" t="s">
        <v>11153</v>
      </c>
      <c r="AQ4415" t="s">
        <v>11156</v>
      </c>
      <c r="AS4415" t="s">
        <v>11173</v>
      </c>
      <c r="AU4415">
        <v>8</v>
      </c>
      <c r="AW4415" t="s">
        <v>11187</v>
      </c>
      <c r="AY4415" t="s">
        <v>11218</v>
      </c>
      <c r="AZ4415" t="s">
        <v>11221</v>
      </c>
      <c r="BE4415" t="s">
        <v>14135</v>
      </c>
      <c r="BG4415" t="s">
        <v>15499</v>
      </c>
      <c r="BM4415" t="s">
        <v>15650</v>
      </c>
    </row>
    <row r="4416" spans="1:65">
      <c r="A4416" s="1">
        <f>HYPERLINK("https://lsnyc.legalserver.org/matter/dynamic-profile/view/1866694","18-1866694")</f>
        <v>0</v>
      </c>
      <c r="B4416" t="s">
        <v>233</v>
      </c>
      <c r="C4416" t="s">
        <v>245</v>
      </c>
      <c r="D4416" t="s">
        <v>387</v>
      </c>
      <c r="F4416" t="s">
        <v>1266</v>
      </c>
      <c r="G4416" t="s">
        <v>4192</v>
      </c>
      <c r="H4416" t="s">
        <v>5883</v>
      </c>
      <c r="I4416" t="s">
        <v>6410</v>
      </c>
      <c r="J4416" t="s">
        <v>7169</v>
      </c>
      <c r="K4416">
        <v>10034</v>
      </c>
      <c r="N4416" t="s">
        <v>7237</v>
      </c>
      <c r="O4416" t="s">
        <v>9294</v>
      </c>
      <c r="P4416">
        <v>1</v>
      </c>
      <c r="Q4416">
        <v>0</v>
      </c>
      <c r="R4416">
        <v>77.3</v>
      </c>
      <c r="U4416">
        <v>9384</v>
      </c>
      <c r="W4416">
        <v>1.6</v>
      </c>
      <c r="X4416" t="s">
        <v>446</v>
      </c>
      <c r="Y4416" t="s">
        <v>10921</v>
      </c>
      <c r="Z4416" t="s">
        <v>10972</v>
      </c>
      <c r="AA4416" t="s">
        <v>10976</v>
      </c>
      <c r="AB4416" t="s">
        <v>387</v>
      </c>
      <c r="AD4416" t="s">
        <v>11082</v>
      </c>
      <c r="AF4416" t="s">
        <v>11119</v>
      </c>
      <c r="AH4416" t="s">
        <v>10974</v>
      </c>
      <c r="AJ4416" t="s">
        <v>11144</v>
      </c>
      <c r="AK4416" t="s">
        <v>7225</v>
      </c>
      <c r="AM4416">
        <v>1093</v>
      </c>
      <c r="AO4416">
        <v>36</v>
      </c>
      <c r="AQ4416" t="s">
        <v>11157</v>
      </c>
      <c r="AS4416" t="s">
        <v>11173</v>
      </c>
      <c r="AU4416">
        <v>18</v>
      </c>
      <c r="AW4416" t="s">
        <v>11187</v>
      </c>
      <c r="AY4416" t="s">
        <v>11213</v>
      </c>
      <c r="AZ4416" t="s">
        <v>11221</v>
      </c>
      <c r="BC4416" t="s">
        <v>11633</v>
      </c>
      <c r="BE4416" t="s">
        <v>13517</v>
      </c>
      <c r="BG4416" t="s">
        <v>15183</v>
      </c>
      <c r="BM4416" t="s">
        <v>15650</v>
      </c>
    </row>
    <row r="4417" spans="1:65">
      <c r="A4417" s="1">
        <f>HYPERLINK("https://lsnyc.legalserver.org/matter/dynamic-profile/view/0795319","16-0795319")</f>
        <v>0</v>
      </c>
      <c r="B4417" t="s">
        <v>233</v>
      </c>
      <c r="C4417" t="s">
        <v>245</v>
      </c>
      <c r="D4417" t="s">
        <v>1055</v>
      </c>
      <c r="F4417" t="s">
        <v>2771</v>
      </c>
      <c r="G4417" t="s">
        <v>4634</v>
      </c>
      <c r="H4417" t="s">
        <v>6283</v>
      </c>
      <c r="I4417" t="s">
        <v>6480</v>
      </c>
      <c r="J4417" t="s">
        <v>7169</v>
      </c>
      <c r="K4417">
        <v>10025</v>
      </c>
      <c r="M4417" t="s">
        <v>7224</v>
      </c>
      <c r="N4417" t="s">
        <v>7237</v>
      </c>
      <c r="O4417" t="s">
        <v>10025</v>
      </c>
      <c r="P4417">
        <v>1</v>
      </c>
      <c r="Q4417">
        <v>0</v>
      </c>
      <c r="R4417">
        <v>169.92</v>
      </c>
      <c r="U4417">
        <v>20000</v>
      </c>
      <c r="W4417">
        <v>133.05</v>
      </c>
      <c r="X4417" t="s">
        <v>624</v>
      </c>
      <c r="Y4417" t="s">
        <v>233</v>
      </c>
      <c r="AA4417" t="s">
        <v>10974</v>
      </c>
      <c r="AB4417" t="s">
        <v>895</v>
      </c>
      <c r="AC4417" t="s">
        <v>11081</v>
      </c>
      <c r="AF4417" t="s">
        <v>11118</v>
      </c>
      <c r="AG4417" t="s">
        <v>11124</v>
      </c>
      <c r="AI4417" t="s">
        <v>11126</v>
      </c>
      <c r="AK4417" t="s">
        <v>7225</v>
      </c>
      <c r="AL4417" t="s">
        <v>11150</v>
      </c>
      <c r="AM4417">
        <v>0</v>
      </c>
      <c r="AN4417" t="s">
        <v>11151</v>
      </c>
      <c r="AO4417" t="s">
        <v>11153</v>
      </c>
      <c r="AP4417" t="s">
        <v>11155</v>
      </c>
      <c r="AR4417" t="s">
        <v>11172</v>
      </c>
      <c r="AT4417" t="s">
        <v>11184</v>
      </c>
      <c r="AU4417">
        <v>0</v>
      </c>
      <c r="AW4417" t="s">
        <v>11187</v>
      </c>
      <c r="AZ4417" t="s">
        <v>11221</v>
      </c>
      <c r="BD4417" t="s">
        <v>11667</v>
      </c>
      <c r="BF4417" t="s">
        <v>14364</v>
      </c>
      <c r="BM4417" t="s">
        <v>15650</v>
      </c>
    </row>
    <row r="4418" spans="1:65">
      <c r="A4418" s="1">
        <f>HYPERLINK("https://lsnyc.legalserver.org/matter/dynamic-profile/view/1871476","18-1871476")</f>
        <v>0</v>
      </c>
      <c r="B4418" t="s">
        <v>233</v>
      </c>
      <c r="C4418" t="s">
        <v>245</v>
      </c>
      <c r="D4418" t="s">
        <v>1056</v>
      </c>
      <c r="F4418" t="s">
        <v>1183</v>
      </c>
      <c r="G4418" t="s">
        <v>3337</v>
      </c>
      <c r="H4418" t="s">
        <v>6284</v>
      </c>
      <c r="I4418">
        <v>10037</v>
      </c>
      <c r="J4418" t="s">
        <v>7169</v>
      </c>
      <c r="K4418">
        <v>10037</v>
      </c>
      <c r="N4418" t="s">
        <v>7237</v>
      </c>
      <c r="O4418" t="s">
        <v>10026</v>
      </c>
      <c r="P4418">
        <v>3</v>
      </c>
      <c r="Q4418">
        <v>0</v>
      </c>
      <c r="R4418">
        <v>48.66</v>
      </c>
      <c r="U4418">
        <v>9936</v>
      </c>
      <c r="W4418">
        <v>31.3</v>
      </c>
      <c r="X4418" t="s">
        <v>265</v>
      </c>
      <c r="Y4418" t="s">
        <v>233</v>
      </c>
      <c r="Z4418" t="s">
        <v>10972</v>
      </c>
      <c r="AA4418" t="s">
        <v>10976</v>
      </c>
      <c r="AC4418" t="s">
        <v>11081</v>
      </c>
      <c r="AF4418" t="s">
        <v>11118</v>
      </c>
      <c r="AG4418" t="s">
        <v>11124</v>
      </c>
      <c r="AI4418" t="s">
        <v>11126</v>
      </c>
      <c r="AK4418" t="s">
        <v>7225</v>
      </c>
      <c r="AL4418" t="s">
        <v>11150</v>
      </c>
      <c r="AM4418">
        <v>0</v>
      </c>
      <c r="AN4418" t="s">
        <v>11151</v>
      </c>
      <c r="AO4418" t="s">
        <v>11153</v>
      </c>
      <c r="AP4418" t="s">
        <v>11155</v>
      </c>
      <c r="AR4418" t="s">
        <v>11172</v>
      </c>
      <c r="AT4418" t="s">
        <v>11184</v>
      </c>
      <c r="AU4418">
        <v>0</v>
      </c>
      <c r="AW4418" t="s">
        <v>11187</v>
      </c>
      <c r="AX4418" t="s">
        <v>11212</v>
      </c>
      <c r="AZ4418" t="s">
        <v>11221</v>
      </c>
      <c r="BE4418" t="s">
        <v>14136</v>
      </c>
      <c r="BF4418" t="s">
        <v>14364</v>
      </c>
      <c r="BM4418" t="s">
        <v>15650</v>
      </c>
    </row>
    <row r="4419" spans="1:65">
      <c r="A4419" s="1">
        <f>HYPERLINK("https://lsnyc.legalserver.org/matter/dynamic-profile/view/1910361","19-1910361")</f>
        <v>0</v>
      </c>
      <c r="B4419" t="s">
        <v>233</v>
      </c>
      <c r="C4419" t="s">
        <v>245</v>
      </c>
      <c r="D4419" t="s">
        <v>263</v>
      </c>
      <c r="F4419" t="s">
        <v>1136</v>
      </c>
      <c r="G4419" t="s">
        <v>3204</v>
      </c>
      <c r="H4419" t="s">
        <v>6285</v>
      </c>
      <c r="I4419" t="s">
        <v>6507</v>
      </c>
      <c r="J4419" t="s">
        <v>7180</v>
      </c>
      <c r="K4419">
        <v>10002</v>
      </c>
      <c r="N4419" t="s">
        <v>7237</v>
      </c>
      <c r="O4419" t="s">
        <v>10027</v>
      </c>
      <c r="P4419">
        <v>1</v>
      </c>
      <c r="Q4419">
        <v>0</v>
      </c>
      <c r="R4419">
        <v>74.08</v>
      </c>
      <c r="U4419">
        <v>9252</v>
      </c>
      <c r="W4419">
        <v>0</v>
      </c>
      <c r="Y4419" t="s">
        <v>10885</v>
      </c>
      <c r="AA4419" t="s">
        <v>10974</v>
      </c>
      <c r="AB4419" t="s">
        <v>263</v>
      </c>
      <c r="AD4419" t="s">
        <v>11086</v>
      </c>
      <c r="AF4419" t="s">
        <v>11121</v>
      </c>
      <c r="AH4419" t="s">
        <v>10975</v>
      </c>
      <c r="AJ4419" t="s">
        <v>11134</v>
      </c>
      <c r="AK4419" t="s">
        <v>7225</v>
      </c>
      <c r="AM4419">
        <v>250</v>
      </c>
      <c r="AO4419">
        <v>200</v>
      </c>
      <c r="AQ4419" t="s">
        <v>11164</v>
      </c>
      <c r="AS4419" t="s">
        <v>11174</v>
      </c>
      <c r="AU4419">
        <v>41</v>
      </c>
      <c r="AW4419" t="s">
        <v>11187</v>
      </c>
      <c r="BA4419" t="s">
        <v>11222</v>
      </c>
      <c r="BE4419" t="s">
        <v>14137</v>
      </c>
      <c r="BF4419" t="s">
        <v>14364</v>
      </c>
      <c r="BM4419" t="s">
        <v>15650</v>
      </c>
    </row>
    <row r="4420" spans="1:65">
      <c r="A4420" s="1">
        <f>HYPERLINK("https://lsnyc.legalserver.org/matter/dynamic-profile/view/1858470","18-1858470")</f>
        <v>0</v>
      </c>
      <c r="B4420" t="s">
        <v>233</v>
      </c>
      <c r="C4420" t="s">
        <v>245</v>
      </c>
      <c r="D4420" t="s">
        <v>842</v>
      </c>
      <c r="F4420" t="s">
        <v>2772</v>
      </c>
      <c r="G4420" t="s">
        <v>2902</v>
      </c>
      <c r="H4420" t="s">
        <v>5501</v>
      </c>
      <c r="I4420">
        <v>32</v>
      </c>
      <c r="J4420" t="s">
        <v>7169</v>
      </c>
      <c r="K4420">
        <v>10034</v>
      </c>
      <c r="N4420" t="s">
        <v>7237</v>
      </c>
      <c r="O4420" t="s">
        <v>8946</v>
      </c>
      <c r="P4420">
        <v>1</v>
      </c>
      <c r="Q4420">
        <v>0</v>
      </c>
      <c r="R4420">
        <v>85.67</v>
      </c>
      <c r="U4420">
        <v>10400</v>
      </c>
      <c r="W4420">
        <v>0</v>
      </c>
      <c r="Y4420" t="s">
        <v>127</v>
      </c>
      <c r="AA4420" t="s">
        <v>10974</v>
      </c>
      <c r="AB4420" t="s">
        <v>842</v>
      </c>
      <c r="AC4420" t="s">
        <v>11081</v>
      </c>
      <c r="AF4420" t="s">
        <v>11121</v>
      </c>
      <c r="AH4420" t="s">
        <v>10975</v>
      </c>
      <c r="AJ4420" t="s">
        <v>11129</v>
      </c>
      <c r="AK4420" t="s">
        <v>7225</v>
      </c>
      <c r="AM4420">
        <v>1189</v>
      </c>
      <c r="AO4420">
        <v>42</v>
      </c>
      <c r="AQ4420" t="s">
        <v>11157</v>
      </c>
      <c r="AS4420" t="s">
        <v>11173</v>
      </c>
      <c r="AU4420">
        <v>40</v>
      </c>
      <c r="AW4420" t="s">
        <v>11189</v>
      </c>
      <c r="AZ4420" t="s">
        <v>11221</v>
      </c>
      <c r="BE4420" t="s">
        <v>14138</v>
      </c>
      <c r="BF4420" t="s">
        <v>14364</v>
      </c>
      <c r="BM4420" t="s">
        <v>15650</v>
      </c>
    </row>
    <row r="4421" spans="1:65">
      <c r="A4421" s="1">
        <f>HYPERLINK("https://lsnyc.legalserver.org/matter/dynamic-profile/view/1867544","18-1867544")</f>
        <v>0</v>
      </c>
      <c r="B4421" t="s">
        <v>233</v>
      </c>
      <c r="C4421" t="s">
        <v>245</v>
      </c>
      <c r="D4421" t="s">
        <v>683</v>
      </c>
      <c r="E4421" t="s">
        <v>449</v>
      </c>
      <c r="F4421" t="s">
        <v>1531</v>
      </c>
      <c r="G4421" t="s">
        <v>4180</v>
      </c>
      <c r="H4421" t="s">
        <v>5411</v>
      </c>
      <c r="I4421" t="s">
        <v>6412</v>
      </c>
      <c r="J4421" t="s">
        <v>7169</v>
      </c>
      <c r="K4421">
        <v>10034</v>
      </c>
      <c r="L4421" t="s">
        <v>7216</v>
      </c>
      <c r="N4421" t="s">
        <v>7237</v>
      </c>
      <c r="O4421" t="s">
        <v>10028</v>
      </c>
      <c r="P4421">
        <v>1</v>
      </c>
      <c r="Q4421">
        <v>0</v>
      </c>
      <c r="R4421">
        <v>115.32</v>
      </c>
      <c r="U4421">
        <v>14000</v>
      </c>
      <c r="W4421">
        <v>1</v>
      </c>
      <c r="X4421" t="s">
        <v>683</v>
      </c>
      <c r="Y4421" t="s">
        <v>10875</v>
      </c>
      <c r="AA4421" t="s">
        <v>10974</v>
      </c>
      <c r="AB4421" t="s">
        <v>937</v>
      </c>
      <c r="AD4421" t="s">
        <v>11082</v>
      </c>
      <c r="AF4421" t="s">
        <v>11121</v>
      </c>
      <c r="AG4421" t="s">
        <v>11124</v>
      </c>
      <c r="AJ4421" t="s">
        <v>11137</v>
      </c>
      <c r="AK4421" t="s">
        <v>7225</v>
      </c>
      <c r="AM4421">
        <v>1320</v>
      </c>
      <c r="AO4421">
        <v>60</v>
      </c>
      <c r="AQ4421" t="s">
        <v>11157</v>
      </c>
      <c r="AS4421" t="s">
        <v>11173</v>
      </c>
      <c r="AU4421">
        <v>1</v>
      </c>
      <c r="AW4421" t="s">
        <v>11189</v>
      </c>
      <c r="AZ4421" t="s">
        <v>11221</v>
      </c>
      <c r="BE4421" t="s">
        <v>14139</v>
      </c>
      <c r="BG4421" t="s">
        <v>15500</v>
      </c>
      <c r="BM4421" t="s">
        <v>15651</v>
      </c>
    </row>
    <row r="4422" spans="1:65">
      <c r="A4422" s="1">
        <f>HYPERLINK("https://lsnyc.legalserver.org/matter/dynamic-profile/view/0832237","17-0832237")</f>
        <v>0</v>
      </c>
      <c r="B4422" t="s">
        <v>233</v>
      </c>
      <c r="C4422" t="s">
        <v>245</v>
      </c>
      <c r="D4422" t="s">
        <v>1057</v>
      </c>
      <c r="F4422" t="s">
        <v>1122</v>
      </c>
      <c r="G4422" t="s">
        <v>3009</v>
      </c>
      <c r="H4422" t="s">
        <v>6286</v>
      </c>
      <c r="I4422">
        <v>1</v>
      </c>
      <c r="J4422" t="s">
        <v>7169</v>
      </c>
      <c r="K4422">
        <v>10032</v>
      </c>
      <c r="M4422" t="s">
        <v>7224</v>
      </c>
      <c r="N4422" t="s">
        <v>7237</v>
      </c>
      <c r="O4422" t="s">
        <v>10029</v>
      </c>
      <c r="P4422">
        <v>3</v>
      </c>
      <c r="Q4422">
        <v>0</v>
      </c>
      <c r="R4422">
        <v>300.49</v>
      </c>
      <c r="S4422" t="s">
        <v>10255</v>
      </c>
      <c r="U4422">
        <v>61360</v>
      </c>
      <c r="W4422">
        <v>11.1</v>
      </c>
      <c r="X4422" t="s">
        <v>518</v>
      </c>
      <c r="Y4422" t="s">
        <v>10858</v>
      </c>
      <c r="AA4422" t="s">
        <v>10974</v>
      </c>
      <c r="AB4422" t="s">
        <v>849</v>
      </c>
      <c r="AD4422" t="s">
        <v>11083</v>
      </c>
      <c r="AF4422" t="s">
        <v>11118</v>
      </c>
      <c r="AG4422" t="s">
        <v>11124</v>
      </c>
      <c r="AJ4422" t="s">
        <v>11130</v>
      </c>
      <c r="AK4422" t="s">
        <v>7225</v>
      </c>
      <c r="AL4422" t="s">
        <v>11150</v>
      </c>
      <c r="AM4422">
        <v>0</v>
      </c>
      <c r="AN4422" t="s">
        <v>11151</v>
      </c>
      <c r="AO4422" t="s">
        <v>11153</v>
      </c>
      <c r="AP4422" t="s">
        <v>11155</v>
      </c>
      <c r="AR4422" t="s">
        <v>11172</v>
      </c>
      <c r="AU4422">
        <v>5</v>
      </c>
      <c r="AW4422" t="s">
        <v>11187</v>
      </c>
      <c r="AZ4422" t="s">
        <v>11221</v>
      </c>
      <c r="BE4422" t="s">
        <v>14140</v>
      </c>
      <c r="BF4422" t="s">
        <v>14364</v>
      </c>
      <c r="BM4422" t="s">
        <v>15650</v>
      </c>
    </row>
    <row r="4423" spans="1:65">
      <c r="A4423" s="1">
        <f>HYPERLINK("https://lsnyc.legalserver.org/matter/dynamic-profile/view/1892749","19-1892749")</f>
        <v>0</v>
      </c>
      <c r="B4423" t="s">
        <v>233</v>
      </c>
      <c r="C4423" t="s">
        <v>245</v>
      </c>
      <c r="D4423" t="s">
        <v>729</v>
      </c>
      <c r="F4423" t="s">
        <v>2665</v>
      </c>
      <c r="G4423" t="s">
        <v>4635</v>
      </c>
      <c r="H4423" t="s">
        <v>6287</v>
      </c>
      <c r="I4423">
        <v>6</v>
      </c>
      <c r="J4423" t="s">
        <v>7169</v>
      </c>
      <c r="K4423">
        <v>10031</v>
      </c>
      <c r="N4423" t="s">
        <v>7237</v>
      </c>
      <c r="O4423" t="s">
        <v>10030</v>
      </c>
      <c r="P4423">
        <v>3</v>
      </c>
      <c r="Q4423">
        <v>2</v>
      </c>
      <c r="R4423">
        <v>111.13</v>
      </c>
      <c r="U4423">
        <v>33528</v>
      </c>
      <c r="W4423">
        <v>3.3</v>
      </c>
      <c r="X4423" t="s">
        <v>664</v>
      </c>
      <c r="Y4423" t="s">
        <v>10891</v>
      </c>
      <c r="Z4423" t="s">
        <v>10972</v>
      </c>
      <c r="AA4423" t="s">
        <v>10976</v>
      </c>
      <c r="AC4423" t="s">
        <v>11081</v>
      </c>
      <c r="AF4423" t="s">
        <v>11118</v>
      </c>
      <c r="AH4423" t="s">
        <v>10974</v>
      </c>
      <c r="AI4423" t="s">
        <v>11126</v>
      </c>
      <c r="AK4423" t="s">
        <v>7225</v>
      </c>
      <c r="AM4423">
        <v>1400</v>
      </c>
      <c r="AN4423" t="s">
        <v>11151</v>
      </c>
      <c r="AO4423" t="s">
        <v>11153</v>
      </c>
      <c r="AP4423" t="s">
        <v>11155</v>
      </c>
      <c r="AS4423" t="s">
        <v>11174</v>
      </c>
      <c r="AU4423">
        <v>15</v>
      </c>
      <c r="AV4423" t="s">
        <v>11186</v>
      </c>
      <c r="AY4423" t="s">
        <v>11213</v>
      </c>
      <c r="AZ4423" t="s">
        <v>11221</v>
      </c>
      <c r="BE4423" t="s">
        <v>14141</v>
      </c>
      <c r="BF4423" t="s">
        <v>14364</v>
      </c>
      <c r="BM4423" t="s">
        <v>15650</v>
      </c>
    </row>
    <row r="4424" spans="1:65">
      <c r="A4424" s="1">
        <f>HYPERLINK("https://lsnyc.legalserver.org/matter/dynamic-profile/view/1860080","18-1860080")</f>
        <v>0</v>
      </c>
      <c r="B4424" t="s">
        <v>233</v>
      </c>
      <c r="C4424" t="s">
        <v>245</v>
      </c>
      <c r="D4424" t="s">
        <v>1051</v>
      </c>
      <c r="E4424" t="s">
        <v>449</v>
      </c>
      <c r="F4424" t="s">
        <v>2773</v>
      </c>
      <c r="G4424" t="s">
        <v>1541</v>
      </c>
      <c r="H4424" t="s">
        <v>6288</v>
      </c>
      <c r="I4424" t="s">
        <v>6423</v>
      </c>
      <c r="J4424" t="s">
        <v>7169</v>
      </c>
      <c r="K4424">
        <v>10034</v>
      </c>
      <c r="L4424" t="s">
        <v>7216</v>
      </c>
      <c r="N4424" t="s">
        <v>7241</v>
      </c>
      <c r="O4424" t="s">
        <v>10031</v>
      </c>
      <c r="P4424">
        <v>1</v>
      </c>
      <c r="Q4424">
        <v>0</v>
      </c>
      <c r="R4424">
        <v>149.25</v>
      </c>
      <c r="U4424">
        <v>18000</v>
      </c>
      <c r="W4424">
        <v>0.5</v>
      </c>
      <c r="X4424" t="s">
        <v>1051</v>
      </c>
      <c r="Y4424" t="s">
        <v>10882</v>
      </c>
      <c r="Z4424" t="s">
        <v>10972</v>
      </c>
      <c r="AA4424" t="s">
        <v>10976</v>
      </c>
      <c r="AD4424" t="s">
        <v>11086</v>
      </c>
      <c r="AF4424" t="s">
        <v>11121</v>
      </c>
      <c r="AH4424" t="s">
        <v>10975</v>
      </c>
      <c r="AI4424" t="s">
        <v>11126</v>
      </c>
      <c r="AK4424" t="s">
        <v>7225</v>
      </c>
      <c r="AM4424">
        <v>560</v>
      </c>
      <c r="AO4424">
        <v>25</v>
      </c>
      <c r="AQ4424" t="s">
        <v>11164</v>
      </c>
      <c r="AS4424" t="s">
        <v>11173</v>
      </c>
      <c r="AU4424">
        <v>3</v>
      </c>
      <c r="AW4424" t="s">
        <v>11187</v>
      </c>
      <c r="AX4424" t="s">
        <v>11212</v>
      </c>
      <c r="AZ4424" t="s">
        <v>11221</v>
      </c>
      <c r="BE4424" t="s">
        <v>14142</v>
      </c>
      <c r="BF4424" t="s">
        <v>14364</v>
      </c>
      <c r="BM4424" t="s">
        <v>15651</v>
      </c>
    </row>
    <row r="4425" spans="1:65">
      <c r="A4425" s="1">
        <f>HYPERLINK("https://lsnyc.legalserver.org/matter/dynamic-profile/view/1910375","19-1910375")</f>
        <v>0</v>
      </c>
      <c r="B4425" t="s">
        <v>233</v>
      </c>
      <c r="C4425" t="s">
        <v>245</v>
      </c>
      <c r="D4425" t="s">
        <v>443</v>
      </c>
      <c r="F4425" t="s">
        <v>2774</v>
      </c>
      <c r="G4425" t="s">
        <v>4636</v>
      </c>
      <c r="H4425" t="s">
        <v>6289</v>
      </c>
      <c r="J4425" t="s">
        <v>7169</v>
      </c>
      <c r="K4425">
        <v>10065</v>
      </c>
      <c r="N4425" t="s">
        <v>7237</v>
      </c>
      <c r="O4425" t="s">
        <v>10032</v>
      </c>
      <c r="P4425">
        <v>1</v>
      </c>
      <c r="Q4425">
        <v>0</v>
      </c>
      <c r="R4425">
        <v>0</v>
      </c>
      <c r="U4425">
        <v>0</v>
      </c>
      <c r="W4425">
        <v>0</v>
      </c>
      <c r="Y4425" t="s">
        <v>10862</v>
      </c>
      <c r="AA4425" t="s">
        <v>10974</v>
      </c>
      <c r="AD4425" t="s">
        <v>11086</v>
      </c>
      <c r="AF4425" t="s">
        <v>11121</v>
      </c>
      <c r="AG4425" t="s">
        <v>11124</v>
      </c>
      <c r="AJ4425" t="s">
        <v>11134</v>
      </c>
      <c r="AK4425" t="s">
        <v>7225</v>
      </c>
      <c r="AM4425">
        <v>3500</v>
      </c>
      <c r="AN4425" t="s">
        <v>11151</v>
      </c>
      <c r="AO4425" t="s">
        <v>11153</v>
      </c>
      <c r="AQ4425" t="s">
        <v>11168</v>
      </c>
      <c r="AS4425" t="s">
        <v>11173</v>
      </c>
      <c r="AU4425">
        <v>9</v>
      </c>
      <c r="AW4425" t="s">
        <v>11187</v>
      </c>
      <c r="AX4425" t="s">
        <v>11212</v>
      </c>
      <c r="AZ4425" t="s">
        <v>11221</v>
      </c>
      <c r="BA4425" t="s">
        <v>11173</v>
      </c>
      <c r="BD4425" t="s">
        <v>11667</v>
      </c>
      <c r="BF4425" t="s">
        <v>14364</v>
      </c>
      <c r="BM4425" t="s">
        <v>15650</v>
      </c>
    </row>
    <row r="4426" spans="1:65">
      <c r="A4426" s="1">
        <f>HYPERLINK("https://lsnyc.legalserver.org/matter/dynamic-profile/view/1875000","18-1875000")</f>
        <v>0</v>
      </c>
      <c r="B4426" t="s">
        <v>234</v>
      </c>
      <c r="C4426" t="s">
        <v>248</v>
      </c>
      <c r="D4426" t="s">
        <v>1058</v>
      </c>
      <c r="F4426" t="s">
        <v>1294</v>
      </c>
      <c r="G4426" t="s">
        <v>4637</v>
      </c>
      <c r="H4426" t="s">
        <v>6290</v>
      </c>
      <c r="I4426" t="s">
        <v>7128</v>
      </c>
      <c r="J4426" t="s">
        <v>7174</v>
      </c>
      <c r="K4426">
        <v>11214</v>
      </c>
      <c r="N4426" t="s">
        <v>7237</v>
      </c>
      <c r="O4426" t="s">
        <v>10033</v>
      </c>
      <c r="P4426">
        <v>2</v>
      </c>
      <c r="Q4426">
        <v>0</v>
      </c>
      <c r="R4426">
        <v>124.67</v>
      </c>
      <c r="U4426">
        <v>20520</v>
      </c>
      <c r="W4426">
        <v>61.95</v>
      </c>
      <c r="X4426" t="s">
        <v>548</v>
      </c>
      <c r="Y4426" t="s">
        <v>10954</v>
      </c>
      <c r="Z4426" t="s">
        <v>10972</v>
      </c>
      <c r="AA4426" t="s">
        <v>10976</v>
      </c>
      <c r="AD4426" t="s">
        <v>11083</v>
      </c>
      <c r="AF4426" t="s">
        <v>11118</v>
      </c>
      <c r="AH4426" t="s">
        <v>10975</v>
      </c>
      <c r="AI4426" t="s">
        <v>11126</v>
      </c>
      <c r="AK4426" t="s">
        <v>7225</v>
      </c>
      <c r="AM4426">
        <v>600</v>
      </c>
      <c r="AN4426" t="s">
        <v>11151</v>
      </c>
      <c r="AO4426" t="s">
        <v>11153</v>
      </c>
      <c r="AQ4426" t="s">
        <v>11168</v>
      </c>
      <c r="AS4426" t="s">
        <v>11173</v>
      </c>
      <c r="AU4426">
        <v>4</v>
      </c>
      <c r="AV4426" t="s">
        <v>11186</v>
      </c>
      <c r="AX4426" t="s">
        <v>11212</v>
      </c>
      <c r="AZ4426" t="s">
        <v>11221</v>
      </c>
      <c r="BD4426" t="s">
        <v>11667</v>
      </c>
      <c r="BF4426" t="s">
        <v>14364</v>
      </c>
      <c r="BM4426" t="s">
        <v>15650</v>
      </c>
    </row>
    <row r="4427" spans="1:65">
      <c r="A4427" s="1">
        <f>HYPERLINK("https://lsnyc.legalserver.org/matter/dynamic-profile/view/1894094","19-1894094")</f>
        <v>0</v>
      </c>
      <c r="B4427" t="s">
        <v>235</v>
      </c>
      <c r="C4427" t="s">
        <v>246</v>
      </c>
      <c r="D4427" t="s">
        <v>505</v>
      </c>
      <c r="F4427" t="s">
        <v>2775</v>
      </c>
      <c r="G4427" t="s">
        <v>2877</v>
      </c>
      <c r="H4427" t="s">
        <v>5700</v>
      </c>
      <c r="I4427" t="s">
        <v>6410</v>
      </c>
      <c r="J4427" t="s">
        <v>7170</v>
      </c>
      <c r="K4427">
        <v>10453</v>
      </c>
      <c r="N4427" t="s">
        <v>7237</v>
      </c>
      <c r="O4427" t="s">
        <v>10034</v>
      </c>
      <c r="P4427">
        <v>2</v>
      </c>
      <c r="Q4427">
        <v>0</v>
      </c>
      <c r="R4427">
        <v>118.27</v>
      </c>
      <c r="U4427">
        <v>20000</v>
      </c>
      <c r="W4427">
        <v>0</v>
      </c>
      <c r="Y4427" t="s">
        <v>10897</v>
      </c>
      <c r="AA4427" t="s">
        <v>10974</v>
      </c>
      <c r="AB4427" t="s">
        <v>370</v>
      </c>
      <c r="AD4427" t="s">
        <v>11101</v>
      </c>
      <c r="AF4427" t="s">
        <v>11118</v>
      </c>
      <c r="AH4427" t="s">
        <v>10974</v>
      </c>
      <c r="AJ4427" t="s">
        <v>11141</v>
      </c>
      <c r="AK4427" t="s">
        <v>7225</v>
      </c>
      <c r="AM4427">
        <v>692.88</v>
      </c>
      <c r="AO4427">
        <v>49</v>
      </c>
      <c r="AQ4427" t="s">
        <v>11157</v>
      </c>
      <c r="AS4427" t="s">
        <v>11173</v>
      </c>
      <c r="AU4427">
        <v>21</v>
      </c>
      <c r="AW4427" t="s">
        <v>11187</v>
      </c>
      <c r="AZ4427" t="s">
        <v>11221</v>
      </c>
      <c r="BD4427" t="s">
        <v>11667</v>
      </c>
      <c r="BG4427" t="s">
        <v>15052</v>
      </c>
      <c r="BM4427" t="s">
        <v>15650</v>
      </c>
    </row>
    <row r="4428" spans="1:65">
      <c r="A4428" s="1">
        <f>HYPERLINK("https://lsnyc.legalserver.org/matter/dynamic-profile/view/1905037","19-1905037")</f>
        <v>0</v>
      </c>
      <c r="B4428" t="s">
        <v>235</v>
      </c>
      <c r="C4428" t="s">
        <v>246</v>
      </c>
      <c r="D4428" t="s">
        <v>332</v>
      </c>
      <c r="F4428" t="s">
        <v>1722</v>
      </c>
      <c r="G4428" t="s">
        <v>3504</v>
      </c>
      <c r="H4428" t="s">
        <v>6291</v>
      </c>
      <c r="I4428" t="s">
        <v>7129</v>
      </c>
      <c r="J4428" t="s">
        <v>7170</v>
      </c>
      <c r="K4428">
        <v>10457</v>
      </c>
      <c r="N4428" t="s">
        <v>7237</v>
      </c>
      <c r="O4428" t="s">
        <v>10035</v>
      </c>
      <c r="P4428">
        <v>1</v>
      </c>
      <c r="Q4428">
        <v>3</v>
      </c>
      <c r="R4428">
        <v>131.26</v>
      </c>
      <c r="U4428">
        <v>33800</v>
      </c>
      <c r="W4428">
        <v>4.45</v>
      </c>
      <c r="X4428" t="s">
        <v>305</v>
      </c>
      <c r="Y4428" t="s">
        <v>10884</v>
      </c>
      <c r="AA4428" t="s">
        <v>10974</v>
      </c>
      <c r="AB4428" t="s">
        <v>305</v>
      </c>
      <c r="AD4428" t="s">
        <v>11086</v>
      </c>
      <c r="AF4428" t="s">
        <v>10384</v>
      </c>
      <c r="AH4428" t="s">
        <v>10975</v>
      </c>
      <c r="AJ4428" t="s">
        <v>11104</v>
      </c>
      <c r="AK4428" t="s">
        <v>7225</v>
      </c>
      <c r="AM4428">
        <v>1680</v>
      </c>
      <c r="AO4428">
        <v>100</v>
      </c>
      <c r="AQ4428" t="s">
        <v>11164</v>
      </c>
      <c r="AS4428" t="s">
        <v>11104</v>
      </c>
      <c r="AU4428">
        <v>16</v>
      </c>
      <c r="AW4428" t="s">
        <v>11187</v>
      </c>
      <c r="BA4428" t="s">
        <v>11222</v>
      </c>
      <c r="BE4428" t="s">
        <v>14143</v>
      </c>
      <c r="BF4428" t="s">
        <v>14364</v>
      </c>
      <c r="BM4428" t="s">
        <v>15650</v>
      </c>
    </row>
    <row r="4429" spans="1:65">
      <c r="A4429" s="1">
        <f>HYPERLINK("https://lsnyc.legalserver.org/matter/dynamic-profile/view/1894073","19-1894073")</f>
        <v>0</v>
      </c>
      <c r="B4429" t="s">
        <v>235</v>
      </c>
      <c r="C4429" t="s">
        <v>246</v>
      </c>
      <c r="D4429" t="s">
        <v>405</v>
      </c>
      <c r="F4429" t="s">
        <v>1238</v>
      </c>
      <c r="G4429" t="s">
        <v>2962</v>
      </c>
      <c r="H4429" t="s">
        <v>5700</v>
      </c>
      <c r="I4429" t="s">
        <v>6437</v>
      </c>
      <c r="J4429" t="s">
        <v>7170</v>
      </c>
      <c r="K4429">
        <v>10453</v>
      </c>
      <c r="N4429" t="s">
        <v>7237</v>
      </c>
      <c r="O4429" t="s">
        <v>9041</v>
      </c>
      <c r="P4429">
        <v>1</v>
      </c>
      <c r="Q4429">
        <v>0</v>
      </c>
      <c r="R4429">
        <v>95.19</v>
      </c>
      <c r="U4429">
        <v>11556</v>
      </c>
      <c r="W4429">
        <v>0</v>
      </c>
      <c r="Y4429" t="s">
        <v>216</v>
      </c>
      <c r="AA4429" t="s">
        <v>10974</v>
      </c>
      <c r="AB4429" t="s">
        <v>370</v>
      </c>
      <c r="AD4429" t="s">
        <v>11098</v>
      </c>
      <c r="AF4429" t="s">
        <v>11122</v>
      </c>
      <c r="AH4429" t="s">
        <v>10974</v>
      </c>
      <c r="AJ4429" t="s">
        <v>11141</v>
      </c>
      <c r="AK4429" t="s">
        <v>7225</v>
      </c>
      <c r="AL4429" t="s">
        <v>11150</v>
      </c>
      <c r="AM4429">
        <v>0</v>
      </c>
      <c r="AO4429">
        <v>44</v>
      </c>
      <c r="AQ4429" t="s">
        <v>11157</v>
      </c>
      <c r="AS4429" t="s">
        <v>11104</v>
      </c>
      <c r="AU4429">
        <v>13</v>
      </c>
      <c r="AW4429" t="s">
        <v>11187</v>
      </c>
      <c r="AZ4429" t="s">
        <v>11221</v>
      </c>
      <c r="BE4429" t="s">
        <v>13276</v>
      </c>
      <c r="BF4429" t="s">
        <v>14364</v>
      </c>
      <c r="BM4429" t="s">
        <v>15650</v>
      </c>
    </row>
    <row r="4430" spans="1:65">
      <c r="A4430" s="1">
        <f>HYPERLINK("https://lsnyc.legalserver.org/matter/dynamic-profile/view/1907516","19-1907516")</f>
        <v>0</v>
      </c>
      <c r="B4430" t="s">
        <v>235</v>
      </c>
      <c r="C4430" t="s">
        <v>246</v>
      </c>
      <c r="D4430" t="s">
        <v>362</v>
      </c>
      <c r="F4430" t="s">
        <v>2776</v>
      </c>
      <c r="G4430" t="s">
        <v>2334</v>
      </c>
      <c r="H4430" t="s">
        <v>6292</v>
      </c>
      <c r="I4430" t="s">
        <v>6437</v>
      </c>
      <c r="J4430" t="s">
        <v>7170</v>
      </c>
      <c r="K4430">
        <v>10456</v>
      </c>
      <c r="M4430" t="s">
        <v>7225</v>
      </c>
      <c r="N4430" t="s">
        <v>7237</v>
      </c>
      <c r="O4430" t="s">
        <v>10036</v>
      </c>
      <c r="P4430">
        <v>1</v>
      </c>
      <c r="Q4430">
        <v>0</v>
      </c>
      <c r="R4430">
        <v>0</v>
      </c>
      <c r="U4430">
        <v>0</v>
      </c>
      <c r="W4430">
        <v>1.65</v>
      </c>
      <c r="X4430" t="s">
        <v>735</v>
      </c>
      <c r="Y4430" t="s">
        <v>235</v>
      </c>
      <c r="AA4430" t="s">
        <v>10974</v>
      </c>
      <c r="AD4430" t="s">
        <v>11101</v>
      </c>
      <c r="AF4430" t="s">
        <v>11119</v>
      </c>
      <c r="AH4430" t="s">
        <v>10974</v>
      </c>
      <c r="AJ4430" t="s">
        <v>11141</v>
      </c>
      <c r="AK4430" t="s">
        <v>7225</v>
      </c>
      <c r="AM4430">
        <v>255</v>
      </c>
      <c r="AO4430">
        <v>65</v>
      </c>
      <c r="AQ4430" t="s">
        <v>11157</v>
      </c>
      <c r="AR4430" t="s">
        <v>11172</v>
      </c>
      <c r="AU4430">
        <v>6</v>
      </c>
      <c r="AV4430" t="s">
        <v>11186</v>
      </c>
      <c r="AX4430" t="s">
        <v>11212</v>
      </c>
      <c r="BA4430" t="s">
        <v>11222</v>
      </c>
      <c r="BE4430" t="s">
        <v>14144</v>
      </c>
      <c r="BF4430" t="s">
        <v>14364</v>
      </c>
      <c r="BM4430" t="s">
        <v>15650</v>
      </c>
    </row>
    <row r="4431" spans="1:65">
      <c r="A4431" s="1">
        <f>HYPERLINK("https://lsnyc.legalserver.org/matter/dynamic-profile/view/0823697","17-0823697")</f>
        <v>0</v>
      </c>
      <c r="B4431" t="s">
        <v>235</v>
      </c>
      <c r="C4431" t="s">
        <v>246</v>
      </c>
      <c r="D4431" t="s">
        <v>998</v>
      </c>
      <c r="F4431" t="s">
        <v>1090</v>
      </c>
      <c r="G4431" t="s">
        <v>1412</v>
      </c>
      <c r="H4431" t="s">
        <v>6243</v>
      </c>
      <c r="I4431" t="s">
        <v>7130</v>
      </c>
      <c r="J4431" t="s">
        <v>7170</v>
      </c>
      <c r="K4431">
        <v>10453</v>
      </c>
      <c r="N4431" t="s">
        <v>7237</v>
      </c>
      <c r="O4431" t="s">
        <v>10037</v>
      </c>
      <c r="P4431">
        <v>2</v>
      </c>
      <c r="Q4431">
        <v>0</v>
      </c>
      <c r="R4431">
        <v>172.16</v>
      </c>
      <c r="U4431">
        <v>27580</v>
      </c>
      <c r="W4431">
        <v>43.85</v>
      </c>
      <c r="X4431" t="s">
        <v>406</v>
      </c>
      <c r="Y4431" t="s">
        <v>10888</v>
      </c>
      <c r="AA4431" t="s">
        <v>10974</v>
      </c>
      <c r="AB4431" t="s">
        <v>870</v>
      </c>
      <c r="AD4431" t="s">
        <v>11083</v>
      </c>
      <c r="AF4431" t="s">
        <v>11118</v>
      </c>
      <c r="AH4431" t="s">
        <v>10975</v>
      </c>
      <c r="AJ4431" t="s">
        <v>11136</v>
      </c>
      <c r="AK4431" t="s">
        <v>7225</v>
      </c>
      <c r="AM4431">
        <v>222.4</v>
      </c>
      <c r="AO4431">
        <v>16</v>
      </c>
      <c r="AQ4431" t="s">
        <v>11160</v>
      </c>
      <c r="AS4431" t="s">
        <v>11173</v>
      </c>
      <c r="AU4431">
        <v>48</v>
      </c>
      <c r="AW4431" t="s">
        <v>11187</v>
      </c>
      <c r="AZ4431" t="s">
        <v>11221</v>
      </c>
      <c r="BC4431" t="s">
        <v>11634</v>
      </c>
      <c r="BE4431" t="s">
        <v>14145</v>
      </c>
      <c r="BG4431" t="s">
        <v>15501</v>
      </c>
      <c r="BM4431" t="s">
        <v>15650</v>
      </c>
    </row>
    <row r="4432" spans="1:65">
      <c r="A4432" s="1">
        <f>HYPERLINK("https://lsnyc.legalserver.org/matter/dynamic-profile/view/1907525","19-1907525")</f>
        <v>0</v>
      </c>
      <c r="B4432" t="s">
        <v>235</v>
      </c>
      <c r="C4432" t="s">
        <v>246</v>
      </c>
      <c r="D4432" t="s">
        <v>362</v>
      </c>
      <c r="F4432" t="s">
        <v>2777</v>
      </c>
      <c r="G4432" t="s">
        <v>4638</v>
      </c>
      <c r="H4432" t="s">
        <v>6293</v>
      </c>
      <c r="I4432">
        <v>29</v>
      </c>
      <c r="J4432" t="s">
        <v>7170</v>
      </c>
      <c r="K4432">
        <v>10456</v>
      </c>
      <c r="N4432" t="s">
        <v>7237</v>
      </c>
      <c r="O4432" t="s">
        <v>10038</v>
      </c>
      <c r="P4432">
        <v>2</v>
      </c>
      <c r="Q4432">
        <v>0</v>
      </c>
      <c r="R4432">
        <v>0</v>
      </c>
      <c r="U4432">
        <v>0</v>
      </c>
      <c r="W4432">
        <v>0</v>
      </c>
      <c r="Y4432" t="s">
        <v>235</v>
      </c>
      <c r="Z4432" t="s">
        <v>10972</v>
      </c>
      <c r="AA4432" t="s">
        <v>10976</v>
      </c>
      <c r="AC4432" t="s">
        <v>11081</v>
      </c>
      <c r="AF4432" t="s">
        <v>11119</v>
      </c>
      <c r="AH4432" t="s">
        <v>10974</v>
      </c>
      <c r="AJ4432" t="s">
        <v>11134</v>
      </c>
      <c r="AK4432" t="s">
        <v>7225</v>
      </c>
      <c r="AM4432">
        <v>50</v>
      </c>
      <c r="AO4432">
        <v>54</v>
      </c>
      <c r="AQ4432" t="s">
        <v>11157</v>
      </c>
      <c r="AR4432" t="s">
        <v>11172</v>
      </c>
      <c r="AT4432" t="s">
        <v>11184</v>
      </c>
      <c r="AU4432">
        <v>0</v>
      </c>
      <c r="AW4432" t="s">
        <v>11187</v>
      </c>
      <c r="AX4432" t="s">
        <v>11212</v>
      </c>
      <c r="AZ4432" t="s">
        <v>11221</v>
      </c>
      <c r="BE4432" t="s">
        <v>14146</v>
      </c>
      <c r="BF4432" t="s">
        <v>14364</v>
      </c>
      <c r="BM4432" t="s">
        <v>15650</v>
      </c>
    </row>
    <row r="4433" spans="1:65">
      <c r="A4433" s="1">
        <f>HYPERLINK("https://lsnyc.legalserver.org/matter/dynamic-profile/view/1907493","19-1907493")</f>
        <v>0</v>
      </c>
      <c r="B4433" t="s">
        <v>235</v>
      </c>
      <c r="C4433" t="s">
        <v>246</v>
      </c>
      <c r="D4433" t="s">
        <v>362</v>
      </c>
      <c r="F4433" t="s">
        <v>1892</v>
      </c>
      <c r="G4433" t="s">
        <v>3690</v>
      </c>
      <c r="H4433" t="s">
        <v>5374</v>
      </c>
      <c r="I4433" t="s">
        <v>6751</v>
      </c>
      <c r="J4433" t="s">
        <v>7170</v>
      </c>
      <c r="K4433">
        <v>10452</v>
      </c>
      <c r="N4433" t="s">
        <v>7237</v>
      </c>
      <c r="O4433" t="s">
        <v>8387</v>
      </c>
      <c r="P4433">
        <v>2</v>
      </c>
      <c r="Q4433">
        <v>3</v>
      </c>
      <c r="R4433">
        <v>66.29000000000001</v>
      </c>
      <c r="U4433">
        <v>20000</v>
      </c>
      <c r="W4433">
        <v>0</v>
      </c>
      <c r="Y4433" t="s">
        <v>235</v>
      </c>
      <c r="Z4433" t="s">
        <v>10972</v>
      </c>
      <c r="AA4433" t="s">
        <v>10976</v>
      </c>
      <c r="AD4433" t="s">
        <v>11086</v>
      </c>
      <c r="AF4433" t="s">
        <v>11119</v>
      </c>
      <c r="AH4433" t="s">
        <v>10974</v>
      </c>
      <c r="AJ4433" t="s">
        <v>11129</v>
      </c>
      <c r="AK4433" t="s">
        <v>7225</v>
      </c>
      <c r="AM4433">
        <v>1400</v>
      </c>
      <c r="AN4433" t="s">
        <v>11151</v>
      </c>
      <c r="AO4433" t="s">
        <v>11153</v>
      </c>
      <c r="AQ4433" t="s">
        <v>11157</v>
      </c>
      <c r="AS4433" t="s">
        <v>11176</v>
      </c>
      <c r="AU4433">
        <v>5</v>
      </c>
      <c r="AW4433" t="s">
        <v>11187</v>
      </c>
      <c r="AY4433" t="s">
        <v>11213</v>
      </c>
      <c r="AZ4433" t="s">
        <v>11221</v>
      </c>
      <c r="BE4433" t="s">
        <v>14147</v>
      </c>
      <c r="BF4433" t="s">
        <v>14364</v>
      </c>
      <c r="BM4433" t="s">
        <v>15650</v>
      </c>
    </row>
    <row r="4434" spans="1:65">
      <c r="A4434" s="1">
        <f>HYPERLINK("https://lsnyc.legalserver.org/matter/dynamic-profile/view/1886582","18-1886582")</f>
        <v>0</v>
      </c>
      <c r="B4434" t="s">
        <v>235</v>
      </c>
      <c r="C4434" t="s">
        <v>246</v>
      </c>
      <c r="D4434" t="s">
        <v>300</v>
      </c>
      <c r="F4434" t="s">
        <v>2778</v>
      </c>
      <c r="G4434" t="s">
        <v>1279</v>
      </c>
      <c r="H4434" t="s">
        <v>6294</v>
      </c>
      <c r="I4434" t="s">
        <v>6417</v>
      </c>
      <c r="J4434" t="s">
        <v>7170</v>
      </c>
      <c r="K4434">
        <v>10458</v>
      </c>
      <c r="N4434" t="s">
        <v>7237</v>
      </c>
      <c r="O4434" t="s">
        <v>10039</v>
      </c>
      <c r="P4434">
        <v>1</v>
      </c>
      <c r="Q4434">
        <v>1</v>
      </c>
      <c r="R4434">
        <v>0</v>
      </c>
      <c r="U4434">
        <v>0</v>
      </c>
      <c r="W4434">
        <v>73.2</v>
      </c>
      <c r="X4434" t="s">
        <v>327</v>
      </c>
      <c r="Y4434" t="s">
        <v>10866</v>
      </c>
      <c r="AA4434" t="s">
        <v>10974</v>
      </c>
      <c r="AB4434" t="s">
        <v>300</v>
      </c>
      <c r="AD4434" t="s">
        <v>11082</v>
      </c>
      <c r="AF4434" t="s">
        <v>11118</v>
      </c>
      <c r="AG4434" t="s">
        <v>11124</v>
      </c>
      <c r="AJ4434" t="s">
        <v>11135</v>
      </c>
      <c r="AK4434" t="s">
        <v>7225</v>
      </c>
      <c r="AM4434">
        <v>972</v>
      </c>
      <c r="AN4434" t="s">
        <v>11151</v>
      </c>
      <c r="AO4434" t="s">
        <v>11153</v>
      </c>
      <c r="AQ4434" t="s">
        <v>11157</v>
      </c>
      <c r="AS4434" t="s">
        <v>11180</v>
      </c>
      <c r="AU4434">
        <v>30</v>
      </c>
      <c r="AW4434" t="s">
        <v>11187</v>
      </c>
      <c r="AY4434" t="s">
        <v>11213</v>
      </c>
      <c r="AZ4434" t="s">
        <v>11221</v>
      </c>
      <c r="BE4434" t="s">
        <v>14148</v>
      </c>
      <c r="BG4434" t="s">
        <v>15502</v>
      </c>
      <c r="BM4434" t="s">
        <v>15650</v>
      </c>
    </row>
    <row r="4435" spans="1:65">
      <c r="A4435" s="1">
        <f>HYPERLINK("https://lsnyc.legalserver.org/matter/dynamic-profile/view/1914621","19-1914621")</f>
        <v>0</v>
      </c>
      <c r="B4435" t="s">
        <v>235</v>
      </c>
      <c r="C4435" t="s">
        <v>246</v>
      </c>
      <c r="D4435" t="s">
        <v>297</v>
      </c>
      <c r="F4435" t="s">
        <v>2779</v>
      </c>
      <c r="G4435" t="s">
        <v>2911</v>
      </c>
      <c r="H4435" t="s">
        <v>6295</v>
      </c>
      <c r="I4435" t="s">
        <v>7131</v>
      </c>
      <c r="J4435" t="s">
        <v>7170</v>
      </c>
      <c r="K4435">
        <v>10459</v>
      </c>
      <c r="N4435" t="s">
        <v>7237</v>
      </c>
      <c r="O4435" t="s">
        <v>10040</v>
      </c>
      <c r="P4435">
        <v>1</v>
      </c>
      <c r="Q4435">
        <v>2</v>
      </c>
      <c r="R4435">
        <v>44.56</v>
      </c>
      <c r="U4435">
        <v>9504</v>
      </c>
      <c r="W4435">
        <v>1.8</v>
      </c>
      <c r="X4435" t="s">
        <v>264</v>
      </c>
      <c r="Y4435" t="s">
        <v>10911</v>
      </c>
      <c r="AA4435" t="s">
        <v>10974</v>
      </c>
      <c r="AD4435" t="s">
        <v>11086</v>
      </c>
      <c r="AF4435" t="s">
        <v>11119</v>
      </c>
      <c r="AH4435" t="s">
        <v>10975</v>
      </c>
      <c r="AI4435" t="s">
        <v>11126</v>
      </c>
      <c r="AK4435" t="s">
        <v>7225</v>
      </c>
      <c r="AM4435">
        <v>1798.8</v>
      </c>
      <c r="AN4435" t="s">
        <v>11151</v>
      </c>
      <c r="AO4435" t="s">
        <v>11153</v>
      </c>
      <c r="AQ4435" t="s">
        <v>11157</v>
      </c>
      <c r="AS4435" t="s">
        <v>11176</v>
      </c>
      <c r="AU4435">
        <v>3</v>
      </c>
      <c r="AW4435" t="s">
        <v>11187</v>
      </c>
      <c r="AX4435" t="s">
        <v>11212</v>
      </c>
      <c r="BA4435" t="s">
        <v>11222</v>
      </c>
      <c r="BC4435" t="s">
        <v>11635</v>
      </c>
      <c r="BE4435" t="s">
        <v>14149</v>
      </c>
      <c r="BF4435" t="s">
        <v>14364</v>
      </c>
      <c r="BM4435" t="s">
        <v>15650</v>
      </c>
    </row>
    <row r="4436" spans="1:65">
      <c r="A4436" s="1">
        <f>HYPERLINK("https://lsnyc.legalserver.org/matter/dynamic-profile/view/1873550","18-1873550")</f>
        <v>0</v>
      </c>
      <c r="B4436" t="s">
        <v>235</v>
      </c>
      <c r="C4436" t="s">
        <v>246</v>
      </c>
      <c r="D4436" t="s">
        <v>991</v>
      </c>
      <c r="F4436" t="s">
        <v>2780</v>
      </c>
      <c r="G4436" t="s">
        <v>4085</v>
      </c>
      <c r="H4436" t="s">
        <v>6296</v>
      </c>
      <c r="I4436" t="s">
        <v>6595</v>
      </c>
      <c r="J4436" t="s">
        <v>7170</v>
      </c>
      <c r="K4436">
        <v>10457</v>
      </c>
      <c r="N4436" t="s">
        <v>7237</v>
      </c>
      <c r="O4436" t="s">
        <v>10041</v>
      </c>
      <c r="P4436">
        <v>3</v>
      </c>
      <c r="Q4436">
        <v>2</v>
      </c>
      <c r="R4436">
        <v>171.64</v>
      </c>
      <c r="U4436">
        <v>50496</v>
      </c>
      <c r="W4436">
        <v>120.45</v>
      </c>
      <c r="X4436" t="s">
        <v>669</v>
      </c>
      <c r="Y4436" t="s">
        <v>10969</v>
      </c>
      <c r="AA4436" t="s">
        <v>10974</v>
      </c>
      <c r="AB4436" t="s">
        <v>11076</v>
      </c>
      <c r="AD4436" t="s">
        <v>11082</v>
      </c>
      <c r="AF4436" t="s">
        <v>11118</v>
      </c>
      <c r="AH4436" t="s">
        <v>10975</v>
      </c>
      <c r="AJ4436" t="s">
        <v>11136</v>
      </c>
      <c r="AK4436" t="s">
        <v>7225</v>
      </c>
      <c r="AM4436">
        <v>1840</v>
      </c>
      <c r="AO4436">
        <v>120</v>
      </c>
      <c r="AQ4436" t="s">
        <v>11163</v>
      </c>
      <c r="AS4436" t="s">
        <v>11173</v>
      </c>
      <c r="AU4436">
        <v>2</v>
      </c>
      <c r="AW4436" t="s">
        <v>11187</v>
      </c>
      <c r="AY4436" t="s">
        <v>11213</v>
      </c>
      <c r="AZ4436" t="s">
        <v>11221</v>
      </c>
      <c r="BC4436" t="s">
        <v>11636</v>
      </c>
      <c r="BE4436" t="s">
        <v>14150</v>
      </c>
      <c r="BG4436" t="s">
        <v>15503</v>
      </c>
      <c r="BM4436" t="s">
        <v>15650</v>
      </c>
    </row>
    <row r="4437" spans="1:65">
      <c r="A4437" s="1">
        <f>HYPERLINK("https://lsnyc.legalserver.org/matter/dynamic-profile/view/1894071","19-1894071")</f>
        <v>0</v>
      </c>
      <c r="B4437" t="s">
        <v>235</v>
      </c>
      <c r="C4437" t="s">
        <v>246</v>
      </c>
      <c r="D4437" t="s">
        <v>405</v>
      </c>
      <c r="F4437" t="s">
        <v>1238</v>
      </c>
      <c r="G4437" t="s">
        <v>2962</v>
      </c>
      <c r="H4437" t="s">
        <v>5700</v>
      </c>
      <c r="I4437" t="s">
        <v>6437</v>
      </c>
      <c r="J4437" t="s">
        <v>7170</v>
      </c>
      <c r="K4437">
        <v>10453</v>
      </c>
      <c r="N4437" t="s">
        <v>7237</v>
      </c>
      <c r="O4437" t="s">
        <v>9041</v>
      </c>
      <c r="P4437">
        <v>1</v>
      </c>
      <c r="Q4437">
        <v>0</v>
      </c>
      <c r="R4437">
        <v>95.19</v>
      </c>
      <c r="U4437">
        <v>11556</v>
      </c>
      <c r="W4437">
        <v>0</v>
      </c>
      <c r="Y4437" t="s">
        <v>216</v>
      </c>
      <c r="AA4437" t="s">
        <v>10974</v>
      </c>
      <c r="AB4437" t="s">
        <v>370</v>
      </c>
      <c r="AD4437" t="s">
        <v>11101</v>
      </c>
      <c r="AF4437" t="s">
        <v>11118</v>
      </c>
      <c r="AH4437" t="s">
        <v>10974</v>
      </c>
      <c r="AJ4437" t="s">
        <v>11141</v>
      </c>
      <c r="AK4437" t="s">
        <v>7225</v>
      </c>
      <c r="AL4437" t="s">
        <v>11150</v>
      </c>
      <c r="AM4437">
        <v>0</v>
      </c>
      <c r="AO4437">
        <v>44</v>
      </c>
      <c r="AQ4437" t="s">
        <v>11157</v>
      </c>
      <c r="AS4437" t="s">
        <v>11104</v>
      </c>
      <c r="AU4437">
        <v>13</v>
      </c>
      <c r="AW4437" t="s">
        <v>11187</v>
      </c>
      <c r="AZ4437" t="s">
        <v>11221</v>
      </c>
      <c r="BE4437" t="s">
        <v>13276</v>
      </c>
      <c r="BG4437" t="s">
        <v>15052</v>
      </c>
      <c r="BM4437" t="s">
        <v>15650</v>
      </c>
    </row>
    <row r="4438" spans="1:65">
      <c r="A4438" s="1">
        <f>HYPERLINK("https://lsnyc.legalserver.org/matter/dynamic-profile/view/1910745","19-1910745")</f>
        <v>0</v>
      </c>
      <c r="B4438" t="s">
        <v>235</v>
      </c>
      <c r="C4438" t="s">
        <v>246</v>
      </c>
      <c r="D4438" t="s">
        <v>327</v>
      </c>
      <c r="F4438" t="s">
        <v>1635</v>
      </c>
      <c r="G4438" t="s">
        <v>3104</v>
      </c>
      <c r="H4438" t="s">
        <v>6297</v>
      </c>
      <c r="J4438" t="s">
        <v>7170</v>
      </c>
      <c r="K4438">
        <v>10459</v>
      </c>
      <c r="N4438" t="s">
        <v>7237</v>
      </c>
      <c r="O4438" t="s">
        <v>10042</v>
      </c>
      <c r="P4438">
        <v>1</v>
      </c>
      <c r="Q4438">
        <v>3</v>
      </c>
      <c r="R4438">
        <v>41.94</v>
      </c>
      <c r="U4438">
        <v>10800</v>
      </c>
      <c r="W4438">
        <v>4.4</v>
      </c>
      <c r="X4438" t="s">
        <v>599</v>
      </c>
      <c r="Y4438" t="s">
        <v>10888</v>
      </c>
      <c r="Z4438" t="s">
        <v>10972</v>
      </c>
      <c r="AA4438" t="s">
        <v>10976</v>
      </c>
      <c r="AD4438" t="s">
        <v>11083</v>
      </c>
      <c r="AE4438" t="s">
        <v>11117</v>
      </c>
      <c r="AH4438" t="s">
        <v>10975</v>
      </c>
      <c r="AI4438" t="s">
        <v>11126</v>
      </c>
      <c r="AK4438" t="s">
        <v>7225</v>
      </c>
      <c r="AM4438">
        <v>1650</v>
      </c>
      <c r="AN4438" t="s">
        <v>11151</v>
      </c>
      <c r="AO4438" t="s">
        <v>11153</v>
      </c>
      <c r="AQ4438" t="s">
        <v>11164</v>
      </c>
      <c r="AS4438" t="s">
        <v>11173</v>
      </c>
      <c r="AU4438">
        <v>12</v>
      </c>
      <c r="AW4438" t="s">
        <v>11187</v>
      </c>
      <c r="AX4438" t="s">
        <v>11212</v>
      </c>
      <c r="BA4438" t="s">
        <v>11223</v>
      </c>
      <c r="BC4438" t="s">
        <v>11637</v>
      </c>
      <c r="BE4438" t="s">
        <v>14151</v>
      </c>
      <c r="BG4438" t="s">
        <v>15504</v>
      </c>
      <c r="BM4438" t="s">
        <v>15650</v>
      </c>
    </row>
    <row r="4439" spans="1:65">
      <c r="A4439" s="1">
        <f>HYPERLINK("https://lsnyc.legalserver.org/matter/dynamic-profile/view/1914289","19-1914289")</f>
        <v>0</v>
      </c>
      <c r="B4439" t="s">
        <v>235</v>
      </c>
      <c r="C4439" t="s">
        <v>246</v>
      </c>
      <c r="D4439" t="s">
        <v>266</v>
      </c>
      <c r="F4439" t="s">
        <v>2781</v>
      </c>
      <c r="G4439" t="s">
        <v>2988</v>
      </c>
      <c r="H4439" t="s">
        <v>6298</v>
      </c>
      <c r="I4439" t="s">
        <v>6433</v>
      </c>
      <c r="J4439" t="s">
        <v>7170</v>
      </c>
      <c r="K4439">
        <v>10457</v>
      </c>
      <c r="M4439" t="s">
        <v>7225</v>
      </c>
      <c r="N4439" t="s">
        <v>7237</v>
      </c>
      <c r="O4439" t="s">
        <v>9706</v>
      </c>
      <c r="P4439">
        <v>1</v>
      </c>
      <c r="Q4439">
        <v>1</v>
      </c>
      <c r="R4439">
        <v>138.38</v>
      </c>
      <c r="U4439">
        <v>23400</v>
      </c>
      <c r="W4439">
        <v>1.26</v>
      </c>
      <c r="X4439" t="s">
        <v>264</v>
      </c>
      <c r="Y4439" t="s">
        <v>10914</v>
      </c>
      <c r="AA4439" t="s">
        <v>10974</v>
      </c>
      <c r="AD4439" t="s">
        <v>11086</v>
      </c>
      <c r="AF4439" t="s">
        <v>11119</v>
      </c>
      <c r="AH4439" t="s">
        <v>10975</v>
      </c>
      <c r="AJ4439" t="s">
        <v>11129</v>
      </c>
      <c r="AK4439" t="s">
        <v>7225</v>
      </c>
      <c r="AM4439">
        <v>1380.73</v>
      </c>
      <c r="AO4439">
        <v>5</v>
      </c>
      <c r="AQ4439" t="s">
        <v>11157</v>
      </c>
      <c r="AS4439" t="s">
        <v>11180</v>
      </c>
      <c r="AU4439">
        <v>15</v>
      </c>
      <c r="AW4439" t="s">
        <v>11189</v>
      </c>
      <c r="AX4439" t="s">
        <v>11212</v>
      </c>
      <c r="BA4439" t="s">
        <v>11222</v>
      </c>
      <c r="BB4439" t="s">
        <v>11224</v>
      </c>
      <c r="BC4439" t="s">
        <v>11638</v>
      </c>
      <c r="BE4439" t="s">
        <v>14152</v>
      </c>
      <c r="BF4439" t="s">
        <v>14364</v>
      </c>
      <c r="BM4439" t="s">
        <v>15650</v>
      </c>
    </row>
    <row r="4440" spans="1:65">
      <c r="A4440" s="1">
        <f>HYPERLINK("https://lsnyc.legalserver.org/matter/dynamic-profile/view/1906974","19-1906974")</f>
        <v>0</v>
      </c>
      <c r="B4440" t="s">
        <v>235</v>
      </c>
      <c r="C4440" t="s">
        <v>246</v>
      </c>
      <c r="D4440" t="s">
        <v>797</v>
      </c>
      <c r="F4440" t="s">
        <v>2782</v>
      </c>
      <c r="G4440" t="s">
        <v>4557</v>
      </c>
      <c r="H4440" t="s">
        <v>6299</v>
      </c>
      <c r="I4440" t="s">
        <v>6448</v>
      </c>
      <c r="J4440" t="s">
        <v>7170</v>
      </c>
      <c r="K4440">
        <v>10460</v>
      </c>
      <c r="N4440" t="s">
        <v>7237</v>
      </c>
      <c r="O4440" t="s">
        <v>10043</v>
      </c>
      <c r="P4440">
        <v>1</v>
      </c>
      <c r="Q4440">
        <v>0</v>
      </c>
      <c r="R4440">
        <v>142.39</v>
      </c>
      <c r="U4440">
        <v>17784</v>
      </c>
      <c r="W4440">
        <v>3.75</v>
      </c>
      <c r="X4440" t="s">
        <v>568</v>
      </c>
      <c r="Y4440" t="s">
        <v>10897</v>
      </c>
      <c r="AA4440" t="s">
        <v>10974</v>
      </c>
      <c r="AD4440" t="s">
        <v>11082</v>
      </c>
      <c r="AF4440" t="s">
        <v>11121</v>
      </c>
      <c r="AH4440" t="s">
        <v>10975</v>
      </c>
      <c r="AI4440" t="s">
        <v>11126</v>
      </c>
      <c r="AK4440" t="s">
        <v>7225</v>
      </c>
      <c r="AL4440" t="s">
        <v>11150</v>
      </c>
      <c r="AM4440">
        <v>0</v>
      </c>
      <c r="AO4440">
        <v>25</v>
      </c>
      <c r="AQ4440" t="s">
        <v>11157</v>
      </c>
      <c r="AS4440" t="s">
        <v>11180</v>
      </c>
      <c r="AU4440">
        <v>4</v>
      </c>
      <c r="AW4440" t="s">
        <v>11187</v>
      </c>
      <c r="AY4440" t="s">
        <v>11215</v>
      </c>
      <c r="BA4440" t="s">
        <v>11222</v>
      </c>
      <c r="BD4440" t="s">
        <v>11667</v>
      </c>
      <c r="BF4440" t="s">
        <v>14364</v>
      </c>
      <c r="BG4440" t="s">
        <v>11173</v>
      </c>
      <c r="BM4440" t="s">
        <v>15650</v>
      </c>
    </row>
    <row r="4441" spans="1:65">
      <c r="A4441" s="1">
        <f>HYPERLINK("https://lsnyc.legalserver.org/matter/dynamic-profile/view/1871925","18-1871925")</f>
        <v>0</v>
      </c>
      <c r="B4441" t="s">
        <v>235</v>
      </c>
      <c r="C4441" t="s">
        <v>246</v>
      </c>
      <c r="D4441" t="s">
        <v>657</v>
      </c>
      <c r="F4441" t="s">
        <v>1113</v>
      </c>
      <c r="G4441" t="s">
        <v>4251</v>
      </c>
      <c r="H4441" t="s">
        <v>6300</v>
      </c>
      <c r="I4441" t="s">
        <v>6585</v>
      </c>
      <c r="J4441" t="s">
        <v>7170</v>
      </c>
      <c r="K4441">
        <v>10453</v>
      </c>
      <c r="N4441" t="s">
        <v>7237</v>
      </c>
      <c r="O4441" t="s">
        <v>10044</v>
      </c>
      <c r="P4441">
        <v>1</v>
      </c>
      <c r="Q4441">
        <v>0</v>
      </c>
      <c r="R4441">
        <v>128.5</v>
      </c>
      <c r="U4441">
        <v>15600</v>
      </c>
      <c r="W4441">
        <v>16.35</v>
      </c>
      <c r="X4441" t="s">
        <v>922</v>
      </c>
      <c r="Y4441" t="s">
        <v>10890</v>
      </c>
      <c r="AA4441" t="s">
        <v>10974</v>
      </c>
      <c r="AB4441" t="s">
        <v>516</v>
      </c>
      <c r="AD4441" t="s">
        <v>11082</v>
      </c>
      <c r="AF4441" t="s">
        <v>11118</v>
      </c>
      <c r="AH4441" t="s">
        <v>10975</v>
      </c>
      <c r="AJ4441" t="s">
        <v>11143</v>
      </c>
      <c r="AK4441" t="s">
        <v>7225</v>
      </c>
      <c r="AM4441">
        <v>1285</v>
      </c>
      <c r="AO4441">
        <v>48</v>
      </c>
      <c r="AQ4441" t="s">
        <v>11157</v>
      </c>
      <c r="AS4441" t="s">
        <v>11173</v>
      </c>
      <c r="AU4441">
        <v>8</v>
      </c>
      <c r="AW4441" t="s">
        <v>11189</v>
      </c>
      <c r="AY4441" t="s">
        <v>11215</v>
      </c>
      <c r="AZ4441" t="s">
        <v>11221</v>
      </c>
      <c r="BE4441" t="s">
        <v>14153</v>
      </c>
      <c r="BG4441" t="s">
        <v>15505</v>
      </c>
      <c r="BM4441" t="s">
        <v>15650</v>
      </c>
    </row>
    <row r="4442" spans="1:65">
      <c r="A4442" s="1">
        <f>HYPERLINK("https://lsnyc.legalserver.org/matter/dynamic-profile/view/1915024","19-1915024")</f>
        <v>0</v>
      </c>
      <c r="B4442" t="s">
        <v>235</v>
      </c>
      <c r="C4442" t="s">
        <v>246</v>
      </c>
      <c r="D4442" t="s">
        <v>264</v>
      </c>
      <c r="F4442" t="s">
        <v>1280</v>
      </c>
      <c r="G4442" t="s">
        <v>3060</v>
      </c>
      <c r="H4442" t="s">
        <v>6301</v>
      </c>
      <c r="I4442" t="s">
        <v>6437</v>
      </c>
      <c r="J4442" t="s">
        <v>7170</v>
      </c>
      <c r="K4442">
        <v>10454</v>
      </c>
      <c r="N4442" t="s">
        <v>7237</v>
      </c>
      <c r="O4442" t="s">
        <v>10045</v>
      </c>
      <c r="P4442">
        <v>3</v>
      </c>
      <c r="Q4442">
        <v>0</v>
      </c>
      <c r="R4442">
        <v>103.14</v>
      </c>
      <c r="U4442">
        <v>22000</v>
      </c>
      <c r="W4442">
        <v>1.15</v>
      </c>
      <c r="X4442" t="s">
        <v>638</v>
      </c>
      <c r="Y4442" t="s">
        <v>235</v>
      </c>
      <c r="AA4442" t="s">
        <v>10974</v>
      </c>
      <c r="AD4442" t="s">
        <v>11100</v>
      </c>
      <c r="AF4442" t="s">
        <v>11119</v>
      </c>
      <c r="AG4442" t="s">
        <v>11124</v>
      </c>
      <c r="AI4442" t="s">
        <v>11127</v>
      </c>
      <c r="AJ4442" t="s">
        <v>11140</v>
      </c>
      <c r="AK4442" t="s">
        <v>11149</v>
      </c>
      <c r="AM4442">
        <v>1500</v>
      </c>
      <c r="AO4442">
        <v>24</v>
      </c>
      <c r="AQ4442" t="s">
        <v>11166</v>
      </c>
      <c r="AS4442" t="s">
        <v>11174</v>
      </c>
      <c r="AU4442">
        <v>-1</v>
      </c>
      <c r="AW4442" t="s">
        <v>11187</v>
      </c>
      <c r="AY4442" t="s">
        <v>11213</v>
      </c>
      <c r="AZ4442" t="s">
        <v>11221</v>
      </c>
      <c r="BE4442" t="s">
        <v>14154</v>
      </c>
      <c r="BF4442" t="s">
        <v>14364</v>
      </c>
      <c r="BM4442" t="s">
        <v>15650</v>
      </c>
    </row>
    <row r="4443" spans="1:65">
      <c r="A4443" s="1">
        <f>HYPERLINK("https://lsnyc.legalserver.org/matter/dynamic-profile/view/1907538","19-1907538")</f>
        <v>0</v>
      </c>
      <c r="B4443" t="s">
        <v>235</v>
      </c>
      <c r="C4443" t="s">
        <v>246</v>
      </c>
      <c r="D4443" t="s">
        <v>362</v>
      </c>
      <c r="F4443" t="s">
        <v>2483</v>
      </c>
      <c r="G4443" t="s">
        <v>4639</v>
      </c>
      <c r="H4443" t="s">
        <v>6302</v>
      </c>
      <c r="I4443" t="s">
        <v>6497</v>
      </c>
      <c r="J4443" t="s">
        <v>7170</v>
      </c>
      <c r="K4443">
        <v>10470</v>
      </c>
      <c r="M4443" t="s">
        <v>7225</v>
      </c>
      <c r="N4443" t="s">
        <v>7237</v>
      </c>
      <c r="O4443" t="s">
        <v>10046</v>
      </c>
      <c r="P4443">
        <v>1</v>
      </c>
      <c r="Q4443">
        <v>4</v>
      </c>
      <c r="R4443">
        <v>0</v>
      </c>
      <c r="U4443">
        <v>0</v>
      </c>
      <c r="W4443">
        <v>0.2</v>
      </c>
      <c r="X4443" t="s">
        <v>976</v>
      </c>
      <c r="Y4443" t="s">
        <v>235</v>
      </c>
      <c r="AA4443" t="s">
        <v>10974</v>
      </c>
      <c r="AD4443" t="s">
        <v>11086</v>
      </c>
      <c r="AF4443" t="s">
        <v>11119</v>
      </c>
      <c r="AG4443" t="s">
        <v>11124</v>
      </c>
      <c r="AI4443" t="s">
        <v>11126</v>
      </c>
      <c r="AK4443" t="s">
        <v>7225</v>
      </c>
      <c r="AL4443" t="s">
        <v>11150</v>
      </c>
      <c r="AM4443">
        <v>0</v>
      </c>
      <c r="AN4443" t="s">
        <v>11151</v>
      </c>
      <c r="AO4443" t="s">
        <v>11153</v>
      </c>
      <c r="AP4443" t="s">
        <v>11155</v>
      </c>
      <c r="AS4443" t="s">
        <v>11173</v>
      </c>
      <c r="AU4443">
        <v>12</v>
      </c>
      <c r="AW4443" t="s">
        <v>11187</v>
      </c>
      <c r="AY4443" t="s">
        <v>11213</v>
      </c>
      <c r="BA4443" t="s">
        <v>11222</v>
      </c>
      <c r="BE4443" t="s">
        <v>14155</v>
      </c>
      <c r="BF4443" t="s">
        <v>14364</v>
      </c>
      <c r="BM4443" t="s">
        <v>15650</v>
      </c>
    </row>
    <row r="4444" spans="1:65">
      <c r="A4444" s="1">
        <f>HYPERLINK("https://lsnyc.legalserver.org/matter/dynamic-profile/view/1891759","19-1891759")</f>
        <v>0</v>
      </c>
      <c r="B4444" t="s">
        <v>235</v>
      </c>
      <c r="C4444" t="s">
        <v>246</v>
      </c>
      <c r="D4444" t="s">
        <v>545</v>
      </c>
      <c r="F4444" t="s">
        <v>1122</v>
      </c>
      <c r="G4444" t="s">
        <v>4640</v>
      </c>
      <c r="H4444" t="s">
        <v>5700</v>
      </c>
      <c r="I4444" t="s">
        <v>6417</v>
      </c>
      <c r="J4444" t="s">
        <v>7170</v>
      </c>
      <c r="K4444">
        <v>10453</v>
      </c>
      <c r="N4444" t="s">
        <v>7237</v>
      </c>
      <c r="O4444" t="s">
        <v>10047</v>
      </c>
      <c r="P4444">
        <v>1</v>
      </c>
      <c r="Q4444">
        <v>0</v>
      </c>
      <c r="R4444">
        <v>75.90000000000001</v>
      </c>
      <c r="U4444">
        <v>9480</v>
      </c>
      <c r="W4444">
        <v>0.5</v>
      </c>
      <c r="X4444" t="s">
        <v>598</v>
      </c>
      <c r="Y4444" t="s">
        <v>10897</v>
      </c>
      <c r="AA4444" t="s">
        <v>10974</v>
      </c>
      <c r="AB4444" t="s">
        <v>370</v>
      </c>
      <c r="AD4444" t="s">
        <v>11101</v>
      </c>
      <c r="AF4444" t="s">
        <v>11118</v>
      </c>
      <c r="AH4444" t="s">
        <v>10974</v>
      </c>
      <c r="AJ4444" t="s">
        <v>11141</v>
      </c>
      <c r="AK4444" t="s">
        <v>7225</v>
      </c>
      <c r="AM4444">
        <v>1060</v>
      </c>
      <c r="AO4444">
        <v>49</v>
      </c>
      <c r="AQ4444" t="s">
        <v>11157</v>
      </c>
      <c r="AS4444" t="s">
        <v>11173</v>
      </c>
      <c r="AU4444">
        <v>16</v>
      </c>
      <c r="AW4444" t="s">
        <v>11187</v>
      </c>
      <c r="AZ4444" t="s">
        <v>11221</v>
      </c>
      <c r="BE4444" t="s">
        <v>14156</v>
      </c>
      <c r="BG4444" t="s">
        <v>15052</v>
      </c>
      <c r="BM4444" t="s">
        <v>15650</v>
      </c>
    </row>
    <row r="4445" spans="1:65">
      <c r="A4445" s="1">
        <f>HYPERLINK("https://lsnyc.legalserver.org/matter/dynamic-profile/view/1891776","19-1891776")</f>
        <v>0</v>
      </c>
      <c r="B4445" t="s">
        <v>235</v>
      </c>
      <c r="C4445" t="s">
        <v>246</v>
      </c>
      <c r="D4445" t="s">
        <v>545</v>
      </c>
      <c r="F4445" t="s">
        <v>1122</v>
      </c>
      <c r="G4445" t="s">
        <v>4640</v>
      </c>
      <c r="H4445" t="s">
        <v>5700</v>
      </c>
      <c r="I4445" t="s">
        <v>6417</v>
      </c>
      <c r="J4445" t="s">
        <v>7170</v>
      </c>
      <c r="K4445">
        <v>10453</v>
      </c>
      <c r="N4445" t="s">
        <v>7237</v>
      </c>
      <c r="O4445" t="s">
        <v>10047</v>
      </c>
      <c r="P4445">
        <v>1</v>
      </c>
      <c r="Q4445">
        <v>0</v>
      </c>
      <c r="R4445">
        <v>75.90000000000001</v>
      </c>
      <c r="U4445">
        <v>9480</v>
      </c>
      <c r="W4445">
        <v>1.9</v>
      </c>
      <c r="X4445" t="s">
        <v>567</v>
      </c>
      <c r="Y4445" t="s">
        <v>10897</v>
      </c>
      <c r="AA4445" t="s">
        <v>10974</v>
      </c>
      <c r="AB4445" t="s">
        <v>370</v>
      </c>
      <c r="AD4445" t="s">
        <v>11098</v>
      </c>
      <c r="AF4445" t="s">
        <v>11122</v>
      </c>
      <c r="AH4445" t="s">
        <v>10974</v>
      </c>
      <c r="AJ4445" t="s">
        <v>11141</v>
      </c>
      <c r="AK4445" t="s">
        <v>7225</v>
      </c>
      <c r="AM4445">
        <v>1060</v>
      </c>
      <c r="AO4445">
        <v>49</v>
      </c>
      <c r="AQ4445" t="s">
        <v>11157</v>
      </c>
      <c r="AS4445" t="s">
        <v>11173</v>
      </c>
      <c r="AU4445">
        <v>16</v>
      </c>
      <c r="AW4445" t="s">
        <v>11187</v>
      </c>
      <c r="AZ4445" t="s">
        <v>11221</v>
      </c>
      <c r="BE4445" t="s">
        <v>14156</v>
      </c>
      <c r="BF4445" t="s">
        <v>14364</v>
      </c>
      <c r="BM4445" t="s">
        <v>15650</v>
      </c>
    </row>
    <row r="4446" spans="1:65">
      <c r="A4446" s="1">
        <f>HYPERLINK("https://lsnyc.legalserver.org/matter/dynamic-profile/view/1864623","18-1864623")</f>
        <v>0</v>
      </c>
      <c r="B4446" t="s">
        <v>235</v>
      </c>
      <c r="C4446" t="s">
        <v>246</v>
      </c>
      <c r="D4446" t="s">
        <v>1059</v>
      </c>
      <c r="F4446" t="s">
        <v>2783</v>
      </c>
      <c r="G4446" t="s">
        <v>2885</v>
      </c>
      <c r="H4446" t="s">
        <v>6303</v>
      </c>
      <c r="I4446" t="s">
        <v>6423</v>
      </c>
      <c r="J4446" t="s">
        <v>7170</v>
      </c>
      <c r="K4446">
        <v>10460</v>
      </c>
      <c r="N4446" t="s">
        <v>7237</v>
      </c>
      <c r="O4446" t="s">
        <v>10048</v>
      </c>
      <c r="P4446">
        <v>1</v>
      </c>
      <c r="Q4446">
        <v>1</v>
      </c>
      <c r="R4446">
        <v>23.69</v>
      </c>
      <c r="U4446">
        <v>3900</v>
      </c>
      <c r="V4446" t="s">
        <v>10306</v>
      </c>
      <c r="W4446">
        <v>17.75</v>
      </c>
      <c r="X4446" t="s">
        <v>300</v>
      </c>
      <c r="Y4446" t="s">
        <v>10866</v>
      </c>
      <c r="AA4446" t="s">
        <v>10974</v>
      </c>
      <c r="AB4446" t="s">
        <v>10986</v>
      </c>
      <c r="AD4446" t="s">
        <v>11083</v>
      </c>
      <c r="AF4446" t="s">
        <v>11118</v>
      </c>
      <c r="AH4446" t="s">
        <v>10975</v>
      </c>
      <c r="AJ4446" t="s">
        <v>11136</v>
      </c>
      <c r="AK4446" t="s">
        <v>7225</v>
      </c>
      <c r="AM4446">
        <v>1013</v>
      </c>
      <c r="AN4446" t="s">
        <v>11151</v>
      </c>
      <c r="AO4446" t="s">
        <v>11153</v>
      </c>
      <c r="AQ4446" t="s">
        <v>11157</v>
      </c>
      <c r="AS4446" t="s">
        <v>11176</v>
      </c>
      <c r="AU4446">
        <v>4</v>
      </c>
      <c r="AW4446" t="s">
        <v>11187</v>
      </c>
      <c r="AZ4446" t="s">
        <v>11221</v>
      </c>
      <c r="BC4446" t="s">
        <v>11639</v>
      </c>
      <c r="BE4446" t="s">
        <v>14157</v>
      </c>
      <c r="BG4446" t="s">
        <v>15506</v>
      </c>
      <c r="BM4446" t="s">
        <v>15650</v>
      </c>
    </row>
    <row r="4447" spans="1:65">
      <c r="A4447" s="1">
        <f>HYPERLINK("https://lsnyc.legalserver.org/matter/dynamic-profile/view/1905305","19-1905305")</f>
        <v>0</v>
      </c>
      <c r="B4447" t="s">
        <v>235</v>
      </c>
      <c r="C4447" t="s">
        <v>246</v>
      </c>
      <c r="D4447" t="s">
        <v>470</v>
      </c>
      <c r="F4447" t="s">
        <v>1140</v>
      </c>
      <c r="G4447" t="s">
        <v>4051</v>
      </c>
      <c r="H4447" t="s">
        <v>6304</v>
      </c>
      <c r="I4447">
        <v>3</v>
      </c>
      <c r="J4447" t="s">
        <v>7170</v>
      </c>
      <c r="K4447">
        <v>10459</v>
      </c>
      <c r="N4447" t="s">
        <v>7237</v>
      </c>
      <c r="O4447" t="s">
        <v>10049</v>
      </c>
      <c r="P4447">
        <v>1</v>
      </c>
      <c r="Q4447">
        <v>0</v>
      </c>
      <c r="R4447">
        <v>35.84</v>
      </c>
      <c r="U4447">
        <v>4476</v>
      </c>
      <c r="W4447">
        <v>5.1</v>
      </c>
      <c r="X4447" t="s">
        <v>272</v>
      </c>
      <c r="Y4447" t="s">
        <v>210</v>
      </c>
      <c r="AA4447" t="s">
        <v>10974</v>
      </c>
      <c r="AD4447" t="s">
        <v>11083</v>
      </c>
      <c r="AE4447" t="s">
        <v>11117</v>
      </c>
      <c r="AH4447" t="s">
        <v>10975</v>
      </c>
      <c r="AJ4447" t="s">
        <v>11141</v>
      </c>
      <c r="AK4447" t="s">
        <v>7225</v>
      </c>
      <c r="AM4447">
        <v>743.21</v>
      </c>
      <c r="AO4447">
        <v>11</v>
      </c>
      <c r="AQ4447" t="s">
        <v>11157</v>
      </c>
      <c r="AS4447" t="s">
        <v>11173</v>
      </c>
      <c r="AU4447">
        <v>3</v>
      </c>
      <c r="AW4447" t="s">
        <v>11187</v>
      </c>
      <c r="AX4447" t="s">
        <v>11212</v>
      </c>
      <c r="BA4447" t="s">
        <v>11222</v>
      </c>
      <c r="BB4447" t="s">
        <v>11224</v>
      </c>
      <c r="BC4447" t="s">
        <v>11640</v>
      </c>
      <c r="BE4447" t="s">
        <v>14158</v>
      </c>
      <c r="BG4447" t="s">
        <v>15507</v>
      </c>
      <c r="BM4447" t="s">
        <v>15650</v>
      </c>
    </row>
    <row r="4448" spans="1:65">
      <c r="A4448" s="1">
        <f>HYPERLINK("https://lsnyc.legalserver.org/matter/dynamic-profile/view/1912015","19-1912015")</f>
        <v>0</v>
      </c>
      <c r="B4448" t="s">
        <v>236</v>
      </c>
      <c r="C4448" t="s">
        <v>246</v>
      </c>
      <c r="D4448" t="s">
        <v>341</v>
      </c>
      <c r="F4448" t="s">
        <v>2096</v>
      </c>
      <c r="G4448" t="s">
        <v>3140</v>
      </c>
      <c r="H4448" t="s">
        <v>5373</v>
      </c>
      <c r="I4448" t="s">
        <v>6502</v>
      </c>
      <c r="J4448" t="s">
        <v>7170</v>
      </c>
      <c r="K4448">
        <v>10456</v>
      </c>
      <c r="N4448" t="s">
        <v>7237</v>
      </c>
      <c r="O4448" t="s">
        <v>10050</v>
      </c>
      <c r="P4448">
        <v>2</v>
      </c>
      <c r="Q4448">
        <v>0</v>
      </c>
      <c r="R4448">
        <v>183.32</v>
      </c>
      <c r="U4448">
        <v>31000</v>
      </c>
      <c r="W4448">
        <v>0.4</v>
      </c>
      <c r="X4448" t="s">
        <v>436</v>
      </c>
      <c r="Y4448" t="s">
        <v>236</v>
      </c>
      <c r="AA4448" t="s">
        <v>10974</v>
      </c>
      <c r="AC4448" t="s">
        <v>11081</v>
      </c>
      <c r="AF4448" t="s">
        <v>11119</v>
      </c>
      <c r="AG4448" t="s">
        <v>11124</v>
      </c>
      <c r="AI4448" t="s">
        <v>11126</v>
      </c>
      <c r="AK4448" t="s">
        <v>7225</v>
      </c>
      <c r="AL4448" t="s">
        <v>11150</v>
      </c>
      <c r="AM4448">
        <v>0</v>
      </c>
      <c r="AN4448" t="s">
        <v>11151</v>
      </c>
      <c r="AO4448" t="s">
        <v>11153</v>
      </c>
      <c r="AP4448" t="s">
        <v>11155</v>
      </c>
      <c r="AR4448" t="s">
        <v>11172</v>
      </c>
      <c r="AT4448" t="s">
        <v>11184</v>
      </c>
      <c r="AU4448">
        <v>0</v>
      </c>
      <c r="AW4448" t="s">
        <v>11189</v>
      </c>
      <c r="AX4448" t="s">
        <v>11212</v>
      </c>
      <c r="BA4448" t="s">
        <v>11222</v>
      </c>
      <c r="BE4448" t="s">
        <v>14159</v>
      </c>
      <c r="BF4448" t="s">
        <v>14364</v>
      </c>
      <c r="BM4448" t="s">
        <v>15650</v>
      </c>
    </row>
    <row r="4449" spans="1:65">
      <c r="A4449" s="1">
        <f>HYPERLINK("https://lsnyc.legalserver.org/matter/dynamic-profile/view/1915330","19-1915330")</f>
        <v>0</v>
      </c>
      <c r="B4449" t="s">
        <v>236</v>
      </c>
      <c r="C4449" t="s">
        <v>246</v>
      </c>
      <c r="D4449" t="s">
        <v>426</v>
      </c>
      <c r="E4449" t="s">
        <v>436</v>
      </c>
      <c r="F4449" t="s">
        <v>1212</v>
      </c>
      <c r="G4449" t="s">
        <v>4641</v>
      </c>
      <c r="H4449" t="s">
        <v>6305</v>
      </c>
      <c r="I4449" t="s">
        <v>6763</v>
      </c>
      <c r="J4449" t="s">
        <v>7170</v>
      </c>
      <c r="K4449">
        <v>10452</v>
      </c>
      <c r="L4449" t="s">
        <v>7217</v>
      </c>
      <c r="N4449" t="s">
        <v>7237</v>
      </c>
      <c r="O4449" t="s">
        <v>10051</v>
      </c>
      <c r="P4449">
        <v>2</v>
      </c>
      <c r="Q4449">
        <v>0</v>
      </c>
      <c r="R4449">
        <v>61.74</v>
      </c>
      <c r="T4449" t="s">
        <v>10276</v>
      </c>
      <c r="U4449">
        <v>10440</v>
      </c>
      <c r="W4449">
        <v>0.75</v>
      </c>
      <c r="X4449" t="s">
        <v>426</v>
      </c>
      <c r="Y4449" t="s">
        <v>236</v>
      </c>
      <c r="AA4449" t="s">
        <v>10974</v>
      </c>
      <c r="AC4449" t="s">
        <v>11081</v>
      </c>
      <c r="AF4449" t="s">
        <v>10384</v>
      </c>
      <c r="AG4449" t="s">
        <v>11124</v>
      </c>
      <c r="AI4449" t="s">
        <v>11126</v>
      </c>
      <c r="AK4449" t="s">
        <v>7225</v>
      </c>
      <c r="AL4449" t="s">
        <v>11150</v>
      </c>
      <c r="AM4449">
        <v>0</v>
      </c>
      <c r="AN4449" t="s">
        <v>11151</v>
      </c>
      <c r="AO4449" t="s">
        <v>11153</v>
      </c>
      <c r="AP4449" t="s">
        <v>11155</v>
      </c>
      <c r="AS4449" t="s">
        <v>11175</v>
      </c>
      <c r="AT4449" t="s">
        <v>11184</v>
      </c>
      <c r="AU4449">
        <v>0</v>
      </c>
      <c r="AW4449" t="s">
        <v>11189</v>
      </c>
      <c r="AX4449" t="s">
        <v>11212</v>
      </c>
      <c r="BA4449" t="s">
        <v>11222</v>
      </c>
      <c r="BE4449" t="s">
        <v>14160</v>
      </c>
      <c r="BF4449" t="s">
        <v>14364</v>
      </c>
      <c r="BM4449" t="s">
        <v>15651</v>
      </c>
    </row>
    <row r="4450" spans="1:65">
      <c r="A4450" s="1">
        <f>HYPERLINK("https://lsnyc.legalserver.org/matter/dynamic-profile/view/1913772","19-1913772")</f>
        <v>0</v>
      </c>
      <c r="B4450" t="s">
        <v>236</v>
      </c>
      <c r="C4450" t="s">
        <v>246</v>
      </c>
      <c r="D4450" t="s">
        <v>272</v>
      </c>
      <c r="E4450" t="s">
        <v>426</v>
      </c>
      <c r="F4450" t="s">
        <v>1178</v>
      </c>
      <c r="G4450" t="s">
        <v>3042</v>
      </c>
      <c r="H4450" t="s">
        <v>6306</v>
      </c>
      <c r="I4450" t="s">
        <v>6412</v>
      </c>
      <c r="J4450" t="s">
        <v>7170</v>
      </c>
      <c r="K4450">
        <v>10453</v>
      </c>
      <c r="L4450" t="s">
        <v>7216</v>
      </c>
      <c r="N4450" t="s">
        <v>7237</v>
      </c>
      <c r="O4450" t="s">
        <v>10052</v>
      </c>
      <c r="P4450">
        <v>3</v>
      </c>
      <c r="Q4450">
        <v>3</v>
      </c>
      <c r="R4450">
        <v>93.95999999999999</v>
      </c>
      <c r="U4450">
        <v>32500</v>
      </c>
      <c r="W4450">
        <v>1.35</v>
      </c>
      <c r="X4450" t="s">
        <v>426</v>
      </c>
      <c r="Y4450" t="s">
        <v>236</v>
      </c>
      <c r="Z4450" t="s">
        <v>10972</v>
      </c>
      <c r="AA4450" t="s">
        <v>10976</v>
      </c>
      <c r="AC4450" t="s">
        <v>11081</v>
      </c>
      <c r="AF4450" t="s">
        <v>11119</v>
      </c>
      <c r="AG4450" t="s">
        <v>11124</v>
      </c>
      <c r="AI4450" t="s">
        <v>11126</v>
      </c>
      <c r="AK4450" t="s">
        <v>7225</v>
      </c>
      <c r="AL4450" t="s">
        <v>11150</v>
      </c>
      <c r="AM4450">
        <v>0</v>
      </c>
      <c r="AN4450" t="s">
        <v>11151</v>
      </c>
      <c r="AO4450" t="s">
        <v>11153</v>
      </c>
      <c r="AP4450" t="s">
        <v>11155</v>
      </c>
      <c r="AR4450" t="s">
        <v>11172</v>
      </c>
      <c r="AT4450" t="s">
        <v>11184</v>
      </c>
      <c r="AU4450">
        <v>0</v>
      </c>
      <c r="AW4450" t="s">
        <v>11189</v>
      </c>
      <c r="AX4450" t="s">
        <v>11212</v>
      </c>
      <c r="AZ4450" t="s">
        <v>11221</v>
      </c>
      <c r="BE4450" t="s">
        <v>14161</v>
      </c>
      <c r="BF4450" t="s">
        <v>14364</v>
      </c>
      <c r="BM4450" t="s">
        <v>15651</v>
      </c>
    </row>
    <row r="4451" spans="1:65">
      <c r="A4451" s="1">
        <f>HYPERLINK("https://lsnyc.legalserver.org/matter/dynamic-profile/view/1888023","19-1888023")</f>
        <v>0</v>
      </c>
      <c r="B4451" t="s">
        <v>236</v>
      </c>
      <c r="C4451" t="s">
        <v>246</v>
      </c>
      <c r="D4451" t="s">
        <v>588</v>
      </c>
      <c r="E4451" t="s">
        <v>536</v>
      </c>
      <c r="F4451" t="s">
        <v>1904</v>
      </c>
      <c r="G4451" t="s">
        <v>4642</v>
      </c>
      <c r="H4451" t="s">
        <v>5283</v>
      </c>
      <c r="I4451">
        <v>606</v>
      </c>
      <c r="J4451" t="s">
        <v>7170</v>
      </c>
      <c r="K4451">
        <v>10457</v>
      </c>
      <c r="L4451" t="s">
        <v>7216</v>
      </c>
      <c r="N4451" t="s">
        <v>7237</v>
      </c>
      <c r="O4451" t="s">
        <v>8248</v>
      </c>
      <c r="P4451">
        <v>1</v>
      </c>
      <c r="Q4451">
        <v>0</v>
      </c>
      <c r="R4451">
        <v>137.73</v>
      </c>
      <c r="U4451">
        <v>16720</v>
      </c>
      <c r="V4451" t="s">
        <v>10793</v>
      </c>
      <c r="W4451">
        <v>2.7</v>
      </c>
      <c r="X4451" t="s">
        <v>536</v>
      </c>
      <c r="Y4451" t="s">
        <v>10873</v>
      </c>
      <c r="Z4451" t="s">
        <v>10972</v>
      </c>
      <c r="AA4451" t="s">
        <v>10976</v>
      </c>
      <c r="AD4451" t="s">
        <v>11090</v>
      </c>
      <c r="AF4451" t="s">
        <v>11119</v>
      </c>
      <c r="AG4451" t="s">
        <v>11124</v>
      </c>
      <c r="AI4451" t="s">
        <v>11126</v>
      </c>
      <c r="AK4451" t="s">
        <v>7225</v>
      </c>
      <c r="AM4451">
        <v>833</v>
      </c>
      <c r="AO4451">
        <v>88</v>
      </c>
      <c r="AP4451" t="s">
        <v>11155</v>
      </c>
      <c r="AR4451" t="s">
        <v>11172</v>
      </c>
      <c r="AU4451">
        <v>7</v>
      </c>
      <c r="AW4451" t="s">
        <v>11187</v>
      </c>
      <c r="AX4451" t="s">
        <v>11212</v>
      </c>
      <c r="AZ4451" t="s">
        <v>11221</v>
      </c>
      <c r="BE4451" t="s">
        <v>14162</v>
      </c>
      <c r="BF4451" t="s">
        <v>14364</v>
      </c>
      <c r="BM4451" t="s">
        <v>15651</v>
      </c>
    </row>
    <row r="4452" spans="1:65">
      <c r="A4452" s="1">
        <f>HYPERLINK("https://lsnyc.legalserver.org/matter/dynamic-profile/view/1915427","19-1915427")</f>
        <v>0</v>
      </c>
      <c r="B4452" t="s">
        <v>236</v>
      </c>
      <c r="C4452" t="s">
        <v>246</v>
      </c>
      <c r="D4452" t="s">
        <v>436</v>
      </c>
      <c r="F4452" t="s">
        <v>1122</v>
      </c>
      <c r="G4452" t="s">
        <v>2985</v>
      </c>
      <c r="H4452" t="s">
        <v>6307</v>
      </c>
      <c r="I4452" t="s">
        <v>6686</v>
      </c>
      <c r="J4452" t="s">
        <v>7170</v>
      </c>
      <c r="K4452">
        <v>10457</v>
      </c>
      <c r="N4452" t="s">
        <v>7237</v>
      </c>
      <c r="O4452" t="s">
        <v>9310</v>
      </c>
      <c r="P4452">
        <v>1</v>
      </c>
      <c r="Q4452">
        <v>0</v>
      </c>
      <c r="R4452">
        <v>78.20999999999999</v>
      </c>
      <c r="U4452">
        <v>9768</v>
      </c>
      <c r="W4452">
        <v>0</v>
      </c>
      <c r="Y4452" t="s">
        <v>93</v>
      </c>
      <c r="AA4452" t="s">
        <v>10974</v>
      </c>
      <c r="AC4452" t="s">
        <v>11081</v>
      </c>
      <c r="AE4452" t="s">
        <v>11117</v>
      </c>
      <c r="AH4452" t="s">
        <v>10975</v>
      </c>
      <c r="AJ4452" t="s">
        <v>11141</v>
      </c>
      <c r="AK4452" t="s">
        <v>7225</v>
      </c>
      <c r="AM4452">
        <v>1255.98</v>
      </c>
      <c r="AO4452">
        <v>55</v>
      </c>
      <c r="AQ4452" t="s">
        <v>11157</v>
      </c>
      <c r="AS4452" t="s">
        <v>11174</v>
      </c>
      <c r="AU4452">
        <v>17</v>
      </c>
      <c r="AW4452" t="s">
        <v>11189</v>
      </c>
      <c r="AX4452" t="s">
        <v>11212</v>
      </c>
      <c r="AZ4452" t="s">
        <v>11221</v>
      </c>
      <c r="BC4452" t="s">
        <v>11641</v>
      </c>
      <c r="BE4452" t="s">
        <v>13532</v>
      </c>
      <c r="BG4452" t="s">
        <v>15508</v>
      </c>
      <c r="BM4452" t="s">
        <v>15650</v>
      </c>
    </row>
    <row r="4453" spans="1:65">
      <c r="A4453" s="1">
        <f>HYPERLINK("https://lsnyc.legalserver.org/matter/dynamic-profile/view/1914391","19-1914391")</f>
        <v>0</v>
      </c>
      <c r="B4453" t="s">
        <v>236</v>
      </c>
      <c r="C4453" t="s">
        <v>246</v>
      </c>
      <c r="D4453" t="s">
        <v>497</v>
      </c>
      <c r="F4453" t="s">
        <v>1383</v>
      </c>
      <c r="G4453" t="s">
        <v>2953</v>
      </c>
      <c r="H4453" t="s">
        <v>6308</v>
      </c>
      <c r="I4453" t="s">
        <v>7132</v>
      </c>
      <c r="J4453" t="s">
        <v>7170</v>
      </c>
      <c r="K4453">
        <v>10463</v>
      </c>
      <c r="N4453" t="s">
        <v>7237</v>
      </c>
      <c r="O4453" t="s">
        <v>8138</v>
      </c>
      <c r="P4453">
        <v>1</v>
      </c>
      <c r="Q4453">
        <v>0</v>
      </c>
      <c r="R4453">
        <v>74.08</v>
      </c>
      <c r="U4453">
        <v>9252</v>
      </c>
      <c r="W4453">
        <v>4.25</v>
      </c>
      <c r="X4453" t="s">
        <v>548</v>
      </c>
      <c r="Y4453" t="s">
        <v>236</v>
      </c>
      <c r="AA4453" t="s">
        <v>10974</v>
      </c>
      <c r="AC4453" t="s">
        <v>11081</v>
      </c>
      <c r="AF4453" t="s">
        <v>11121</v>
      </c>
      <c r="AG4453" t="s">
        <v>11124</v>
      </c>
      <c r="AI4453" t="s">
        <v>11126</v>
      </c>
      <c r="AK4453" t="s">
        <v>7225</v>
      </c>
      <c r="AL4453" t="s">
        <v>11150</v>
      </c>
      <c r="AM4453">
        <v>0</v>
      </c>
      <c r="AN4453" t="s">
        <v>11151</v>
      </c>
      <c r="AO4453" t="s">
        <v>11153</v>
      </c>
      <c r="AP4453" t="s">
        <v>11155</v>
      </c>
      <c r="AR4453" t="s">
        <v>11172</v>
      </c>
      <c r="AT4453" t="s">
        <v>11184</v>
      </c>
      <c r="AU4453">
        <v>0</v>
      </c>
      <c r="AW4453" t="s">
        <v>11189</v>
      </c>
      <c r="AX4453" t="s">
        <v>11212</v>
      </c>
      <c r="BA4453" t="s">
        <v>11222</v>
      </c>
      <c r="BE4453" t="s">
        <v>14163</v>
      </c>
      <c r="BF4453" t="s">
        <v>14364</v>
      </c>
      <c r="BM4453" t="s">
        <v>15650</v>
      </c>
    </row>
    <row r="4454" spans="1:65">
      <c r="A4454" s="1">
        <f>HYPERLINK("https://lsnyc.legalserver.org/matter/dynamic-profile/view/1911976","19-1911976")</f>
        <v>0</v>
      </c>
      <c r="B4454" t="s">
        <v>236</v>
      </c>
      <c r="C4454" t="s">
        <v>246</v>
      </c>
      <c r="D4454" t="s">
        <v>341</v>
      </c>
      <c r="F4454" t="s">
        <v>1428</v>
      </c>
      <c r="G4454" t="s">
        <v>2922</v>
      </c>
      <c r="H4454" t="s">
        <v>6309</v>
      </c>
      <c r="I4454" t="s">
        <v>7133</v>
      </c>
      <c r="J4454" t="s">
        <v>7170</v>
      </c>
      <c r="K4454">
        <v>10453</v>
      </c>
      <c r="N4454" t="s">
        <v>7237</v>
      </c>
      <c r="O4454" t="s">
        <v>10053</v>
      </c>
      <c r="P4454">
        <v>1</v>
      </c>
      <c r="Q4454">
        <v>0</v>
      </c>
      <c r="R4454">
        <v>40.3</v>
      </c>
      <c r="U4454">
        <v>5033</v>
      </c>
      <c r="W4454">
        <v>1.15</v>
      </c>
      <c r="X4454" t="s">
        <v>497</v>
      </c>
      <c r="Y4454" t="s">
        <v>236</v>
      </c>
      <c r="AA4454" t="s">
        <v>10974</v>
      </c>
      <c r="AC4454" t="s">
        <v>11081</v>
      </c>
      <c r="AF4454" t="s">
        <v>11119</v>
      </c>
      <c r="AG4454" t="s">
        <v>11124</v>
      </c>
      <c r="AI4454" t="s">
        <v>11126</v>
      </c>
      <c r="AK4454" t="s">
        <v>7225</v>
      </c>
      <c r="AL4454" t="s">
        <v>11150</v>
      </c>
      <c r="AM4454">
        <v>0</v>
      </c>
      <c r="AN4454" t="s">
        <v>11151</v>
      </c>
      <c r="AO4454" t="s">
        <v>11153</v>
      </c>
      <c r="AP4454" t="s">
        <v>11155</v>
      </c>
      <c r="AR4454" t="s">
        <v>11172</v>
      </c>
      <c r="AT4454" t="s">
        <v>11184</v>
      </c>
      <c r="AU4454">
        <v>0</v>
      </c>
      <c r="AW4454" t="s">
        <v>11187</v>
      </c>
      <c r="AX4454" t="s">
        <v>11212</v>
      </c>
      <c r="BA4454" t="s">
        <v>11222</v>
      </c>
      <c r="BE4454" t="s">
        <v>14164</v>
      </c>
      <c r="BF4454" t="s">
        <v>14364</v>
      </c>
      <c r="BM4454" t="s">
        <v>15650</v>
      </c>
    </row>
    <row r="4455" spans="1:65">
      <c r="A4455" s="1">
        <f>HYPERLINK("https://lsnyc.legalserver.org/matter/dynamic-profile/view/1914409","19-1914409")</f>
        <v>0</v>
      </c>
      <c r="B4455" t="s">
        <v>236</v>
      </c>
      <c r="C4455" t="s">
        <v>246</v>
      </c>
      <c r="D4455" t="s">
        <v>497</v>
      </c>
      <c r="F4455" t="s">
        <v>1212</v>
      </c>
      <c r="G4455" t="s">
        <v>3514</v>
      </c>
      <c r="H4455" t="s">
        <v>6310</v>
      </c>
      <c r="I4455" t="s">
        <v>6503</v>
      </c>
      <c r="J4455" t="s">
        <v>7170</v>
      </c>
      <c r="K4455">
        <v>10457</v>
      </c>
      <c r="N4455" t="s">
        <v>7237</v>
      </c>
      <c r="O4455" t="s">
        <v>10054</v>
      </c>
      <c r="P4455">
        <v>2</v>
      </c>
      <c r="Q4455">
        <v>3</v>
      </c>
      <c r="R4455">
        <v>44.59</v>
      </c>
      <c r="U4455">
        <v>13452</v>
      </c>
      <c r="W4455">
        <v>0.75</v>
      </c>
      <c r="X4455" t="s">
        <v>497</v>
      </c>
      <c r="Y4455" t="s">
        <v>236</v>
      </c>
      <c r="AA4455" t="s">
        <v>10974</v>
      </c>
      <c r="AC4455" t="s">
        <v>11081</v>
      </c>
      <c r="AF4455" t="s">
        <v>11119</v>
      </c>
      <c r="AG4455" t="s">
        <v>11124</v>
      </c>
      <c r="AI4455" t="s">
        <v>11126</v>
      </c>
      <c r="AK4455" t="s">
        <v>7225</v>
      </c>
      <c r="AL4455" t="s">
        <v>11150</v>
      </c>
      <c r="AM4455">
        <v>0</v>
      </c>
      <c r="AN4455" t="s">
        <v>11151</v>
      </c>
      <c r="AO4455" t="s">
        <v>11153</v>
      </c>
      <c r="AP4455" t="s">
        <v>11155</v>
      </c>
      <c r="AR4455" t="s">
        <v>11172</v>
      </c>
      <c r="AT4455" t="s">
        <v>11184</v>
      </c>
      <c r="AU4455">
        <v>0</v>
      </c>
      <c r="AW4455" t="s">
        <v>11187</v>
      </c>
      <c r="AX4455" t="s">
        <v>11212</v>
      </c>
      <c r="BA4455" t="s">
        <v>11222</v>
      </c>
      <c r="BC4455" t="s">
        <v>11642</v>
      </c>
      <c r="BE4455" t="s">
        <v>14165</v>
      </c>
      <c r="BF4455" t="s">
        <v>14364</v>
      </c>
      <c r="BM4455" t="s">
        <v>15650</v>
      </c>
    </row>
    <row r="4456" spans="1:65">
      <c r="A4456" s="1">
        <f>HYPERLINK("https://lsnyc.legalserver.org/matter/dynamic-profile/view/1914441","19-1914441")</f>
        <v>0</v>
      </c>
      <c r="B4456" t="s">
        <v>236</v>
      </c>
      <c r="C4456" t="s">
        <v>246</v>
      </c>
      <c r="D4456" t="s">
        <v>497</v>
      </c>
      <c r="F4456" t="s">
        <v>1155</v>
      </c>
      <c r="G4456" t="s">
        <v>4643</v>
      </c>
      <c r="H4456" t="s">
        <v>6311</v>
      </c>
      <c r="I4456">
        <v>12</v>
      </c>
      <c r="J4456" t="s">
        <v>7170</v>
      </c>
      <c r="K4456">
        <v>10458</v>
      </c>
      <c r="N4456" t="s">
        <v>7237</v>
      </c>
      <c r="O4456" t="s">
        <v>9844</v>
      </c>
      <c r="P4456">
        <v>1</v>
      </c>
      <c r="Q4456">
        <v>0</v>
      </c>
      <c r="R4456">
        <v>187.35</v>
      </c>
      <c r="U4456">
        <v>23400</v>
      </c>
      <c r="W4456">
        <v>2.2</v>
      </c>
      <c r="X4456" t="s">
        <v>436</v>
      </c>
      <c r="Y4456" t="s">
        <v>236</v>
      </c>
      <c r="AA4456" t="s">
        <v>10974</v>
      </c>
      <c r="AC4456" t="s">
        <v>11081</v>
      </c>
      <c r="AF4456" t="s">
        <v>11119</v>
      </c>
      <c r="AH4456" t="s">
        <v>10975</v>
      </c>
      <c r="AI4456" t="s">
        <v>11126</v>
      </c>
      <c r="AK4456" t="s">
        <v>7225</v>
      </c>
      <c r="AM4456">
        <v>863.17</v>
      </c>
      <c r="AN4456" t="s">
        <v>11151</v>
      </c>
      <c r="AO4456" t="s">
        <v>11153</v>
      </c>
      <c r="AQ4456" t="s">
        <v>11157</v>
      </c>
      <c r="AR4456" t="s">
        <v>11172</v>
      </c>
      <c r="AT4456" t="s">
        <v>11184</v>
      </c>
      <c r="AU4456">
        <v>0</v>
      </c>
      <c r="AW4456" t="s">
        <v>11187</v>
      </c>
      <c r="AX4456" t="s">
        <v>11212</v>
      </c>
      <c r="BA4456" t="s">
        <v>11222</v>
      </c>
      <c r="BE4456" t="s">
        <v>14166</v>
      </c>
      <c r="BF4456" t="s">
        <v>14364</v>
      </c>
      <c r="BM4456" t="s">
        <v>15650</v>
      </c>
    </row>
    <row r="4457" spans="1:65">
      <c r="A4457" s="1">
        <f>HYPERLINK("https://lsnyc.legalserver.org/matter/dynamic-profile/view/1913773","19-1913773")</f>
        <v>0</v>
      </c>
      <c r="B4457" t="s">
        <v>236</v>
      </c>
      <c r="C4457" t="s">
        <v>246</v>
      </c>
      <c r="D4457" t="s">
        <v>272</v>
      </c>
      <c r="E4457" t="s">
        <v>426</v>
      </c>
      <c r="F4457" t="s">
        <v>2784</v>
      </c>
      <c r="G4457" t="s">
        <v>4600</v>
      </c>
      <c r="H4457" t="s">
        <v>6312</v>
      </c>
      <c r="J4457" t="s">
        <v>7170</v>
      </c>
      <c r="K4457">
        <v>10453</v>
      </c>
      <c r="L4457" t="s">
        <v>7216</v>
      </c>
      <c r="N4457" t="s">
        <v>7237</v>
      </c>
      <c r="O4457" t="s">
        <v>10055</v>
      </c>
      <c r="P4457">
        <v>1</v>
      </c>
      <c r="Q4457">
        <v>0</v>
      </c>
      <c r="R4457">
        <v>109.24</v>
      </c>
      <c r="U4457">
        <v>13644</v>
      </c>
      <c r="W4457">
        <v>1.65</v>
      </c>
      <c r="X4457" t="s">
        <v>426</v>
      </c>
      <c r="Y4457" t="s">
        <v>236</v>
      </c>
      <c r="Z4457" t="s">
        <v>10972</v>
      </c>
      <c r="AA4457" t="s">
        <v>10976</v>
      </c>
      <c r="AC4457" t="s">
        <v>11081</v>
      </c>
      <c r="AF4457" t="s">
        <v>11119</v>
      </c>
      <c r="AG4457" t="s">
        <v>11124</v>
      </c>
      <c r="AI4457" t="s">
        <v>11126</v>
      </c>
      <c r="AK4457" t="s">
        <v>7225</v>
      </c>
      <c r="AL4457" t="s">
        <v>11150</v>
      </c>
      <c r="AM4457">
        <v>0</v>
      </c>
      <c r="AN4457" t="s">
        <v>11151</v>
      </c>
      <c r="AO4457" t="s">
        <v>11153</v>
      </c>
      <c r="AP4457" t="s">
        <v>11155</v>
      </c>
      <c r="AS4457" t="s">
        <v>11174</v>
      </c>
      <c r="AT4457" t="s">
        <v>11184</v>
      </c>
      <c r="AU4457">
        <v>0</v>
      </c>
      <c r="AW4457" t="s">
        <v>11187</v>
      </c>
      <c r="AX4457" t="s">
        <v>11212</v>
      </c>
      <c r="AZ4457" t="s">
        <v>11221</v>
      </c>
      <c r="BE4457" t="s">
        <v>14167</v>
      </c>
      <c r="BF4457" t="s">
        <v>14364</v>
      </c>
      <c r="BG4457" t="s">
        <v>15509</v>
      </c>
      <c r="BM4457" t="s">
        <v>15651</v>
      </c>
    </row>
    <row r="4458" spans="1:65">
      <c r="A4458" s="1">
        <f>HYPERLINK("https://lsnyc.legalserver.org/matter/dynamic-profile/view/1894414","19-1894414")</f>
        <v>0</v>
      </c>
      <c r="B4458" t="s">
        <v>236</v>
      </c>
      <c r="C4458" t="s">
        <v>246</v>
      </c>
      <c r="D4458" t="s">
        <v>1060</v>
      </c>
      <c r="F4458" t="s">
        <v>2487</v>
      </c>
      <c r="G4458" t="s">
        <v>3333</v>
      </c>
      <c r="H4458" t="s">
        <v>6313</v>
      </c>
      <c r="I4458" t="s">
        <v>6449</v>
      </c>
      <c r="J4458" t="s">
        <v>7170</v>
      </c>
      <c r="K4458">
        <v>10451</v>
      </c>
      <c r="N4458" t="s">
        <v>7238</v>
      </c>
      <c r="O4458" t="s">
        <v>10056</v>
      </c>
      <c r="P4458">
        <v>1</v>
      </c>
      <c r="Q4458">
        <v>0</v>
      </c>
      <c r="R4458">
        <v>195.61</v>
      </c>
      <c r="U4458">
        <v>24432</v>
      </c>
      <c r="W4458">
        <v>0.25</v>
      </c>
      <c r="X4458" t="s">
        <v>436</v>
      </c>
      <c r="Y4458" t="s">
        <v>236</v>
      </c>
      <c r="AA4458" t="s">
        <v>10974</v>
      </c>
      <c r="AB4458" t="s">
        <v>1060</v>
      </c>
      <c r="AD4458" t="s">
        <v>11088</v>
      </c>
      <c r="AF4458" t="s">
        <v>10384</v>
      </c>
      <c r="AG4458" t="s">
        <v>11124</v>
      </c>
      <c r="AI4458" t="s">
        <v>11126</v>
      </c>
      <c r="AK4458" t="s">
        <v>7225</v>
      </c>
      <c r="AL4458" t="s">
        <v>11150</v>
      </c>
      <c r="AM4458">
        <v>0</v>
      </c>
      <c r="AN4458" t="s">
        <v>11151</v>
      </c>
      <c r="AO4458" t="s">
        <v>11153</v>
      </c>
      <c r="AP4458" t="s">
        <v>11155</v>
      </c>
      <c r="AS4458" t="s">
        <v>11175</v>
      </c>
      <c r="AT4458" t="s">
        <v>11184</v>
      </c>
      <c r="AU4458">
        <v>0</v>
      </c>
      <c r="AW4458" t="s">
        <v>11187</v>
      </c>
      <c r="AY4458" t="s">
        <v>11213</v>
      </c>
      <c r="AZ4458" t="s">
        <v>11221</v>
      </c>
      <c r="BE4458" t="s">
        <v>14168</v>
      </c>
      <c r="BF4458" t="s">
        <v>14364</v>
      </c>
      <c r="BM4458" t="s">
        <v>15650</v>
      </c>
    </row>
    <row r="4459" spans="1:65">
      <c r="A4459" s="1">
        <f>HYPERLINK("https://lsnyc.legalserver.org/matter/dynamic-profile/view/1891244","19-1891244")</f>
        <v>0</v>
      </c>
      <c r="B4459" t="s">
        <v>236</v>
      </c>
      <c r="C4459" t="s">
        <v>246</v>
      </c>
      <c r="D4459" t="s">
        <v>586</v>
      </c>
      <c r="E4459" t="s">
        <v>536</v>
      </c>
      <c r="F4459" t="s">
        <v>2328</v>
      </c>
      <c r="G4459" t="s">
        <v>4644</v>
      </c>
      <c r="H4459" t="s">
        <v>6314</v>
      </c>
      <c r="I4459" t="s">
        <v>6410</v>
      </c>
      <c r="J4459" t="s">
        <v>7170</v>
      </c>
      <c r="K4459">
        <v>10467</v>
      </c>
      <c r="L4459" t="s">
        <v>7216</v>
      </c>
      <c r="N4459" t="s">
        <v>7237</v>
      </c>
      <c r="O4459" t="s">
        <v>7836</v>
      </c>
      <c r="P4459">
        <v>2</v>
      </c>
      <c r="Q4459">
        <v>0</v>
      </c>
      <c r="R4459">
        <v>266.11</v>
      </c>
      <c r="U4459">
        <v>45000</v>
      </c>
      <c r="W4459">
        <v>2.1</v>
      </c>
      <c r="X4459" t="s">
        <v>536</v>
      </c>
      <c r="Y4459" t="s">
        <v>10865</v>
      </c>
      <c r="AA4459" t="s">
        <v>10974</v>
      </c>
      <c r="AB4459" t="s">
        <v>1060</v>
      </c>
      <c r="AD4459" t="s">
        <v>11098</v>
      </c>
      <c r="AF4459" t="s">
        <v>11119</v>
      </c>
      <c r="AH4459" t="s">
        <v>10975</v>
      </c>
      <c r="AJ4459" t="s">
        <v>11139</v>
      </c>
      <c r="AK4459" t="s">
        <v>7225</v>
      </c>
      <c r="AM4459">
        <v>573.76</v>
      </c>
      <c r="AO4459">
        <v>71</v>
      </c>
      <c r="AQ4459" t="s">
        <v>11160</v>
      </c>
      <c r="AS4459" t="s">
        <v>11173</v>
      </c>
      <c r="AU4459">
        <v>50</v>
      </c>
      <c r="AV4459" t="s">
        <v>11186</v>
      </c>
      <c r="AZ4459" t="s">
        <v>11221</v>
      </c>
      <c r="BE4459" t="s">
        <v>14169</v>
      </c>
      <c r="BF4459" t="s">
        <v>14364</v>
      </c>
      <c r="BM4459" t="s">
        <v>15651</v>
      </c>
    </row>
    <row r="4460" spans="1:65">
      <c r="A4460" s="1">
        <f>HYPERLINK("https://lsnyc.legalserver.org/matter/dynamic-profile/view/1913771","19-1913771")</f>
        <v>0</v>
      </c>
      <c r="B4460" t="s">
        <v>236</v>
      </c>
      <c r="C4460" t="s">
        <v>246</v>
      </c>
      <c r="D4460" t="s">
        <v>272</v>
      </c>
      <c r="F4460" t="s">
        <v>1352</v>
      </c>
      <c r="G4460" t="s">
        <v>4645</v>
      </c>
      <c r="H4460" t="s">
        <v>6315</v>
      </c>
      <c r="I4460" t="s">
        <v>6566</v>
      </c>
      <c r="J4460" t="s">
        <v>7170</v>
      </c>
      <c r="K4460">
        <v>10457</v>
      </c>
      <c r="N4460" t="s">
        <v>7237</v>
      </c>
      <c r="O4460" t="s">
        <v>10057</v>
      </c>
      <c r="P4460">
        <v>1</v>
      </c>
      <c r="Q4460">
        <v>0</v>
      </c>
      <c r="R4460">
        <v>278.84</v>
      </c>
      <c r="U4460">
        <v>34826.76</v>
      </c>
      <c r="W4460">
        <v>2.25</v>
      </c>
      <c r="X4460" t="s">
        <v>436</v>
      </c>
      <c r="Y4460" t="s">
        <v>236</v>
      </c>
      <c r="AA4460" t="s">
        <v>10974</v>
      </c>
      <c r="AC4460" t="s">
        <v>11081</v>
      </c>
      <c r="AF4460" t="s">
        <v>11121</v>
      </c>
      <c r="AG4460" t="s">
        <v>11124</v>
      </c>
      <c r="AI4460" t="s">
        <v>11126</v>
      </c>
      <c r="AK4460" t="s">
        <v>7225</v>
      </c>
      <c r="AL4460" t="s">
        <v>11150</v>
      </c>
      <c r="AM4460">
        <v>0</v>
      </c>
      <c r="AN4460" t="s">
        <v>11151</v>
      </c>
      <c r="AO4460" t="s">
        <v>11153</v>
      </c>
      <c r="AP4460" t="s">
        <v>11155</v>
      </c>
      <c r="AR4460" t="s">
        <v>11172</v>
      </c>
      <c r="AT4460" t="s">
        <v>11184</v>
      </c>
      <c r="AU4460">
        <v>0</v>
      </c>
      <c r="AW4460" t="s">
        <v>11187</v>
      </c>
      <c r="AX4460" t="s">
        <v>11212</v>
      </c>
      <c r="AZ4460" t="s">
        <v>11221</v>
      </c>
      <c r="BE4460" t="s">
        <v>14170</v>
      </c>
      <c r="BF4460" t="s">
        <v>14364</v>
      </c>
      <c r="BG4460" t="s">
        <v>15510</v>
      </c>
      <c r="BM4460" t="s">
        <v>15650</v>
      </c>
    </row>
    <row r="4461" spans="1:65">
      <c r="A4461" s="1">
        <f>HYPERLINK("https://lsnyc.legalserver.org/matter/dynamic-profile/view/1914473","19-1914473")</f>
        <v>0</v>
      </c>
      <c r="B4461" t="s">
        <v>236</v>
      </c>
      <c r="C4461" t="s">
        <v>246</v>
      </c>
      <c r="D4461" t="s">
        <v>497</v>
      </c>
      <c r="F4461" t="s">
        <v>2315</v>
      </c>
      <c r="G4461" t="s">
        <v>3681</v>
      </c>
      <c r="H4461" t="s">
        <v>6316</v>
      </c>
      <c r="I4461" t="s">
        <v>6433</v>
      </c>
      <c r="J4461" t="s">
        <v>7170</v>
      </c>
      <c r="K4461">
        <v>10473</v>
      </c>
      <c r="N4461" t="s">
        <v>7237</v>
      </c>
      <c r="O4461" t="s">
        <v>10058</v>
      </c>
      <c r="P4461">
        <v>1</v>
      </c>
      <c r="Q4461">
        <v>0</v>
      </c>
      <c r="R4461">
        <v>84.36</v>
      </c>
      <c r="U4461">
        <v>10536</v>
      </c>
      <c r="W4461">
        <v>1.05</v>
      </c>
      <c r="X4461" t="s">
        <v>436</v>
      </c>
      <c r="Y4461" t="s">
        <v>236</v>
      </c>
      <c r="Z4461" t="s">
        <v>10972</v>
      </c>
      <c r="AA4461" t="s">
        <v>10976</v>
      </c>
      <c r="AC4461" t="s">
        <v>11081</v>
      </c>
      <c r="AF4461" t="s">
        <v>11119</v>
      </c>
      <c r="AG4461" t="s">
        <v>11124</v>
      </c>
      <c r="AI4461" t="s">
        <v>11126</v>
      </c>
      <c r="AK4461" t="s">
        <v>7225</v>
      </c>
      <c r="AL4461" t="s">
        <v>11150</v>
      </c>
      <c r="AM4461">
        <v>0</v>
      </c>
      <c r="AN4461" t="s">
        <v>11151</v>
      </c>
      <c r="AO4461" t="s">
        <v>11153</v>
      </c>
      <c r="AP4461" t="s">
        <v>11155</v>
      </c>
      <c r="AR4461" t="s">
        <v>11172</v>
      </c>
      <c r="AT4461" t="s">
        <v>11184</v>
      </c>
      <c r="AU4461">
        <v>0</v>
      </c>
      <c r="AW4461" t="s">
        <v>11187</v>
      </c>
      <c r="AX4461" t="s">
        <v>11212</v>
      </c>
      <c r="AZ4461" t="s">
        <v>11221</v>
      </c>
      <c r="BE4461" t="s">
        <v>14171</v>
      </c>
      <c r="BF4461" t="s">
        <v>14364</v>
      </c>
      <c r="BM4461" t="s">
        <v>15650</v>
      </c>
    </row>
    <row r="4462" spans="1:65">
      <c r="A4462" s="1">
        <f>HYPERLINK("https://lsnyc.legalserver.org/matter/dynamic-profile/view/1899836","19-1899836")</f>
        <v>0</v>
      </c>
      <c r="B4462" t="s">
        <v>237</v>
      </c>
      <c r="C4462" t="s">
        <v>246</v>
      </c>
      <c r="D4462" t="s">
        <v>382</v>
      </c>
      <c r="F4462" t="s">
        <v>2257</v>
      </c>
      <c r="G4462" t="s">
        <v>4646</v>
      </c>
      <c r="H4462" t="s">
        <v>5714</v>
      </c>
      <c r="I4462">
        <v>2</v>
      </c>
      <c r="J4462" t="s">
        <v>7170</v>
      </c>
      <c r="K4462">
        <v>10473</v>
      </c>
      <c r="N4462" t="s">
        <v>7251</v>
      </c>
      <c r="O4462" t="s">
        <v>9055</v>
      </c>
      <c r="P4462">
        <v>1</v>
      </c>
      <c r="Q4462">
        <v>0</v>
      </c>
      <c r="R4462">
        <v>70.62</v>
      </c>
      <c r="U4462">
        <v>8820</v>
      </c>
      <c r="V4462" t="s">
        <v>10794</v>
      </c>
      <c r="W4462">
        <v>26.95</v>
      </c>
      <c r="X4462" t="s">
        <v>426</v>
      </c>
      <c r="Y4462" t="s">
        <v>10877</v>
      </c>
      <c r="Z4462" t="s">
        <v>10972</v>
      </c>
      <c r="AA4462" t="s">
        <v>10976</v>
      </c>
      <c r="AD4462" t="s">
        <v>11090</v>
      </c>
      <c r="AF4462" t="s">
        <v>11120</v>
      </c>
      <c r="AH4462" t="s">
        <v>10975</v>
      </c>
      <c r="AJ4462" t="s">
        <v>11137</v>
      </c>
      <c r="AK4462" t="s">
        <v>7225</v>
      </c>
      <c r="AM4462">
        <v>800</v>
      </c>
      <c r="AO4462">
        <v>3</v>
      </c>
      <c r="AQ4462" t="s">
        <v>11156</v>
      </c>
      <c r="AS4462" t="s">
        <v>11180</v>
      </c>
      <c r="AU4462">
        <v>1</v>
      </c>
      <c r="AW4462" t="s">
        <v>11187</v>
      </c>
      <c r="AX4462" t="s">
        <v>11212</v>
      </c>
      <c r="AZ4462" t="s">
        <v>11221</v>
      </c>
      <c r="BC4462" t="s">
        <v>11643</v>
      </c>
      <c r="BE4462" t="s">
        <v>14172</v>
      </c>
      <c r="BF4462" t="s">
        <v>14364</v>
      </c>
      <c r="BM4462" t="s">
        <v>15650</v>
      </c>
    </row>
    <row r="4463" spans="1:65">
      <c r="A4463" s="1">
        <f>HYPERLINK("https://lsnyc.legalserver.org/matter/dynamic-profile/view/1838591","17-1838591")</f>
        <v>0</v>
      </c>
      <c r="B4463" t="s">
        <v>238</v>
      </c>
      <c r="C4463" t="s">
        <v>245</v>
      </c>
      <c r="D4463" t="s">
        <v>807</v>
      </c>
      <c r="F4463" t="s">
        <v>2785</v>
      </c>
      <c r="G4463" t="s">
        <v>4647</v>
      </c>
      <c r="H4463" t="s">
        <v>4875</v>
      </c>
      <c r="I4463" t="s">
        <v>7134</v>
      </c>
      <c r="J4463" t="s">
        <v>7169</v>
      </c>
      <c r="K4463">
        <v>10034</v>
      </c>
      <c r="N4463" t="s">
        <v>7237</v>
      </c>
      <c r="O4463" t="s">
        <v>10059</v>
      </c>
      <c r="P4463">
        <v>1</v>
      </c>
      <c r="Q4463">
        <v>3</v>
      </c>
      <c r="R4463">
        <v>69.76000000000001</v>
      </c>
      <c r="U4463">
        <v>17160</v>
      </c>
      <c r="W4463">
        <v>0.6</v>
      </c>
      <c r="X4463" t="s">
        <v>631</v>
      </c>
      <c r="Y4463" t="s">
        <v>10859</v>
      </c>
      <c r="AA4463" t="s">
        <v>10974</v>
      </c>
      <c r="AB4463" t="s">
        <v>348</v>
      </c>
      <c r="AD4463" t="s">
        <v>11101</v>
      </c>
      <c r="AF4463" t="s">
        <v>11118</v>
      </c>
      <c r="AH4463" t="s">
        <v>10974</v>
      </c>
      <c r="AJ4463" t="s">
        <v>11134</v>
      </c>
      <c r="AK4463" t="s">
        <v>7225</v>
      </c>
      <c r="AM4463">
        <v>811</v>
      </c>
      <c r="AO4463">
        <v>49</v>
      </c>
      <c r="AQ4463" t="s">
        <v>11157</v>
      </c>
      <c r="AS4463" t="s">
        <v>11173</v>
      </c>
      <c r="AU4463">
        <v>8</v>
      </c>
      <c r="AW4463" t="s">
        <v>11189</v>
      </c>
      <c r="AZ4463" t="s">
        <v>11221</v>
      </c>
      <c r="BE4463" t="s">
        <v>14173</v>
      </c>
      <c r="BF4463" t="s">
        <v>14364</v>
      </c>
      <c r="BM4463" t="s">
        <v>15650</v>
      </c>
    </row>
    <row r="4464" spans="1:65">
      <c r="A4464" s="1">
        <f>HYPERLINK("https://lsnyc.legalserver.org/matter/dynamic-profile/view/1891010","19-1891010")</f>
        <v>0</v>
      </c>
      <c r="B4464" t="s">
        <v>238</v>
      </c>
      <c r="C4464" t="s">
        <v>245</v>
      </c>
      <c r="D4464" t="s">
        <v>479</v>
      </c>
      <c r="F4464" t="s">
        <v>1280</v>
      </c>
      <c r="G4464" t="s">
        <v>2892</v>
      </c>
      <c r="H4464" t="s">
        <v>6317</v>
      </c>
      <c r="I4464" t="s">
        <v>6628</v>
      </c>
      <c r="J4464" t="s">
        <v>7169</v>
      </c>
      <c r="K4464">
        <v>10034</v>
      </c>
      <c r="N4464" t="s">
        <v>7237</v>
      </c>
      <c r="O4464" t="s">
        <v>10060</v>
      </c>
      <c r="P4464">
        <v>2</v>
      </c>
      <c r="Q4464">
        <v>0</v>
      </c>
      <c r="R4464">
        <v>295.68</v>
      </c>
      <c r="U4464">
        <v>50000</v>
      </c>
      <c r="W4464">
        <v>46.05</v>
      </c>
      <c r="X4464" t="s">
        <v>301</v>
      </c>
      <c r="Y4464" t="s">
        <v>238</v>
      </c>
      <c r="AA4464" t="s">
        <v>10974</v>
      </c>
      <c r="AB4464" t="s">
        <v>654</v>
      </c>
      <c r="AD4464" t="s">
        <v>11085</v>
      </c>
      <c r="AF4464" t="s">
        <v>11118</v>
      </c>
      <c r="AH4464" t="s">
        <v>10975</v>
      </c>
      <c r="AJ4464" t="s">
        <v>11130</v>
      </c>
      <c r="AK4464" t="s">
        <v>7225</v>
      </c>
      <c r="AM4464">
        <v>1321</v>
      </c>
      <c r="AO4464">
        <v>50</v>
      </c>
      <c r="AQ4464" t="s">
        <v>11157</v>
      </c>
      <c r="AR4464" t="s">
        <v>11172</v>
      </c>
      <c r="AU4464">
        <v>40</v>
      </c>
      <c r="AW4464" t="s">
        <v>11189</v>
      </c>
      <c r="AY4464" t="s">
        <v>11213</v>
      </c>
      <c r="AZ4464" t="s">
        <v>11221</v>
      </c>
      <c r="BE4464" t="s">
        <v>14174</v>
      </c>
      <c r="BF4464" t="s">
        <v>14364</v>
      </c>
      <c r="BM4464" t="s">
        <v>15650</v>
      </c>
    </row>
    <row r="4465" spans="1:65">
      <c r="A4465" s="1">
        <f>HYPERLINK("https://lsnyc.legalserver.org/matter/dynamic-profile/view/1838603","17-1838603")</f>
        <v>0</v>
      </c>
      <c r="B4465" t="s">
        <v>238</v>
      </c>
      <c r="C4465" t="s">
        <v>245</v>
      </c>
      <c r="D4465" t="s">
        <v>807</v>
      </c>
      <c r="F4465" t="s">
        <v>1549</v>
      </c>
      <c r="G4465" t="s">
        <v>4648</v>
      </c>
      <c r="H4465" t="s">
        <v>4875</v>
      </c>
      <c r="I4465" t="s">
        <v>7135</v>
      </c>
      <c r="J4465" t="s">
        <v>7169</v>
      </c>
      <c r="K4465">
        <v>10034</v>
      </c>
      <c r="N4465" t="s">
        <v>7237</v>
      </c>
      <c r="O4465" t="s">
        <v>10061</v>
      </c>
      <c r="P4465">
        <v>5</v>
      </c>
      <c r="Q4465">
        <v>3</v>
      </c>
      <c r="R4465">
        <v>128.52</v>
      </c>
      <c r="U4465">
        <v>53104</v>
      </c>
      <c r="W4465">
        <v>0.1</v>
      </c>
      <c r="X4465" t="s">
        <v>1067</v>
      </c>
      <c r="Y4465" t="s">
        <v>10859</v>
      </c>
      <c r="AA4465" t="s">
        <v>10974</v>
      </c>
      <c r="AB4465" t="s">
        <v>348</v>
      </c>
      <c r="AD4465" t="s">
        <v>11101</v>
      </c>
      <c r="AF4465" t="s">
        <v>11120</v>
      </c>
      <c r="AH4465" t="s">
        <v>10974</v>
      </c>
      <c r="AJ4465" t="s">
        <v>11134</v>
      </c>
      <c r="AK4465" t="s">
        <v>7225</v>
      </c>
      <c r="AM4465">
        <v>1052</v>
      </c>
      <c r="AO4465">
        <v>49</v>
      </c>
      <c r="AQ4465" t="s">
        <v>11157</v>
      </c>
      <c r="AS4465" t="s">
        <v>11173</v>
      </c>
      <c r="AU4465">
        <v>28</v>
      </c>
      <c r="AW4465" t="s">
        <v>11189</v>
      </c>
      <c r="AZ4465" t="s">
        <v>11221</v>
      </c>
      <c r="BE4465" t="s">
        <v>14175</v>
      </c>
      <c r="BF4465" t="s">
        <v>14364</v>
      </c>
      <c r="BM4465" t="s">
        <v>15650</v>
      </c>
    </row>
    <row r="4466" spans="1:65">
      <c r="A4466" s="1">
        <f>HYPERLINK("https://lsnyc.legalserver.org/matter/dynamic-profile/view/0816578","16-0816578")</f>
        <v>0</v>
      </c>
      <c r="B4466" t="s">
        <v>238</v>
      </c>
      <c r="C4466" t="s">
        <v>245</v>
      </c>
      <c r="D4466" t="s">
        <v>1061</v>
      </c>
      <c r="F4466" t="s">
        <v>2418</v>
      </c>
      <c r="G4466" t="s">
        <v>3514</v>
      </c>
      <c r="H4466" t="s">
        <v>5876</v>
      </c>
      <c r="I4466">
        <v>63</v>
      </c>
      <c r="J4466" t="s">
        <v>7169</v>
      </c>
      <c r="K4466">
        <v>10032</v>
      </c>
      <c r="N4466" t="s">
        <v>7237</v>
      </c>
      <c r="O4466" t="s">
        <v>10062</v>
      </c>
      <c r="P4466">
        <v>1</v>
      </c>
      <c r="Q4466">
        <v>0</v>
      </c>
      <c r="R4466">
        <v>66.17</v>
      </c>
      <c r="S4466" t="s">
        <v>951</v>
      </c>
      <c r="U4466">
        <v>7861</v>
      </c>
      <c r="W4466">
        <v>183.86</v>
      </c>
      <c r="X4466" t="s">
        <v>412</v>
      </c>
      <c r="Y4466" t="s">
        <v>10858</v>
      </c>
      <c r="AA4466" t="s">
        <v>10974</v>
      </c>
      <c r="AB4466" t="s">
        <v>1061</v>
      </c>
      <c r="AD4466" t="s">
        <v>11086</v>
      </c>
      <c r="AF4466" t="s">
        <v>11118</v>
      </c>
      <c r="AH4466" t="s">
        <v>10975</v>
      </c>
      <c r="AJ4466" t="s">
        <v>11134</v>
      </c>
      <c r="AK4466" t="s">
        <v>7225</v>
      </c>
      <c r="AM4466">
        <v>333.87</v>
      </c>
      <c r="AO4466">
        <v>35</v>
      </c>
      <c r="AQ4466" t="s">
        <v>11160</v>
      </c>
      <c r="AS4466" t="s">
        <v>11173</v>
      </c>
      <c r="AU4466">
        <v>50</v>
      </c>
      <c r="AW4466" t="s">
        <v>11187</v>
      </c>
      <c r="AZ4466" t="s">
        <v>11221</v>
      </c>
      <c r="BE4466" t="s">
        <v>14176</v>
      </c>
      <c r="BF4466" t="s">
        <v>14364</v>
      </c>
      <c r="BG4466" t="s">
        <v>15511</v>
      </c>
      <c r="BM4466" t="s">
        <v>15650</v>
      </c>
    </row>
    <row r="4467" spans="1:65">
      <c r="A4467" s="1">
        <f>HYPERLINK("https://lsnyc.legalserver.org/matter/dynamic-profile/view/1881881","18-1881881")</f>
        <v>0</v>
      </c>
      <c r="B4467" t="s">
        <v>238</v>
      </c>
      <c r="C4467" t="s">
        <v>245</v>
      </c>
      <c r="D4467" t="s">
        <v>506</v>
      </c>
      <c r="E4467" t="s">
        <v>497</v>
      </c>
      <c r="F4467" t="s">
        <v>2786</v>
      </c>
      <c r="G4467" t="s">
        <v>4649</v>
      </c>
      <c r="H4467" t="s">
        <v>6318</v>
      </c>
      <c r="I4467" t="s">
        <v>6423</v>
      </c>
      <c r="J4467" t="s">
        <v>7169</v>
      </c>
      <c r="K4467">
        <v>10032</v>
      </c>
      <c r="L4467" t="s">
        <v>7222</v>
      </c>
      <c r="N4467" t="s">
        <v>7237</v>
      </c>
      <c r="O4467" t="s">
        <v>10063</v>
      </c>
      <c r="P4467">
        <v>3</v>
      </c>
      <c r="Q4467">
        <v>2</v>
      </c>
      <c r="R4467">
        <v>15.95</v>
      </c>
      <c r="U4467">
        <v>4692</v>
      </c>
      <c r="W4467">
        <v>1.7</v>
      </c>
      <c r="X4467" t="s">
        <v>497</v>
      </c>
      <c r="Y4467" t="s">
        <v>127</v>
      </c>
      <c r="AA4467" t="s">
        <v>10974</v>
      </c>
      <c r="AB4467" t="s">
        <v>506</v>
      </c>
      <c r="AD4467" t="s">
        <v>11101</v>
      </c>
      <c r="AF4467" t="s">
        <v>11118</v>
      </c>
      <c r="AH4467" t="s">
        <v>10975</v>
      </c>
      <c r="AJ4467" t="s">
        <v>11135</v>
      </c>
      <c r="AK4467" t="s">
        <v>7225</v>
      </c>
      <c r="AM4467">
        <v>762.59</v>
      </c>
      <c r="AO4467">
        <v>20</v>
      </c>
      <c r="AQ4467" t="s">
        <v>11157</v>
      </c>
      <c r="AS4467" t="s">
        <v>11173</v>
      </c>
      <c r="AU4467">
        <v>35</v>
      </c>
      <c r="AW4467" t="s">
        <v>11187</v>
      </c>
      <c r="BA4467" t="s">
        <v>11222</v>
      </c>
      <c r="BE4467" t="s">
        <v>14177</v>
      </c>
      <c r="BF4467" t="s">
        <v>14364</v>
      </c>
      <c r="BJ4467" t="s">
        <v>15615</v>
      </c>
      <c r="BM4467" t="s">
        <v>15651</v>
      </c>
    </row>
    <row r="4468" spans="1:65">
      <c r="A4468" s="1">
        <f>HYPERLINK("https://lsnyc.legalserver.org/matter/dynamic-profile/view/1909497","19-1909497")</f>
        <v>0</v>
      </c>
      <c r="B4468" t="s">
        <v>238</v>
      </c>
      <c r="C4468" t="s">
        <v>245</v>
      </c>
      <c r="D4468" t="s">
        <v>269</v>
      </c>
      <c r="F4468" t="s">
        <v>2787</v>
      </c>
      <c r="G4468" t="s">
        <v>4650</v>
      </c>
      <c r="H4468" t="s">
        <v>5632</v>
      </c>
      <c r="I4468" t="s">
        <v>6414</v>
      </c>
      <c r="J4468" t="s">
        <v>7169</v>
      </c>
      <c r="K4468">
        <v>10040</v>
      </c>
      <c r="N4468" t="s">
        <v>7237</v>
      </c>
      <c r="O4468" t="s">
        <v>10064</v>
      </c>
      <c r="P4468">
        <v>1</v>
      </c>
      <c r="Q4468">
        <v>0</v>
      </c>
      <c r="R4468">
        <v>464.37</v>
      </c>
      <c r="U4468">
        <v>58000</v>
      </c>
      <c r="W4468">
        <v>0.1</v>
      </c>
      <c r="X4468" t="s">
        <v>434</v>
      </c>
      <c r="Y4468" t="s">
        <v>127</v>
      </c>
      <c r="AA4468" t="s">
        <v>10974</v>
      </c>
      <c r="AB4468" t="s">
        <v>269</v>
      </c>
      <c r="AD4468" t="s">
        <v>11101</v>
      </c>
      <c r="AF4468" t="s">
        <v>11121</v>
      </c>
      <c r="AH4468" t="s">
        <v>10974</v>
      </c>
      <c r="AJ4468" t="s">
        <v>11130</v>
      </c>
      <c r="AK4468" t="s">
        <v>7225</v>
      </c>
      <c r="AM4468">
        <v>1234.7</v>
      </c>
      <c r="AO4468">
        <v>77</v>
      </c>
      <c r="AQ4468" t="s">
        <v>11157</v>
      </c>
      <c r="AS4468" t="s">
        <v>11173</v>
      </c>
      <c r="AU4468">
        <v>4</v>
      </c>
      <c r="AW4468" t="s">
        <v>11187</v>
      </c>
      <c r="BA4468" t="s">
        <v>11222</v>
      </c>
      <c r="BD4468" t="s">
        <v>11667</v>
      </c>
      <c r="BF4468" t="s">
        <v>14364</v>
      </c>
      <c r="BM4468" t="s">
        <v>15650</v>
      </c>
    </row>
    <row r="4469" spans="1:65">
      <c r="A4469" s="1">
        <f>HYPERLINK("https://lsnyc.legalserver.org/matter/dynamic-profile/view/0832581","17-0832581")</f>
        <v>0</v>
      </c>
      <c r="B4469" t="s">
        <v>238</v>
      </c>
      <c r="C4469" t="s">
        <v>245</v>
      </c>
      <c r="D4469" t="s">
        <v>1062</v>
      </c>
      <c r="F4469" t="s">
        <v>1125</v>
      </c>
      <c r="G4469" t="s">
        <v>2956</v>
      </c>
      <c r="H4469" t="s">
        <v>5876</v>
      </c>
      <c r="I4469">
        <v>52</v>
      </c>
      <c r="J4469" t="s">
        <v>7169</v>
      </c>
      <c r="K4469">
        <v>10032</v>
      </c>
      <c r="N4469" t="s">
        <v>7237</v>
      </c>
      <c r="O4469" t="s">
        <v>8326</v>
      </c>
      <c r="P4469">
        <v>2</v>
      </c>
      <c r="Q4469">
        <v>0</v>
      </c>
      <c r="R4469">
        <v>62.14</v>
      </c>
      <c r="S4469" t="s">
        <v>951</v>
      </c>
      <c r="U4469">
        <v>10092</v>
      </c>
      <c r="W4469">
        <v>12.25</v>
      </c>
      <c r="X4469" t="s">
        <v>473</v>
      </c>
      <c r="Y4469" t="s">
        <v>10859</v>
      </c>
      <c r="AA4469" t="s">
        <v>10974</v>
      </c>
      <c r="AB4469" t="s">
        <v>809</v>
      </c>
      <c r="AD4469" t="s">
        <v>11101</v>
      </c>
      <c r="AF4469" t="s">
        <v>11120</v>
      </c>
      <c r="AH4469" t="s">
        <v>10974</v>
      </c>
      <c r="AJ4469" t="s">
        <v>11134</v>
      </c>
      <c r="AK4469" t="s">
        <v>7225</v>
      </c>
      <c r="AL4469" t="s">
        <v>11150</v>
      </c>
      <c r="AM4469">
        <v>0</v>
      </c>
      <c r="AN4469" t="s">
        <v>11151</v>
      </c>
      <c r="AO4469" t="s">
        <v>11153</v>
      </c>
      <c r="AQ4469" t="s">
        <v>11157</v>
      </c>
      <c r="AS4469" t="s">
        <v>11173</v>
      </c>
      <c r="AU4469">
        <v>8</v>
      </c>
      <c r="AW4469" t="s">
        <v>11189</v>
      </c>
      <c r="AZ4469" t="s">
        <v>11221</v>
      </c>
      <c r="BE4469" t="s">
        <v>14178</v>
      </c>
      <c r="BF4469" t="s">
        <v>14364</v>
      </c>
      <c r="BM4469" t="s">
        <v>15650</v>
      </c>
    </row>
    <row r="4470" spans="1:65">
      <c r="A4470" s="1">
        <f>HYPERLINK("https://lsnyc.legalserver.org/matter/dynamic-profile/view/1880351","18-1880351")</f>
        <v>0</v>
      </c>
      <c r="B4470" t="s">
        <v>238</v>
      </c>
      <c r="C4470" t="s">
        <v>245</v>
      </c>
      <c r="D4470" t="s">
        <v>465</v>
      </c>
      <c r="F4470" t="s">
        <v>2230</v>
      </c>
      <c r="G4470" t="s">
        <v>2877</v>
      </c>
      <c r="H4470" t="s">
        <v>6319</v>
      </c>
      <c r="I4470" t="s">
        <v>6415</v>
      </c>
      <c r="J4470" t="s">
        <v>7169</v>
      </c>
      <c r="K4470">
        <v>10032</v>
      </c>
      <c r="N4470" t="s">
        <v>7237</v>
      </c>
      <c r="O4470" t="s">
        <v>10065</v>
      </c>
      <c r="P4470">
        <v>3</v>
      </c>
      <c r="Q4470">
        <v>0</v>
      </c>
      <c r="R4470">
        <v>133.4</v>
      </c>
      <c r="U4470">
        <v>27720</v>
      </c>
      <c r="W4470">
        <v>174.51</v>
      </c>
      <c r="X4470" t="s">
        <v>539</v>
      </c>
      <c r="Y4470" t="s">
        <v>127</v>
      </c>
      <c r="AA4470" t="s">
        <v>10974</v>
      </c>
      <c r="AB4470" t="s">
        <v>465</v>
      </c>
      <c r="AD4470" t="s">
        <v>11082</v>
      </c>
      <c r="AF4470" t="s">
        <v>11118</v>
      </c>
      <c r="AH4470" t="s">
        <v>10975</v>
      </c>
      <c r="AJ4470" t="s">
        <v>11138</v>
      </c>
      <c r="AK4470" t="s">
        <v>7225</v>
      </c>
      <c r="AM4470">
        <v>2450</v>
      </c>
      <c r="AO4470">
        <v>25</v>
      </c>
      <c r="AQ4470" t="s">
        <v>11157</v>
      </c>
      <c r="AS4470" t="s">
        <v>11173</v>
      </c>
      <c r="AU4470">
        <v>2</v>
      </c>
      <c r="AW4470" t="s">
        <v>11189</v>
      </c>
      <c r="BA4470" t="s">
        <v>11222</v>
      </c>
      <c r="BE4470" t="s">
        <v>14179</v>
      </c>
      <c r="BF4470" t="s">
        <v>14364</v>
      </c>
      <c r="BM4470" t="s">
        <v>15650</v>
      </c>
    </row>
    <row r="4471" spans="1:65">
      <c r="A4471" s="1">
        <f>HYPERLINK("https://lsnyc.legalserver.org/matter/dynamic-profile/view/0832587","17-0832587")</f>
        <v>0</v>
      </c>
      <c r="B4471" t="s">
        <v>238</v>
      </c>
      <c r="C4471" t="s">
        <v>245</v>
      </c>
      <c r="D4471" t="s">
        <v>1062</v>
      </c>
      <c r="F4471" t="s">
        <v>1125</v>
      </c>
      <c r="G4471" t="s">
        <v>2956</v>
      </c>
      <c r="H4471" t="s">
        <v>5876</v>
      </c>
      <c r="I4471">
        <v>52</v>
      </c>
      <c r="J4471" t="s">
        <v>7169</v>
      </c>
      <c r="K4471">
        <v>10032</v>
      </c>
      <c r="N4471" t="s">
        <v>7237</v>
      </c>
      <c r="O4471" t="s">
        <v>8326</v>
      </c>
      <c r="P4471">
        <v>2</v>
      </c>
      <c r="Q4471">
        <v>0</v>
      </c>
      <c r="R4471">
        <v>62.14</v>
      </c>
      <c r="S4471" t="s">
        <v>774</v>
      </c>
      <c r="U4471">
        <v>10092</v>
      </c>
      <c r="W4471">
        <v>0</v>
      </c>
      <c r="Y4471" t="s">
        <v>10859</v>
      </c>
      <c r="AA4471" t="s">
        <v>10974</v>
      </c>
      <c r="AB4471" t="s">
        <v>10990</v>
      </c>
      <c r="AD4471" t="s">
        <v>11086</v>
      </c>
      <c r="AF4471" t="s">
        <v>11120</v>
      </c>
      <c r="AH4471" t="s">
        <v>10974</v>
      </c>
      <c r="AJ4471" t="s">
        <v>11134</v>
      </c>
      <c r="AK4471" t="s">
        <v>7225</v>
      </c>
      <c r="AM4471">
        <v>120</v>
      </c>
      <c r="AO4471">
        <v>44</v>
      </c>
      <c r="AQ4471" t="s">
        <v>11157</v>
      </c>
      <c r="AS4471" t="s">
        <v>11173</v>
      </c>
      <c r="AU4471">
        <v>8</v>
      </c>
      <c r="AW4471" t="s">
        <v>11189</v>
      </c>
      <c r="AZ4471" t="s">
        <v>11221</v>
      </c>
      <c r="BE4471" t="s">
        <v>14178</v>
      </c>
      <c r="BF4471" t="s">
        <v>14364</v>
      </c>
      <c r="BM4471" t="s">
        <v>15650</v>
      </c>
    </row>
    <row r="4472" spans="1:65">
      <c r="A4472" s="1">
        <f>HYPERLINK("https://lsnyc.legalserver.org/matter/dynamic-profile/view/1836768","17-1836768")</f>
        <v>0</v>
      </c>
      <c r="B4472" t="s">
        <v>238</v>
      </c>
      <c r="C4472" t="s">
        <v>245</v>
      </c>
      <c r="D4472" t="s">
        <v>357</v>
      </c>
      <c r="F4472" t="s">
        <v>1177</v>
      </c>
      <c r="G4472" t="s">
        <v>4651</v>
      </c>
      <c r="H4472" t="s">
        <v>5341</v>
      </c>
      <c r="I4472" t="s">
        <v>6411</v>
      </c>
      <c r="J4472" t="s">
        <v>7169</v>
      </c>
      <c r="K4472">
        <v>10040</v>
      </c>
      <c r="N4472" t="s">
        <v>7237</v>
      </c>
      <c r="O4472" t="s">
        <v>10066</v>
      </c>
      <c r="P4472">
        <v>2</v>
      </c>
      <c r="Q4472">
        <v>4</v>
      </c>
      <c r="R4472">
        <v>170.48</v>
      </c>
      <c r="S4472" t="s">
        <v>481</v>
      </c>
      <c r="U4472">
        <v>87190</v>
      </c>
      <c r="W4472">
        <v>0</v>
      </c>
      <c r="Y4472" t="s">
        <v>10859</v>
      </c>
      <c r="AA4472" t="s">
        <v>10974</v>
      </c>
      <c r="AB4472" t="s">
        <v>348</v>
      </c>
      <c r="AD4472" t="s">
        <v>11101</v>
      </c>
      <c r="AF4472" t="s">
        <v>11118</v>
      </c>
      <c r="AH4472" t="s">
        <v>10974</v>
      </c>
      <c r="AJ4472" t="s">
        <v>11134</v>
      </c>
      <c r="AK4472" t="s">
        <v>7225</v>
      </c>
      <c r="AM4472">
        <v>2180</v>
      </c>
      <c r="AO4472">
        <v>50</v>
      </c>
      <c r="AQ4472" t="s">
        <v>11157</v>
      </c>
      <c r="AS4472" t="s">
        <v>11173</v>
      </c>
      <c r="AU4472">
        <v>23</v>
      </c>
      <c r="AW4472" t="s">
        <v>11187</v>
      </c>
      <c r="AZ4472" t="s">
        <v>11221</v>
      </c>
      <c r="BE4472" t="s">
        <v>14180</v>
      </c>
      <c r="BG4472" t="s">
        <v>15512</v>
      </c>
      <c r="BM4472" t="s">
        <v>15650</v>
      </c>
    </row>
    <row r="4473" spans="1:65">
      <c r="A4473" s="1">
        <f>HYPERLINK("https://lsnyc.legalserver.org/matter/dynamic-profile/view/1909504","19-1909504")</f>
        <v>0</v>
      </c>
      <c r="B4473" t="s">
        <v>238</v>
      </c>
      <c r="C4473" t="s">
        <v>245</v>
      </c>
      <c r="D4473" t="s">
        <v>269</v>
      </c>
      <c r="F4473" t="s">
        <v>1473</v>
      </c>
      <c r="G4473" t="s">
        <v>4652</v>
      </c>
      <c r="H4473" t="s">
        <v>5632</v>
      </c>
      <c r="I4473" t="s">
        <v>6423</v>
      </c>
      <c r="J4473" t="s">
        <v>7169</v>
      </c>
      <c r="K4473">
        <v>10040</v>
      </c>
      <c r="N4473" t="s">
        <v>7237</v>
      </c>
      <c r="O4473" t="s">
        <v>10067</v>
      </c>
      <c r="P4473">
        <v>1</v>
      </c>
      <c r="Q4473">
        <v>0</v>
      </c>
      <c r="R4473">
        <v>192.15</v>
      </c>
      <c r="U4473">
        <v>24000</v>
      </c>
      <c r="W4473">
        <v>21.2</v>
      </c>
      <c r="X4473" t="s">
        <v>638</v>
      </c>
      <c r="Y4473" t="s">
        <v>127</v>
      </c>
      <c r="AA4473" t="s">
        <v>10974</v>
      </c>
      <c r="AB4473" t="s">
        <v>269</v>
      </c>
      <c r="AD4473" t="s">
        <v>11101</v>
      </c>
      <c r="AF4473" t="s">
        <v>11121</v>
      </c>
      <c r="AH4473" t="s">
        <v>10974</v>
      </c>
      <c r="AJ4473" t="s">
        <v>11130</v>
      </c>
      <c r="AK4473" t="s">
        <v>7225</v>
      </c>
      <c r="AL4473" t="s">
        <v>11150</v>
      </c>
      <c r="AM4473">
        <v>0</v>
      </c>
      <c r="AO4473">
        <v>77</v>
      </c>
      <c r="AQ4473" t="s">
        <v>11157</v>
      </c>
      <c r="AS4473" t="s">
        <v>11177</v>
      </c>
      <c r="AU4473">
        <v>4</v>
      </c>
      <c r="AW4473" t="s">
        <v>11187</v>
      </c>
      <c r="BA4473" t="s">
        <v>11222</v>
      </c>
      <c r="BE4473" t="s">
        <v>14181</v>
      </c>
      <c r="BF4473" t="s">
        <v>14364</v>
      </c>
      <c r="BM4473" t="s">
        <v>15650</v>
      </c>
    </row>
    <row r="4474" spans="1:65">
      <c r="A4474" s="1">
        <f>HYPERLINK("https://lsnyc.legalserver.org/matter/dynamic-profile/view/1909818","19-1909818")</f>
        <v>0</v>
      </c>
      <c r="B4474" t="s">
        <v>238</v>
      </c>
      <c r="C4474" t="s">
        <v>245</v>
      </c>
      <c r="D4474" t="s">
        <v>627</v>
      </c>
      <c r="F4474" t="s">
        <v>1635</v>
      </c>
      <c r="G4474" t="s">
        <v>2938</v>
      </c>
      <c r="H4474" t="s">
        <v>6320</v>
      </c>
      <c r="I4474">
        <v>35</v>
      </c>
      <c r="J4474" t="s">
        <v>7169</v>
      </c>
      <c r="K4474">
        <v>10032</v>
      </c>
      <c r="N4474" t="s">
        <v>7237</v>
      </c>
      <c r="O4474" t="s">
        <v>10068</v>
      </c>
      <c r="P4474">
        <v>3</v>
      </c>
      <c r="Q4474">
        <v>1</v>
      </c>
      <c r="R4474">
        <v>63.33</v>
      </c>
      <c r="U4474">
        <v>16308</v>
      </c>
      <c r="W4474">
        <v>13.1</v>
      </c>
      <c r="X4474" t="s">
        <v>272</v>
      </c>
      <c r="Y4474" t="s">
        <v>238</v>
      </c>
      <c r="AA4474" t="s">
        <v>10974</v>
      </c>
      <c r="AB4474" t="s">
        <v>287</v>
      </c>
      <c r="AC4474" t="s">
        <v>11081</v>
      </c>
      <c r="AF4474" t="s">
        <v>11121</v>
      </c>
      <c r="AG4474" t="s">
        <v>11124</v>
      </c>
      <c r="AJ4474" t="s">
        <v>11130</v>
      </c>
      <c r="AK4474" t="s">
        <v>7225</v>
      </c>
      <c r="AM4474">
        <v>1147.19</v>
      </c>
      <c r="AO4474">
        <v>30</v>
      </c>
      <c r="AQ4474" t="s">
        <v>11157</v>
      </c>
      <c r="AS4474" t="s">
        <v>11175</v>
      </c>
      <c r="AU4474">
        <v>27</v>
      </c>
      <c r="AW4474" t="s">
        <v>11189</v>
      </c>
      <c r="AZ4474" t="s">
        <v>11221</v>
      </c>
      <c r="BE4474" t="s">
        <v>14182</v>
      </c>
      <c r="BF4474" t="s">
        <v>14364</v>
      </c>
      <c r="BM4474" t="s">
        <v>15650</v>
      </c>
    </row>
    <row r="4475" spans="1:65">
      <c r="A4475" s="1">
        <f>HYPERLINK("https://lsnyc.legalserver.org/matter/dynamic-profile/view/0830911","17-0830911")</f>
        <v>0</v>
      </c>
      <c r="B4475" t="s">
        <v>238</v>
      </c>
      <c r="C4475" t="s">
        <v>245</v>
      </c>
      <c r="D4475" t="s">
        <v>914</v>
      </c>
      <c r="F4475" t="s">
        <v>1090</v>
      </c>
      <c r="G4475" t="s">
        <v>4653</v>
      </c>
      <c r="H4475" t="s">
        <v>6321</v>
      </c>
      <c r="I4475" t="s">
        <v>6497</v>
      </c>
      <c r="J4475" t="s">
        <v>7169</v>
      </c>
      <c r="K4475">
        <v>10034</v>
      </c>
      <c r="N4475" t="s">
        <v>7237</v>
      </c>
      <c r="O4475" t="s">
        <v>10069</v>
      </c>
      <c r="P4475">
        <v>1</v>
      </c>
      <c r="Q4475">
        <v>0</v>
      </c>
      <c r="R4475">
        <v>31.74</v>
      </c>
      <c r="U4475">
        <v>3828</v>
      </c>
      <c r="W4475">
        <v>75.3</v>
      </c>
      <c r="X4475" t="s">
        <v>426</v>
      </c>
      <c r="Y4475" t="s">
        <v>10882</v>
      </c>
      <c r="AA4475" t="s">
        <v>10974</v>
      </c>
      <c r="AB4475" t="s">
        <v>348</v>
      </c>
      <c r="AD4475" t="s">
        <v>11086</v>
      </c>
      <c r="AF4475" t="s">
        <v>11118</v>
      </c>
      <c r="AH4475" t="s">
        <v>10974</v>
      </c>
      <c r="AJ4475" t="s">
        <v>11130</v>
      </c>
      <c r="AK4475" t="s">
        <v>7225</v>
      </c>
      <c r="AM4475">
        <v>1199</v>
      </c>
      <c r="AO4475">
        <v>49</v>
      </c>
      <c r="AQ4475" t="s">
        <v>11160</v>
      </c>
      <c r="AS4475" t="s">
        <v>11173</v>
      </c>
      <c r="AU4475">
        <v>33</v>
      </c>
      <c r="AW4475" t="s">
        <v>11189</v>
      </c>
      <c r="AZ4475" t="s">
        <v>11221</v>
      </c>
      <c r="BE4475" t="s">
        <v>14183</v>
      </c>
      <c r="BF4475" t="s">
        <v>14364</v>
      </c>
      <c r="BM4475" t="s">
        <v>15650</v>
      </c>
    </row>
    <row r="4476" spans="1:65">
      <c r="A4476" s="1">
        <f>HYPERLINK("https://lsnyc.legalserver.org/matter/dynamic-profile/view/0826234","17-0826234")</f>
        <v>0</v>
      </c>
      <c r="B4476" t="s">
        <v>238</v>
      </c>
      <c r="C4476" t="s">
        <v>245</v>
      </c>
      <c r="D4476" t="s">
        <v>378</v>
      </c>
      <c r="F4476" t="s">
        <v>2788</v>
      </c>
      <c r="G4476" t="s">
        <v>4654</v>
      </c>
      <c r="H4476" t="s">
        <v>5341</v>
      </c>
      <c r="I4476" t="s">
        <v>6468</v>
      </c>
      <c r="J4476" t="s">
        <v>7169</v>
      </c>
      <c r="K4476">
        <v>10040</v>
      </c>
      <c r="N4476" t="s">
        <v>7237</v>
      </c>
      <c r="O4476" t="s">
        <v>10070</v>
      </c>
      <c r="P4476">
        <v>2</v>
      </c>
      <c r="Q4476">
        <v>3</v>
      </c>
      <c r="R4476">
        <v>140.65</v>
      </c>
      <c r="S4476" t="s">
        <v>481</v>
      </c>
      <c r="U4476">
        <v>40000</v>
      </c>
      <c r="W4476">
        <v>0</v>
      </c>
      <c r="X4476" t="s">
        <v>10811</v>
      </c>
      <c r="Y4476" t="s">
        <v>10859</v>
      </c>
      <c r="AA4476" t="s">
        <v>10974</v>
      </c>
      <c r="AB4476" t="s">
        <v>998</v>
      </c>
      <c r="AD4476" t="s">
        <v>11101</v>
      </c>
      <c r="AF4476" t="s">
        <v>11118</v>
      </c>
      <c r="AH4476" t="s">
        <v>10974</v>
      </c>
      <c r="AJ4476" t="s">
        <v>11134</v>
      </c>
      <c r="AK4476" t="s">
        <v>7225</v>
      </c>
      <c r="AM4476">
        <v>1115.91</v>
      </c>
      <c r="AO4476">
        <v>83</v>
      </c>
      <c r="AQ4476" t="s">
        <v>11157</v>
      </c>
      <c r="AS4476" t="s">
        <v>11173</v>
      </c>
      <c r="AU4476">
        <v>20</v>
      </c>
      <c r="AW4476" t="s">
        <v>11189</v>
      </c>
      <c r="AZ4476" t="s">
        <v>11221</v>
      </c>
      <c r="BE4476" t="s">
        <v>14184</v>
      </c>
      <c r="BG4476" t="s">
        <v>15512</v>
      </c>
      <c r="BM4476" t="s">
        <v>15650</v>
      </c>
    </row>
    <row r="4477" spans="1:65">
      <c r="A4477" s="1">
        <f>HYPERLINK("https://lsnyc.legalserver.org/matter/dynamic-profile/view/0831484","17-0831484")</f>
        <v>0</v>
      </c>
      <c r="B4477" t="s">
        <v>238</v>
      </c>
      <c r="C4477" t="s">
        <v>245</v>
      </c>
      <c r="D4477" t="s">
        <v>810</v>
      </c>
      <c r="F4477" t="s">
        <v>2789</v>
      </c>
      <c r="G4477" t="s">
        <v>2956</v>
      </c>
      <c r="H4477" t="s">
        <v>5341</v>
      </c>
      <c r="I4477" t="s">
        <v>6628</v>
      </c>
      <c r="J4477" t="s">
        <v>7169</v>
      </c>
      <c r="K4477">
        <v>10040</v>
      </c>
      <c r="N4477" t="s">
        <v>7237</v>
      </c>
      <c r="O4477" t="s">
        <v>10071</v>
      </c>
      <c r="P4477">
        <v>3</v>
      </c>
      <c r="Q4477">
        <v>2</v>
      </c>
      <c r="R4477">
        <v>166.78</v>
      </c>
      <c r="S4477" t="s">
        <v>481</v>
      </c>
      <c r="U4477">
        <v>48000</v>
      </c>
      <c r="W4477">
        <v>0</v>
      </c>
      <c r="Y4477" t="s">
        <v>10859</v>
      </c>
      <c r="Z4477" t="s">
        <v>10972</v>
      </c>
      <c r="AA4477" t="s">
        <v>10976</v>
      </c>
      <c r="AB4477" t="s">
        <v>11077</v>
      </c>
      <c r="AD4477" t="s">
        <v>11086</v>
      </c>
      <c r="AF4477" t="s">
        <v>11120</v>
      </c>
      <c r="AH4477" t="s">
        <v>10974</v>
      </c>
      <c r="AJ4477" t="s">
        <v>11134</v>
      </c>
      <c r="AK4477" t="s">
        <v>7225</v>
      </c>
      <c r="AM4477">
        <v>1585</v>
      </c>
      <c r="AO4477">
        <v>83</v>
      </c>
      <c r="AQ4477" t="s">
        <v>11157</v>
      </c>
      <c r="AS4477" t="s">
        <v>11173</v>
      </c>
      <c r="AU4477">
        <v>20</v>
      </c>
      <c r="AW4477" t="s">
        <v>11187</v>
      </c>
      <c r="AZ4477" t="s">
        <v>11221</v>
      </c>
      <c r="BD4477" t="s">
        <v>11667</v>
      </c>
      <c r="BF4477" t="s">
        <v>14364</v>
      </c>
      <c r="BG4477" t="s">
        <v>15513</v>
      </c>
      <c r="BM4477" t="s">
        <v>15650</v>
      </c>
    </row>
    <row r="4478" spans="1:65">
      <c r="A4478" s="1">
        <f>HYPERLINK("https://lsnyc.legalserver.org/matter/dynamic-profile/view/0830972","17-0830972")</f>
        <v>0</v>
      </c>
      <c r="B4478" t="s">
        <v>238</v>
      </c>
      <c r="C4478" t="s">
        <v>245</v>
      </c>
      <c r="D4478" t="s">
        <v>977</v>
      </c>
      <c r="F4478" t="s">
        <v>1202</v>
      </c>
      <c r="G4478" t="s">
        <v>1119</v>
      </c>
      <c r="H4478" t="s">
        <v>6322</v>
      </c>
      <c r="I4478">
        <v>5</v>
      </c>
      <c r="J4478" t="s">
        <v>7169</v>
      </c>
      <c r="K4478">
        <v>10032</v>
      </c>
      <c r="N4478" t="s">
        <v>7237</v>
      </c>
      <c r="O4478" t="s">
        <v>10072</v>
      </c>
      <c r="P4478">
        <v>6</v>
      </c>
      <c r="Q4478">
        <v>0</v>
      </c>
      <c r="R4478">
        <v>173.54</v>
      </c>
      <c r="S4478" t="s">
        <v>951</v>
      </c>
      <c r="U4478">
        <v>57200</v>
      </c>
      <c r="W4478">
        <v>1.65</v>
      </c>
      <c r="X4478" t="s">
        <v>850</v>
      </c>
      <c r="Y4478" t="s">
        <v>10859</v>
      </c>
      <c r="Z4478" t="s">
        <v>10972</v>
      </c>
      <c r="AA4478" t="s">
        <v>10976</v>
      </c>
      <c r="AB4478" t="s">
        <v>11043</v>
      </c>
      <c r="AD4478" t="s">
        <v>11101</v>
      </c>
      <c r="AF4478" t="s">
        <v>11118</v>
      </c>
      <c r="AH4478" t="s">
        <v>10974</v>
      </c>
      <c r="AJ4478" t="s">
        <v>11134</v>
      </c>
      <c r="AK4478" t="s">
        <v>7225</v>
      </c>
      <c r="AM4478">
        <v>852.74</v>
      </c>
      <c r="AO4478">
        <v>44</v>
      </c>
      <c r="AQ4478" t="s">
        <v>11157</v>
      </c>
      <c r="AS4478" t="s">
        <v>11173</v>
      </c>
      <c r="AU4478">
        <v>34</v>
      </c>
      <c r="AW4478" t="s">
        <v>11189</v>
      </c>
      <c r="AZ4478" t="s">
        <v>11221</v>
      </c>
      <c r="BE4478" t="s">
        <v>14185</v>
      </c>
      <c r="BF4478" t="s">
        <v>14364</v>
      </c>
      <c r="BG4478" t="s">
        <v>15514</v>
      </c>
      <c r="BM4478" t="s">
        <v>15650</v>
      </c>
    </row>
    <row r="4479" spans="1:65">
      <c r="A4479" s="1">
        <f>HYPERLINK("https://lsnyc.legalserver.org/matter/dynamic-profile/view/0828029","17-0828029")</f>
        <v>0</v>
      </c>
      <c r="B4479" t="s">
        <v>238</v>
      </c>
      <c r="C4479" t="s">
        <v>245</v>
      </c>
      <c r="D4479" t="s">
        <v>992</v>
      </c>
      <c r="F4479" t="s">
        <v>1090</v>
      </c>
      <c r="G4479" t="s">
        <v>2880</v>
      </c>
      <c r="H4479" t="s">
        <v>6323</v>
      </c>
      <c r="I4479">
        <v>53</v>
      </c>
      <c r="J4479" t="s">
        <v>7169</v>
      </c>
      <c r="K4479">
        <v>10034</v>
      </c>
      <c r="N4479" t="s">
        <v>7237</v>
      </c>
      <c r="O4479" t="s">
        <v>9871</v>
      </c>
      <c r="P4479">
        <v>1</v>
      </c>
      <c r="Q4479">
        <v>0</v>
      </c>
      <c r="R4479">
        <v>51.24</v>
      </c>
      <c r="U4479">
        <v>6180</v>
      </c>
      <c r="W4479">
        <v>0.7</v>
      </c>
      <c r="X4479" t="s">
        <v>10818</v>
      </c>
      <c r="Y4479" t="s">
        <v>10859</v>
      </c>
      <c r="Z4479" t="s">
        <v>10973</v>
      </c>
      <c r="AA4479" t="s">
        <v>10975</v>
      </c>
      <c r="AB4479" t="s">
        <v>513</v>
      </c>
      <c r="AD4479" t="s">
        <v>11086</v>
      </c>
      <c r="AF4479" t="s">
        <v>11118</v>
      </c>
      <c r="AH4479" t="s">
        <v>10974</v>
      </c>
      <c r="AJ4479" t="s">
        <v>11134</v>
      </c>
      <c r="AK4479" t="s">
        <v>7225</v>
      </c>
      <c r="AM4479">
        <v>816.66</v>
      </c>
      <c r="AO4479">
        <v>25</v>
      </c>
      <c r="AQ4479" t="s">
        <v>11157</v>
      </c>
      <c r="AS4479" t="s">
        <v>11173</v>
      </c>
      <c r="AU4479">
        <v>34</v>
      </c>
      <c r="AW4479" t="s">
        <v>11189</v>
      </c>
      <c r="AZ4479" t="s">
        <v>11221</v>
      </c>
      <c r="BE4479" t="s">
        <v>14186</v>
      </c>
      <c r="BF4479" t="s">
        <v>14364</v>
      </c>
      <c r="BM4479" t="s">
        <v>15650</v>
      </c>
    </row>
    <row r="4480" spans="1:65">
      <c r="A4480" s="1">
        <f>HYPERLINK("https://lsnyc.legalserver.org/matter/dynamic-profile/view/1878942","18-1878942")</f>
        <v>0</v>
      </c>
      <c r="B4480" t="s">
        <v>238</v>
      </c>
      <c r="C4480" t="s">
        <v>245</v>
      </c>
      <c r="D4480" t="s">
        <v>760</v>
      </c>
      <c r="F4480" t="s">
        <v>1635</v>
      </c>
      <c r="G4480" t="s">
        <v>4655</v>
      </c>
      <c r="H4480" t="s">
        <v>5341</v>
      </c>
      <c r="I4480" t="s">
        <v>6499</v>
      </c>
      <c r="J4480" t="s">
        <v>7169</v>
      </c>
      <c r="K4480">
        <v>10040</v>
      </c>
      <c r="N4480" t="s">
        <v>7237</v>
      </c>
      <c r="O4480" t="s">
        <v>10073</v>
      </c>
      <c r="P4480">
        <v>1</v>
      </c>
      <c r="Q4480">
        <v>0</v>
      </c>
      <c r="R4480">
        <v>49.42</v>
      </c>
      <c r="U4480">
        <v>6000</v>
      </c>
      <c r="W4480">
        <v>0</v>
      </c>
      <c r="Y4480" t="s">
        <v>127</v>
      </c>
      <c r="AA4480" t="s">
        <v>10974</v>
      </c>
      <c r="AB4480" t="s">
        <v>760</v>
      </c>
      <c r="AD4480" t="s">
        <v>11098</v>
      </c>
      <c r="AF4480" t="s">
        <v>11122</v>
      </c>
      <c r="AH4480" t="s">
        <v>10974</v>
      </c>
      <c r="AJ4480" t="s">
        <v>11134</v>
      </c>
      <c r="AK4480" t="s">
        <v>7225</v>
      </c>
      <c r="AM4480">
        <v>1155</v>
      </c>
      <c r="AO4480">
        <v>88</v>
      </c>
      <c r="AQ4480" t="s">
        <v>11157</v>
      </c>
      <c r="AS4480" t="s">
        <v>11173</v>
      </c>
      <c r="AU4480">
        <v>8</v>
      </c>
      <c r="AW4480" t="s">
        <v>11187</v>
      </c>
      <c r="BA4480" t="s">
        <v>11222</v>
      </c>
      <c r="BB4480" t="s">
        <v>11224</v>
      </c>
      <c r="BC4480" t="s">
        <v>11644</v>
      </c>
      <c r="BE4480" t="s">
        <v>14187</v>
      </c>
      <c r="BF4480" t="s">
        <v>14364</v>
      </c>
      <c r="BM4480" t="s">
        <v>15650</v>
      </c>
    </row>
    <row r="4481" spans="1:65">
      <c r="A4481" s="1">
        <f>HYPERLINK("https://lsnyc.legalserver.org/matter/dynamic-profile/view/1851670","17-1851670")</f>
        <v>0</v>
      </c>
      <c r="B4481" t="s">
        <v>238</v>
      </c>
      <c r="C4481" t="s">
        <v>245</v>
      </c>
      <c r="D4481" t="s">
        <v>1063</v>
      </c>
      <c r="F4481" t="s">
        <v>2790</v>
      </c>
      <c r="G4481" t="s">
        <v>2724</v>
      </c>
      <c r="H4481" t="s">
        <v>4875</v>
      </c>
      <c r="I4481" t="s">
        <v>7136</v>
      </c>
      <c r="J4481" t="s">
        <v>7169</v>
      </c>
      <c r="K4481">
        <v>10034</v>
      </c>
      <c r="N4481" t="s">
        <v>7237</v>
      </c>
      <c r="O4481" t="s">
        <v>10074</v>
      </c>
      <c r="P4481">
        <v>2</v>
      </c>
      <c r="Q4481">
        <v>0</v>
      </c>
      <c r="R4481">
        <v>49.26</v>
      </c>
      <c r="U4481">
        <v>8000</v>
      </c>
      <c r="W4481">
        <v>0.65</v>
      </c>
      <c r="X4481" t="s">
        <v>631</v>
      </c>
      <c r="Y4481" t="s">
        <v>127</v>
      </c>
      <c r="AA4481" t="s">
        <v>10974</v>
      </c>
      <c r="AB4481" t="s">
        <v>1063</v>
      </c>
      <c r="AD4481" t="s">
        <v>11101</v>
      </c>
      <c r="AF4481" t="s">
        <v>11118</v>
      </c>
      <c r="AH4481" t="s">
        <v>10974</v>
      </c>
      <c r="AJ4481" t="s">
        <v>11130</v>
      </c>
      <c r="AK4481" t="s">
        <v>7225</v>
      </c>
      <c r="AM4481">
        <v>715.64</v>
      </c>
      <c r="AO4481">
        <v>49</v>
      </c>
      <c r="AQ4481" t="s">
        <v>11157</v>
      </c>
      <c r="AS4481" t="s">
        <v>11173</v>
      </c>
      <c r="AU4481">
        <v>20</v>
      </c>
      <c r="AW4481" t="s">
        <v>11189</v>
      </c>
      <c r="AZ4481" t="s">
        <v>11221</v>
      </c>
      <c r="BE4481" t="s">
        <v>14188</v>
      </c>
      <c r="BF4481" t="s">
        <v>14364</v>
      </c>
      <c r="BM4481" t="s">
        <v>15650</v>
      </c>
    </row>
    <row r="4482" spans="1:65">
      <c r="A4482" s="1">
        <f>HYPERLINK("https://lsnyc.legalserver.org/matter/dynamic-profile/view/1894881","19-1894881")</f>
        <v>0</v>
      </c>
      <c r="B4482" t="s">
        <v>238</v>
      </c>
      <c r="C4482" t="s">
        <v>245</v>
      </c>
      <c r="D4482" t="s">
        <v>299</v>
      </c>
      <c r="F4482" t="s">
        <v>1440</v>
      </c>
      <c r="G4482" t="s">
        <v>4656</v>
      </c>
      <c r="H4482" t="s">
        <v>5991</v>
      </c>
      <c r="I4482">
        <v>53</v>
      </c>
      <c r="J4482" t="s">
        <v>7169</v>
      </c>
      <c r="K4482">
        <v>10034</v>
      </c>
      <c r="N4482" t="s">
        <v>7237</v>
      </c>
      <c r="O4482" t="s">
        <v>9825</v>
      </c>
      <c r="P4482">
        <v>3</v>
      </c>
      <c r="Q4482">
        <v>0</v>
      </c>
      <c r="R4482">
        <v>565.4</v>
      </c>
      <c r="T4482" t="s">
        <v>10276</v>
      </c>
      <c r="U4482">
        <v>120600</v>
      </c>
      <c r="W4482">
        <v>73.5</v>
      </c>
      <c r="X4482" t="s">
        <v>925</v>
      </c>
      <c r="Y4482" t="s">
        <v>10891</v>
      </c>
      <c r="AA4482" t="s">
        <v>10974</v>
      </c>
      <c r="AB4482" t="s">
        <v>444</v>
      </c>
      <c r="AD4482" t="s">
        <v>11101</v>
      </c>
      <c r="AF4482" t="s">
        <v>11118</v>
      </c>
      <c r="AH4482" t="s">
        <v>10974</v>
      </c>
      <c r="AJ4482" t="s">
        <v>11130</v>
      </c>
      <c r="AK4482" t="s">
        <v>7225</v>
      </c>
      <c r="AM4482">
        <v>2012.58</v>
      </c>
      <c r="AO4482">
        <v>20</v>
      </c>
      <c r="AQ4482" t="s">
        <v>11157</v>
      </c>
      <c r="AS4482" t="s">
        <v>11173</v>
      </c>
      <c r="AU4482">
        <v>9</v>
      </c>
      <c r="AW4482" t="s">
        <v>11187</v>
      </c>
      <c r="BA4482" t="s">
        <v>11222</v>
      </c>
      <c r="BE4482" t="s">
        <v>14189</v>
      </c>
      <c r="BF4482" t="s">
        <v>14364</v>
      </c>
      <c r="BG4482" t="s">
        <v>15265</v>
      </c>
      <c r="BM4482" t="s">
        <v>15650</v>
      </c>
    </row>
    <row r="4483" spans="1:65">
      <c r="A4483" s="1">
        <f>HYPERLINK("https://lsnyc.legalserver.org/matter/dynamic-profile/view/1836760","17-1836760")</f>
        <v>0</v>
      </c>
      <c r="B4483" t="s">
        <v>238</v>
      </c>
      <c r="C4483" t="s">
        <v>245</v>
      </c>
      <c r="D4483" t="s">
        <v>357</v>
      </c>
      <c r="F4483" t="s">
        <v>1708</v>
      </c>
      <c r="G4483" t="s">
        <v>2877</v>
      </c>
      <c r="H4483" t="s">
        <v>5341</v>
      </c>
      <c r="I4483" t="s">
        <v>6404</v>
      </c>
      <c r="J4483" t="s">
        <v>7169</v>
      </c>
      <c r="K4483">
        <v>10040</v>
      </c>
      <c r="N4483" t="s">
        <v>7237</v>
      </c>
      <c r="O4483" t="s">
        <v>8360</v>
      </c>
      <c r="P4483">
        <v>2</v>
      </c>
      <c r="Q4483">
        <v>0</v>
      </c>
      <c r="R4483">
        <v>311.58</v>
      </c>
      <c r="S4483" t="s">
        <v>481</v>
      </c>
      <c r="U4483">
        <v>50600</v>
      </c>
      <c r="W4483">
        <v>0</v>
      </c>
      <c r="Y4483" t="s">
        <v>10859</v>
      </c>
      <c r="AA4483" t="s">
        <v>10974</v>
      </c>
      <c r="AB4483" t="s">
        <v>348</v>
      </c>
      <c r="AD4483" t="s">
        <v>11101</v>
      </c>
      <c r="AF4483" t="s">
        <v>11118</v>
      </c>
      <c r="AH4483" t="s">
        <v>10974</v>
      </c>
      <c r="AJ4483" t="s">
        <v>11134</v>
      </c>
      <c r="AK4483" t="s">
        <v>7225</v>
      </c>
      <c r="AM4483">
        <v>1333.78</v>
      </c>
      <c r="AO4483">
        <v>83</v>
      </c>
      <c r="AQ4483" t="s">
        <v>11157</v>
      </c>
      <c r="AS4483" t="s">
        <v>11173</v>
      </c>
      <c r="AU4483">
        <v>40</v>
      </c>
      <c r="AW4483" t="s">
        <v>11189</v>
      </c>
      <c r="AZ4483" t="s">
        <v>11221</v>
      </c>
      <c r="BE4483" t="s">
        <v>14190</v>
      </c>
      <c r="BF4483" t="s">
        <v>14364</v>
      </c>
      <c r="BG4483">
        <v>34134667</v>
      </c>
      <c r="BM4483" t="s">
        <v>15650</v>
      </c>
    </row>
    <row r="4484" spans="1:65">
      <c r="A4484" s="1">
        <f>HYPERLINK("https://lsnyc.legalserver.org/matter/dynamic-profile/view/0830904","17-0830904")</f>
        <v>0</v>
      </c>
      <c r="B4484" t="s">
        <v>238</v>
      </c>
      <c r="C4484" t="s">
        <v>245</v>
      </c>
      <c r="D4484" t="s">
        <v>914</v>
      </c>
      <c r="F4484" t="s">
        <v>2791</v>
      </c>
      <c r="G4484" t="s">
        <v>2880</v>
      </c>
      <c r="H4484" t="s">
        <v>6324</v>
      </c>
      <c r="I4484">
        <v>33</v>
      </c>
      <c r="J4484" t="s">
        <v>7169</v>
      </c>
      <c r="K4484">
        <v>10032</v>
      </c>
      <c r="N4484" t="s">
        <v>7237</v>
      </c>
      <c r="O4484" t="s">
        <v>10075</v>
      </c>
      <c r="P4484">
        <v>1</v>
      </c>
      <c r="Q4484">
        <v>0</v>
      </c>
      <c r="R4484">
        <v>181.99</v>
      </c>
      <c r="S4484" t="s">
        <v>951</v>
      </c>
      <c r="U4484">
        <v>21948</v>
      </c>
      <c r="W4484">
        <v>0.75</v>
      </c>
      <c r="X4484" t="s">
        <v>557</v>
      </c>
      <c r="Y4484" t="s">
        <v>10859</v>
      </c>
      <c r="Z4484" t="s">
        <v>10972</v>
      </c>
      <c r="AA4484" t="s">
        <v>10976</v>
      </c>
      <c r="AB4484" t="s">
        <v>385</v>
      </c>
      <c r="AD4484" t="s">
        <v>11086</v>
      </c>
      <c r="AF4484" t="s">
        <v>11118</v>
      </c>
      <c r="AH4484" t="s">
        <v>10975</v>
      </c>
      <c r="AI4484" t="s">
        <v>11126</v>
      </c>
      <c r="AK4484" t="s">
        <v>7225</v>
      </c>
      <c r="AM4484">
        <v>538.64</v>
      </c>
      <c r="AO4484">
        <v>50</v>
      </c>
      <c r="AQ4484" t="s">
        <v>11157</v>
      </c>
      <c r="AS4484" t="s">
        <v>11173</v>
      </c>
      <c r="AU4484">
        <v>43</v>
      </c>
      <c r="AW4484" t="s">
        <v>11189</v>
      </c>
      <c r="AZ4484" t="s">
        <v>11221</v>
      </c>
      <c r="BE4484" t="s">
        <v>14191</v>
      </c>
      <c r="BF4484" t="s">
        <v>14364</v>
      </c>
      <c r="BM4484" t="s">
        <v>15650</v>
      </c>
    </row>
    <row r="4485" spans="1:65">
      <c r="A4485" s="1">
        <f>HYPERLINK("https://lsnyc.legalserver.org/matter/dynamic-profile/view/1847633","17-1847633")</f>
        <v>0</v>
      </c>
      <c r="B4485" t="s">
        <v>238</v>
      </c>
      <c r="C4485" t="s">
        <v>245</v>
      </c>
      <c r="D4485" t="s">
        <v>630</v>
      </c>
      <c r="F4485" t="s">
        <v>1149</v>
      </c>
      <c r="G4485" t="s">
        <v>3032</v>
      </c>
      <c r="H4485" t="s">
        <v>6325</v>
      </c>
      <c r="I4485" t="s">
        <v>6684</v>
      </c>
      <c r="J4485" t="s">
        <v>7169</v>
      </c>
      <c r="K4485">
        <v>10034</v>
      </c>
      <c r="N4485" t="s">
        <v>7237</v>
      </c>
      <c r="O4485" t="s">
        <v>10076</v>
      </c>
      <c r="P4485">
        <v>2</v>
      </c>
      <c r="Q4485">
        <v>0</v>
      </c>
      <c r="R4485">
        <v>46.55</v>
      </c>
      <c r="U4485">
        <v>7560</v>
      </c>
      <c r="W4485">
        <v>0</v>
      </c>
      <c r="Y4485" t="s">
        <v>127</v>
      </c>
      <c r="AA4485" t="s">
        <v>10974</v>
      </c>
      <c r="AB4485" t="s">
        <v>786</v>
      </c>
      <c r="AD4485" t="s">
        <v>11101</v>
      </c>
      <c r="AF4485" t="s">
        <v>11118</v>
      </c>
      <c r="AH4485" t="s">
        <v>10974</v>
      </c>
      <c r="AJ4485" t="s">
        <v>11130</v>
      </c>
      <c r="AK4485" t="s">
        <v>7225</v>
      </c>
      <c r="AM4485">
        <v>822.01</v>
      </c>
      <c r="AO4485">
        <v>50</v>
      </c>
      <c r="AQ4485" t="s">
        <v>11157</v>
      </c>
      <c r="AS4485" t="s">
        <v>11173</v>
      </c>
      <c r="AU4485">
        <v>40</v>
      </c>
      <c r="AW4485" t="s">
        <v>11189</v>
      </c>
      <c r="AZ4485" t="s">
        <v>11221</v>
      </c>
      <c r="BE4485" t="s">
        <v>14192</v>
      </c>
      <c r="BF4485" t="s">
        <v>14364</v>
      </c>
      <c r="BM4485" t="s">
        <v>15650</v>
      </c>
    </row>
    <row r="4486" spans="1:65">
      <c r="A4486" s="1">
        <f>HYPERLINK("https://lsnyc.legalserver.org/matter/dynamic-profile/view/1878934","18-1878934")</f>
        <v>0</v>
      </c>
      <c r="B4486" t="s">
        <v>238</v>
      </c>
      <c r="C4486" t="s">
        <v>245</v>
      </c>
      <c r="D4486" t="s">
        <v>760</v>
      </c>
      <c r="F4486" t="s">
        <v>1122</v>
      </c>
      <c r="G4486" t="s">
        <v>2886</v>
      </c>
      <c r="H4486" t="s">
        <v>5341</v>
      </c>
      <c r="I4486" t="s">
        <v>6679</v>
      </c>
      <c r="J4486" t="s">
        <v>7169</v>
      </c>
      <c r="K4486">
        <v>10040</v>
      </c>
      <c r="N4486" t="s">
        <v>7237</v>
      </c>
      <c r="O4486" t="s">
        <v>8199</v>
      </c>
      <c r="P4486">
        <v>1</v>
      </c>
      <c r="Q4486">
        <v>0</v>
      </c>
      <c r="R4486">
        <v>46.46</v>
      </c>
      <c r="U4486">
        <v>5640</v>
      </c>
      <c r="W4486">
        <v>0</v>
      </c>
      <c r="Y4486" t="s">
        <v>127</v>
      </c>
      <c r="AA4486" t="s">
        <v>10974</v>
      </c>
      <c r="AB4486" t="s">
        <v>760</v>
      </c>
      <c r="AD4486" t="s">
        <v>11098</v>
      </c>
      <c r="AF4486" t="s">
        <v>11122</v>
      </c>
      <c r="AH4486" t="s">
        <v>10974</v>
      </c>
      <c r="AJ4486" t="s">
        <v>11134</v>
      </c>
      <c r="AK4486" t="s">
        <v>7225</v>
      </c>
      <c r="AM4486">
        <v>102536</v>
      </c>
      <c r="AO4486">
        <v>88</v>
      </c>
      <c r="AQ4486" t="s">
        <v>11157</v>
      </c>
      <c r="AS4486" t="s">
        <v>11175</v>
      </c>
      <c r="AU4486">
        <v>26</v>
      </c>
      <c r="AW4486" t="s">
        <v>11189</v>
      </c>
      <c r="BA4486" t="s">
        <v>11222</v>
      </c>
      <c r="BE4486" t="s">
        <v>14193</v>
      </c>
      <c r="BF4486" t="s">
        <v>14364</v>
      </c>
      <c r="BM4486" t="s">
        <v>15650</v>
      </c>
    </row>
    <row r="4487" spans="1:65">
      <c r="A4487" s="1">
        <f>HYPERLINK("https://lsnyc.legalserver.org/matter/dynamic-profile/view/0831483","17-0831483")</f>
        <v>0</v>
      </c>
      <c r="B4487" t="s">
        <v>238</v>
      </c>
      <c r="C4487" t="s">
        <v>245</v>
      </c>
      <c r="D4487" t="s">
        <v>810</v>
      </c>
      <c r="F4487" t="s">
        <v>2789</v>
      </c>
      <c r="G4487" t="s">
        <v>2956</v>
      </c>
      <c r="H4487" t="s">
        <v>5341</v>
      </c>
      <c r="I4487" t="s">
        <v>6628</v>
      </c>
      <c r="J4487" t="s">
        <v>7169</v>
      </c>
      <c r="K4487">
        <v>10040</v>
      </c>
      <c r="N4487" t="s">
        <v>7237</v>
      </c>
      <c r="O4487" t="s">
        <v>10071</v>
      </c>
      <c r="P4487">
        <v>3</v>
      </c>
      <c r="Q4487">
        <v>2</v>
      </c>
      <c r="R4487">
        <v>166.78</v>
      </c>
      <c r="S4487" t="s">
        <v>481</v>
      </c>
      <c r="U4487">
        <v>48000</v>
      </c>
      <c r="W4487">
        <v>0</v>
      </c>
      <c r="X4487" t="s">
        <v>10811</v>
      </c>
      <c r="Y4487" t="s">
        <v>10859</v>
      </c>
      <c r="Z4487" t="s">
        <v>10972</v>
      </c>
      <c r="AA4487" t="s">
        <v>10976</v>
      </c>
      <c r="AB4487" t="s">
        <v>11077</v>
      </c>
      <c r="AD4487" t="s">
        <v>11101</v>
      </c>
      <c r="AF4487" t="s">
        <v>11118</v>
      </c>
      <c r="AH4487" t="s">
        <v>10974</v>
      </c>
      <c r="AJ4487" t="s">
        <v>11134</v>
      </c>
      <c r="AK4487" t="s">
        <v>7225</v>
      </c>
      <c r="AM4487">
        <v>1585</v>
      </c>
      <c r="AO4487">
        <v>83</v>
      </c>
      <c r="AQ4487" t="s">
        <v>11157</v>
      </c>
      <c r="AS4487" t="s">
        <v>11173</v>
      </c>
      <c r="AU4487">
        <v>20</v>
      </c>
      <c r="AW4487" t="s">
        <v>11187</v>
      </c>
      <c r="AZ4487" t="s">
        <v>11221</v>
      </c>
      <c r="BD4487" t="s">
        <v>11667</v>
      </c>
      <c r="BF4487" t="s">
        <v>14364</v>
      </c>
      <c r="BG4487" t="s">
        <v>15513</v>
      </c>
      <c r="BM4487" t="s">
        <v>15650</v>
      </c>
    </row>
    <row r="4488" spans="1:65">
      <c r="A4488" s="1">
        <f>HYPERLINK("https://lsnyc.legalserver.org/matter/dynamic-profile/view/1910169","19-1910169")</f>
        <v>0</v>
      </c>
      <c r="B4488" t="s">
        <v>238</v>
      </c>
      <c r="C4488" t="s">
        <v>245</v>
      </c>
      <c r="D4488" t="s">
        <v>976</v>
      </c>
      <c r="F4488" t="s">
        <v>1417</v>
      </c>
      <c r="G4488" t="s">
        <v>4657</v>
      </c>
      <c r="H4488" t="s">
        <v>6320</v>
      </c>
      <c r="J4488" t="s">
        <v>7169</v>
      </c>
      <c r="K4488">
        <v>10032</v>
      </c>
      <c r="N4488" t="s">
        <v>7237</v>
      </c>
      <c r="O4488" t="s">
        <v>10077</v>
      </c>
      <c r="P4488">
        <v>5</v>
      </c>
      <c r="Q4488">
        <v>0</v>
      </c>
      <c r="R4488">
        <v>178.56</v>
      </c>
      <c r="U4488">
        <v>53872</v>
      </c>
      <c r="W4488">
        <v>6</v>
      </c>
      <c r="X4488" t="s">
        <v>272</v>
      </c>
      <c r="Y4488" t="s">
        <v>127</v>
      </c>
      <c r="AA4488" t="s">
        <v>10974</v>
      </c>
      <c r="AB4488" t="s">
        <v>976</v>
      </c>
      <c r="AC4488" t="s">
        <v>11081</v>
      </c>
      <c r="AF4488" t="s">
        <v>11118</v>
      </c>
      <c r="AH4488" t="s">
        <v>10974</v>
      </c>
      <c r="AJ4488" t="s">
        <v>11130</v>
      </c>
      <c r="AK4488" t="s">
        <v>7225</v>
      </c>
      <c r="AM4488">
        <v>1036</v>
      </c>
      <c r="AO4488">
        <v>41</v>
      </c>
      <c r="AQ4488" t="s">
        <v>11157</v>
      </c>
      <c r="AS4488" t="s">
        <v>11173</v>
      </c>
      <c r="AU4488">
        <v>21</v>
      </c>
      <c r="AW4488" t="s">
        <v>11189</v>
      </c>
      <c r="BA4488" t="s">
        <v>11222</v>
      </c>
      <c r="BD4488" t="s">
        <v>11667</v>
      </c>
      <c r="BF4488" t="s">
        <v>14364</v>
      </c>
      <c r="BM4488" t="s">
        <v>15650</v>
      </c>
    </row>
    <row r="4489" spans="1:65">
      <c r="A4489" s="1">
        <f>HYPERLINK("https://lsnyc.legalserver.org/matter/dynamic-profile/view/1862977","18-1862977")</f>
        <v>0</v>
      </c>
      <c r="B4489" t="s">
        <v>238</v>
      </c>
      <c r="C4489" t="s">
        <v>245</v>
      </c>
      <c r="D4489" t="s">
        <v>758</v>
      </c>
      <c r="F4489" t="s">
        <v>1151</v>
      </c>
      <c r="G4489" t="s">
        <v>4658</v>
      </c>
      <c r="H4489" t="s">
        <v>6326</v>
      </c>
      <c r="I4489" t="s">
        <v>6436</v>
      </c>
      <c r="J4489" t="s">
        <v>7169</v>
      </c>
      <c r="K4489">
        <v>10034</v>
      </c>
      <c r="N4489" t="s">
        <v>7237</v>
      </c>
      <c r="O4489" t="s">
        <v>10078</v>
      </c>
      <c r="P4489">
        <v>2</v>
      </c>
      <c r="Q4489">
        <v>3</v>
      </c>
      <c r="R4489">
        <v>176.75</v>
      </c>
      <c r="U4489">
        <v>52000</v>
      </c>
      <c r="W4489">
        <v>0.55</v>
      </c>
      <c r="X4489" t="s">
        <v>527</v>
      </c>
      <c r="Y4489" t="s">
        <v>127</v>
      </c>
      <c r="AA4489" t="s">
        <v>10974</v>
      </c>
      <c r="AB4489" t="s">
        <v>758</v>
      </c>
      <c r="AD4489" t="s">
        <v>11101</v>
      </c>
      <c r="AF4489" t="s">
        <v>11118</v>
      </c>
      <c r="AH4489" t="s">
        <v>10974</v>
      </c>
      <c r="AJ4489" t="s">
        <v>11130</v>
      </c>
      <c r="AK4489" t="s">
        <v>7225</v>
      </c>
      <c r="AM4489">
        <v>1347</v>
      </c>
      <c r="AO4489">
        <v>50</v>
      </c>
      <c r="AQ4489" t="s">
        <v>11157</v>
      </c>
      <c r="AS4489" t="s">
        <v>11173</v>
      </c>
      <c r="AU4489">
        <v>4</v>
      </c>
      <c r="AW4489" t="s">
        <v>11189</v>
      </c>
      <c r="AZ4489" t="s">
        <v>11221</v>
      </c>
      <c r="BE4489" t="s">
        <v>14194</v>
      </c>
      <c r="BF4489" t="s">
        <v>14364</v>
      </c>
      <c r="BM4489" t="s">
        <v>15650</v>
      </c>
    </row>
    <row r="4490" spans="1:65">
      <c r="A4490" s="1">
        <f>HYPERLINK("https://lsnyc.legalserver.org/matter/dynamic-profile/view/1849799","17-1849799")</f>
        <v>0</v>
      </c>
      <c r="B4490" t="s">
        <v>238</v>
      </c>
      <c r="C4490" t="s">
        <v>245</v>
      </c>
      <c r="D4490" t="s">
        <v>654</v>
      </c>
      <c r="F4490" t="s">
        <v>1280</v>
      </c>
      <c r="G4490" t="s">
        <v>2892</v>
      </c>
      <c r="H4490" t="s">
        <v>6317</v>
      </c>
      <c r="I4490" t="s">
        <v>6628</v>
      </c>
      <c r="J4490" t="s">
        <v>7169</v>
      </c>
      <c r="K4490">
        <v>10034</v>
      </c>
      <c r="N4490" t="s">
        <v>7237</v>
      </c>
      <c r="O4490" t="s">
        <v>10060</v>
      </c>
      <c r="P4490">
        <v>2</v>
      </c>
      <c r="Q4490">
        <v>0</v>
      </c>
      <c r="R4490">
        <v>307.88</v>
      </c>
      <c r="U4490">
        <v>50000</v>
      </c>
      <c r="W4490">
        <v>12.5</v>
      </c>
      <c r="X4490" t="s">
        <v>367</v>
      </c>
      <c r="Y4490" t="s">
        <v>127</v>
      </c>
      <c r="AA4490" t="s">
        <v>10974</v>
      </c>
      <c r="AB4490" t="s">
        <v>654</v>
      </c>
      <c r="AD4490" t="s">
        <v>11101</v>
      </c>
      <c r="AF4490" t="s">
        <v>11118</v>
      </c>
      <c r="AH4490" t="s">
        <v>10974</v>
      </c>
      <c r="AJ4490" t="s">
        <v>11130</v>
      </c>
      <c r="AK4490" t="s">
        <v>7225</v>
      </c>
      <c r="AM4490">
        <v>1300</v>
      </c>
      <c r="AO4490">
        <v>50</v>
      </c>
      <c r="AQ4490" t="s">
        <v>11157</v>
      </c>
      <c r="AS4490" t="s">
        <v>11173</v>
      </c>
      <c r="AU4490">
        <v>40</v>
      </c>
      <c r="AW4490" t="s">
        <v>11189</v>
      </c>
      <c r="AZ4490" t="s">
        <v>11221</v>
      </c>
      <c r="BE4490" t="s">
        <v>14174</v>
      </c>
      <c r="BF4490" t="s">
        <v>14364</v>
      </c>
      <c r="BM4490" t="s">
        <v>15650</v>
      </c>
    </row>
    <row r="4491" spans="1:65">
      <c r="A4491" s="1">
        <f>HYPERLINK("https://lsnyc.legalserver.org/matter/dynamic-profile/view/0832574","17-0832574")</f>
        <v>0</v>
      </c>
      <c r="B4491" t="s">
        <v>238</v>
      </c>
      <c r="C4491" t="s">
        <v>245</v>
      </c>
      <c r="D4491" t="s">
        <v>1062</v>
      </c>
      <c r="F4491" t="s">
        <v>2370</v>
      </c>
      <c r="G4491" t="s">
        <v>2916</v>
      </c>
      <c r="H4491" t="s">
        <v>6322</v>
      </c>
      <c r="I4491" t="s">
        <v>6415</v>
      </c>
      <c r="J4491" t="s">
        <v>7169</v>
      </c>
      <c r="K4491">
        <v>10032</v>
      </c>
      <c r="N4491" t="s">
        <v>7237</v>
      </c>
      <c r="O4491" t="s">
        <v>8914</v>
      </c>
      <c r="P4491">
        <v>2</v>
      </c>
      <c r="Q4491">
        <v>2</v>
      </c>
      <c r="R4491">
        <v>160.65</v>
      </c>
      <c r="S4491" t="s">
        <v>774</v>
      </c>
      <c r="U4491">
        <v>68640</v>
      </c>
      <c r="W4491">
        <v>17.55</v>
      </c>
      <c r="X4491" t="s">
        <v>722</v>
      </c>
      <c r="Y4491" t="s">
        <v>10859</v>
      </c>
      <c r="AA4491" t="s">
        <v>10974</v>
      </c>
      <c r="AB4491" t="s">
        <v>10990</v>
      </c>
      <c r="AD4491" t="s">
        <v>11086</v>
      </c>
      <c r="AF4491" t="s">
        <v>11118</v>
      </c>
      <c r="AH4491" t="s">
        <v>10974</v>
      </c>
      <c r="AJ4491" t="s">
        <v>11134</v>
      </c>
      <c r="AK4491" t="s">
        <v>7225</v>
      </c>
      <c r="AM4491">
        <v>831</v>
      </c>
      <c r="AO4491">
        <v>44</v>
      </c>
      <c r="AQ4491" t="s">
        <v>11157</v>
      </c>
      <c r="AS4491" t="s">
        <v>11173</v>
      </c>
      <c r="AU4491">
        <v>40</v>
      </c>
      <c r="AW4491" t="s">
        <v>11189</v>
      </c>
      <c r="AZ4491" t="s">
        <v>11221</v>
      </c>
      <c r="BE4491" t="s">
        <v>14195</v>
      </c>
      <c r="BF4491" t="s">
        <v>14364</v>
      </c>
      <c r="BM4491" t="s">
        <v>15650</v>
      </c>
    </row>
    <row r="4492" spans="1:65">
      <c r="A4492" s="1">
        <f>HYPERLINK("https://lsnyc.legalserver.org/matter/dynamic-profile/view/1879905","18-1879905")</f>
        <v>0</v>
      </c>
      <c r="B4492" t="s">
        <v>238</v>
      </c>
      <c r="C4492" t="s">
        <v>245</v>
      </c>
      <c r="D4492" t="s">
        <v>595</v>
      </c>
      <c r="F4492" t="s">
        <v>2789</v>
      </c>
      <c r="G4492" t="s">
        <v>2956</v>
      </c>
      <c r="H4492" t="s">
        <v>5341</v>
      </c>
      <c r="I4492" t="s">
        <v>6628</v>
      </c>
      <c r="J4492" t="s">
        <v>7169</v>
      </c>
      <c r="K4492">
        <v>10040</v>
      </c>
      <c r="N4492" t="s">
        <v>7237</v>
      </c>
      <c r="O4492" t="s">
        <v>10071</v>
      </c>
      <c r="P4492">
        <v>3</v>
      </c>
      <c r="Q4492">
        <v>2</v>
      </c>
      <c r="R4492">
        <v>163.15</v>
      </c>
      <c r="U4492">
        <v>48000</v>
      </c>
      <c r="W4492">
        <v>4</v>
      </c>
      <c r="X4492" t="s">
        <v>575</v>
      </c>
      <c r="Y4492" t="s">
        <v>127</v>
      </c>
      <c r="AA4492" t="s">
        <v>10974</v>
      </c>
      <c r="AB4492" t="s">
        <v>595</v>
      </c>
      <c r="AD4492" t="s">
        <v>11098</v>
      </c>
      <c r="AF4492" t="s">
        <v>11122</v>
      </c>
      <c r="AH4492" t="s">
        <v>10974</v>
      </c>
      <c r="AJ4492" t="s">
        <v>11129</v>
      </c>
      <c r="AK4492" t="s">
        <v>7225</v>
      </c>
      <c r="AM4492">
        <v>1585</v>
      </c>
      <c r="AO4492">
        <v>88</v>
      </c>
      <c r="AQ4492" t="s">
        <v>11157</v>
      </c>
      <c r="AS4492" t="s">
        <v>11173</v>
      </c>
      <c r="AU4492">
        <v>20</v>
      </c>
      <c r="AW4492" t="s">
        <v>11187</v>
      </c>
      <c r="AZ4492" t="s">
        <v>11221</v>
      </c>
      <c r="BD4492" t="s">
        <v>11667</v>
      </c>
      <c r="BF4492" t="s">
        <v>14364</v>
      </c>
      <c r="BM4492" t="s">
        <v>15650</v>
      </c>
    </row>
    <row r="4493" spans="1:65">
      <c r="A4493" s="1">
        <f>HYPERLINK("https://lsnyc.legalserver.org/matter/dynamic-profile/view/1889042","19-1889042")</f>
        <v>0</v>
      </c>
      <c r="B4493" t="s">
        <v>238</v>
      </c>
      <c r="C4493" t="s">
        <v>245</v>
      </c>
      <c r="D4493" t="s">
        <v>321</v>
      </c>
      <c r="E4493" t="s">
        <v>497</v>
      </c>
      <c r="F4493" t="s">
        <v>2418</v>
      </c>
      <c r="G4493" t="s">
        <v>3514</v>
      </c>
      <c r="H4493" t="s">
        <v>5876</v>
      </c>
      <c r="I4493">
        <v>63</v>
      </c>
      <c r="J4493" t="s">
        <v>7169</v>
      </c>
      <c r="K4493">
        <v>10032</v>
      </c>
      <c r="L4493" t="s">
        <v>7219</v>
      </c>
      <c r="N4493" t="s">
        <v>7237</v>
      </c>
      <c r="O4493" t="s">
        <v>10062</v>
      </c>
      <c r="P4493">
        <v>2</v>
      </c>
      <c r="Q4493">
        <v>0</v>
      </c>
      <c r="R4493">
        <v>46.49</v>
      </c>
      <c r="U4493">
        <v>7860.96</v>
      </c>
      <c r="W4493">
        <v>13.9</v>
      </c>
      <c r="X4493" t="s">
        <v>664</v>
      </c>
      <c r="Y4493" t="s">
        <v>238</v>
      </c>
      <c r="AA4493" t="s">
        <v>10974</v>
      </c>
      <c r="AB4493" t="s">
        <v>593</v>
      </c>
      <c r="AD4493" t="s">
        <v>11082</v>
      </c>
      <c r="AF4493" t="s">
        <v>11118</v>
      </c>
      <c r="AH4493" t="s">
        <v>10975</v>
      </c>
      <c r="AJ4493" t="s">
        <v>11130</v>
      </c>
      <c r="AK4493" t="s">
        <v>7225</v>
      </c>
      <c r="AM4493">
        <v>481</v>
      </c>
      <c r="AO4493">
        <v>35</v>
      </c>
      <c r="AQ4493" t="s">
        <v>11160</v>
      </c>
      <c r="AR4493" t="s">
        <v>11172</v>
      </c>
      <c r="AU4493">
        <v>50</v>
      </c>
      <c r="AW4493" t="s">
        <v>11187</v>
      </c>
      <c r="AY4493" t="s">
        <v>11213</v>
      </c>
      <c r="AZ4493" t="s">
        <v>11221</v>
      </c>
      <c r="BE4493" t="s">
        <v>14176</v>
      </c>
      <c r="BG4493" t="s">
        <v>15515</v>
      </c>
      <c r="BH4493" t="s">
        <v>15605</v>
      </c>
      <c r="BJ4493" t="s">
        <v>15615</v>
      </c>
      <c r="BL4493" t="s">
        <v>15648</v>
      </c>
      <c r="BM4493" t="s">
        <v>15651</v>
      </c>
    </row>
    <row r="4494" spans="1:65">
      <c r="A4494" s="1">
        <f>HYPERLINK("https://lsnyc.legalserver.org/matter/dynamic-profile/view/1836770","17-1836770")</f>
        <v>0</v>
      </c>
      <c r="B4494" t="s">
        <v>238</v>
      </c>
      <c r="C4494" t="s">
        <v>245</v>
      </c>
      <c r="D4494" t="s">
        <v>357</v>
      </c>
      <c r="F4494" t="s">
        <v>1464</v>
      </c>
      <c r="G4494" t="s">
        <v>3731</v>
      </c>
      <c r="H4494" t="s">
        <v>4875</v>
      </c>
      <c r="I4494" t="s">
        <v>6694</v>
      </c>
      <c r="J4494" t="s">
        <v>7169</v>
      </c>
      <c r="K4494">
        <v>10034</v>
      </c>
      <c r="N4494" t="s">
        <v>7237</v>
      </c>
      <c r="O4494" t="s">
        <v>10079</v>
      </c>
      <c r="P4494">
        <v>2</v>
      </c>
      <c r="Q4494">
        <v>1</v>
      </c>
      <c r="R4494">
        <v>138.49</v>
      </c>
      <c r="U4494">
        <v>28280</v>
      </c>
      <c r="W4494">
        <v>126.25</v>
      </c>
      <c r="X4494" t="s">
        <v>631</v>
      </c>
      <c r="Y4494" t="s">
        <v>10859</v>
      </c>
      <c r="AA4494" t="s">
        <v>10974</v>
      </c>
      <c r="AB4494" t="s">
        <v>809</v>
      </c>
      <c r="AD4494" t="s">
        <v>11101</v>
      </c>
      <c r="AF4494" t="s">
        <v>11118</v>
      </c>
      <c r="AH4494" t="s">
        <v>10974</v>
      </c>
      <c r="AJ4494" t="s">
        <v>11134</v>
      </c>
      <c r="AK4494" t="s">
        <v>7225</v>
      </c>
      <c r="AM4494">
        <v>940</v>
      </c>
      <c r="AN4494" t="s">
        <v>11151</v>
      </c>
      <c r="AO4494" t="s">
        <v>11153</v>
      </c>
      <c r="AQ4494" t="s">
        <v>11157</v>
      </c>
      <c r="AS4494" t="s">
        <v>11173</v>
      </c>
      <c r="AU4494">
        <v>16</v>
      </c>
      <c r="AW4494" t="s">
        <v>11189</v>
      </c>
      <c r="AZ4494" t="s">
        <v>11221</v>
      </c>
      <c r="BE4494" t="s">
        <v>14196</v>
      </c>
      <c r="BF4494" t="s">
        <v>14364</v>
      </c>
      <c r="BM4494" t="s">
        <v>15650</v>
      </c>
    </row>
    <row r="4495" spans="1:65">
      <c r="A4495" s="1">
        <f>HYPERLINK("https://lsnyc.legalserver.org/matter/dynamic-profile/view/0831773","17-0831773")</f>
        <v>0</v>
      </c>
      <c r="B4495" t="s">
        <v>238</v>
      </c>
      <c r="C4495" t="s">
        <v>245</v>
      </c>
      <c r="D4495" t="s">
        <v>682</v>
      </c>
      <c r="E4495" t="s">
        <v>497</v>
      </c>
      <c r="F4495" t="s">
        <v>1846</v>
      </c>
      <c r="G4495" t="s">
        <v>4659</v>
      </c>
      <c r="H4495" t="s">
        <v>4913</v>
      </c>
      <c r="I4495">
        <v>21</v>
      </c>
      <c r="J4495" t="s">
        <v>7169</v>
      </c>
      <c r="K4495">
        <v>10034</v>
      </c>
      <c r="L4495" t="s">
        <v>7217</v>
      </c>
      <c r="N4495" t="s">
        <v>7237</v>
      </c>
      <c r="O4495" t="s">
        <v>10080</v>
      </c>
      <c r="P4495">
        <v>3</v>
      </c>
      <c r="Q4495">
        <v>1</v>
      </c>
      <c r="R4495">
        <v>156.42</v>
      </c>
      <c r="U4495">
        <v>38480</v>
      </c>
      <c r="W4495">
        <v>3.7</v>
      </c>
      <c r="X4495" t="s">
        <v>840</v>
      </c>
      <c r="Y4495" t="s">
        <v>10946</v>
      </c>
      <c r="AA4495" t="s">
        <v>10974</v>
      </c>
      <c r="AB4495" t="s">
        <v>809</v>
      </c>
      <c r="AD4495" t="s">
        <v>11102</v>
      </c>
      <c r="AF4495" t="s">
        <v>11118</v>
      </c>
      <c r="AH4495" t="s">
        <v>10975</v>
      </c>
      <c r="AJ4495" t="s">
        <v>11130</v>
      </c>
      <c r="AK4495" t="s">
        <v>7225</v>
      </c>
      <c r="AM4495">
        <v>1200</v>
      </c>
      <c r="AO4495">
        <v>24</v>
      </c>
      <c r="AQ4495" t="s">
        <v>11157</v>
      </c>
      <c r="AS4495" t="s">
        <v>11173</v>
      </c>
      <c r="AU4495">
        <v>2</v>
      </c>
      <c r="AW4495" t="s">
        <v>11187</v>
      </c>
      <c r="AZ4495" t="s">
        <v>11221</v>
      </c>
      <c r="BE4495" t="s">
        <v>14197</v>
      </c>
      <c r="BG4495" t="s">
        <v>15516</v>
      </c>
      <c r="BH4495" t="s">
        <v>15605</v>
      </c>
      <c r="BJ4495" t="s">
        <v>15615</v>
      </c>
      <c r="BL4495" t="s">
        <v>15648</v>
      </c>
      <c r="BM4495" t="s">
        <v>15651</v>
      </c>
    </row>
    <row r="4496" spans="1:65">
      <c r="A4496" s="1">
        <f>HYPERLINK("https://lsnyc.legalserver.org/matter/dynamic-profile/view/1908937","19-1908937")</f>
        <v>0</v>
      </c>
      <c r="B4496" t="s">
        <v>238</v>
      </c>
      <c r="C4496" t="s">
        <v>245</v>
      </c>
      <c r="D4496" t="s">
        <v>420</v>
      </c>
      <c r="F4496" t="s">
        <v>2443</v>
      </c>
      <c r="G4496" t="s">
        <v>4660</v>
      </c>
      <c r="H4496" t="s">
        <v>5632</v>
      </c>
      <c r="I4496" t="s">
        <v>6485</v>
      </c>
      <c r="J4496" t="s">
        <v>7169</v>
      </c>
      <c r="K4496">
        <v>10040</v>
      </c>
      <c r="N4496" t="s">
        <v>7237</v>
      </c>
      <c r="O4496" t="s">
        <v>10081</v>
      </c>
      <c r="P4496">
        <v>1</v>
      </c>
      <c r="Q4496">
        <v>0</v>
      </c>
      <c r="R4496">
        <v>153.72</v>
      </c>
      <c r="U4496">
        <v>19200</v>
      </c>
      <c r="W4496">
        <v>0.5</v>
      </c>
      <c r="X4496" t="s">
        <v>598</v>
      </c>
      <c r="Y4496" t="s">
        <v>127</v>
      </c>
      <c r="AA4496" t="s">
        <v>10974</v>
      </c>
      <c r="AB4496" t="s">
        <v>420</v>
      </c>
      <c r="AD4496" t="s">
        <v>11101</v>
      </c>
      <c r="AF4496" t="s">
        <v>11118</v>
      </c>
      <c r="AH4496" t="s">
        <v>10974</v>
      </c>
      <c r="AJ4496" t="s">
        <v>11130</v>
      </c>
      <c r="AK4496" t="s">
        <v>7225</v>
      </c>
      <c r="AM4496">
        <v>854</v>
      </c>
      <c r="AO4496">
        <v>77</v>
      </c>
      <c r="AQ4496" t="s">
        <v>11157</v>
      </c>
      <c r="AS4496" t="s">
        <v>11173</v>
      </c>
      <c r="AU4496">
        <v>41</v>
      </c>
      <c r="AW4496" t="s">
        <v>11189</v>
      </c>
      <c r="BA4496" t="s">
        <v>11222</v>
      </c>
      <c r="BE4496" t="s">
        <v>14198</v>
      </c>
      <c r="BF4496" t="s">
        <v>14364</v>
      </c>
      <c r="BM4496" t="s">
        <v>15650</v>
      </c>
    </row>
    <row r="4497" spans="1:65">
      <c r="A4497" s="1">
        <f>HYPERLINK("https://lsnyc.legalserver.org/matter/dynamic-profile/view/0821880","16-0821880")</f>
        <v>0</v>
      </c>
      <c r="B4497" t="s">
        <v>238</v>
      </c>
      <c r="C4497" t="s">
        <v>245</v>
      </c>
      <c r="D4497" t="s">
        <v>793</v>
      </c>
      <c r="F4497" t="s">
        <v>1258</v>
      </c>
      <c r="G4497" t="s">
        <v>2877</v>
      </c>
      <c r="H4497" t="s">
        <v>5876</v>
      </c>
      <c r="I4497">
        <v>65</v>
      </c>
      <c r="J4497" t="s">
        <v>7169</v>
      </c>
      <c r="K4497">
        <v>10032</v>
      </c>
      <c r="N4497" t="s">
        <v>7237</v>
      </c>
      <c r="O4497" t="s">
        <v>10082</v>
      </c>
      <c r="P4497">
        <v>3</v>
      </c>
      <c r="Q4497">
        <v>2</v>
      </c>
      <c r="R4497">
        <v>140.65</v>
      </c>
      <c r="U4497">
        <v>40000</v>
      </c>
      <c r="W4497">
        <v>2.7</v>
      </c>
      <c r="X4497" t="s">
        <v>664</v>
      </c>
      <c r="Y4497" t="s">
        <v>10859</v>
      </c>
      <c r="Z4497" t="s">
        <v>10973</v>
      </c>
      <c r="AA4497" t="s">
        <v>10975</v>
      </c>
      <c r="AB4497" t="s">
        <v>408</v>
      </c>
      <c r="AD4497" t="s">
        <v>11101</v>
      </c>
      <c r="AF4497" t="s">
        <v>11118</v>
      </c>
      <c r="AH4497" t="s">
        <v>10974</v>
      </c>
      <c r="AJ4497" t="s">
        <v>11134</v>
      </c>
      <c r="AK4497" t="s">
        <v>7225</v>
      </c>
      <c r="AM4497">
        <v>904.48</v>
      </c>
      <c r="AO4497">
        <v>35</v>
      </c>
      <c r="AQ4497" t="s">
        <v>11157</v>
      </c>
      <c r="AS4497" t="s">
        <v>11173</v>
      </c>
      <c r="AU4497">
        <v>36</v>
      </c>
      <c r="AW4497" t="s">
        <v>11187</v>
      </c>
      <c r="AZ4497" t="s">
        <v>11221</v>
      </c>
      <c r="BE4497" t="s">
        <v>14199</v>
      </c>
      <c r="BF4497" t="s">
        <v>14364</v>
      </c>
      <c r="BG4497" t="s">
        <v>15517</v>
      </c>
      <c r="BM4497" t="s">
        <v>15650</v>
      </c>
    </row>
    <row r="4498" spans="1:65">
      <c r="A4498" s="1">
        <f>HYPERLINK("https://lsnyc.legalserver.org/matter/dynamic-profile/view/0826348","17-0826348")</f>
        <v>0</v>
      </c>
      <c r="B4498" t="s">
        <v>238</v>
      </c>
      <c r="C4498" t="s">
        <v>245</v>
      </c>
      <c r="D4498" t="s">
        <v>1018</v>
      </c>
      <c r="F4498" t="s">
        <v>1183</v>
      </c>
      <c r="G4498" t="s">
        <v>4661</v>
      </c>
      <c r="H4498" t="s">
        <v>5341</v>
      </c>
      <c r="I4498" t="s">
        <v>6611</v>
      </c>
      <c r="J4498" t="s">
        <v>7169</v>
      </c>
      <c r="K4498">
        <v>10040</v>
      </c>
      <c r="N4498" t="s">
        <v>7237</v>
      </c>
      <c r="O4498" t="s">
        <v>10083</v>
      </c>
      <c r="P4498">
        <v>2</v>
      </c>
      <c r="Q4498">
        <v>2</v>
      </c>
      <c r="R4498">
        <v>186.83</v>
      </c>
      <c r="S4498" t="s">
        <v>481</v>
      </c>
      <c r="U4498">
        <v>45400</v>
      </c>
      <c r="W4498">
        <v>0</v>
      </c>
      <c r="X4498" t="s">
        <v>10811</v>
      </c>
      <c r="Y4498" t="s">
        <v>10859</v>
      </c>
      <c r="AA4498" t="s">
        <v>10974</v>
      </c>
      <c r="AB4498" t="s">
        <v>11077</v>
      </c>
      <c r="AD4498" t="s">
        <v>11101</v>
      </c>
      <c r="AF4498" t="s">
        <v>11118</v>
      </c>
      <c r="AH4498" t="s">
        <v>10974</v>
      </c>
      <c r="AJ4498" t="s">
        <v>11134</v>
      </c>
      <c r="AK4498" t="s">
        <v>7225</v>
      </c>
      <c r="AM4498">
        <v>1169.86</v>
      </c>
      <c r="AO4498">
        <v>83</v>
      </c>
      <c r="AQ4498" t="s">
        <v>11157</v>
      </c>
      <c r="AS4498" t="s">
        <v>11173</v>
      </c>
      <c r="AU4498">
        <v>5</v>
      </c>
      <c r="AW4498" t="s">
        <v>11187</v>
      </c>
      <c r="AZ4498" t="s">
        <v>11221</v>
      </c>
      <c r="BD4498" t="s">
        <v>11667</v>
      </c>
      <c r="BF4498" t="s">
        <v>14364</v>
      </c>
      <c r="BG4498" t="s">
        <v>15518</v>
      </c>
      <c r="BM4498" t="s">
        <v>15650</v>
      </c>
    </row>
    <row r="4499" spans="1:65">
      <c r="A4499" s="1">
        <f>HYPERLINK("https://lsnyc.legalserver.org/matter/dynamic-profile/view/1878909","18-1878909")</f>
        <v>0</v>
      </c>
      <c r="B4499" t="s">
        <v>238</v>
      </c>
      <c r="C4499" t="s">
        <v>245</v>
      </c>
      <c r="D4499" t="s">
        <v>760</v>
      </c>
      <c r="F4499" t="s">
        <v>2792</v>
      </c>
      <c r="G4499" t="s">
        <v>3680</v>
      </c>
      <c r="H4499" t="s">
        <v>5341</v>
      </c>
      <c r="I4499" t="s">
        <v>6421</v>
      </c>
      <c r="J4499" t="s">
        <v>7169</v>
      </c>
      <c r="K4499">
        <v>10040</v>
      </c>
      <c r="N4499" t="s">
        <v>7237</v>
      </c>
      <c r="O4499" t="s">
        <v>9637</v>
      </c>
      <c r="P4499">
        <v>2</v>
      </c>
      <c r="Q4499">
        <v>1</v>
      </c>
      <c r="R4499">
        <v>144.37</v>
      </c>
      <c r="U4499">
        <v>30000</v>
      </c>
      <c r="W4499">
        <v>0</v>
      </c>
      <c r="Y4499" t="s">
        <v>127</v>
      </c>
      <c r="AA4499" t="s">
        <v>10974</v>
      </c>
      <c r="AB4499" t="s">
        <v>760</v>
      </c>
      <c r="AD4499" t="s">
        <v>11098</v>
      </c>
      <c r="AF4499" t="s">
        <v>11122</v>
      </c>
      <c r="AH4499" t="s">
        <v>10974</v>
      </c>
      <c r="AJ4499" t="s">
        <v>11134</v>
      </c>
      <c r="AK4499" t="s">
        <v>7225</v>
      </c>
      <c r="AM4499">
        <v>1004</v>
      </c>
      <c r="AO4499">
        <v>88</v>
      </c>
      <c r="AQ4499" t="s">
        <v>11157</v>
      </c>
      <c r="AS4499" t="s">
        <v>11176</v>
      </c>
      <c r="AU4499">
        <v>37</v>
      </c>
      <c r="AW4499" t="s">
        <v>11189</v>
      </c>
      <c r="BA4499" t="s">
        <v>11222</v>
      </c>
      <c r="BD4499" t="s">
        <v>11667</v>
      </c>
      <c r="BF4499" t="s">
        <v>14364</v>
      </c>
      <c r="BM4499" t="s">
        <v>15650</v>
      </c>
    </row>
    <row r="4500" spans="1:65">
      <c r="A4500" s="1">
        <f>HYPERLINK("https://lsnyc.legalserver.org/matter/dynamic-profile/view/1914395","19-1914395")</f>
        <v>0</v>
      </c>
      <c r="B4500" t="s">
        <v>238</v>
      </c>
      <c r="C4500" t="s">
        <v>245</v>
      </c>
      <c r="D4500" t="s">
        <v>497</v>
      </c>
      <c r="F4500" t="s">
        <v>1122</v>
      </c>
      <c r="G4500" t="s">
        <v>3805</v>
      </c>
      <c r="H4500" t="s">
        <v>5506</v>
      </c>
      <c r="I4500">
        <v>2</v>
      </c>
      <c r="J4500" t="s">
        <v>7169</v>
      </c>
      <c r="K4500">
        <v>10034</v>
      </c>
      <c r="N4500" t="s">
        <v>7237</v>
      </c>
      <c r="O4500" t="s">
        <v>10084</v>
      </c>
      <c r="P4500">
        <v>2</v>
      </c>
      <c r="Q4500">
        <v>0</v>
      </c>
      <c r="R4500">
        <v>145.76</v>
      </c>
      <c r="U4500">
        <v>24648</v>
      </c>
      <c r="W4500">
        <v>1.5</v>
      </c>
      <c r="X4500" t="s">
        <v>436</v>
      </c>
      <c r="Y4500" t="s">
        <v>127</v>
      </c>
      <c r="AA4500" t="s">
        <v>10974</v>
      </c>
      <c r="AB4500" t="s">
        <v>436</v>
      </c>
      <c r="AC4500" t="s">
        <v>11081</v>
      </c>
      <c r="AF4500" t="s">
        <v>11118</v>
      </c>
      <c r="AH4500" t="s">
        <v>10975</v>
      </c>
      <c r="AJ4500" t="s">
        <v>11129</v>
      </c>
      <c r="AK4500" t="s">
        <v>7225</v>
      </c>
      <c r="AM4500">
        <v>312</v>
      </c>
      <c r="AO4500">
        <v>22</v>
      </c>
      <c r="AQ4500" t="s">
        <v>11157</v>
      </c>
      <c r="AS4500" t="s">
        <v>11174</v>
      </c>
      <c r="AU4500">
        <v>39</v>
      </c>
      <c r="AW4500" t="s">
        <v>11187</v>
      </c>
      <c r="BA4500" t="s">
        <v>11222</v>
      </c>
      <c r="BE4500" t="s">
        <v>14200</v>
      </c>
      <c r="BF4500" t="s">
        <v>14364</v>
      </c>
      <c r="BM4500" t="s">
        <v>15650</v>
      </c>
    </row>
    <row r="4501" spans="1:65">
      <c r="A4501" s="1">
        <f>HYPERLINK("https://lsnyc.legalserver.org/matter/dynamic-profile/view/1870937","18-1870937")</f>
        <v>0</v>
      </c>
      <c r="B4501" t="s">
        <v>238</v>
      </c>
      <c r="C4501" t="s">
        <v>245</v>
      </c>
      <c r="D4501" t="s">
        <v>975</v>
      </c>
      <c r="F4501" t="s">
        <v>1252</v>
      </c>
      <c r="G4501" t="s">
        <v>3824</v>
      </c>
      <c r="H4501" t="s">
        <v>6327</v>
      </c>
      <c r="I4501" t="s">
        <v>6417</v>
      </c>
      <c r="J4501" t="s">
        <v>7169</v>
      </c>
      <c r="K4501">
        <v>10040</v>
      </c>
      <c r="N4501" t="s">
        <v>7237</v>
      </c>
      <c r="O4501" t="s">
        <v>10085</v>
      </c>
      <c r="P4501">
        <v>4</v>
      </c>
      <c r="Q4501">
        <v>0</v>
      </c>
      <c r="R4501">
        <v>32.65</v>
      </c>
      <c r="U4501">
        <v>8196</v>
      </c>
      <c r="W4501">
        <v>166.37</v>
      </c>
      <c r="X4501" t="s">
        <v>447</v>
      </c>
      <c r="Y4501" t="s">
        <v>127</v>
      </c>
      <c r="AA4501" t="s">
        <v>10974</v>
      </c>
      <c r="AB4501" t="s">
        <v>975</v>
      </c>
      <c r="AD4501" t="s">
        <v>11083</v>
      </c>
      <c r="AF4501" t="s">
        <v>11118</v>
      </c>
      <c r="AH4501" t="s">
        <v>10975</v>
      </c>
      <c r="AJ4501" t="s">
        <v>11130</v>
      </c>
      <c r="AK4501" t="s">
        <v>7225</v>
      </c>
      <c r="AM4501">
        <v>1268</v>
      </c>
      <c r="AO4501">
        <v>55</v>
      </c>
      <c r="AQ4501" t="s">
        <v>11157</v>
      </c>
      <c r="AS4501" t="s">
        <v>11174</v>
      </c>
      <c r="AU4501">
        <v>40</v>
      </c>
      <c r="AW4501" t="s">
        <v>11189</v>
      </c>
      <c r="AY4501" t="s">
        <v>11213</v>
      </c>
      <c r="AZ4501" t="s">
        <v>11221</v>
      </c>
      <c r="BE4501" t="s">
        <v>14201</v>
      </c>
      <c r="BF4501" t="s">
        <v>14364</v>
      </c>
      <c r="BM4501" t="s">
        <v>15650</v>
      </c>
    </row>
    <row r="4502" spans="1:65">
      <c r="A4502" s="1">
        <f>HYPERLINK("https://lsnyc.legalserver.org/matter/dynamic-profile/view/1849707","17-1849707")</f>
        <v>0</v>
      </c>
      <c r="B4502" t="s">
        <v>238</v>
      </c>
      <c r="C4502" t="s">
        <v>245</v>
      </c>
      <c r="D4502" t="s">
        <v>1064</v>
      </c>
      <c r="F4502" t="s">
        <v>1628</v>
      </c>
      <c r="G4502" t="s">
        <v>4662</v>
      </c>
      <c r="H4502" t="s">
        <v>4875</v>
      </c>
      <c r="I4502" t="s">
        <v>7137</v>
      </c>
      <c r="J4502" t="s">
        <v>7169</v>
      </c>
      <c r="K4502">
        <v>10034</v>
      </c>
      <c r="N4502" t="s">
        <v>7237</v>
      </c>
      <c r="O4502" t="s">
        <v>10086</v>
      </c>
      <c r="P4502">
        <v>2</v>
      </c>
      <c r="Q4502">
        <v>3</v>
      </c>
      <c r="R4502">
        <v>173.73</v>
      </c>
      <c r="U4502">
        <v>50000</v>
      </c>
      <c r="W4502">
        <v>1.1</v>
      </c>
      <c r="X4502" t="s">
        <v>631</v>
      </c>
      <c r="Y4502" t="s">
        <v>127</v>
      </c>
      <c r="AA4502" t="s">
        <v>10974</v>
      </c>
      <c r="AB4502" t="s">
        <v>1064</v>
      </c>
      <c r="AD4502" t="s">
        <v>11101</v>
      </c>
      <c r="AF4502" t="s">
        <v>11118</v>
      </c>
      <c r="AH4502" t="s">
        <v>10974</v>
      </c>
      <c r="AJ4502" t="s">
        <v>11130</v>
      </c>
      <c r="AK4502" t="s">
        <v>7225</v>
      </c>
      <c r="AM4502">
        <v>958</v>
      </c>
      <c r="AO4502">
        <v>49</v>
      </c>
      <c r="AQ4502" t="s">
        <v>11157</v>
      </c>
      <c r="AS4502" t="s">
        <v>11173</v>
      </c>
      <c r="AU4502">
        <v>14</v>
      </c>
      <c r="AW4502" t="s">
        <v>11189</v>
      </c>
      <c r="AZ4502" t="s">
        <v>11221</v>
      </c>
      <c r="BE4502" t="s">
        <v>14202</v>
      </c>
      <c r="BF4502" t="s">
        <v>14364</v>
      </c>
      <c r="BM4502" t="s">
        <v>15650</v>
      </c>
    </row>
    <row r="4503" spans="1:65">
      <c r="A4503" s="1">
        <f>HYPERLINK("https://lsnyc.legalserver.org/matter/dynamic-profile/view/1856063","18-1856063")</f>
        <v>0</v>
      </c>
      <c r="B4503" t="s">
        <v>238</v>
      </c>
      <c r="C4503" t="s">
        <v>245</v>
      </c>
      <c r="D4503" t="s">
        <v>673</v>
      </c>
      <c r="F4503" t="s">
        <v>1204</v>
      </c>
      <c r="G4503" t="s">
        <v>3168</v>
      </c>
      <c r="H4503" t="s">
        <v>4875</v>
      </c>
      <c r="J4503" t="s">
        <v>7169</v>
      </c>
      <c r="K4503">
        <v>10034</v>
      </c>
      <c r="N4503" t="s">
        <v>7237</v>
      </c>
      <c r="O4503" t="s">
        <v>10087</v>
      </c>
      <c r="P4503">
        <v>2</v>
      </c>
      <c r="Q4503">
        <v>0</v>
      </c>
      <c r="R4503">
        <v>486.45</v>
      </c>
      <c r="U4503">
        <v>79000</v>
      </c>
      <c r="W4503">
        <v>3.15</v>
      </c>
      <c r="X4503" t="s">
        <v>382</v>
      </c>
      <c r="Y4503" t="s">
        <v>127</v>
      </c>
      <c r="AA4503" t="s">
        <v>10974</v>
      </c>
      <c r="AB4503" t="s">
        <v>673</v>
      </c>
      <c r="AD4503" t="s">
        <v>11101</v>
      </c>
      <c r="AF4503" t="s">
        <v>11118</v>
      </c>
      <c r="AH4503" t="s">
        <v>10974</v>
      </c>
      <c r="AJ4503" t="s">
        <v>11134</v>
      </c>
      <c r="AK4503" t="s">
        <v>7225</v>
      </c>
      <c r="AL4503" t="s">
        <v>11150</v>
      </c>
      <c r="AM4503">
        <v>0</v>
      </c>
      <c r="AO4503">
        <v>49</v>
      </c>
      <c r="AQ4503" t="s">
        <v>11157</v>
      </c>
      <c r="AS4503" t="s">
        <v>11173</v>
      </c>
      <c r="AT4503" t="s">
        <v>11184</v>
      </c>
      <c r="AU4503">
        <v>0</v>
      </c>
      <c r="AW4503" t="s">
        <v>11189</v>
      </c>
      <c r="AZ4503" t="s">
        <v>11221</v>
      </c>
      <c r="BD4503" t="s">
        <v>11667</v>
      </c>
      <c r="BF4503" t="s">
        <v>14364</v>
      </c>
      <c r="BM4503" t="s">
        <v>15650</v>
      </c>
    </row>
    <row r="4504" spans="1:65">
      <c r="A4504" s="1">
        <f>HYPERLINK("https://lsnyc.legalserver.org/matter/dynamic-profile/view/1911974","19-1911974")</f>
        <v>0</v>
      </c>
      <c r="B4504" t="s">
        <v>238</v>
      </c>
      <c r="C4504" t="s">
        <v>245</v>
      </c>
      <c r="D4504" t="s">
        <v>341</v>
      </c>
      <c r="E4504" t="s">
        <v>497</v>
      </c>
      <c r="F4504" t="s">
        <v>2793</v>
      </c>
      <c r="G4504" t="s">
        <v>2921</v>
      </c>
      <c r="H4504" t="s">
        <v>6328</v>
      </c>
      <c r="I4504" t="s">
        <v>6667</v>
      </c>
      <c r="J4504" t="s">
        <v>7169</v>
      </c>
      <c r="K4504">
        <v>10033</v>
      </c>
      <c r="L4504" t="s">
        <v>7216</v>
      </c>
      <c r="N4504" t="s">
        <v>7237</v>
      </c>
      <c r="O4504" t="s">
        <v>10088</v>
      </c>
      <c r="P4504">
        <v>1</v>
      </c>
      <c r="Q4504">
        <v>0</v>
      </c>
      <c r="R4504">
        <v>20.66</v>
      </c>
      <c r="U4504">
        <v>2580</v>
      </c>
      <c r="W4504">
        <v>1</v>
      </c>
      <c r="X4504" t="s">
        <v>341</v>
      </c>
      <c r="Y4504" t="s">
        <v>127</v>
      </c>
      <c r="AA4504" t="s">
        <v>10974</v>
      </c>
      <c r="AB4504" t="s">
        <v>341</v>
      </c>
      <c r="AC4504" t="s">
        <v>11081</v>
      </c>
      <c r="AF4504" t="s">
        <v>11121</v>
      </c>
      <c r="AH4504" t="s">
        <v>10975</v>
      </c>
      <c r="AJ4504" t="s">
        <v>11130</v>
      </c>
      <c r="AK4504" t="s">
        <v>7225</v>
      </c>
      <c r="AM4504">
        <v>215</v>
      </c>
      <c r="AO4504">
        <v>57</v>
      </c>
      <c r="AQ4504" t="s">
        <v>11157</v>
      </c>
      <c r="AS4504" t="s">
        <v>11174</v>
      </c>
      <c r="AU4504">
        <v>8</v>
      </c>
      <c r="AW4504" t="s">
        <v>11187</v>
      </c>
      <c r="BA4504" t="s">
        <v>11222</v>
      </c>
      <c r="BE4504" t="s">
        <v>14203</v>
      </c>
      <c r="BF4504" t="s">
        <v>14364</v>
      </c>
      <c r="BM4504" t="s">
        <v>15651</v>
      </c>
    </row>
    <row r="4505" spans="1:65">
      <c r="A4505" s="1">
        <f>HYPERLINK("https://lsnyc.legalserver.org/matter/dynamic-profile/view/1914309","19-1914309")</f>
        <v>0</v>
      </c>
      <c r="B4505" t="s">
        <v>238</v>
      </c>
      <c r="C4505" t="s">
        <v>245</v>
      </c>
      <c r="D4505" t="s">
        <v>266</v>
      </c>
      <c r="E4505" t="s">
        <v>262</v>
      </c>
      <c r="F4505" t="s">
        <v>1262</v>
      </c>
      <c r="G4505" t="s">
        <v>4663</v>
      </c>
      <c r="H4505" t="s">
        <v>5339</v>
      </c>
      <c r="I4505" t="s">
        <v>7138</v>
      </c>
      <c r="J4505" t="s">
        <v>7169</v>
      </c>
      <c r="K4505">
        <v>10034</v>
      </c>
      <c r="L4505" t="s">
        <v>7216</v>
      </c>
      <c r="N4505" t="s">
        <v>7237</v>
      </c>
      <c r="O4505" t="s">
        <v>10089</v>
      </c>
      <c r="P4505">
        <v>1</v>
      </c>
      <c r="Q4505">
        <v>0</v>
      </c>
      <c r="R4505">
        <v>19.89</v>
      </c>
      <c r="U4505">
        <v>2484</v>
      </c>
      <c r="W4505">
        <v>1</v>
      </c>
      <c r="X4505" t="s">
        <v>266</v>
      </c>
      <c r="Y4505" t="s">
        <v>127</v>
      </c>
      <c r="AA4505" t="s">
        <v>10974</v>
      </c>
      <c r="AB4505" t="s">
        <v>262</v>
      </c>
      <c r="AD4505" t="s">
        <v>11083</v>
      </c>
      <c r="AF4505" t="s">
        <v>11119</v>
      </c>
      <c r="AH4505" t="s">
        <v>10975</v>
      </c>
      <c r="AJ4505" t="s">
        <v>11129</v>
      </c>
      <c r="AK4505" t="s">
        <v>7225</v>
      </c>
      <c r="AL4505" t="s">
        <v>11150</v>
      </c>
      <c r="AM4505">
        <v>0</v>
      </c>
      <c r="AN4505" t="s">
        <v>11151</v>
      </c>
      <c r="AO4505" t="s">
        <v>11153</v>
      </c>
      <c r="AQ4505" t="s">
        <v>11157</v>
      </c>
      <c r="AS4505" t="s">
        <v>11173</v>
      </c>
      <c r="AU4505">
        <v>26</v>
      </c>
      <c r="AW4505" t="s">
        <v>11189</v>
      </c>
      <c r="BA4505" t="s">
        <v>11222</v>
      </c>
      <c r="BE4505" t="s">
        <v>14204</v>
      </c>
      <c r="BF4505" t="s">
        <v>14364</v>
      </c>
      <c r="BG4505" t="s">
        <v>15519</v>
      </c>
      <c r="BM4505" t="s">
        <v>15651</v>
      </c>
    </row>
    <row r="4506" spans="1:65">
      <c r="A4506" s="1">
        <f>HYPERLINK("https://lsnyc.legalserver.org/matter/dynamic-profile/view/1915231","19-1915231")</f>
        <v>0</v>
      </c>
      <c r="B4506" t="s">
        <v>238</v>
      </c>
      <c r="C4506" t="s">
        <v>245</v>
      </c>
      <c r="D4506" t="s">
        <v>426</v>
      </c>
      <c r="E4506" t="s">
        <v>548</v>
      </c>
      <c r="F4506" t="s">
        <v>1340</v>
      </c>
      <c r="G4506" t="s">
        <v>3002</v>
      </c>
      <c r="H4506" t="s">
        <v>5991</v>
      </c>
      <c r="I4506">
        <v>31</v>
      </c>
      <c r="J4506" t="s">
        <v>7169</v>
      </c>
      <c r="K4506">
        <v>10034</v>
      </c>
      <c r="L4506" t="s">
        <v>7219</v>
      </c>
      <c r="N4506" t="s">
        <v>7237</v>
      </c>
      <c r="O4506" t="s">
        <v>8187</v>
      </c>
      <c r="P4506">
        <v>1</v>
      </c>
      <c r="Q4506">
        <v>0</v>
      </c>
      <c r="R4506">
        <v>56.4</v>
      </c>
      <c r="U4506">
        <v>7044</v>
      </c>
      <c r="W4506">
        <v>3.5</v>
      </c>
      <c r="X4506" t="s">
        <v>669</v>
      </c>
      <c r="Y4506" t="s">
        <v>238</v>
      </c>
      <c r="AA4506" t="s">
        <v>10974</v>
      </c>
      <c r="AB4506" t="s">
        <v>444</v>
      </c>
      <c r="AD4506" t="s">
        <v>11082</v>
      </c>
      <c r="AF4506" t="s">
        <v>11118</v>
      </c>
      <c r="AH4506" t="s">
        <v>10975</v>
      </c>
      <c r="AJ4506" t="s">
        <v>11130</v>
      </c>
      <c r="AK4506" t="s">
        <v>7225</v>
      </c>
      <c r="AM4506">
        <v>865.1799999999999</v>
      </c>
      <c r="AO4506">
        <v>20</v>
      </c>
      <c r="AQ4506" t="s">
        <v>11157</v>
      </c>
      <c r="AR4506" t="s">
        <v>11172</v>
      </c>
      <c r="AU4506">
        <v>28</v>
      </c>
      <c r="AW4506" t="s">
        <v>11189</v>
      </c>
      <c r="AY4506" t="s">
        <v>11213</v>
      </c>
      <c r="AZ4506" t="s">
        <v>11221</v>
      </c>
      <c r="BE4506" t="s">
        <v>14205</v>
      </c>
      <c r="BF4506" t="s">
        <v>14364</v>
      </c>
      <c r="BG4506">
        <v>71699</v>
      </c>
      <c r="BH4506" t="s">
        <v>15605</v>
      </c>
      <c r="BJ4506" t="s">
        <v>15615</v>
      </c>
      <c r="BL4506" t="s">
        <v>15648</v>
      </c>
      <c r="BM4506" t="s">
        <v>15651</v>
      </c>
    </row>
    <row r="4507" spans="1:65">
      <c r="A4507" s="1">
        <f>HYPERLINK("https://lsnyc.legalserver.org/matter/dynamic-profile/view/1897224","19-1897224")</f>
        <v>0</v>
      </c>
      <c r="B4507" t="s">
        <v>238</v>
      </c>
      <c r="C4507" t="s">
        <v>245</v>
      </c>
      <c r="D4507" t="s">
        <v>444</v>
      </c>
      <c r="F4507" t="s">
        <v>1340</v>
      </c>
      <c r="G4507" t="s">
        <v>3002</v>
      </c>
      <c r="H4507" t="s">
        <v>5991</v>
      </c>
      <c r="I4507">
        <v>31</v>
      </c>
      <c r="J4507" t="s">
        <v>7169</v>
      </c>
      <c r="K4507">
        <v>10034</v>
      </c>
      <c r="N4507" t="s">
        <v>7237</v>
      </c>
      <c r="O4507" t="s">
        <v>8187</v>
      </c>
      <c r="P4507">
        <v>1</v>
      </c>
      <c r="Q4507">
        <v>0</v>
      </c>
      <c r="R4507">
        <v>56.4</v>
      </c>
      <c r="U4507">
        <v>7044</v>
      </c>
      <c r="W4507">
        <v>6.05</v>
      </c>
      <c r="X4507" t="s">
        <v>449</v>
      </c>
      <c r="Y4507" t="s">
        <v>127</v>
      </c>
      <c r="AA4507" t="s">
        <v>10974</v>
      </c>
      <c r="AB4507" t="s">
        <v>444</v>
      </c>
      <c r="AD4507" t="s">
        <v>11101</v>
      </c>
      <c r="AF4507" t="s">
        <v>11118</v>
      </c>
      <c r="AH4507" t="s">
        <v>10974</v>
      </c>
      <c r="AJ4507" t="s">
        <v>11130</v>
      </c>
      <c r="AK4507" t="s">
        <v>7225</v>
      </c>
      <c r="AM4507">
        <v>865.1799999999999</v>
      </c>
      <c r="AO4507">
        <v>20</v>
      </c>
      <c r="AQ4507" t="s">
        <v>11157</v>
      </c>
      <c r="AS4507" t="s">
        <v>11173</v>
      </c>
      <c r="AU4507">
        <v>28</v>
      </c>
      <c r="AW4507" t="s">
        <v>11189</v>
      </c>
      <c r="BA4507" t="s">
        <v>11222</v>
      </c>
      <c r="BE4507" t="s">
        <v>14205</v>
      </c>
      <c r="BF4507" t="s">
        <v>14364</v>
      </c>
      <c r="BG4507" t="s">
        <v>15265</v>
      </c>
      <c r="BM4507" t="s">
        <v>15650</v>
      </c>
    </row>
    <row r="4508" spans="1:65">
      <c r="A4508" s="1">
        <f>HYPERLINK("https://lsnyc.legalserver.org/matter/dynamic-profile/view/1909079","19-1909079")</f>
        <v>0</v>
      </c>
      <c r="B4508" t="s">
        <v>238</v>
      </c>
      <c r="C4508" t="s">
        <v>245</v>
      </c>
      <c r="D4508" t="s">
        <v>598</v>
      </c>
      <c r="F4508" t="s">
        <v>1106</v>
      </c>
      <c r="G4508" t="s">
        <v>4664</v>
      </c>
      <c r="H4508" t="s">
        <v>5632</v>
      </c>
      <c r="I4508" t="s">
        <v>6811</v>
      </c>
      <c r="J4508" t="s">
        <v>7169</v>
      </c>
      <c r="K4508">
        <v>10040</v>
      </c>
      <c r="N4508" t="s">
        <v>7237</v>
      </c>
      <c r="O4508" t="s">
        <v>10090</v>
      </c>
      <c r="P4508">
        <v>2</v>
      </c>
      <c r="Q4508">
        <v>0</v>
      </c>
      <c r="R4508">
        <v>147.84</v>
      </c>
      <c r="U4508">
        <v>25000</v>
      </c>
      <c r="W4508">
        <v>0</v>
      </c>
      <c r="Y4508" t="s">
        <v>127</v>
      </c>
      <c r="AA4508" t="s">
        <v>10974</v>
      </c>
      <c r="AB4508" t="s">
        <v>598</v>
      </c>
      <c r="AD4508" t="s">
        <v>11101</v>
      </c>
      <c r="AF4508" t="s">
        <v>11118</v>
      </c>
      <c r="AH4508" t="s">
        <v>10974</v>
      </c>
      <c r="AJ4508" t="s">
        <v>11130</v>
      </c>
      <c r="AK4508" t="s">
        <v>7225</v>
      </c>
      <c r="AM4508">
        <v>2700</v>
      </c>
      <c r="AO4508">
        <v>77</v>
      </c>
      <c r="AQ4508" t="s">
        <v>11157</v>
      </c>
      <c r="AS4508" t="s">
        <v>11173</v>
      </c>
      <c r="AU4508">
        <v>5</v>
      </c>
      <c r="AW4508" t="s">
        <v>11187</v>
      </c>
      <c r="BA4508" t="s">
        <v>11222</v>
      </c>
      <c r="BE4508" t="s">
        <v>14206</v>
      </c>
      <c r="BF4508" t="s">
        <v>14364</v>
      </c>
      <c r="BM4508" t="s">
        <v>15650</v>
      </c>
    </row>
    <row r="4509" spans="1:65">
      <c r="A4509" s="1">
        <f>HYPERLINK("https://lsnyc.legalserver.org/matter/dynamic-profile/view/0828020","17-0828020")</f>
        <v>0</v>
      </c>
      <c r="B4509" t="s">
        <v>238</v>
      </c>
      <c r="C4509" t="s">
        <v>245</v>
      </c>
      <c r="D4509" t="s">
        <v>992</v>
      </c>
      <c r="F4509" t="s">
        <v>1354</v>
      </c>
      <c r="G4509" t="s">
        <v>2885</v>
      </c>
      <c r="H4509" t="s">
        <v>6323</v>
      </c>
      <c r="I4509" t="s">
        <v>6425</v>
      </c>
      <c r="J4509" t="s">
        <v>7169</v>
      </c>
      <c r="K4509">
        <v>10034</v>
      </c>
      <c r="N4509" t="s">
        <v>7237</v>
      </c>
      <c r="O4509" t="s">
        <v>8250</v>
      </c>
      <c r="P4509">
        <v>2</v>
      </c>
      <c r="Q4509">
        <v>0</v>
      </c>
      <c r="R4509">
        <v>148.82</v>
      </c>
      <c r="U4509">
        <v>24168</v>
      </c>
      <c r="W4509">
        <v>33.6</v>
      </c>
      <c r="X4509" t="s">
        <v>405</v>
      </c>
      <c r="Y4509" t="s">
        <v>10859</v>
      </c>
      <c r="AA4509" t="s">
        <v>10974</v>
      </c>
      <c r="AB4509" t="s">
        <v>513</v>
      </c>
      <c r="AD4509" t="s">
        <v>11086</v>
      </c>
      <c r="AF4509" t="s">
        <v>11118</v>
      </c>
      <c r="AH4509" t="s">
        <v>10974</v>
      </c>
      <c r="AJ4509" t="s">
        <v>11134</v>
      </c>
      <c r="AK4509" t="s">
        <v>7225</v>
      </c>
      <c r="AM4509">
        <v>1285.83</v>
      </c>
      <c r="AO4509">
        <v>25</v>
      </c>
      <c r="AQ4509" t="s">
        <v>11157</v>
      </c>
      <c r="AS4509" t="s">
        <v>11173</v>
      </c>
      <c r="AU4509">
        <v>37</v>
      </c>
      <c r="AW4509" t="s">
        <v>11189</v>
      </c>
      <c r="AZ4509" t="s">
        <v>11221</v>
      </c>
      <c r="BE4509" t="s">
        <v>14207</v>
      </c>
      <c r="BF4509" t="s">
        <v>14364</v>
      </c>
      <c r="BM4509" t="s">
        <v>15650</v>
      </c>
    </row>
    <row r="4510" spans="1:65">
      <c r="A4510" s="1">
        <f>HYPERLINK("https://lsnyc.legalserver.org/matter/dynamic-profile/view/1847654","17-1847654")</f>
        <v>0</v>
      </c>
      <c r="B4510" t="s">
        <v>238</v>
      </c>
      <c r="C4510" t="s">
        <v>245</v>
      </c>
      <c r="D4510" t="s">
        <v>630</v>
      </c>
      <c r="F4510" t="s">
        <v>1319</v>
      </c>
      <c r="G4510" t="s">
        <v>2892</v>
      </c>
      <c r="H4510" t="s">
        <v>6325</v>
      </c>
      <c r="I4510" t="s">
        <v>6424</v>
      </c>
      <c r="J4510" t="s">
        <v>7169</v>
      </c>
      <c r="K4510">
        <v>10034</v>
      </c>
      <c r="N4510" t="s">
        <v>7237</v>
      </c>
      <c r="O4510" t="s">
        <v>10091</v>
      </c>
      <c r="P4510">
        <v>2</v>
      </c>
      <c r="Q4510">
        <v>0</v>
      </c>
      <c r="R4510">
        <v>55.42</v>
      </c>
      <c r="U4510">
        <v>9000</v>
      </c>
      <c r="W4510">
        <v>0</v>
      </c>
      <c r="Y4510" t="s">
        <v>127</v>
      </c>
      <c r="AA4510" t="s">
        <v>10974</v>
      </c>
      <c r="AB4510" t="s">
        <v>786</v>
      </c>
      <c r="AD4510" t="s">
        <v>11101</v>
      </c>
      <c r="AF4510" t="s">
        <v>11118</v>
      </c>
      <c r="AH4510" t="s">
        <v>10974</v>
      </c>
      <c r="AJ4510" t="s">
        <v>11129</v>
      </c>
      <c r="AK4510" t="s">
        <v>7225</v>
      </c>
      <c r="AM4510">
        <v>340</v>
      </c>
      <c r="AO4510">
        <v>50</v>
      </c>
      <c r="AQ4510" t="s">
        <v>11157</v>
      </c>
      <c r="AS4510" t="s">
        <v>11173</v>
      </c>
      <c r="AU4510">
        <v>45</v>
      </c>
      <c r="AW4510" t="s">
        <v>11189</v>
      </c>
      <c r="AZ4510" t="s">
        <v>11221</v>
      </c>
      <c r="BE4510" t="s">
        <v>14208</v>
      </c>
      <c r="BF4510" t="s">
        <v>14364</v>
      </c>
      <c r="BM4510" t="s">
        <v>15650</v>
      </c>
    </row>
    <row r="4511" spans="1:65">
      <c r="A4511" s="1">
        <f>HYPERLINK("https://lsnyc.legalserver.org/matter/dynamic-profile/view/1897061","19-1897061")</f>
        <v>0</v>
      </c>
      <c r="B4511" t="s">
        <v>238</v>
      </c>
      <c r="C4511" t="s">
        <v>245</v>
      </c>
      <c r="D4511" t="s">
        <v>872</v>
      </c>
      <c r="F4511" t="s">
        <v>2794</v>
      </c>
      <c r="G4511" t="s">
        <v>3226</v>
      </c>
      <c r="H4511" t="s">
        <v>5991</v>
      </c>
      <c r="I4511">
        <v>1</v>
      </c>
      <c r="J4511" t="s">
        <v>7169</v>
      </c>
      <c r="K4511">
        <v>10034</v>
      </c>
      <c r="N4511" t="s">
        <v>7237</v>
      </c>
      <c r="O4511" t="s">
        <v>10092</v>
      </c>
      <c r="P4511">
        <v>1</v>
      </c>
      <c r="Q4511">
        <v>0</v>
      </c>
      <c r="R4511">
        <v>182.55</v>
      </c>
      <c r="U4511">
        <v>22800</v>
      </c>
      <c r="W4511">
        <v>81.05</v>
      </c>
      <c r="X4511" t="s">
        <v>528</v>
      </c>
      <c r="Y4511" t="s">
        <v>127</v>
      </c>
      <c r="AA4511" t="s">
        <v>10974</v>
      </c>
      <c r="AB4511" t="s">
        <v>872</v>
      </c>
      <c r="AD4511" t="s">
        <v>11101</v>
      </c>
      <c r="AF4511" t="s">
        <v>11118</v>
      </c>
      <c r="AH4511" t="s">
        <v>10974</v>
      </c>
      <c r="AJ4511" t="s">
        <v>11130</v>
      </c>
      <c r="AK4511" t="s">
        <v>7225</v>
      </c>
      <c r="AM4511">
        <v>1400</v>
      </c>
      <c r="AO4511">
        <v>20</v>
      </c>
      <c r="AQ4511" t="s">
        <v>11157</v>
      </c>
      <c r="AS4511" t="s">
        <v>11104</v>
      </c>
      <c r="AU4511">
        <v>10</v>
      </c>
      <c r="AW4511" t="s">
        <v>11189</v>
      </c>
      <c r="BA4511" t="s">
        <v>11222</v>
      </c>
      <c r="BE4511" t="s">
        <v>14209</v>
      </c>
      <c r="BF4511" t="s">
        <v>14364</v>
      </c>
      <c r="BG4511" t="s">
        <v>15265</v>
      </c>
      <c r="BM4511" t="s">
        <v>15650</v>
      </c>
    </row>
    <row r="4512" spans="1:65">
      <c r="A4512" s="1">
        <f>HYPERLINK("https://lsnyc.legalserver.org/matter/dynamic-profile/view/0821898","16-0821898")</f>
        <v>0</v>
      </c>
      <c r="B4512" t="s">
        <v>238</v>
      </c>
      <c r="C4512" t="s">
        <v>245</v>
      </c>
      <c r="D4512" t="s">
        <v>793</v>
      </c>
      <c r="E4512" t="s">
        <v>548</v>
      </c>
      <c r="F4512" t="s">
        <v>1443</v>
      </c>
      <c r="G4512" t="s">
        <v>4665</v>
      </c>
      <c r="H4512" t="s">
        <v>6322</v>
      </c>
      <c r="I4512">
        <v>37</v>
      </c>
      <c r="J4512" t="s">
        <v>7169</v>
      </c>
      <c r="K4512">
        <v>10032</v>
      </c>
      <c r="L4512" t="s">
        <v>7217</v>
      </c>
      <c r="N4512" t="s">
        <v>7237</v>
      </c>
      <c r="O4512" t="s">
        <v>10093</v>
      </c>
      <c r="P4512">
        <v>3</v>
      </c>
      <c r="Q4512">
        <v>0</v>
      </c>
      <c r="R4512">
        <v>150.79</v>
      </c>
      <c r="U4512">
        <v>30400</v>
      </c>
      <c r="W4512">
        <v>1.75</v>
      </c>
      <c r="X4512" t="s">
        <v>864</v>
      </c>
      <c r="Y4512" t="s">
        <v>10859</v>
      </c>
      <c r="AA4512" t="s">
        <v>10974</v>
      </c>
      <c r="AB4512" t="s">
        <v>809</v>
      </c>
      <c r="AD4512" t="s">
        <v>11086</v>
      </c>
      <c r="AF4512" t="s">
        <v>11118</v>
      </c>
      <c r="AH4512" t="s">
        <v>10974</v>
      </c>
      <c r="AJ4512" t="s">
        <v>11134</v>
      </c>
      <c r="AK4512" t="s">
        <v>7225</v>
      </c>
      <c r="AM4512">
        <v>770</v>
      </c>
      <c r="AO4512">
        <v>35</v>
      </c>
      <c r="AQ4512" t="s">
        <v>11157</v>
      </c>
      <c r="AS4512" t="s">
        <v>11173</v>
      </c>
      <c r="AU4512">
        <v>45</v>
      </c>
      <c r="AW4512" t="s">
        <v>11189</v>
      </c>
      <c r="AZ4512" t="s">
        <v>11221</v>
      </c>
      <c r="BE4512" t="s">
        <v>14210</v>
      </c>
      <c r="BF4512" t="s">
        <v>14364</v>
      </c>
      <c r="BJ4512" t="s">
        <v>15615</v>
      </c>
      <c r="BM4512" t="s">
        <v>15651</v>
      </c>
    </row>
    <row r="4513" spans="1:65">
      <c r="A4513" s="1">
        <f>HYPERLINK("https://lsnyc.legalserver.org/matter/dynamic-profile/view/1906404","19-1906404")</f>
        <v>0</v>
      </c>
      <c r="B4513" t="s">
        <v>238</v>
      </c>
      <c r="C4513" t="s">
        <v>245</v>
      </c>
      <c r="D4513" t="s">
        <v>575</v>
      </c>
      <c r="F4513" t="s">
        <v>2795</v>
      </c>
      <c r="G4513" t="s">
        <v>4666</v>
      </c>
      <c r="H4513" t="s">
        <v>5882</v>
      </c>
      <c r="I4513">
        <v>5</v>
      </c>
      <c r="J4513" t="s">
        <v>7169</v>
      </c>
      <c r="K4513">
        <v>10032</v>
      </c>
      <c r="N4513" t="s">
        <v>7237</v>
      </c>
      <c r="O4513" t="s">
        <v>10094</v>
      </c>
      <c r="P4513">
        <v>1</v>
      </c>
      <c r="Q4513">
        <v>0</v>
      </c>
      <c r="R4513">
        <v>490.39</v>
      </c>
      <c r="U4513">
        <v>61250</v>
      </c>
      <c r="W4513">
        <v>17.1</v>
      </c>
      <c r="X4513" t="s">
        <v>426</v>
      </c>
      <c r="Y4513" t="s">
        <v>127</v>
      </c>
      <c r="AA4513" t="s">
        <v>10974</v>
      </c>
      <c r="AB4513" t="s">
        <v>575</v>
      </c>
      <c r="AD4513" t="s">
        <v>11101</v>
      </c>
      <c r="AF4513" t="s">
        <v>11120</v>
      </c>
      <c r="AH4513" t="s">
        <v>10974</v>
      </c>
      <c r="AJ4513" t="s">
        <v>11130</v>
      </c>
      <c r="AK4513" t="s">
        <v>7225</v>
      </c>
      <c r="AM4513">
        <v>2250</v>
      </c>
      <c r="AO4513">
        <v>46</v>
      </c>
      <c r="AQ4513" t="s">
        <v>11157</v>
      </c>
      <c r="AS4513" t="s">
        <v>11173</v>
      </c>
      <c r="AU4513">
        <v>6</v>
      </c>
      <c r="AW4513" t="s">
        <v>11187</v>
      </c>
      <c r="BA4513" t="s">
        <v>11222</v>
      </c>
      <c r="BE4513" t="s">
        <v>14211</v>
      </c>
      <c r="BF4513" t="s">
        <v>14364</v>
      </c>
      <c r="BM4513" t="s">
        <v>15650</v>
      </c>
    </row>
    <row r="4514" spans="1:65">
      <c r="A4514" s="1">
        <f>HYPERLINK("https://lsnyc.legalserver.org/matter/dynamic-profile/view/1867127","18-1867127")</f>
        <v>0</v>
      </c>
      <c r="B4514" t="s">
        <v>238</v>
      </c>
      <c r="C4514" t="s">
        <v>245</v>
      </c>
      <c r="D4514" t="s">
        <v>261</v>
      </c>
      <c r="F4514" t="s">
        <v>1122</v>
      </c>
      <c r="G4514" t="s">
        <v>3143</v>
      </c>
      <c r="H4514" t="s">
        <v>6329</v>
      </c>
      <c r="I4514">
        <v>46</v>
      </c>
      <c r="J4514" t="s">
        <v>7169</v>
      </c>
      <c r="K4514">
        <v>10032</v>
      </c>
      <c r="N4514" t="s">
        <v>7237</v>
      </c>
      <c r="O4514" t="s">
        <v>10095</v>
      </c>
      <c r="P4514">
        <v>4</v>
      </c>
      <c r="Q4514">
        <v>0</v>
      </c>
      <c r="R4514">
        <v>151.39</v>
      </c>
      <c r="U4514">
        <v>38000</v>
      </c>
      <c r="W4514">
        <v>139.2</v>
      </c>
      <c r="X4514" t="s">
        <v>497</v>
      </c>
      <c r="Y4514" t="s">
        <v>127</v>
      </c>
      <c r="AA4514" t="s">
        <v>10974</v>
      </c>
      <c r="AB4514" t="s">
        <v>261</v>
      </c>
      <c r="AD4514" t="s">
        <v>11090</v>
      </c>
      <c r="AF4514" t="s">
        <v>11118</v>
      </c>
      <c r="AH4514" t="s">
        <v>10975</v>
      </c>
      <c r="AJ4514" t="s">
        <v>11130</v>
      </c>
      <c r="AK4514" t="s">
        <v>7225</v>
      </c>
      <c r="AM4514">
        <v>1670</v>
      </c>
      <c r="AO4514">
        <v>40</v>
      </c>
      <c r="AQ4514" t="s">
        <v>11157</v>
      </c>
      <c r="AS4514" t="s">
        <v>11173</v>
      </c>
      <c r="AU4514">
        <v>28</v>
      </c>
      <c r="AW4514" t="s">
        <v>11189</v>
      </c>
      <c r="AY4514" t="s">
        <v>11213</v>
      </c>
      <c r="AZ4514" t="s">
        <v>11221</v>
      </c>
      <c r="BE4514" t="s">
        <v>14212</v>
      </c>
      <c r="BF4514" t="s">
        <v>14364</v>
      </c>
      <c r="BG4514" t="s">
        <v>15520</v>
      </c>
      <c r="BM4514" t="s">
        <v>15650</v>
      </c>
    </row>
    <row r="4515" spans="1:65">
      <c r="A4515" s="1">
        <f>HYPERLINK("https://lsnyc.legalserver.org/matter/dynamic-profile/view/0826987","17-0826987")</f>
        <v>0</v>
      </c>
      <c r="B4515" t="s">
        <v>238</v>
      </c>
      <c r="C4515" t="s">
        <v>245</v>
      </c>
      <c r="D4515" t="s">
        <v>1065</v>
      </c>
      <c r="F4515" t="s">
        <v>2796</v>
      </c>
      <c r="G4515" t="s">
        <v>4667</v>
      </c>
      <c r="H4515" t="s">
        <v>5341</v>
      </c>
      <c r="I4515" t="s">
        <v>6471</v>
      </c>
      <c r="J4515" t="s">
        <v>7169</v>
      </c>
      <c r="K4515">
        <v>10040</v>
      </c>
      <c r="N4515" t="s">
        <v>7237</v>
      </c>
      <c r="O4515" t="s">
        <v>10096</v>
      </c>
      <c r="P4515">
        <v>1</v>
      </c>
      <c r="Q4515">
        <v>0</v>
      </c>
      <c r="R4515">
        <v>119.4</v>
      </c>
      <c r="S4515" t="s">
        <v>481</v>
      </c>
      <c r="U4515">
        <v>14400</v>
      </c>
      <c r="W4515">
        <v>0</v>
      </c>
      <c r="X4515" t="s">
        <v>10811</v>
      </c>
      <c r="Y4515" t="s">
        <v>10859</v>
      </c>
      <c r="AA4515" t="s">
        <v>10974</v>
      </c>
      <c r="AB4515" t="s">
        <v>998</v>
      </c>
      <c r="AD4515" t="s">
        <v>11101</v>
      </c>
      <c r="AF4515" t="s">
        <v>11118</v>
      </c>
      <c r="AH4515" t="s">
        <v>10974</v>
      </c>
      <c r="AJ4515" t="s">
        <v>11134</v>
      </c>
      <c r="AK4515" t="s">
        <v>7225</v>
      </c>
      <c r="AM4515">
        <v>1438.5</v>
      </c>
      <c r="AO4515">
        <v>83</v>
      </c>
      <c r="AQ4515" t="s">
        <v>11157</v>
      </c>
      <c r="AS4515" t="s">
        <v>11173</v>
      </c>
      <c r="AU4515">
        <v>3</v>
      </c>
      <c r="AW4515" t="s">
        <v>11187</v>
      </c>
      <c r="AZ4515" t="s">
        <v>11221</v>
      </c>
      <c r="BE4515" t="s">
        <v>14213</v>
      </c>
      <c r="BF4515" t="s">
        <v>14364</v>
      </c>
      <c r="BG4515" t="s">
        <v>15521</v>
      </c>
      <c r="BM4515" t="s">
        <v>15650</v>
      </c>
    </row>
    <row r="4516" spans="1:65">
      <c r="A4516" s="1">
        <f>HYPERLINK("https://lsnyc.legalserver.org/matter/dynamic-profile/view/1909501","19-1909501")</f>
        <v>0</v>
      </c>
      <c r="B4516" t="s">
        <v>238</v>
      </c>
      <c r="C4516" t="s">
        <v>245</v>
      </c>
      <c r="D4516" t="s">
        <v>269</v>
      </c>
      <c r="F4516" t="s">
        <v>2797</v>
      </c>
      <c r="G4516" t="s">
        <v>4668</v>
      </c>
      <c r="H4516" t="s">
        <v>5632</v>
      </c>
      <c r="I4516" t="s">
        <v>6503</v>
      </c>
      <c r="J4516" t="s">
        <v>7169</v>
      </c>
      <c r="K4516">
        <v>10040</v>
      </c>
      <c r="N4516" t="s">
        <v>7237</v>
      </c>
      <c r="O4516" t="s">
        <v>10097</v>
      </c>
      <c r="P4516">
        <v>2</v>
      </c>
      <c r="Q4516">
        <v>0</v>
      </c>
      <c r="R4516">
        <v>626.85</v>
      </c>
      <c r="U4516">
        <v>106000</v>
      </c>
      <c r="W4516">
        <v>0.1</v>
      </c>
      <c r="X4516" t="s">
        <v>434</v>
      </c>
      <c r="Y4516" t="s">
        <v>127</v>
      </c>
      <c r="AA4516" t="s">
        <v>10974</v>
      </c>
      <c r="AB4516" t="s">
        <v>269</v>
      </c>
      <c r="AD4516" t="s">
        <v>11101</v>
      </c>
      <c r="AF4516" t="s">
        <v>11121</v>
      </c>
      <c r="AH4516" t="s">
        <v>10974</v>
      </c>
      <c r="AJ4516" t="s">
        <v>11130</v>
      </c>
      <c r="AK4516" t="s">
        <v>7225</v>
      </c>
      <c r="AM4516">
        <v>1738.34</v>
      </c>
      <c r="AO4516">
        <v>77</v>
      </c>
      <c r="AQ4516" t="s">
        <v>11157</v>
      </c>
      <c r="AS4516" t="s">
        <v>11173</v>
      </c>
      <c r="AU4516">
        <v>5</v>
      </c>
      <c r="AW4516" t="s">
        <v>11187</v>
      </c>
      <c r="BA4516" t="s">
        <v>11222</v>
      </c>
      <c r="BE4516" t="s">
        <v>14214</v>
      </c>
      <c r="BF4516" t="s">
        <v>14364</v>
      </c>
      <c r="BM4516" t="s">
        <v>15650</v>
      </c>
    </row>
    <row r="4517" spans="1:65">
      <c r="A4517" s="1">
        <f>HYPERLINK("https://lsnyc.legalserver.org/matter/dynamic-profile/view/0824327","17-0824327")</f>
        <v>0</v>
      </c>
      <c r="B4517" t="s">
        <v>238</v>
      </c>
      <c r="C4517" t="s">
        <v>245</v>
      </c>
      <c r="D4517" t="s">
        <v>1066</v>
      </c>
      <c r="F4517" t="s">
        <v>1250</v>
      </c>
      <c r="G4517" t="s">
        <v>3197</v>
      </c>
      <c r="H4517" t="s">
        <v>5341</v>
      </c>
      <c r="I4517" t="s">
        <v>6585</v>
      </c>
      <c r="J4517" t="s">
        <v>7169</v>
      </c>
      <c r="K4517">
        <v>10040</v>
      </c>
      <c r="N4517" t="s">
        <v>7237</v>
      </c>
      <c r="O4517" t="s">
        <v>10098</v>
      </c>
      <c r="P4517">
        <v>1</v>
      </c>
      <c r="Q4517">
        <v>0</v>
      </c>
      <c r="R4517">
        <v>82.83</v>
      </c>
      <c r="S4517" t="s">
        <v>481</v>
      </c>
      <c r="U4517">
        <v>9840</v>
      </c>
      <c r="W4517">
        <v>0</v>
      </c>
      <c r="X4517" t="s">
        <v>10811</v>
      </c>
      <c r="Y4517" t="s">
        <v>10859</v>
      </c>
      <c r="AA4517" t="s">
        <v>10974</v>
      </c>
      <c r="AB4517" t="s">
        <v>998</v>
      </c>
      <c r="AD4517" t="s">
        <v>11101</v>
      </c>
      <c r="AF4517" t="s">
        <v>11118</v>
      </c>
      <c r="AH4517" t="s">
        <v>10974</v>
      </c>
      <c r="AJ4517" t="s">
        <v>11134</v>
      </c>
      <c r="AK4517" t="s">
        <v>7225</v>
      </c>
      <c r="AM4517">
        <v>959</v>
      </c>
      <c r="AO4517">
        <v>83</v>
      </c>
      <c r="AQ4517" t="s">
        <v>11157</v>
      </c>
      <c r="AS4517" t="s">
        <v>11175</v>
      </c>
      <c r="AU4517">
        <v>37</v>
      </c>
      <c r="AW4517" t="s">
        <v>11189</v>
      </c>
      <c r="AZ4517" t="s">
        <v>11221</v>
      </c>
      <c r="BE4517" t="s">
        <v>14215</v>
      </c>
      <c r="BF4517" t="s">
        <v>14364</v>
      </c>
      <c r="BG4517" t="s">
        <v>15521</v>
      </c>
      <c r="BM4517" t="s">
        <v>15650</v>
      </c>
    </row>
    <row r="4518" spans="1:65">
      <c r="A4518" s="1">
        <f>HYPERLINK("https://lsnyc.legalserver.org/matter/dynamic-profile/view/1909013","19-1909013")</f>
        <v>0</v>
      </c>
      <c r="B4518" t="s">
        <v>238</v>
      </c>
      <c r="C4518" t="s">
        <v>245</v>
      </c>
      <c r="D4518" t="s">
        <v>598</v>
      </c>
      <c r="F4518" t="s">
        <v>1266</v>
      </c>
      <c r="G4518" t="s">
        <v>4669</v>
      </c>
      <c r="H4518" t="s">
        <v>5632</v>
      </c>
      <c r="I4518" t="s">
        <v>6525</v>
      </c>
      <c r="J4518" t="s">
        <v>7169</v>
      </c>
      <c r="K4518">
        <v>10040</v>
      </c>
      <c r="N4518" t="s">
        <v>7237</v>
      </c>
      <c r="O4518" t="s">
        <v>10099</v>
      </c>
      <c r="P4518">
        <v>2</v>
      </c>
      <c r="Q4518">
        <v>0</v>
      </c>
      <c r="R4518">
        <v>366.65</v>
      </c>
      <c r="S4518" t="s">
        <v>271</v>
      </c>
      <c r="T4518" t="s">
        <v>10276</v>
      </c>
      <c r="U4518">
        <v>62000</v>
      </c>
      <c r="W4518">
        <v>0</v>
      </c>
      <c r="Y4518" t="s">
        <v>127</v>
      </c>
      <c r="AA4518" t="s">
        <v>10974</v>
      </c>
      <c r="AB4518" t="s">
        <v>598</v>
      </c>
      <c r="AD4518" t="s">
        <v>11101</v>
      </c>
      <c r="AF4518" t="s">
        <v>11118</v>
      </c>
      <c r="AH4518" t="s">
        <v>10974</v>
      </c>
      <c r="AJ4518" t="s">
        <v>11130</v>
      </c>
      <c r="AK4518" t="s">
        <v>7225</v>
      </c>
      <c r="AM4518">
        <v>1611</v>
      </c>
      <c r="AO4518">
        <v>77</v>
      </c>
      <c r="AQ4518" t="s">
        <v>11157</v>
      </c>
      <c r="AS4518" t="s">
        <v>11173</v>
      </c>
      <c r="AU4518">
        <v>6</v>
      </c>
      <c r="AW4518" t="s">
        <v>11187</v>
      </c>
      <c r="BA4518" t="s">
        <v>11222</v>
      </c>
      <c r="BE4518" t="s">
        <v>14216</v>
      </c>
      <c r="BF4518" t="s">
        <v>14364</v>
      </c>
      <c r="BM4518" t="s">
        <v>15650</v>
      </c>
    </row>
    <row r="4519" spans="1:65">
      <c r="A4519" s="1">
        <f>HYPERLINK("https://lsnyc.legalserver.org/matter/dynamic-profile/view/1847647","17-1847647")</f>
        <v>0</v>
      </c>
      <c r="B4519" t="s">
        <v>238</v>
      </c>
      <c r="C4519" t="s">
        <v>245</v>
      </c>
      <c r="D4519" t="s">
        <v>630</v>
      </c>
      <c r="F4519" t="s">
        <v>2339</v>
      </c>
      <c r="G4519" t="s">
        <v>4670</v>
      </c>
      <c r="H4519" t="s">
        <v>6325</v>
      </c>
      <c r="I4519" t="s">
        <v>6502</v>
      </c>
      <c r="J4519" t="s">
        <v>7169</v>
      </c>
      <c r="K4519">
        <v>10034</v>
      </c>
      <c r="N4519" t="s">
        <v>7237</v>
      </c>
      <c r="O4519" t="s">
        <v>10100</v>
      </c>
      <c r="P4519">
        <v>1</v>
      </c>
      <c r="Q4519">
        <v>0</v>
      </c>
      <c r="R4519">
        <v>107.79</v>
      </c>
      <c r="U4519">
        <v>13000</v>
      </c>
      <c r="W4519">
        <v>0</v>
      </c>
      <c r="Y4519" t="s">
        <v>127</v>
      </c>
      <c r="AA4519" t="s">
        <v>10974</v>
      </c>
      <c r="AB4519" t="s">
        <v>786</v>
      </c>
      <c r="AD4519" t="s">
        <v>11101</v>
      </c>
      <c r="AF4519" t="s">
        <v>11118</v>
      </c>
      <c r="AH4519" t="s">
        <v>10974</v>
      </c>
      <c r="AJ4519" t="s">
        <v>11130</v>
      </c>
      <c r="AK4519" t="s">
        <v>7225</v>
      </c>
      <c r="AM4519">
        <v>1484.84</v>
      </c>
      <c r="AO4519">
        <v>50</v>
      </c>
      <c r="AQ4519" t="s">
        <v>11157</v>
      </c>
      <c r="AS4519" t="s">
        <v>11173</v>
      </c>
      <c r="AU4519">
        <v>12</v>
      </c>
      <c r="AW4519" t="s">
        <v>11189</v>
      </c>
      <c r="AZ4519" t="s">
        <v>11221</v>
      </c>
      <c r="BD4519" t="s">
        <v>11667</v>
      </c>
      <c r="BF4519" t="s">
        <v>14364</v>
      </c>
      <c r="BM4519" t="s">
        <v>15650</v>
      </c>
    </row>
    <row r="4520" spans="1:65">
      <c r="A4520" s="1">
        <f>HYPERLINK("https://lsnyc.legalserver.org/matter/dynamic-profile/view/1847622","17-1847622")</f>
        <v>0</v>
      </c>
      <c r="B4520" t="s">
        <v>238</v>
      </c>
      <c r="C4520" t="s">
        <v>245</v>
      </c>
      <c r="D4520" t="s">
        <v>630</v>
      </c>
      <c r="F4520" t="s">
        <v>2798</v>
      </c>
      <c r="G4520" t="s">
        <v>2892</v>
      </c>
      <c r="H4520" t="s">
        <v>6325</v>
      </c>
      <c r="I4520" t="s">
        <v>6569</v>
      </c>
      <c r="J4520" t="s">
        <v>7169</v>
      </c>
      <c r="K4520">
        <v>10034</v>
      </c>
      <c r="N4520" t="s">
        <v>7237</v>
      </c>
      <c r="O4520" t="s">
        <v>10101</v>
      </c>
      <c r="P4520">
        <v>1</v>
      </c>
      <c r="Q4520">
        <v>0</v>
      </c>
      <c r="R4520">
        <v>232.17</v>
      </c>
      <c r="S4520" t="s">
        <v>10255</v>
      </c>
      <c r="U4520">
        <v>28000</v>
      </c>
      <c r="W4520">
        <v>2.25</v>
      </c>
      <c r="X4520" t="s">
        <v>10856</v>
      </c>
      <c r="Y4520" t="s">
        <v>127</v>
      </c>
      <c r="AA4520" t="s">
        <v>10974</v>
      </c>
      <c r="AB4520" t="s">
        <v>786</v>
      </c>
      <c r="AD4520" t="s">
        <v>11101</v>
      </c>
      <c r="AF4520" t="s">
        <v>11118</v>
      </c>
      <c r="AH4520" t="s">
        <v>10974</v>
      </c>
      <c r="AJ4520" t="s">
        <v>11130</v>
      </c>
      <c r="AK4520" t="s">
        <v>7225</v>
      </c>
      <c r="AM4520">
        <v>752.46</v>
      </c>
      <c r="AO4520">
        <v>50</v>
      </c>
      <c r="AQ4520" t="s">
        <v>11157</v>
      </c>
      <c r="AS4520" t="s">
        <v>11173</v>
      </c>
      <c r="AU4520">
        <v>42</v>
      </c>
      <c r="AW4520" t="s">
        <v>11189</v>
      </c>
      <c r="AZ4520" t="s">
        <v>11221</v>
      </c>
      <c r="BE4520" t="s">
        <v>14217</v>
      </c>
      <c r="BF4520" t="s">
        <v>14364</v>
      </c>
      <c r="BM4520" t="s">
        <v>15650</v>
      </c>
    </row>
    <row r="4521" spans="1:65">
      <c r="A4521" s="1">
        <f>HYPERLINK("https://lsnyc.legalserver.org/matter/dynamic-profile/view/0821996","16-0821996")</f>
        <v>0</v>
      </c>
      <c r="B4521" t="s">
        <v>238</v>
      </c>
      <c r="C4521" t="s">
        <v>245</v>
      </c>
      <c r="D4521" t="s">
        <v>481</v>
      </c>
      <c r="F4521" t="s">
        <v>2799</v>
      </c>
      <c r="G4521" t="s">
        <v>2877</v>
      </c>
      <c r="H4521" t="s">
        <v>5876</v>
      </c>
      <c r="I4521">
        <v>43</v>
      </c>
      <c r="J4521" t="s">
        <v>7169</v>
      </c>
      <c r="K4521">
        <v>10032</v>
      </c>
      <c r="N4521" t="s">
        <v>7237</v>
      </c>
      <c r="O4521" t="s">
        <v>10102</v>
      </c>
      <c r="P4521">
        <v>2</v>
      </c>
      <c r="Q4521">
        <v>2</v>
      </c>
      <c r="R4521">
        <v>110.55</v>
      </c>
      <c r="S4521" t="s">
        <v>951</v>
      </c>
      <c r="U4521">
        <v>26864</v>
      </c>
      <c r="W4521">
        <v>1.75</v>
      </c>
      <c r="X4521" t="s">
        <v>585</v>
      </c>
      <c r="Y4521" t="s">
        <v>10859</v>
      </c>
      <c r="AA4521" t="s">
        <v>10974</v>
      </c>
      <c r="AB4521" t="s">
        <v>809</v>
      </c>
      <c r="AD4521" t="s">
        <v>11086</v>
      </c>
      <c r="AF4521" t="s">
        <v>11118</v>
      </c>
      <c r="AH4521" t="s">
        <v>10974</v>
      </c>
      <c r="AJ4521" t="s">
        <v>11134</v>
      </c>
      <c r="AK4521" t="s">
        <v>7225</v>
      </c>
      <c r="AM4521">
        <v>881.7</v>
      </c>
      <c r="AO4521">
        <v>35</v>
      </c>
      <c r="AQ4521" t="s">
        <v>11157</v>
      </c>
      <c r="AS4521" t="s">
        <v>11173</v>
      </c>
      <c r="AU4521">
        <v>25</v>
      </c>
      <c r="AW4521" t="s">
        <v>11189</v>
      </c>
      <c r="AZ4521" t="s">
        <v>11221</v>
      </c>
      <c r="BE4521" t="s">
        <v>14218</v>
      </c>
      <c r="BF4521" t="s">
        <v>14364</v>
      </c>
      <c r="BM4521" t="s">
        <v>15650</v>
      </c>
    </row>
    <row r="4522" spans="1:65">
      <c r="A4522" s="1">
        <f>HYPERLINK("https://lsnyc.legalserver.org/matter/dynamic-profile/view/1868368","18-1868368")</f>
        <v>0</v>
      </c>
      <c r="B4522" t="s">
        <v>238</v>
      </c>
      <c r="C4522" t="s">
        <v>245</v>
      </c>
      <c r="D4522" t="s">
        <v>937</v>
      </c>
      <c r="E4522" t="s">
        <v>497</v>
      </c>
      <c r="F4522" t="s">
        <v>1155</v>
      </c>
      <c r="G4522" t="s">
        <v>3168</v>
      </c>
      <c r="H4522" t="s">
        <v>4763</v>
      </c>
      <c r="I4522">
        <v>22</v>
      </c>
      <c r="J4522" t="s">
        <v>7169</v>
      </c>
      <c r="K4522">
        <v>10034</v>
      </c>
      <c r="L4522" t="s">
        <v>7219</v>
      </c>
      <c r="N4522" t="s">
        <v>7237</v>
      </c>
      <c r="O4522" t="s">
        <v>10103</v>
      </c>
      <c r="P4522">
        <v>1</v>
      </c>
      <c r="Q4522">
        <v>0</v>
      </c>
      <c r="R4522">
        <v>411.86</v>
      </c>
      <c r="U4522">
        <v>50000</v>
      </c>
      <c r="W4522">
        <v>20.85</v>
      </c>
      <c r="X4522" t="s">
        <v>280</v>
      </c>
      <c r="Y4522" t="s">
        <v>127</v>
      </c>
      <c r="AA4522" t="s">
        <v>10974</v>
      </c>
      <c r="AB4522" t="s">
        <v>937</v>
      </c>
      <c r="AD4522" t="s">
        <v>11090</v>
      </c>
      <c r="AF4522" t="s">
        <v>11118</v>
      </c>
      <c r="AH4522" t="s">
        <v>10975</v>
      </c>
      <c r="AJ4522" t="s">
        <v>11130</v>
      </c>
      <c r="AK4522" t="s">
        <v>7225</v>
      </c>
      <c r="AM4522">
        <v>1205</v>
      </c>
      <c r="AO4522">
        <v>25</v>
      </c>
      <c r="AQ4522" t="s">
        <v>11157</v>
      </c>
      <c r="AS4522" t="s">
        <v>11173</v>
      </c>
      <c r="AU4522">
        <v>3</v>
      </c>
      <c r="AW4522" t="s">
        <v>11187</v>
      </c>
      <c r="AZ4522" t="s">
        <v>11221</v>
      </c>
      <c r="BE4522" t="s">
        <v>14219</v>
      </c>
      <c r="BF4522" t="s">
        <v>14364</v>
      </c>
      <c r="BJ4522" t="s">
        <v>15615</v>
      </c>
      <c r="BM4522" t="s">
        <v>15651</v>
      </c>
    </row>
    <row r="4523" spans="1:65">
      <c r="A4523" s="1">
        <f>HYPERLINK("https://lsnyc.legalserver.org/matter/dynamic-profile/view/1848461","17-1848461")</f>
        <v>0</v>
      </c>
      <c r="B4523" t="s">
        <v>238</v>
      </c>
      <c r="C4523" t="s">
        <v>245</v>
      </c>
      <c r="D4523" t="s">
        <v>1067</v>
      </c>
      <c r="E4523" t="s">
        <v>497</v>
      </c>
      <c r="F4523" t="s">
        <v>2800</v>
      </c>
      <c r="G4523" t="s">
        <v>4548</v>
      </c>
      <c r="H4523" t="s">
        <v>4875</v>
      </c>
      <c r="I4523" t="s">
        <v>6994</v>
      </c>
      <c r="J4523" t="s">
        <v>7169</v>
      </c>
      <c r="K4523">
        <v>10034</v>
      </c>
      <c r="L4523" t="s">
        <v>7221</v>
      </c>
      <c r="N4523" t="s">
        <v>7237</v>
      </c>
      <c r="O4523" t="s">
        <v>10104</v>
      </c>
      <c r="P4523">
        <v>2</v>
      </c>
      <c r="Q4523">
        <v>0</v>
      </c>
      <c r="R4523">
        <v>230.54</v>
      </c>
      <c r="U4523">
        <v>37440</v>
      </c>
      <c r="W4523">
        <v>0.35</v>
      </c>
      <c r="X4523" t="s">
        <v>631</v>
      </c>
      <c r="Y4523" t="s">
        <v>127</v>
      </c>
      <c r="AA4523" t="s">
        <v>10974</v>
      </c>
      <c r="AB4523" t="s">
        <v>1067</v>
      </c>
      <c r="AD4523" t="s">
        <v>11101</v>
      </c>
      <c r="AF4523" t="s">
        <v>11118</v>
      </c>
      <c r="AH4523" t="s">
        <v>10974</v>
      </c>
      <c r="AJ4523" t="s">
        <v>11130</v>
      </c>
      <c r="AK4523" t="s">
        <v>7225</v>
      </c>
      <c r="AM4523">
        <v>689.36</v>
      </c>
      <c r="AO4523">
        <v>49</v>
      </c>
      <c r="AQ4523" t="s">
        <v>11157</v>
      </c>
      <c r="AS4523" t="s">
        <v>11173</v>
      </c>
      <c r="AU4523">
        <v>12</v>
      </c>
      <c r="AW4523" t="s">
        <v>11189</v>
      </c>
      <c r="AZ4523" t="s">
        <v>11221</v>
      </c>
      <c r="BE4523" t="s">
        <v>14220</v>
      </c>
      <c r="BF4523" t="s">
        <v>14364</v>
      </c>
      <c r="BJ4523" t="s">
        <v>15615</v>
      </c>
      <c r="BM4523" t="s">
        <v>15651</v>
      </c>
    </row>
    <row r="4524" spans="1:65">
      <c r="A4524" s="1">
        <f>HYPERLINK("https://lsnyc.legalserver.org/matter/dynamic-profile/view/0831075","17-0831075")</f>
        <v>0</v>
      </c>
      <c r="B4524" t="s">
        <v>238</v>
      </c>
      <c r="C4524" t="s">
        <v>245</v>
      </c>
      <c r="D4524" t="s">
        <v>777</v>
      </c>
      <c r="F4524" t="s">
        <v>2159</v>
      </c>
      <c r="G4524" t="s">
        <v>4671</v>
      </c>
      <c r="H4524" t="s">
        <v>5341</v>
      </c>
      <c r="I4524" t="s">
        <v>6449</v>
      </c>
      <c r="J4524" t="s">
        <v>7169</v>
      </c>
      <c r="K4524">
        <v>10040</v>
      </c>
      <c r="N4524" t="s">
        <v>7237</v>
      </c>
      <c r="O4524" t="s">
        <v>10105</v>
      </c>
      <c r="P4524">
        <v>1</v>
      </c>
      <c r="Q4524">
        <v>0</v>
      </c>
      <c r="R4524">
        <v>796.02</v>
      </c>
      <c r="S4524" t="s">
        <v>481</v>
      </c>
      <c r="U4524">
        <v>96000</v>
      </c>
      <c r="W4524">
        <v>0</v>
      </c>
      <c r="Y4524" t="s">
        <v>10859</v>
      </c>
      <c r="Z4524" t="s">
        <v>10972</v>
      </c>
      <c r="AA4524" t="s">
        <v>10976</v>
      </c>
      <c r="AB4524" t="s">
        <v>11077</v>
      </c>
      <c r="AD4524" t="s">
        <v>11086</v>
      </c>
      <c r="AF4524" t="s">
        <v>11120</v>
      </c>
      <c r="AH4524" t="s">
        <v>10974</v>
      </c>
      <c r="AJ4524" t="s">
        <v>11134</v>
      </c>
      <c r="AK4524" t="s">
        <v>7225</v>
      </c>
      <c r="AM4524">
        <v>1651.64</v>
      </c>
      <c r="AO4524">
        <v>83</v>
      </c>
      <c r="AQ4524" t="s">
        <v>11157</v>
      </c>
      <c r="AS4524" t="s">
        <v>11173</v>
      </c>
      <c r="AU4524">
        <v>16</v>
      </c>
      <c r="AW4524" t="s">
        <v>11187</v>
      </c>
      <c r="AZ4524" t="s">
        <v>11221</v>
      </c>
      <c r="BD4524" t="s">
        <v>11667</v>
      </c>
      <c r="BF4524" t="s">
        <v>14364</v>
      </c>
      <c r="BG4524" t="s">
        <v>15521</v>
      </c>
      <c r="BM4524" t="s">
        <v>15650</v>
      </c>
    </row>
    <row r="4525" spans="1:65">
      <c r="A4525" s="1">
        <f>HYPERLINK("https://lsnyc.legalserver.org/matter/dynamic-profile/view/1906393","19-1906393")</f>
        <v>0</v>
      </c>
      <c r="B4525" t="s">
        <v>238</v>
      </c>
      <c r="C4525" t="s">
        <v>245</v>
      </c>
      <c r="D4525" t="s">
        <v>575</v>
      </c>
      <c r="F4525" t="s">
        <v>2801</v>
      </c>
      <c r="G4525" t="s">
        <v>4672</v>
      </c>
      <c r="H4525" t="s">
        <v>5882</v>
      </c>
      <c r="I4525">
        <v>36</v>
      </c>
      <c r="J4525" t="s">
        <v>7169</v>
      </c>
      <c r="K4525">
        <v>10032</v>
      </c>
      <c r="N4525" t="s">
        <v>7237</v>
      </c>
      <c r="O4525" t="s">
        <v>10106</v>
      </c>
      <c r="P4525">
        <v>1</v>
      </c>
      <c r="Q4525">
        <v>0</v>
      </c>
      <c r="R4525">
        <v>412.33</v>
      </c>
      <c r="U4525">
        <v>51500</v>
      </c>
      <c r="W4525">
        <v>0.1</v>
      </c>
      <c r="X4525" t="s">
        <v>264</v>
      </c>
      <c r="Y4525" t="s">
        <v>127</v>
      </c>
      <c r="AA4525" t="s">
        <v>10974</v>
      </c>
      <c r="AB4525" t="s">
        <v>575</v>
      </c>
      <c r="AD4525" t="s">
        <v>11101</v>
      </c>
      <c r="AF4525" t="s">
        <v>11120</v>
      </c>
      <c r="AH4525" t="s">
        <v>10974</v>
      </c>
      <c r="AJ4525" t="s">
        <v>11130</v>
      </c>
      <c r="AK4525" t="s">
        <v>7225</v>
      </c>
      <c r="AL4525" t="s">
        <v>11150</v>
      </c>
      <c r="AM4525">
        <v>0</v>
      </c>
      <c r="AO4525">
        <v>46</v>
      </c>
      <c r="AQ4525" t="s">
        <v>11157</v>
      </c>
      <c r="AS4525" t="s">
        <v>11173</v>
      </c>
      <c r="AU4525">
        <v>4</v>
      </c>
      <c r="AW4525" t="s">
        <v>11187</v>
      </c>
      <c r="BA4525" t="s">
        <v>11222</v>
      </c>
      <c r="BE4525" t="s">
        <v>14221</v>
      </c>
      <c r="BF4525" t="s">
        <v>14364</v>
      </c>
      <c r="BM4525" t="s">
        <v>15650</v>
      </c>
    </row>
    <row r="4526" spans="1:65">
      <c r="A4526" s="1">
        <f>HYPERLINK("https://lsnyc.legalserver.org/matter/dynamic-profile/view/0831069","17-0831069")</f>
        <v>0</v>
      </c>
      <c r="B4526" t="s">
        <v>238</v>
      </c>
      <c r="C4526" t="s">
        <v>245</v>
      </c>
      <c r="D4526" t="s">
        <v>777</v>
      </c>
      <c r="F4526" t="s">
        <v>2159</v>
      </c>
      <c r="G4526" t="s">
        <v>4671</v>
      </c>
      <c r="H4526" t="s">
        <v>5341</v>
      </c>
      <c r="I4526" t="s">
        <v>6449</v>
      </c>
      <c r="J4526" t="s">
        <v>7169</v>
      </c>
      <c r="K4526">
        <v>10040</v>
      </c>
      <c r="N4526" t="s">
        <v>7237</v>
      </c>
      <c r="O4526" t="s">
        <v>10105</v>
      </c>
      <c r="P4526">
        <v>1</v>
      </c>
      <c r="Q4526">
        <v>0</v>
      </c>
      <c r="R4526">
        <v>796.02</v>
      </c>
      <c r="S4526" t="s">
        <v>481</v>
      </c>
      <c r="U4526">
        <v>96000</v>
      </c>
      <c r="W4526">
        <v>0</v>
      </c>
      <c r="X4526" t="s">
        <v>10811</v>
      </c>
      <c r="Y4526" t="s">
        <v>10859</v>
      </c>
      <c r="Z4526" t="s">
        <v>10972</v>
      </c>
      <c r="AA4526" t="s">
        <v>10976</v>
      </c>
      <c r="AB4526" t="s">
        <v>11077</v>
      </c>
      <c r="AD4526" t="s">
        <v>11101</v>
      </c>
      <c r="AF4526" t="s">
        <v>11118</v>
      </c>
      <c r="AH4526" t="s">
        <v>10975</v>
      </c>
      <c r="AI4526" t="s">
        <v>11126</v>
      </c>
      <c r="AK4526" t="s">
        <v>7225</v>
      </c>
      <c r="AM4526">
        <v>1651.64</v>
      </c>
      <c r="AO4526">
        <v>83</v>
      </c>
      <c r="AQ4526" t="s">
        <v>11157</v>
      </c>
      <c r="AS4526" t="s">
        <v>11173</v>
      </c>
      <c r="AU4526">
        <v>16</v>
      </c>
      <c r="AW4526" t="s">
        <v>11187</v>
      </c>
      <c r="AZ4526" t="s">
        <v>11221</v>
      </c>
      <c r="BD4526" t="s">
        <v>11667</v>
      </c>
      <c r="BF4526" t="s">
        <v>14364</v>
      </c>
      <c r="BG4526" t="s">
        <v>15521</v>
      </c>
      <c r="BM4526" t="s">
        <v>15650</v>
      </c>
    </row>
    <row r="4527" spans="1:65">
      <c r="A4527" s="1">
        <f>HYPERLINK("https://lsnyc.legalserver.org/matter/dynamic-profile/view/1914444","19-1914444")</f>
        <v>0</v>
      </c>
      <c r="B4527" t="s">
        <v>238</v>
      </c>
      <c r="C4527" t="s">
        <v>245</v>
      </c>
      <c r="D4527" t="s">
        <v>497</v>
      </c>
      <c r="F4527" t="s">
        <v>2802</v>
      </c>
      <c r="G4527" t="s">
        <v>3168</v>
      </c>
      <c r="H4527" t="s">
        <v>6330</v>
      </c>
      <c r="I4527" t="s">
        <v>7139</v>
      </c>
      <c r="J4527" t="s">
        <v>7169</v>
      </c>
      <c r="K4527">
        <v>10032</v>
      </c>
      <c r="N4527" t="s">
        <v>7237</v>
      </c>
      <c r="O4527" t="s">
        <v>8115</v>
      </c>
      <c r="P4527">
        <v>1</v>
      </c>
      <c r="Q4527">
        <v>0</v>
      </c>
      <c r="R4527">
        <v>70.62</v>
      </c>
      <c r="U4527">
        <v>8820</v>
      </c>
      <c r="W4527">
        <v>0.1</v>
      </c>
      <c r="X4527" t="s">
        <v>497</v>
      </c>
      <c r="Y4527" t="s">
        <v>238</v>
      </c>
      <c r="AA4527" t="s">
        <v>10974</v>
      </c>
      <c r="AB4527" t="s">
        <v>1068</v>
      </c>
      <c r="AD4527" t="s">
        <v>11084</v>
      </c>
      <c r="AF4527" t="s">
        <v>11118</v>
      </c>
      <c r="AH4527" t="s">
        <v>10975</v>
      </c>
      <c r="AJ4527" t="s">
        <v>11130</v>
      </c>
      <c r="AK4527" t="s">
        <v>7225</v>
      </c>
      <c r="AM4527">
        <v>531</v>
      </c>
      <c r="AO4527">
        <v>32</v>
      </c>
      <c r="AQ4527" t="s">
        <v>11156</v>
      </c>
      <c r="AR4527" t="s">
        <v>11172</v>
      </c>
      <c r="AU4527">
        <v>12</v>
      </c>
      <c r="AW4527" t="s">
        <v>11187</v>
      </c>
      <c r="AY4527" t="s">
        <v>11213</v>
      </c>
      <c r="AZ4527" t="s">
        <v>11221</v>
      </c>
      <c r="BE4527" t="s">
        <v>14222</v>
      </c>
      <c r="BF4527" t="s">
        <v>14364</v>
      </c>
      <c r="BG4527">
        <v>451563</v>
      </c>
      <c r="BM4527" t="s">
        <v>15650</v>
      </c>
    </row>
    <row r="4528" spans="1:65">
      <c r="A4528" s="1">
        <f>HYPERLINK("https://lsnyc.legalserver.org/matter/dynamic-profile/view/1902040","19-1902040")</f>
        <v>0</v>
      </c>
      <c r="B4528" t="s">
        <v>238</v>
      </c>
      <c r="C4528" t="s">
        <v>245</v>
      </c>
      <c r="D4528" t="s">
        <v>590</v>
      </c>
      <c r="E4528" t="s">
        <v>497</v>
      </c>
      <c r="F4528" t="s">
        <v>1122</v>
      </c>
      <c r="G4528" t="s">
        <v>4046</v>
      </c>
      <c r="H4528" t="s">
        <v>4880</v>
      </c>
      <c r="I4528" t="s">
        <v>6437</v>
      </c>
      <c r="J4528" t="s">
        <v>7169</v>
      </c>
      <c r="K4528">
        <v>10034</v>
      </c>
      <c r="L4528" t="s">
        <v>7219</v>
      </c>
      <c r="N4528" t="s">
        <v>7237</v>
      </c>
      <c r="O4528" t="s">
        <v>10107</v>
      </c>
      <c r="P4528">
        <v>2</v>
      </c>
      <c r="Q4528">
        <v>1</v>
      </c>
      <c r="R4528">
        <v>227.85</v>
      </c>
      <c r="U4528">
        <v>48600</v>
      </c>
      <c r="W4528">
        <v>8.85</v>
      </c>
      <c r="X4528" t="s">
        <v>373</v>
      </c>
      <c r="Y4528" t="s">
        <v>127</v>
      </c>
      <c r="AA4528" t="s">
        <v>10974</v>
      </c>
      <c r="AB4528" t="s">
        <v>590</v>
      </c>
      <c r="AD4528" t="s">
        <v>11082</v>
      </c>
      <c r="AF4528" t="s">
        <v>11118</v>
      </c>
      <c r="AH4528" t="s">
        <v>10975</v>
      </c>
      <c r="AJ4528" t="s">
        <v>11130</v>
      </c>
      <c r="AK4528" t="s">
        <v>7225</v>
      </c>
      <c r="AM4528">
        <v>2084</v>
      </c>
      <c r="AO4528">
        <v>126</v>
      </c>
      <c r="AQ4528" t="s">
        <v>11157</v>
      </c>
      <c r="AS4528" t="s">
        <v>11174</v>
      </c>
      <c r="AU4528">
        <v>38</v>
      </c>
      <c r="AW4528" t="s">
        <v>11189</v>
      </c>
      <c r="BA4528" t="s">
        <v>11222</v>
      </c>
      <c r="BE4528" t="s">
        <v>14223</v>
      </c>
      <c r="BF4528" t="s">
        <v>14364</v>
      </c>
      <c r="BH4528" t="s">
        <v>15605</v>
      </c>
      <c r="BJ4528" t="s">
        <v>15615</v>
      </c>
      <c r="BL4528" t="s">
        <v>15648</v>
      </c>
      <c r="BM4528" t="s">
        <v>15651</v>
      </c>
    </row>
    <row r="4529" spans="1:65">
      <c r="A4529" s="1">
        <f>HYPERLINK("https://lsnyc.legalserver.org/matter/dynamic-profile/view/1906399","19-1906399")</f>
        <v>0</v>
      </c>
      <c r="B4529" t="s">
        <v>238</v>
      </c>
      <c r="C4529" t="s">
        <v>245</v>
      </c>
      <c r="D4529" t="s">
        <v>575</v>
      </c>
      <c r="F4529" t="s">
        <v>2803</v>
      </c>
      <c r="G4529" t="s">
        <v>4209</v>
      </c>
      <c r="H4529" t="s">
        <v>5882</v>
      </c>
      <c r="I4529">
        <v>55</v>
      </c>
      <c r="J4529" t="s">
        <v>7169</v>
      </c>
      <c r="K4529">
        <v>10032</v>
      </c>
      <c r="N4529" t="s">
        <v>7237</v>
      </c>
      <c r="O4529" t="s">
        <v>10108</v>
      </c>
      <c r="P4529">
        <v>2</v>
      </c>
      <c r="Q4529">
        <v>0</v>
      </c>
      <c r="R4529">
        <v>354.82</v>
      </c>
      <c r="S4529" t="s">
        <v>271</v>
      </c>
      <c r="T4529" t="s">
        <v>10276</v>
      </c>
      <c r="U4529">
        <v>60000</v>
      </c>
      <c r="W4529">
        <v>0</v>
      </c>
      <c r="Y4529" t="s">
        <v>127</v>
      </c>
      <c r="AA4529" t="s">
        <v>10974</v>
      </c>
      <c r="AB4529" t="s">
        <v>575</v>
      </c>
      <c r="AD4529" t="s">
        <v>11101</v>
      </c>
      <c r="AF4529" t="s">
        <v>11120</v>
      </c>
      <c r="AH4529" t="s">
        <v>10974</v>
      </c>
      <c r="AJ4529" t="s">
        <v>11130</v>
      </c>
      <c r="AK4529" t="s">
        <v>7225</v>
      </c>
      <c r="AM4529">
        <v>2395</v>
      </c>
      <c r="AO4529">
        <v>46</v>
      </c>
      <c r="AQ4529" t="s">
        <v>11157</v>
      </c>
      <c r="AS4529" t="s">
        <v>11173</v>
      </c>
      <c r="AU4529">
        <v>2</v>
      </c>
      <c r="AW4529" t="s">
        <v>11187</v>
      </c>
      <c r="BA4529" t="s">
        <v>11222</v>
      </c>
      <c r="BE4529" t="s">
        <v>14224</v>
      </c>
      <c r="BF4529" t="s">
        <v>14364</v>
      </c>
      <c r="BM4529" t="s">
        <v>15650</v>
      </c>
    </row>
    <row r="4530" spans="1:65">
      <c r="A4530" s="1">
        <f>HYPERLINK("https://lsnyc.legalserver.org/matter/dynamic-profile/view/1904367","19-1904367")</f>
        <v>0</v>
      </c>
      <c r="B4530" t="s">
        <v>238</v>
      </c>
      <c r="C4530" t="s">
        <v>245</v>
      </c>
      <c r="D4530" t="s">
        <v>525</v>
      </c>
      <c r="F4530" t="s">
        <v>2804</v>
      </c>
      <c r="G4530" t="s">
        <v>3007</v>
      </c>
      <c r="H4530" t="s">
        <v>6331</v>
      </c>
      <c r="I4530">
        <v>6</v>
      </c>
      <c r="J4530" t="s">
        <v>7169</v>
      </c>
      <c r="K4530">
        <v>10033</v>
      </c>
      <c r="N4530" t="s">
        <v>7237</v>
      </c>
      <c r="O4530" t="s">
        <v>10109</v>
      </c>
      <c r="P4530">
        <v>1</v>
      </c>
      <c r="Q4530">
        <v>0</v>
      </c>
      <c r="R4530">
        <v>79.55</v>
      </c>
      <c r="U4530">
        <v>9936</v>
      </c>
      <c r="W4530">
        <v>8.550000000000001</v>
      </c>
      <c r="X4530" t="s">
        <v>735</v>
      </c>
      <c r="Y4530" t="s">
        <v>127</v>
      </c>
      <c r="AA4530" t="s">
        <v>10974</v>
      </c>
      <c r="AB4530" t="s">
        <v>525</v>
      </c>
      <c r="AD4530" t="s">
        <v>11085</v>
      </c>
      <c r="AF4530" t="s">
        <v>11118</v>
      </c>
      <c r="AH4530" t="s">
        <v>10975</v>
      </c>
      <c r="AJ4530" t="s">
        <v>11129</v>
      </c>
      <c r="AK4530" t="s">
        <v>7225</v>
      </c>
      <c r="AM4530">
        <v>163</v>
      </c>
      <c r="AO4530">
        <v>36</v>
      </c>
      <c r="AQ4530" t="s">
        <v>11157</v>
      </c>
      <c r="AS4530" t="s">
        <v>11174</v>
      </c>
      <c r="AU4530">
        <v>22</v>
      </c>
      <c r="AW4530" t="s">
        <v>11189</v>
      </c>
      <c r="BA4530" t="s">
        <v>11222</v>
      </c>
      <c r="BE4530" t="s">
        <v>14225</v>
      </c>
      <c r="BF4530" t="s">
        <v>14364</v>
      </c>
      <c r="BM4530" t="s">
        <v>15650</v>
      </c>
    </row>
    <row r="4531" spans="1:65">
      <c r="A4531" s="1">
        <f>HYPERLINK("https://lsnyc.legalserver.org/matter/dynamic-profile/view/0826254","17-0826254")</f>
        <v>0</v>
      </c>
      <c r="B4531" t="s">
        <v>238</v>
      </c>
      <c r="C4531" t="s">
        <v>245</v>
      </c>
      <c r="D4531" t="s">
        <v>378</v>
      </c>
      <c r="F4531" t="s">
        <v>1280</v>
      </c>
      <c r="G4531" t="s">
        <v>3680</v>
      </c>
      <c r="H4531" t="s">
        <v>5341</v>
      </c>
      <c r="I4531" t="s">
        <v>6491</v>
      </c>
      <c r="J4531" t="s">
        <v>7169</v>
      </c>
      <c r="K4531">
        <v>10040</v>
      </c>
      <c r="N4531" t="s">
        <v>7237</v>
      </c>
      <c r="O4531" t="s">
        <v>10110</v>
      </c>
      <c r="P4531">
        <v>2</v>
      </c>
      <c r="Q4531">
        <v>0</v>
      </c>
      <c r="R4531">
        <v>210.99</v>
      </c>
      <c r="S4531" t="s">
        <v>10255</v>
      </c>
      <c r="U4531">
        <v>33800</v>
      </c>
      <c r="W4531">
        <v>0</v>
      </c>
      <c r="X4531" t="s">
        <v>10811</v>
      </c>
      <c r="Y4531" t="s">
        <v>10859</v>
      </c>
      <c r="AA4531" t="s">
        <v>10974</v>
      </c>
      <c r="AB4531" t="s">
        <v>11077</v>
      </c>
      <c r="AD4531" t="s">
        <v>11101</v>
      </c>
      <c r="AF4531" t="s">
        <v>11118</v>
      </c>
      <c r="AH4531" t="s">
        <v>10974</v>
      </c>
      <c r="AJ4531" t="s">
        <v>11134</v>
      </c>
      <c r="AK4531" t="s">
        <v>7225</v>
      </c>
      <c r="AM4531">
        <v>1269.44</v>
      </c>
      <c r="AO4531">
        <v>83</v>
      </c>
      <c r="AQ4531" t="s">
        <v>11157</v>
      </c>
      <c r="AS4531" t="s">
        <v>11173</v>
      </c>
      <c r="AU4531">
        <v>24</v>
      </c>
      <c r="AW4531" t="s">
        <v>11189</v>
      </c>
      <c r="AZ4531" t="s">
        <v>11221</v>
      </c>
      <c r="BE4531" t="s">
        <v>14226</v>
      </c>
      <c r="BF4531" t="s">
        <v>14364</v>
      </c>
      <c r="BG4531" t="s">
        <v>15521</v>
      </c>
      <c r="BM4531" t="s">
        <v>15650</v>
      </c>
    </row>
    <row r="4532" spans="1:65">
      <c r="A4532" s="1">
        <f>HYPERLINK("https://lsnyc.legalserver.org/matter/dynamic-profile/view/1878954","18-1878954")</f>
        <v>0</v>
      </c>
      <c r="B4532" t="s">
        <v>238</v>
      </c>
      <c r="C4532" t="s">
        <v>245</v>
      </c>
      <c r="D4532" t="s">
        <v>760</v>
      </c>
      <c r="F4532" t="s">
        <v>1239</v>
      </c>
      <c r="G4532" t="s">
        <v>3115</v>
      </c>
      <c r="H4532" t="s">
        <v>6332</v>
      </c>
      <c r="I4532" t="s">
        <v>7140</v>
      </c>
      <c r="J4532" t="s">
        <v>7169</v>
      </c>
      <c r="K4532">
        <v>10040</v>
      </c>
      <c r="N4532" t="s">
        <v>7237</v>
      </c>
      <c r="O4532" t="s">
        <v>10111</v>
      </c>
      <c r="P4532">
        <v>1</v>
      </c>
      <c r="Q4532">
        <v>0</v>
      </c>
      <c r="R4532">
        <v>83.03</v>
      </c>
      <c r="U4532">
        <v>10080</v>
      </c>
      <c r="W4532">
        <v>0</v>
      </c>
      <c r="Y4532" t="s">
        <v>127</v>
      </c>
      <c r="AA4532" t="s">
        <v>10974</v>
      </c>
      <c r="AB4532" t="s">
        <v>760</v>
      </c>
      <c r="AD4532" t="s">
        <v>11098</v>
      </c>
      <c r="AF4532" t="s">
        <v>11122</v>
      </c>
      <c r="AH4532" t="s">
        <v>10974</v>
      </c>
      <c r="AJ4532" t="s">
        <v>11134</v>
      </c>
      <c r="AK4532" t="s">
        <v>7225</v>
      </c>
      <c r="AM4532">
        <v>1065</v>
      </c>
      <c r="AO4532">
        <v>88</v>
      </c>
      <c r="AQ4532" t="s">
        <v>11157</v>
      </c>
      <c r="AS4532" t="s">
        <v>11175</v>
      </c>
      <c r="AU4532">
        <v>22</v>
      </c>
      <c r="AW4532" t="s">
        <v>11189</v>
      </c>
      <c r="BA4532" t="s">
        <v>11222</v>
      </c>
      <c r="BE4532" t="s">
        <v>14227</v>
      </c>
      <c r="BF4532" t="s">
        <v>14364</v>
      </c>
      <c r="BM4532" t="s">
        <v>15650</v>
      </c>
    </row>
    <row r="4533" spans="1:65">
      <c r="A4533" s="1">
        <f>HYPERLINK("https://lsnyc.legalserver.org/matter/dynamic-profile/view/1878956","18-1878956")</f>
        <v>0</v>
      </c>
      <c r="B4533" t="s">
        <v>238</v>
      </c>
      <c r="C4533" t="s">
        <v>245</v>
      </c>
      <c r="D4533" t="s">
        <v>760</v>
      </c>
      <c r="F4533" t="s">
        <v>2496</v>
      </c>
      <c r="G4533" t="s">
        <v>2956</v>
      </c>
      <c r="H4533" t="s">
        <v>5341</v>
      </c>
      <c r="I4533" t="s">
        <v>6527</v>
      </c>
      <c r="J4533" t="s">
        <v>7169</v>
      </c>
      <c r="K4533">
        <v>10040</v>
      </c>
      <c r="N4533" t="s">
        <v>7237</v>
      </c>
      <c r="O4533" t="s">
        <v>10112</v>
      </c>
      <c r="P4533">
        <v>1</v>
      </c>
      <c r="Q4533">
        <v>1</v>
      </c>
      <c r="R4533">
        <v>210.58</v>
      </c>
      <c r="U4533">
        <v>34661.76</v>
      </c>
      <c r="W4533">
        <v>0</v>
      </c>
      <c r="Y4533" t="s">
        <v>127</v>
      </c>
      <c r="AA4533" t="s">
        <v>10974</v>
      </c>
      <c r="AB4533" t="s">
        <v>760</v>
      </c>
      <c r="AD4533" t="s">
        <v>11098</v>
      </c>
      <c r="AF4533" t="s">
        <v>11122</v>
      </c>
      <c r="AH4533" t="s">
        <v>10974</v>
      </c>
      <c r="AJ4533" t="s">
        <v>11134</v>
      </c>
      <c r="AK4533" t="s">
        <v>7225</v>
      </c>
      <c r="AM4533">
        <v>913.34</v>
      </c>
      <c r="AO4533">
        <v>88</v>
      </c>
      <c r="AQ4533" t="s">
        <v>11157</v>
      </c>
      <c r="AS4533" t="s">
        <v>11173</v>
      </c>
      <c r="AU4533">
        <v>29</v>
      </c>
      <c r="AW4533" t="s">
        <v>11189</v>
      </c>
      <c r="BA4533" t="s">
        <v>11222</v>
      </c>
      <c r="BE4533" t="s">
        <v>14228</v>
      </c>
      <c r="BF4533" t="s">
        <v>14364</v>
      </c>
      <c r="BM4533" t="s">
        <v>15650</v>
      </c>
    </row>
    <row r="4534" spans="1:65">
      <c r="A4534" s="1">
        <f>HYPERLINK("https://lsnyc.legalserver.org/matter/dynamic-profile/view/0826279","17-0826279")</f>
        <v>0</v>
      </c>
      <c r="B4534" t="s">
        <v>238</v>
      </c>
      <c r="C4534" t="s">
        <v>245</v>
      </c>
      <c r="D4534" t="s">
        <v>378</v>
      </c>
      <c r="F4534" t="s">
        <v>1755</v>
      </c>
      <c r="G4534" t="s">
        <v>3032</v>
      </c>
      <c r="H4534" t="s">
        <v>5341</v>
      </c>
      <c r="I4534" t="s">
        <v>6980</v>
      </c>
      <c r="J4534" t="s">
        <v>7169</v>
      </c>
      <c r="K4534">
        <v>10040</v>
      </c>
      <c r="N4534" t="s">
        <v>7237</v>
      </c>
      <c r="O4534" t="s">
        <v>9334</v>
      </c>
      <c r="P4534">
        <v>1</v>
      </c>
      <c r="Q4534">
        <v>0</v>
      </c>
      <c r="R4534">
        <v>83.03</v>
      </c>
      <c r="S4534" t="s">
        <v>481</v>
      </c>
      <c r="U4534">
        <v>9864</v>
      </c>
      <c r="W4534">
        <v>0</v>
      </c>
      <c r="X4534" t="s">
        <v>10811</v>
      </c>
      <c r="Y4534" t="s">
        <v>10859</v>
      </c>
      <c r="AA4534" t="s">
        <v>10974</v>
      </c>
      <c r="AB4534" t="s">
        <v>998</v>
      </c>
      <c r="AD4534" t="s">
        <v>11101</v>
      </c>
      <c r="AF4534" t="s">
        <v>11118</v>
      </c>
      <c r="AH4534" t="s">
        <v>10974</v>
      </c>
      <c r="AJ4534" t="s">
        <v>11134</v>
      </c>
      <c r="AK4534" t="s">
        <v>7225</v>
      </c>
      <c r="AM4534">
        <v>865.75</v>
      </c>
      <c r="AO4534">
        <v>83</v>
      </c>
      <c r="AQ4534" t="s">
        <v>11157</v>
      </c>
      <c r="AS4534" t="s">
        <v>11173</v>
      </c>
      <c r="AU4534">
        <v>25</v>
      </c>
      <c r="AW4534" t="s">
        <v>11189</v>
      </c>
      <c r="AZ4534" t="s">
        <v>11221</v>
      </c>
      <c r="BE4534" t="s">
        <v>14229</v>
      </c>
      <c r="BF4534" t="s">
        <v>14364</v>
      </c>
      <c r="BG4534" t="s">
        <v>15521</v>
      </c>
      <c r="BM4534" t="s">
        <v>15650</v>
      </c>
    </row>
    <row r="4535" spans="1:65">
      <c r="A4535" s="1">
        <f>HYPERLINK("https://lsnyc.legalserver.org/matter/dynamic-profile/view/1901238","19-1901238")</f>
        <v>0</v>
      </c>
      <c r="B4535" t="s">
        <v>238</v>
      </c>
      <c r="C4535" t="s">
        <v>245</v>
      </c>
      <c r="D4535" t="s">
        <v>287</v>
      </c>
      <c r="F4535" t="s">
        <v>1635</v>
      </c>
      <c r="G4535" t="s">
        <v>2938</v>
      </c>
      <c r="H4535" t="s">
        <v>6320</v>
      </c>
      <c r="I4535">
        <v>35</v>
      </c>
      <c r="J4535" t="s">
        <v>7169</v>
      </c>
      <c r="K4535">
        <v>10032</v>
      </c>
      <c r="N4535" t="s">
        <v>7237</v>
      </c>
      <c r="O4535" t="s">
        <v>10068</v>
      </c>
      <c r="P4535">
        <v>3</v>
      </c>
      <c r="Q4535">
        <v>0</v>
      </c>
      <c r="R4535">
        <v>83.83</v>
      </c>
      <c r="U4535">
        <v>17880</v>
      </c>
      <c r="W4535">
        <v>19.18</v>
      </c>
      <c r="X4535" t="s">
        <v>638</v>
      </c>
      <c r="Y4535" t="s">
        <v>127</v>
      </c>
      <c r="AA4535" t="s">
        <v>10974</v>
      </c>
      <c r="AB4535" t="s">
        <v>287</v>
      </c>
      <c r="AD4535" t="s">
        <v>11090</v>
      </c>
      <c r="AF4535" t="s">
        <v>11118</v>
      </c>
      <c r="AH4535" t="s">
        <v>10975</v>
      </c>
      <c r="AJ4535" t="s">
        <v>11130</v>
      </c>
      <c r="AK4535" t="s">
        <v>7225</v>
      </c>
      <c r="AM4535">
        <v>1147.19</v>
      </c>
      <c r="AO4535">
        <v>30</v>
      </c>
      <c r="AQ4535" t="s">
        <v>11157</v>
      </c>
      <c r="AS4535" t="s">
        <v>11175</v>
      </c>
      <c r="AU4535">
        <v>27</v>
      </c>
      <c r="AW4535" t="s">
        <v>11189</v>
      </c>
      <c r="BA4535" t="s">
        <v>11222</v>
      </c>
      <c r="BE4535" t="s">
        <v>14182</v>
      </c>
      <c r="BF4535" t="s">
        <v>14364</v>
      </c>
      <c r="BM4535" t="s">
        <v>15650</v>
      </c>
    </row>
    <row r="4536" spans="1:65">
      <c r="A4536" s="1">
        <f>HYPERLINK("https://lsnyc.legalserver.org/matter/dynamic-profile/view/1878961","18-1878961")</f>
        <v>0</v>
      </c>
      <c r="B4536" t="s">
        <v>238</v>
      </c>
      <c r="C4536" t="s">
        <v>245</v>
      </c>
      <c r="D4536" t="s">
        <v>760</v>
      </c>
      <c r="F4536" t="s">
        <v>2447</v>
      </c>
      <c r="G4536" t="s">
        <v>2220</v>
      </c>
      <c r="H4536" t="s">
        <v>5341</v>
      </c>
      <c r="I4536" t="s">
        <v>6416</v>
      </c>
      <c r="J4536" t="s">
        <v>7169</v>
      </c>
      <c r="K4536">
        <v>10040</v>
      </c>
      <c r="N4536" t="s">
        <v>7237</v>
      </c>
      <c r="O4536" t="s">
        <v>10113</v>
      </c>
      <c r="P4536">
        <v>1</v>
      </c>
      <c r="Q4536">
        <v>0</v>
      </c>
      <c r="R4536">
        <v>378.91</v>
      </c>
      <c r="T4536" t="s">
        <v>10278</v>
      </c>
      <c r="U4536">
        <v>46000</v>
      </c>
      <c r="W4536">
        <v>28.7</v>
      </c>
      <c r="X4536" t="s">
        <v>267</v>
      </c>
      <c r="Y4536" t="s">
        <v>238</v>
      </c>
      <c r="AA4536" t="s">
        <v>10974</v>
      </c>
      <c r="AB4536" t="s">
        <v>11078</v>
      </c>
      <c r="AD4536" t="s">
        <v>11098</v>
      </c>
      <c r="AF4536" t="s">
        <v>11122</v>
      </c>
      <c r="AG4536" t="s">
        <v>11124</v>
      </c>
      <c r="AJ4536" t="s">
        <v>11134</v>
      </c>
      <c r="AK4536" t="s">
        <v>7225</v>
      </c>
      <c r="AM4536">
        <v>929</v>
      </c>
      <c r="AO4536">
        <v>83</v>
      </c>
      <c r="AQ4536" t="s">
        <v>11157</v>
      </c>
      <c r="AR4536" t="s">
        <v>11172</v>
      </c>
      <c r="AU4536">
        <v>34</v>
      </c>
      <c r="AW4536" t="s">
        <v>11189</v>
      </c>
      <c r="AY4536" t="s">
        <v>11213</v>
      </c>
      <c r="AZ4536" t="s">
        <v>11221</v>
      </c>
      <c r="BE4536" t="s">
        <v>14230</v>
      </c>
      <c r="BF4536" t="s">
        <v>14364</v>
      </c>
      <c r="BM4536" t="s">
        <v>15650</v>
      </c>
    </row>
    <row r="4537" spans="1:65">
      <c r="A4537" s="1">
        <f>HYPERLINK("https://lsnyc.legalserver.org/matter/dynamic-profile/view/1897191","19-1897191")</f>
        <v>0</v>
      </c>
      <c r="B4537" t="s">
        <v>238</v>
      </c>
      <c r="C4537" t="s">
        <v>245</v>
      </c>
      <c r="D4537" t="s">
        <v>444</v>
      </c>
      <c r="F4537" t="s">
        <v>1494</v>
      </c>
      <c r="G4537" t="s">
        <v>4673</v>
      </c>
      <c r="H4537" t="s">
        <v>6333</v>
      </c>
      <c r="I4537" t="s">
        <v>6525</v>
      </c>
      <c r="J4537" t="s">
        <v>7169</v>
      </c>
      <c r="K4537">
        <v>10034</v>
      </c>
      <c r="N4537" t="s">
        <v>7237</v>
      </c>
      <c r="O4537" t="s">
        <v>10114</v>
      </c>
      <c r="P4537">
        <v>1</v>
      </c>
      <c r="Q4537">
        <v>0</v>
      </c>
      <c r="R4537">
        <v>247.22</v>
      </c>
      <c r="U4537">
        <v>30878</v>
      </c>
      <c r="W4537">
        <v>3</v>
      </c>
      <c r="X4537" t="s">
        <v>728</v>
      </c>
      <c r="Y4537" t="s">
        <v>127</v>
      </c>
      <c r="AA4537" t="s">
        <v>10974</v>
      </c>
      <c r="AB4537" t="s">
        <v>444</v>
      </c>
      <c r="AD4537" t="s">
        <v>11101</v>
      </c>
      <c r="AF4537" t="s">
        <v>11118</v>
      </c>
      <c r="AH4537" t="s">
        <v>10974</v>
      </c>
      <c r="AJ4537" t="s">
        <v>11130</v>
      </c>
      <c r="AK4537" t="s">
        <v>7225</v>
      </c>
      <c r="AM4537">
        <v>333.34</v>
      </c>
      <c r="AO4537">
        <v>20</v>
      </c>
      <c r="AQ4537" t="s">
        <v>11157</v>
      </c>
      <c r="AS4537" t="s">
        <v>11173</v>
      </c>
      <c r="AU4537">
        <v>68</v>
      </c>
      <c r="AW4537" t="s">
        <v>11187</v>
      </c>
      <c r="BA4537" t="s">
        <v>11222</v>
      </c>
      <c r="BD4537" t="s">
        <v>11667</v>
      </c>
      <c r="BF4537" t="s">
        <v>14364</v>
      </c>
      <c r="BG4537" t="s">
        <v>15265</v>
      </c>
      <c r="BM4537" t="s">
        <v>15650</v>
      </c>
    </row>
    <row r="4538" spans="1:65">
      <c r="A4538" s="1">
        <f>HYPERLINK("https://lsnyc.legalserver.org/matter/dynamic-profile/view/1906387","19-1906387")</f>
        <v>0</v>
      </c>
      <c r="B4538" t="s">
        <v>238</v>
      </c>
      <c r="C4538" t="s">
        <v>245</v>
      </c>
      <c r="D4538" t="s">
        <v>575</v>
      </c>
      <c r="F4538" t="s">
        <v>1150</v>
      </c>
      <c r="G4538" t="s">
        <v>3717</v>
      </c>
      <c r="H4538" t="s">
        <v>5882</v>
      </c>
      <c r="I4538">
        <v>41</v>
      </c>
      <c r="J4538" t="s">
        <v>7169</v>
      </c>
      <c r="K4538">
        <v>10032</v>
      </c>
      <c r="N4538" t="s">
        <v>7237</v>
      </c>
      <c r="O4538" t="s">
        <v>10115</v>
      </c>
      <c r="P4538">
        <v>2</v>
      </c>
      <c r="Q4538">
        <v>3</v>
      </c>
      <c r="R4538">
        <v>265.16</v>
      </c>
      <c r="S4538" t="s">
        <v>271</v>
      </c>
      <c r="T4538" t="s">
        <v>10276</v>
      </c>
      <c r="U4538">
        <v>80000</v>
      </c>
      <c r="W4538">
        <v>0</v>
      </c>
      <c r="Y4538" t="s">
        <v>127</v>
      </c>
      <c r="AA4538" t="s">
        <v>10974</v>
      </c>
      <c r="AB4538" t="s">
        <v>575</v>
      </c>
      <c r="AD4538" t="s">
        <v>11101</v>
      </c>
      <c r="AF4538" t="s">
        <v>11120</v>
      </c>
      <c r="AH4538" t="s">
        <v>10974</v>
      </c>
      <c r="AJ4538" t="s">
        <v>11130</v>
      </c>
      <c r="AK4538" t="s">
        <v>7225</v>
      </c>
      <c r="AM4538">
        <v>1600</v>
      </c>
      <c r="AO4538">
        <v>46</v>
      </c>
      <c r="AQ4538" t="s">
        <v>11157</v>
      </c>
      <c r="AS4538" t="s">
        <v>11173</v>
      </c>
      <c r="AU4538">
        <v>30</v>
      </c>
      <c r="AW4538" t="s">
        <v>11187</v>
      </c>
      <c r="BA4538" t="s">
        <v>11222</v>
      </c>
      <c r="BE4538" t="s">
        <v>14231</v>
      </c>
      <c r="BF4538" t="s">
        <v>14364</v>
      </c>
      <c r="BM4538" t="s">
        <v>15650</v>
      </c>
    </row>
    <row r="4539" spans="1:65">
      <c r="A4539" s="1">
        <f>HYPERLINK("https://lsnyc.legalserver.org/matter/dynamic-profile/view/0827033","17-0827033")</f>
        <v>0</v>
      </c>
      <c r="B4539" t="s">
        <v>238</v>
      </c>
      <c r="C4539" t="s">
        <v>245</v>
      </c>
      <c r="D4539" t="s">
        <v>1065</v>
      </c>
      <c r="F4539" t="s">
        <v>1194</v>
      </c>
      <c r="G4539" t="s">
        <v>3822</v>
      </c>
      <c r="H4539" t="s">
        <v>5341</v>
      </c>
      <c r="I4539" t="s">
        <v>6485</v>
      </c>
      <c r="J4539" t="s">
        <v>7169</v>
      </c>
      <c r="K4539">
        <v>10040</v>
      </c>
      <c r="N4539" t="s">
        <v>7237</v>
      </c>
      <c r="O4539" t="s">
        <v>10116</v>
      </c>
      <c r="P4539">
        <v>2</v>
      </c>
      <c r="Q4539">
        <v>0</v>
      </c>
      <c r="R4539">
        <v>1434.73</v>
      </c>
      <c r="S4539" t="s">
        <v>481</v>
      </c>
      <c r="U4539">
        <v>233000</v>
      </c>
      <c r="W4539">
        <v>0</v>
      </c>
      <c r="X4539" t="s">
        <v>10811</v>
      </c>
      <c r="Y4539" t="s">
        <v>10859</v>
      </c>
      <c r="AA4539" t="s">
        <v>10974</v>
      </c>
      <c r="AB4539" t="s">
        <v>998</v>
      </c>
      <c r="AD4539" t="s">
        <v>11101</v>
      </c>
      <c r="AF4539" t="s">
        <v>11118</v>
      </c>
      <c r="AH4539" t="s">
        <v>10974</v>
      </c>
      <c r="AJ4539" t="s">
        <v>11134</v>
      </c>
      <c r="AK4539" t="s">
        <v>7225</v>
      </c>
      <c r="AM4539">
        <v>1194.29</v>
      </c>
      <c r="AO4539">
        <v>83</v>
      </c>
      <c r="AQ4539" t="s">
        <v>11157</v>
      </c>
      <c r="AS4539" t="s">
        <v>11173</v>
      </c>
      <c r="AU4539">
        <v>8</v>
      </c>
      <c r="AW4539" t="s">
        <v>11187</v>
      </c>
      <c r="AZ4539" t="s">
        <v>11221</v>
      </c>
      <c r="BE4539" t="s">
        <v>14232</v>
      </c>
      <c r="BF4539" t="s">
        <v>14364</v>
      </c>
      <c r="BG4539" t="s">
        <v>15521</v>
      </c>
      <c r="BM4539" t="s">
        <v>15650</v>
      </c>
    </row>
    <row r="4540" spans="1:65">
      <c r="A4540" s="1">
        <f>HYPERLINK("https://lsnyc.legalserver.org/matter/dynamic-profile/view/0831141","17-0831141")</f>
        <v>0</v>
      </c>
      <c r="B4540" t="s">
        <v>238</v>
      </c>
      <c r="C4540" t="s">
        <v>245</v>
      </c>
      <c r="D4540" t="s">
        <v>777</v>
      </c>
      <c r="F4540" t="s">
        <v>2805</v>
      </c>
      <c r="G4540" t="s">
        <v>4674</v>
      </c>
      <c r="H4540" t="s">
        <v>5341</v>
      </c>
      <c r="I4540" t="s">
        <v>6584</v>
      </c>
      <c r="J4540" t="s">
        <v>7169</v>
      </c>
      <c r="K4540">
        <v>10040</v>
      </c>
      <c r="N4540" t="s">
        <v>7237</v>
      </c>
      <c r="O4540" t="s">
        <v>10117</v>
      </c>
      <c r="P4540">
        <v>2</v>
      </c>
      <c r="Q4540">
        <v>0</v>
      </c>
      <c r="R4540">
        <v>1169.95</v>
      </c>
      <c r="S4540" t="s">
        <v>481</v>
      </c>
      <c r="U4540">
        <v>310000</v>
      </c>
      <c r="W4540">
        <v>0.1</v>
      </c>
      <c r="X4540" t="s">
        <v>696</v>
      </c>
      <c r="Y4540" t="s">
        <v>10859</v>
      </c>
      <c r="Z4540" t="s">
        <v>10972</v>
      </c>
      <c r="AA4540" t="s">
        <v>10976</v>
      </c>
      <c r="AB4540" t="s">
        <v>11077</v>
      </c>
      <c r="AD4540" t="s">
        <v>11086</v>
      </c>
      <c r="AF4540" t="s">
        <v>11120</v>
      </c>
      <c r="AH4540" t="s">
        <v>10974</v>
      </c>
      <c r="AJ4540" t="s">
        <v>11134</v>
      </c>
      <c r="AK4540" t="s">
        <v>7225</v>
      </c>
      <c r="AM4540">
        <v>1480</v>
      </c>
      <c r="AO4540">
        <v>83</v>
      </c>
      <c r="AQ4540" t="s">
        <v>11157</v>
      </c>
      <c r="AS4540" t="s">
        <v>11173</v>
      </c>
      <c r="AU4540">
        <v>10</v>
      </c>
      <c r="AW4540" t="s">
        <v>11187</v>
      </c>
      <c r="AZ4540" t="s">
        <v>11221</v>
      </c>
      <c r="BD4540" t="s">
        <v>11667</v>
      </c>
      <c r="BF4540" t="s">
        <v>14364</v>
      </c>
      <c r="BG4540" t="s">
        <v>15521</v>
      </c>
      <c r="BM4540" t="s">
        <v>15650</v>
      </c>
    </row>
    <row r="4541" spans="1:65">
      <c r="A4541" s="1">
        <f>HYPERLINK("https://lsnyc.legalserver.org/matter/dynamic-profile/view/1897601","19-1897601")</f>
        <v>0</v>
      </c>
      <c r="B4541" t="s">
        <v>238</v>
      </c>
      <c r="C4541" t="s">
        <v>245</v>
      </c>
      <c r="D4541" t="s">
        <v>389</v>
      </c>
      <c r="F4541" t="s">
        <v>1282</v>
      </c>
      <c r="G4541" t="s">
        <v>4675</v>
      </c>
      <c r="H4541" t="s">
        <v>5991</v>
      </c>
      <c r="I4541">
        <v>54</v>
      </c>
      <c r="J4541" t="s">
        <v>7169</v>
      </c>
      <c r="K4541">
        <v>10034</v>
      </c>
      <c r="N4541" t="s">
        <v>7237</v>
      </c>
      <c r="O4541" t="s">
        <v>10118</v>
      </c>
      <c r="P4541">
        <v>2</v>
      </c>
      <c r="Q4541">
        <v>0</v>
      </c>
      <c r="R4541">
        <v>372.56</v>
      </c>
      <c r="U4541">
        <v>63000</v>
      </c>
      <c r="W4541">
        <v>0.1</v>
      </c>
      <c r="X4541" t="s">
        <v>525</v>
      </c>
      <c r="Y4541" t="s">
        <v>127</v>
      </c>
      <c r="AA4541" t="s">
        <v>10974</v>
      </c>
      <c r="AB4541" t="s">
        <v>389</v>
      </c>
      <c r="AD4541" t="s">
        <v>11101</v>
      </c>
      <c r="AF4541" t="s">
        <v>11118</v>
      </c>
      <c r="AH4541" t="s">
        <v>10974</v>
      </c>
      <c r="AJ4541" t="s">
        <v>11130</v>
      </c>
      <c r="AK4541" t="s">
        <v>7225</v>
      </c>
      <c r="AM4541">
        <v>1313.52</v>
      </c>
      <c r="AO4541">
        <v>51</v>
      </c>
      <c r="AQ4541" t="s">
        <v>11157</v>
      </c>
      <c r="AS4541" t="s">
        <v>11173</v>
      </c>
      <c r="AU4541">
        <v>18</v>
      </c>
      <c r="AW4541" t="s">
        <v>11187</v>
      </c>
      <c r="BA4541" t="s">
        <v>11222</v>
      </c>
      <c r="BE4541" t="s">
        <v>14233</v>
      </c>
      <c r="BF4541" t="s">
        <v>14364</v>
      </c>
      <c r="BG4541" t="s">
        <v>15265</v>
      </c>
      <c r="BM4541" t="s">
        <v>15650</v>
      </c>
    </row>
    <row r="4542" spans="1:65">
      <c r="A4542" s="1">
        <f>HYPERLINK("https://lsnyc.legalserver.org/matter/dynamic-profile/view/1913993","19-1913993")</f>
        <v>0</v>
      </c>
      <c r="B4542" t="s">
        <v>238</v>
      </c>
      <c r="C4542" t="s">
        <v>245</v>
      </c>
      <c r="D4542" t="s">
        <v>333</v>
      </c>
      <c r="E4542" t="s">
        <v>264</v>
      </c>
      <c r="F4542" t="s">
        <v>2134</v>
      </c>
      <c r="G4542" t="s">
        <v>2042</v>
      </c>
      <c r="H4542" t="s">
        <v>6334</v>
      </c>
      <c r="I4542" t="s">
        <v>6410</v>
      </c>
      <c r="J4542" t="s">
        <v>7169</v>
      </c>
      <c r="K4542">
        <v>10032</v>
      </c>
      <c r="L4542" t="s">
        <v>7217</v>
      </c>
      <c r="N4542" t="s">
        <v>7237</v>
      </c>
      <c r="O4542" t="s">
        <v>10119</v>
      </c>
      <c r="P4542">
        <v>3</v>
      </c>
      <c r="Q4542">
        <v>2</v>
      </c>
      <c r="R4542">
        <v>89.17</v>
      </c>
      <c r="U4542">
        <v>26904</v>
      </c>
      <c r="W4542">
        <v>0.1</v>
      </c>
      <c r="X4542" t="s">
        <v>266</v>
      </c>
      <c r="Y4542" t="s">
        <v>127</v>
      </c>
      <c r="AA4542" t="s">
        <v>10974</v>
      </c>
      <c r="AB4542" t="s">
        <v>333</v>
      </c>
      <c r="AD4542" t="s">
        <v>11090</v>
      </c>
      <c r="AF4542" t="s">
        <v>10384</v>
      </c>
      <c r="AH4542" t="s">
        <v>10975</v>
      </c>
      <c r="AJ4542" t="s">
        <v>11130</v>
      </c>
      <c r="AK4542" t="s">
        <v>7225</v>
      </c>
      <c r="AM4542">
        <v>950</v>
      </c>
      <c r="AO4542">
        <v>22</v>
      </c>
      <c r="AQ4542" t="s">
        <v>11157</v>
      </c>
      <c r="AS4542" t="s">
        <v>11173</v>
      </c>
      <c r="AU4542">
        <v>39</v>
      </c>
      <c r="AW4542" t="s">
        <v>11189</v>
      </c>
      <c r="BA4542" t="s">
        <v>11222</v>
      </c>
      <c r="BE4542" t="s">
        <v>14234</v>
      </c>
      <c r="BF4542" t="s">
        <v>14364</v>
      </c>
      <c r="BM4542" t="s">
        <v>15651</v>
      </c>
    </row>
    <row r="4543" spans="1:65">
      <c r="A4543" s="1">
        <f>HYPERLINK("https://lsnyc.legalserver.org/matter/dynamic-profile/view/0831104","17-0831104")</f>
        <v>0</v>
      </c>
      <c r="B4543" t="s">
        <v>238</v>
      </c>
      <c r="C4543" t="s">
        <v>245</v>
      </c>
      <c r="D4543" t="s">
        <v>777</v>
      </c>
      <c r="F4543" t="s">
        <v>2806</v>
      </c>
      <c r="G4543" t="s">
        <v>4676</v>
      </c>
      <c r="H4543" t="s">
        <v>6332</v>
      </c>
      <c r="I4543" t="s">
        <v>6595</v>
      </c>
      <c r="J4543" t="s">
        <v>7169</v>
      </c>
      <c r="K4543">
        <v>10040</v>
      </c>
      <c r="N4543" t="s">
        <v>7237</v>
      </c>
      <c r="O4543" t="s">
        <v>10120</v>
      </c>
      <c r="P4543">
        <v>2</v>
      </c>
      <c r="Q4543">
        <v>0</v>
      </c>
      <c r="R4543">
        <v>1035.71</v>
      </c>
      <c r="S4543" t="s">
        <v>481</v>
      </c>
      <c r="U4543">
        <v>168200</v>
      </c>
      <c r="W4543">
        <v>0</v>
      </c>
      <c r="X4543" t="s">
        <v>10811</v>
      </c>
      <c r="Y4543" t="s">
        <v>10859</v>
      </c>
      <c r="Z4543" t="s">
        <v>10972</v>
      </c>
      <c r="AA4543" t="s">
        <v>10976</v>
      </c>
      <c r="AB4543" t="s">
        <v>998</v>
      </c>
      <c r="AD4543" t="s">
        <v>11101</v>
      </c>
      <c r="AF4543" t="s">
        <v>11118</v>
      </c>
      <c r="AH4543" t="s">
        <v>10974</v>
      </c>
      <c r="AJ4543" t="s">
        <v>11134</v>
      </c>
      <c r="AK4543" t="s">
        <v>7225</v>
      </c>
      <c r="AM4543">
        <v>2500</v>
      </c>
      <c r="AO4543">
        <v>83</v>
      </c>
      <c r="AQ4543" t="s">
        <v>11157</v>
      </c>
      <c r="AS4543" t="s">
        <v>11173</v>
      </c>
      <c r="AT4543" t="s">
        <v>11184</v>
      </c>
      <c r="AU4543">
        <v>0</v>
      </c>
      <c r="AW4543" t="s">
        <v>11187</v>
      </c>
      <c r="AZ4543" t="s">
        <v>11221</v>
      </c>
      <c r="BD4543" t="s">
        <v>11667</v>
      </c>
      <c r="BF4543" t="s">
        <v>14364</v>
      </c>
      <c r="BG4543" t="s">
        <v>15521</v>
      </c>
      <c r="BM4543" t="s">
        <v>15650</v>
      </c>
    </row>
    <row r="4544" spans="1:65">
      <c r="A4544" s="1">
        <f>HYPERLINK("https://lsnyc.legalserver.org/matter/dynamic-profile/view/0826989","17-0826989")</f>
        <v>0</v>
      </c>
      <c r="B4544" t="s">
        <v>238</v>
      </c>
      <c r="C4544" t="s">
        <v>245</v>
      </c>
      <c r="D4544" t="s">
        <v>1065</v>
      </c>
      <c r="F4544" t="s">
        <v>1738</v>
      </c>
      <c r="G4544" t="s">
        <v>4677</v>
      </c>
      <c r="H4544" t="s">
        <v>6332</v>
      </c>
      <c r="I4544" t="s">
        <v>6618</v>
      </c>
      <c r="J4544" t="s">
        <v>7169</v>
      </c>
      <c r="K4544">
        <v>10040</v>
      </c>
      <c r="N4544" t="s">
        <v>7237</v>
      </c>
      <c r="O4544" t="s">
        <v>10121</v>
      </c>
      <c r="P4544">
        <v>1</v>
      </c>
      <c r="Q4544">
        <v>0</v>
      </c>
      <c r="R4544">
        <v>995.02</v>
      </c>
      <c r="S4544" t="s">
        <v>481</v>
      </c>
      <c r="U4544">
        <v>120000</v>
      </c>
      <c r="W4544">
        <v>0.7</v>
      </c>
      <c r="X4544" t="s">
        <v>848</v>
      </c>
      <c r="Y4544" t="s">
        <v>10859</v>
      </c>
      <c r="AA4544" t="s">
        <v>10974</v>
      </c>
      <c r="AB4544" t="s">
        <v>998</v>
      </c>
      <c r="AD4544" t="s">
        <v>11101</v>
      </c>
      <c r="AF4544" t="s">
        <v>11118</v>
      </c>
      <c r="AH4544" t="s">
        <v>10974</v>
      </c>
      <c r="AJ4544" t="s">
        <v>11134</v>
      </c>
      <c r="AK4544" t="s">
        <v>7225</v>
      </c>
      <c r="AM4544">
        <v>1056.82</v>
      </c>
      <c r="AO4544">
        <v>83</v>
      </c>
      <c r="AQ4544" t="s">
        <v>11157</v>
      </c>
      <c r="AS4544" t="s">
        <v>11173</v>
      </c>
      <c r="AT4544" t="s">
        <v>11184</v>
      </c>
      <c r="AU4544">
        <v>0</v>
      </c>
      <c r="AW4544" t="s">
        <v>11187</v>
      </c>
      <c r="AZ4544" t="s">
        <v>11221</v>
      </c>
      <c r="BE4544" t="s">
        <v>14235</v>
      </c>
      <c r="BF4544" t="s">
        <v>14364</v>
      </c>
      <c r="BG4544" t="s">
        <v>15521</v>
      </c>
      <c r="BM4544" t="s">
        <v>15650</v>
      </c>
    </row>
    <row r="4545" spans="1:65">
      <c r="A4545" s="1">
        <f>HYPERLINK("https://lsnyc.legalserver.org/matter/dynamic-profile/view/0830874","17-0830874")</f>
        <v>0</v>
      </c>
      <c r="B4545" t="s">
        <v>238</v>
      </c>
      <c r="C4545" t="s">
        <v>245</v>
      </c>
      <c r="D4545" t="s">
        <v>914</v>
      </c>
      <c r="F4545" t="s">
        <v>1614</v>
      </c>
      <c r="G4545" t="s">
        <v>2877</v>
      </c>
      <c r="H4545" t="s">
        <v>5876</v>
      </c>
      <c r="I4545">
        <v>51</v>
      </c>
      <c r="J4545" t="s">
        <v>7169</v>
      </c>
      <c r="K4545">
        <v>10032</v>
      </c>
      <c r="N4545" t="s">
        <v>7237</v>
      </c>
      <c r="O4545" t="s">
        <v>10122</v>
      </c>
      <c r="P4545">
        <v>2</v>
      </c>
      <c r="Q4545">
        <v>0</v>
      </c>
      <c r="R4545">
        <v>105.91</v>
      </c>
      <c r="S4545" t="s">
        <v>951</v>
      </c>
      <c r="U4545">
        <v>17199</v>
      </c>
      <c r="W4545">
        <v>1.55</v>
      </c>
      <c r="X4545" t="s">
        <v>472</v>
      </c>
      <c r="Y4545" t="s">
        <v>10859</v>
      </c>
      <c r="Z4545" t="s">
        <v>10972</v>
      </c>
      <c r="AA4545" t="s">
        <v>10976</v>
      </c>
      <c r="AB4545" t="s">
        <v>769</v>
      </c>
      <c r="AD4545" t="s">
        <v>11101</v>
      </c>
      <c r="AF4545" t="s">
        <v>11118</v>
      </c>
      <c r="AH4545" t="s">
        <v>10974</v>
      </c>
      <c r="AI4545" t="s">
        <v>11126</v>
      </c>
      <c r="AK4545" t="s">
        <v>7225</v>
      </c>
      <c r="AM4545">
        <v>1198.29</v>
      </c>
      <c r="AO4545">
        <v>35</v>
      </c>
      <c r="AQ4545" t="s">
        <v>11157</v>
      </c>
      <c r="AS4545" t="s">
        <v>11173</v>
      </c>
      <c r="AU4545">
        <v>35</v>
      </c>
      <c r="AW4545" t="s">
        <v>11187</v>
      </c>
      <c r="AZ4545" t="s">
        <v>11221</v>
      </c>
      <c r="BE4545" t="s">
        <v>14236</v>
      </c>
      <c r="BF4545" t="s">
        <v>14364</v>
      </c>
      <c r="BG4545" t="s">
        <v>15522</v>
      </c>
      <c r="BM4545" t="s">
        <v>15650</v>
      </c>
    </row>
    <row r="4546" spans="1:65">
      <c r="A4546" s="1">
        <f>HYPERLINK("https://lsnyc.legalserver.org/matter/dynamic-profile/view/1878913","18-1878913")</f>
        <v>0</v>
      </c>
      <c r="B4546" t="s">
        <v>238</v>
      </c>
      <c r="C4546" t="s">
        <v>245</v>
      </c>
      <c r="D4546" t="s">
        <v>760</v>
      </c>
      <c r="F4546" t="s">
        <v>2807</v>
      </c>
      <c r="G4546" t="s">
        <v>4678</v>
      </c>
      <c r="H4546" t="s">
        <v>5341</v>
      </c>
      <c r="I4546" t="s">
        <v>6413</v>
      </c>
      <c r="J4546" t="s">
        <v>7169</v>
      </c>
      <c r="K4546">
        <v>10040</v>
      </c>
      <c r="N4546" t="s">
        <v>7237</v>
      </c>
      <c r="O4546" t="s">
        <v>10123</v>
      </c>
      <c r="P4546">
        <v>1</v>
      </c>
      <c r="Q4546">
        <v>0</v>
      </c>
      <c r="R4546">
        <v>86.98999999999999</v>
      </c>
      <c r="U4546">
        <v>10560</v>
      </c>
      <c r="W4546">
        <v>0</v>
      </c>
      <c r="Y4546" t="s">
        <v>127</v>
      </c>
      <c r="AA4546" t="s">
        <v>10974</v>
      </c>
      <c r="AB4546" t="s">
        <v>760</v>
      </c>
      <c r="AD4546" t="s">
        <v>11098</v>
      </c>
      <c r="AF4546" t="s">
        <v>11122</v>
      </c>
      <c r="AH4546" t="s">
        <v>10974</v>
      </c>
      <c r="AJ4546" t="s">
        <v>11134</v>
      </c>
      <c r="AK4546" t="s">
        <v>7225</v>
      </c>
      <c r="AM4546">
        <v>531.28</v>
      </c>
      <c r="AO4546">
        <v>88</v>
      </c>
      <c r="AQ4546" t="s">
        <v>11157</v>
      </c>
      <c r="AS4546" t="s">
        <v>11175</v>
      </c>
      <c r="AU4546">
        <v>40</v>
      </c>
      <c r="AW4546" t="s">
        <v>11189</v>
      </c>
      <c r="BA4546" t="s">
        <v>11222</v>
      </c>
      <c r="BE4546" t="s">
        <v>14237</v>
      </c>
      <c r="BF4546" t="s">
        <v>14364</v>
      </c>
      <c r="BM4546" t="s">
        <v>15650</v>
      </c>
    </row>
    <row r="4547" spans="1:65">
      <c r="A4547" s="1">
        <f>HYPERLINK("https://lsnyc.legalserver.org/matter/dynamic-profile/view/1847636","17-1847636")</f>
        <v>0</v>
      </c>
      <c r="B4547" t="s">
        <v>238</v>
      </c>
      <c r="C4547" t="s">
        <v>245</v>
      </c>
      <c r="D4547" t="s">
        <v>630</v>
      </c>
      <c r="F4547" t="s">
        <v>2808</v>
      </c>
      <c r="G4547" t="s">
        <v>4663</v>
      </c>
      <c r="H4547" t="s">
        <v>6325</v>
      </c>
      <c r="I4547" t="s">
        <v>6405</v>
      </c>
      <c r="J4547" t="s">
        <v>7169</v>
      </c>
      <c r="K4547">
        <v>10034</v>
      </c>
      <c r="N4547" t="s">
        <v>7237</v>
      </c>
      <c r="O4547" t="s">
        <v>10124</v>
      </c>
      <c r="P4547">
        <v>3</v>
      </c>
      <c r="Q4547">
        <v>2</v>
      </c>
      <c r="R4547">
        <v>86.87</v>
      </c>
      <c r="U4547">
        <v>25000</v>
      </c>
      <c r="W4547">
        <v>0</v>
      </c>
      <c r="Y4547" t="s">
        <v>127</v>
      </c>
      <c r="AA4547" t="s">
        <v>10974</v>
      </c>
      <c r="AB4547" t="s">
        <v>786</v>
      </c>
      <c r="AD4547" t="s">
        <v>11101</v>
      </c>
      <c r="AF4547" t="s">
        <v>11118</v>
      </c>
      <c r="AH4547" t="s">
        <v>10974</v>
      </c>
      <c r="AJ4547" t="s">
        <v>11130</v>
      </c>
      <c r="AK4547" t="s">
        <v>7225</v>
      </c>
      <c r="AM4547">
        <v>981.25</v>
      </c>
      <c r="AO4547">
        <v>50</v>
      </c>
      <c r="AQ4547" t="s">
        <v>11157</v>
      </c>
      <c r="AS4547" t="s">
        <v>11173</v>
      </c>
      <c r="AU4547">
        <v>11</v>
      </c>
      <c r="AW4547" t="s">
        <v>11189</v>
      </c>
      <c r="AZ4547" t="s">
        <v>11221</v>
      </c>
      <c r="BE4547" t="s">
        <v>14238</v>
      </c>
      <c r="BF4547" t="s">
        <v>14364</v>
      </c>
      <c r="BM4547" t="s">
        <v>15650</v>
      </c>
    </row>
    <row r="4548" spans="1:65">
      <c r="A4548" s="1">
        <f>HYPERLINK("https://lsnyc.legalserver.org/matter/dynamic-profile/view/1856067","18-1856067")</f>
        <v>0</v>
      </c>
      <c r="B4548" t="s">
        <v>238</v>
      </c>
      <c r="C4548" t="s">
        <v>245</v>
      </c>
      <c r="D4548" t="s">
        <v>673</v>
      </c>
      <c r="F4548" t="s">
        <v>1450</v>
      </c>
      <c r="G4548" t="s">
        <v>4647</v>
      </c>
      <c r="H4548" t="s">
        <v>4875</v>
      </c>
      <c r="I4548" t="s">
        <v>7141</v>
      </c>
      <c r="J4548" t="s">
        <v>7169</v>
      </c>
      <c r="K4548">
        <v>10034</v>
      </c>
      <c r="N4548" t="s">
        <v>7237</v>
      </c>
      <c r="O4548" t="s">
        <v>10125</v>
      </c>
      <c r="P4548">
        <v>2</v>
      </c>
      <c r="Q4548">
        <v>0</v>
      </c>
      <c r="R4548">
        <v>401.92</v>
      </c>
      <c r="U4548">
        <v>65272</v>
      </c>
      <c r="W4548">
        <v>0.2</v>
      </c>
      <c r="X4548" t="s">
        <v>631</v>
      </c>
      <c r="Y4548" t="s">
        <v>127</v>
      </c>
      <c r="AA4548" t="s">
        <v>10974</v>
      </c>
      <c r="AB4548" t="s">
        <v>673</v>
      </c>
      <c r="AD4548" t="s">
        <v>11101</v>
      </c>
      <c r="AF4548" t="s">
        <v>11118</v>
      </c>
      <c r="AH4548" t="s">
        <v>10974</v>
      </c>
      <c r="AJ4548" t="s">
        <v>11104</v>
      </c>
      <c r="AK4548" t="s">
        <v>7225</v>
      </c>
      <c r="AM4548">
        <v>946.1799999999999</v>
      </c>
      <c r="AO4548">
        <v>49</v>
      </c>
      <c r="AQ4548" t="s">
        <v>11157</v>
      </c>
      <c r="AS4548" t="s">
        <v>11175</v>
      </c>
      <c r="AU4548">
        <v>33</v>
      </c>
      <c r="AW4548" t="s">
        <v>11189</v>
      </c>
      <c r="AZ4548" t="s">
        <v>11221</v>
      </c>
      <c r="BD4548" t="s">
        <v>11667</v>
      </c>
      <c r="BF4548" t="s">
        <v>14364</v>
      </c>
      <c r="BM4548" t="s">
        <v>15650</v>
      </c>
    </row>
    <row r="4549" spans="1:65">
      <c r="A4549" s="1">
        <f>HYPERLINK("https://lsnyc.legalserver.org/matter/dynamic-profile/view/1856072","18-1856072")</f>
        <v>0</v>
      </c>
      <c r="B4549" t="s">
        <v>238</v>
      </c>
      <c r="C4549" t="s">
        <v>245</v>
      </c>
      <c r="D4549" t="s">
        <v>673</v>
      </c>
      <c r="F4549" t="s">
        <v>2809</v>
      </c>
      <c r="G4549" t="s">
        <v>2724</v>
      </c>
      <c r="H4549" t="s">
        <v>4875</v>
      </c>
      <c r="I4549" t="s">
        <v>7142</v>
      </c>
      <c r="J4549" t="s">
        <v>7169</v>
      </c>
      <c r="K4549">
        <v>10034</v>
      </c>
      <c r="N4549" t="s">
        <v>7237</v>
      </c>
      <c r="O4549" t="s">
        <v>10126</v>
      </c>
      <c r="P4549">
        <v>1</v>
      </c>
      <c r="Q4549">
        <v>0</v>
      </c>
      <c r="R4549">
        <v>85.13</v>
      </c>
      <c r="U4549">
        <v>10267.2</v>
      </c>
      <c r="W4549">
        <v>0.25</v>
      </c>
      <c r="X4549" t="s">
        <v>631</v>
      </c>
      <c r="Y4549" t="s">
        <v>127</v>
      </c>
      <c r="AA4549" t="s">
        <v>10974</v>
      </c>
      <c r="AB4549" t="s">
        <v>673</v>
      </c>
      <c r="AD4549" t="s">
        <v>11101</v>
      </c>
      <c r="AF4549" t="s">
        <v>11118</v>
      </c>
      <c r="AH4549" t="s">
        <v>10974</v>
      </c>
      <c r="AJ4549" t="s">
        <v>11104</v>
      </c>
      <c r="AK4549" t="s">
        <v>7225</v>
      </c>
      <c r="AM4549">
        <v>1107</v>
      </c>
      <c r="AO4549">
        <v>49</v>
      </c>
      <c r="AQ4549" t="s">
        <v>11157</v>
      </c>
      <c r="AS4549" t="s">
        <v>11174</v>
      </c>
      <c r="AU4549">
        <v>30</v>
      </c>
      <c r="AW4549" t="s">
        <v>11189</v>
      </c>
      <c r="AZ4549" t="s">
        <v>11221</v>
      </c>
      <c r="BE4549" t="s">
        <v>14239</v>
      </c>
      <c r="BF4549" t="s">
        <v>14364</v>
      </c>
      <c r="BM4549" t="s">
        <v>15650</v>
      </c>
    </row>
    <row r="4550" spans="1:65">
      <c r="A4550" s="1">
        <f>HYPERLINK("https://lsnyc.legalserver.org/matter/dynamic-profile/view/0822955","16-0822955")</f>
        <v>0</v>
      </c>
      <c r="B4550" t="s">
        <v>238</v>
      </c>
      <c r="C4550" t="s">
        <v>245</v>
      </c>
      <c r="D4550" t="s">
        <v>746</v>
      </c>
      <c r="F4550" t="s">
        <v>1122</v>
      </c>
      <c r="G4550" t="s">
        <v>3054</v>
      </c>
      <c r="H4550" t="s">
        <v>5876</v>
      </c>
      <c r="I4550">
        <v>66</v>
      </c>
      <c r="J4550" t="s">
        <v>7169</v>
      </c>
      <c r="K4550">
        <v>10032</v>
      </c>
      <c r="N4550" t="s">
        <v>7237</v>
      </c>
      <c r="O4550" t="s">
        <v>10127</v>
      </c>
      <c r="P4550">
        <v>2</v>
      </c>
      <c r="Q4550">
        <v>1</v>
      </c>
      <c r="R4550">
        <v>84.29000000000001</v>
      </c>
      <c r="S4550" t="s">
        <v>951</v>
      </c>
      <c r="U4550">
        <v>16992</v>
      </c>
      <c r="W4550">
        <v>8.050000000000001</v>
      </c>
      <c r="X4550" t="s">
        <v>559</v>
      </c>
      <c r="Y4550" t="s">
        <v>10859</v>
      </c>
      <c r="Z4550" t="s">
        <v>10973</v>
      </c>
      <c r="AA4550" t="s">
        <v>10975</v>
      </c>
      <c r="AB4550" t="s">
        <v>11043</v>
      </c>
      <c r="AD4550" t="s">
        <v>11101</v>
      </c>
      <c r="AF4550" t="s">
        <v>11118</v>
      </c>
      <c r="AH4550" t="s">
        <v>10974</v>
      </c>
      <c r="AJ4550" t="s">
        <v>11134</v>
      </c>
      <c r="AK4550" t="s">
        <v>7225</v>
      </c>
      <c r="AM4550">
        <v>1064.44</v>
      </c>
      <c r="AO4550">
        <v>35</v>
      </c>
      <c r="AQ4550" t="s">
        <v>11157</v>
      </c>
      <c r="AS4550" t="s">
        <v>11173</v>
      </c>
      <c r="AU4550">
        <v>29</v>
      </c>
      <c r="AW4550" t="s">
        <v>11189</v>
      </c>
      <c r="AZ4550" t="s">
        <v>11221</v>
      </c>
      <c r="BE4550" t="s">
        <v>14240</v>
      </c>
      <c r="BF4550" t="s">
        <v>14364</v>
      </c>
      <c r="BG4550" t="s">
        <v>15522</v>
      </c>
      <c r="BM4550" t="s">
        <v>15650</v>
      </c>
    </row>
    <row r="4551" spans="1:65">
      <c r="A4551" s="1">
        <f>HYPERLINK("https://lsnyc.legalserver.org/matter/dynamic-profile/view/0826976","17-0826976")</f>
        <v>0</v>
      </c>
      <c r="B4551" t="s">
        <v>238</v>
      </c>
      <c r="C4551" t="s">
        <v>245</v>
      </c>
      <c r="D4551" t="s">
        <v>1065</v>
      </c>
      <c r="F4551" t="s">
        <v>1137</v>
      </c>
      <c r="G4551" t="s">
        <v>4679</v>
      </c>
      <c r="H4551" t="s">
        <v>5341</v>
      </c>
      <c r="I4551" t="s">
        <v>7143</v>
      </c>
      <c r="J4551" t="s">
        <v>7169</v>
      </c>
      <c r="K4551">
        <v>10040</v>
      </c>
      <c r="N4551" t="s">
        <v>7237</v>
      </c>
      <c r="O4551" t="s">
        <v>10128</v>
      </c>
      <c r="P4551">
        <v>2</v>
      </c>
      <c r="Q4551">
        <v>0</v>
      </c>
      <c r="R4551">
        <v>266.01</v>
      </c>
      <c r="S4551" t="s">
        <v>10255</v>
      </c>
      <c r="U4551">
        <v>43200</v>
      </c>
      <c r="W4551">
        <v>0</v>
      </c>
      <c r="X4551" t="s">
        <v>10811</v>
      </c>
      <c r="Y4551" t="s">
        <v>10859</v>
      </c>
      <c r="AA4551" t="s">
        <v>10974</v>
      </c>
      <c r="AB4551" t="s">
        <v>998</v>
      </c>
      <c r="AD4551" t="s">
        <v>11101</v>
      </c>
      <c r="AF4551" t="s">
        <v>11118</v>
      </c>
      <c r="AH4551" t="s">
        <v>10974</v>
      </c>
      <c r="AJ4551" t="s">
        <v>11134</v>
      </c>
      <c r="AK4551" t="s">
        <v>7225</v>
      </c>
      <c r="AM4551">
        <v>965</v>
      </c>
      <c r="AO4551">
        <v>83</v>
      </c>
      <c r="AQ4551" t="s">
        <v>11157</v>
      </c>
      <c r="AS4551" t="s">
        <v>11173</v>
      </c>
      <c r="AU4551">
        <v>16</v>
      </c>
      <c r="AW4551" t="s">
        <v>11187</v>
      </c>
      <c r="AZ4551" t="s">
        <v>11221</v>
      </c>
      <c r="BE4551" t="s">
        <v>14241</v>
      </c>
      <c r="BF4551" t="s">
        <v>14364</v>
      </c>
      <c r="BG4551" t="s">
        <v>15521</v>
      </c>
      <c r="BM4551" t="s">
        <v>15650</v>
      </c>
    </row>
    <row r="4552" spans="1:65">
      <c r="A4552" s="1">
        <f>HYPERLINK("https://lsnyc.legalserver.org/matter/dynamic-profile/view/1894909","19-1894909")</f>
        <v>0</v>
      </c>
      <c r="B4552" t="s">
        <v>238</v>
      </c>
      <c r="C4552" t="s">
        <v>245</v>
      </c>
      <c r="D4552" t="s">
        <v>444</v>
      </c>
      <c r="F4552" t="s">
        <v>1187</v>
      </c>
      <c r="G4552" t="s">
        <v>4680</v>
      </c>
      <c r="H4552" t="s">
        <v>5991</v>
      </c>
      <c r="I4552">
        <v>52</v>
      </c>
      <c r="J4552" t="s">
        <v>7169</v>
      </c>
      <c r="K4552">
        <v>10034</v>
      </c>
      <c r="N4552" t="s">
        <v>7237</v>
      </c>
      <c r="O4552" t="s">
        <v>10129</v>
      </c>
      <c r="P4552">
        <v>4</v>
      </c>
      <c r="Q4552">
        <v>0</v>
      </c>
      <c r="R4552">
        <v>701.75</v>
      </c>
      <c r="U4552">
        <v>180700</v>
      </c>
      <c r="W4552">
        <v>0</v>
      </c>
      <c r="Y4552" t="s">
        <v>10891</v>
      </c>
      <c r="AA4552" t="s">
        <v>10974</v>
      </c>
      <c r="AB4552" t="s">
        <v>444</v>
      </c>
      <c r="AD4552" t="s">
        <v>11101</v>
      </c>
      <c r="AF4552" t="s">
        <v>11118</v>
      </c>
      <c r="AH4552" t="s">
        <v>10974</v>
      </c>
      <c r="AJ4552" t="s">
        <v>11130</v>
      </c>
      <c r="AK4552" t="s">
        <v>7225</v>
      </c>
      <c r="AM4552">
        <v>1818.44</v>
      </c>
      <c r="AO4552">
        <v>20</v>
      </c>
      <c r="AQ4552" t="s">
        <v>11157</v>
      </c>
      <c r="AS4552" t="s">
        <v>11173</v>
      </c>
      <c r="AU4552">
        <v>12</v>
      </c>
      <c r="AW4552" t="s">
        <v>11187</v>
      </c>
      <c r="BA4552" t="s">
        <v>11222</v>
      </c>
      <c r="BE4552" t="s">
        <v>14242</v>
      </c>
      <c r="BF4552" t="s">
        <v>14364</v>
      </c>
      <c r="BG4552" t="s">
        <v>15265</v>
      </c>
      <c r="BM4552" t="s">
        <v>15650</v>
      </c>
    </row>
    <row r="4553" spans="1:65">
      <c r="A4553" s="1">
        <f>HYPERLINK("https://lsnyc.legalserver.org/matter/dynamic-profile/view/1879909","18-1879909")</f>
        <v>0</v>
      </c>
      <c r="B4553" t="s">
        <v>238</v>
      </c>
      <c r="C4553" t="s">
        <v>245</v>
      </c>
      <c r="D4553" t="s">
        <v>595</v>
      </c>
      <c r="F4553" t="s">
        <v>1250</v>
      </c>
      <c r="G4553" t="s">
        <v>3197</v>
      </c>
      <c r="H4553" t="s">
        <v>5341</v>
      </c>
      <c r="I4553" t="s">
        <v>6585</v>
      </c>
      <c r="J4553" t="s">
        <v>7169</v>
      </c>
      <c r="K4553">
        <v>10040</v>
      </c>
      <c r="N4553" t="s">
        <v>7237</v>
      </c>
      <c r="O4553" t="s">
        <v>10098</v>
      </c>
      <c r="P4553">
        <v>1</v>
      </c>
      <c r="Q4553">
        <v>0</v>
      </c>
      <c r="R4553">
        <v>81.05</v>
      </c>
      <c r="U4553">
        <v>9840</v>
      </c>
      <c r="W4553">
        <v>0</v>
      </c>
      <c r="Y4553" t="s">
        <v>127</v>
      </c>
      <c r="AA4553" t="s">
        <v>10974</v>
      </c>
      <c r="AB4553" t="s">
        <v>595</v>
      </c>
      <c r="AD4553" t="s">
        <v>11098</v>
      </c>
      <c r="AF4553" t="s">
        <v>11122</v>
      </c>
      <c r="AH4553" t="s">
        <v>10974</v>
      </c>
      <c r="AJ4553" t="s">
        <v>11129</v>
      </c>
      <c r="AK4553" t="s">
        <v>7225</v>
      </c>
      <c r="AM4553">
        <v>959</v>
      </c>
      <c r="AO4553">
        <v>88</v>
      </c>
      <c r="AQ4553" t="s">
        <v>11157</v>
      </c>
      <c r="AS4553" t="s">
        <v>11175</v>
      </c>
      <c r="AU4553">
        <v>37</v>
      </c>
      <c r="AW4553" t="s">
        <v>11189</v>
      </c>
      <c r="AZ4553" t="s">
        <v>11221</v>
      </c>
      <c r="BE4553" t="s">
        <v>14215</v>
      </c>
      <c r="BF4553" t="s">
        <v>14364</v>
      </c>
      <c r="BM4553" t="s">
        <v>15650</v>
      </c>
    </row>
    <row r="4554" spans="1:65">
      <c r="A4554" s="1">
        <f>HYPERLINK("https://lsnyc.legalserver.org/matter/dynamic-profile/view/0824249","17-0824249")</f>
        <v>0</v>
      </c>
      <c r="B4554" t="s">
        <v>238</v>
      </c>
      <c r="C4554" t="s">
        <v>245</v>
      </c>
      <c r="D4554" t="s">
        <v>1066</v>
      </c>
      <c r="F4554" t="s">
        <v>2810</v>
      </c>
      <c r="G4554" t="s">
        <v>4681</v>
      </c>
      <c r="H4554" t="s">
        <v>6332</v>
      </c>
      <c r="I4554" t="s">
        <v>6448</v>
      </c>
      <c r="J4554" t="s">
        <v>7169</v>
      </c>
      <c r="K4554">
        <v>10040</v>
      </c>
      <c r="N4554" t="s">
        <v>7237</v>
      </c>
      <c r="O4554" t="s">
        <v>10130</v>
      </c>
      <c r="P4554">
        <v>2</v>
      </c>
      <c r="Q4554">
        <v>0</v>
      </c>
      <c r="R4554">
        <v>692.88</v>
      </c>
      <c r="S4554" t="s">
        <v>481</v>
      </c>
      <c r="U4554">
        <v>111000</v>
      </c>
      <c r="W4554">
        <v>0</v>
      </c>
      <c r="X4554" t="s">
        <v>10811</v>
      </c>
      <c r="Y4554" t="s">
        <v>10859</v>
      </c>
      <c r="AA4554" t="s">
        <v>10974</v>
      </c>
      <c r="AB4554" t="s">
        <v>998</v>
      </c>
      <c r="AD4554" t="s">
        <v>11101</v>
      </c>
      <c r="AF4554" t="s">
        <v>11118</v>
      </c>
      <c r="AH4554" t="s">
        <v>10974</v>
      </c>
      <c r="AJ4554" t="s">
        <v>11134</v>
      </c>
      <c r="AK4554" t="s">
        <v>7225</v>
      </c>
      <c r="AM4554">
        <v>2450</v>
      </c>
      <c r="AO4554">
        <v>83</v>
      </c>
      <c r="AQ4554" t="s">
        <v>11157</v>
      </c>
      <c r="AS4554" t="s">
        <v>11173</v>
      </c>
      <c r="AT4554" t="s">
        <v>11184</v>
      </c>
      <c r="AU4554">
        <v>0</v>
      </c>
      <c r="AW4554" t="s">
        <v>11187</v>
      </c>
      <c r="AZ4554" t="s">
        <v>11221</v>
      </c>
      <c r="BE4554" t="s">
        <v>14243</v>
      </c>
      <c r="BF4554" t="s">
        <v>14364</v>
      </c>
      <c r="BG4554" t="s">
        <v>15521</v>
      </c>
      <c r="BM4554" t="s">
        <v>15650</v>
      </c>
    </row>
    <row r="4555" spans="1:65">
      <c r="A4555" s="1">
        <f>HYPERLINK("https://lsnyc.legalserver.org/matter/dynamic-profile/view/0831514","17-0831514")</f>
        <v>0</v>
      </c>
      <c r="B4555" t="s">
        <v>238</v>
      </c>
      <c r="C4555" t="s">
        <v>245</v>
      </c>
      <c r="D4555" t="s">
        <v>810</v>
      </c>
      <c r="E4555" t="s">
        <v>497</v>
      </c>
      <c r="F4555" t="s">
        <v>1904</v>
      </c>
      <c r="G4555" t="s">
        <v>4682</v>
      </c>
      <c r="H4555" t="s">
        <v>5341</v>
      </c>
      <c r="I4555" t="s">
        <v>6412</v>
      </c>
      <c r="J4555" t="s">
        <v>7169</v>
      </c>
      <c r="K4555">
        <v>10040</v>
      </c>
      <c r="L4555" t="s">
        <v>7222</v>
      </c>
      <c r="N4555" t="s">
        <v>7237</v>
      </c>
      <c r="O4555" t="s">
        <v>10131</v>
      </c>
      <c r="P4555">
        <v>1</v>
      </c>
      <c r="Q4555">
        <v>0</v>
      </c>
      <c r="R4555">
        <v>73.13</v>
      </c>
      <c r="S4555" t="s">
        <v>481</v>
      </c>
      <c r="U4555">
        <v>8820</v>
      </c>
      <c r="W4555">
        <v>0.1</v>
      </c>
      <c r="X4555" t="s">
        <v>497</v>
      </c>
      <c r="Y4555" t="s">
        <v>10859</v>
      </c>
      <c r="AA4555" t="s">
        <v>10974</v>
      </c>
      <c r="AB4555" t="s">
        <v>998</v>
      </c>
      <c r="AD4555" t="s">
        <v>11086</v>
      </c>
      <c r="AF4555" t="s">
        <v>11120</v>
      </c>
      <c r="AH4555" t="s">
        <v>10974</v>
      </c>
      <c r="AJ4555" t="s">
        <v>11137</v>
      </c>
      <c r="AK4555" t="s">
        <v>7225</v>
      </c>
      <c r="AM4555">
        <v>1166.71</v>
      </c>
      <c r="AO4555">
        <v>83</v>
      </c>
      <c r="AQ4555" t="s">
        <v>11157</v>
      </c>
      <c r="AS4555" t="s">
        <v>11174</v>
      </c>
      <c r="AU4555">
        <v>22</v>
      </c>
      <c r="AW4555" t="s">
        <v>11189</v>
      </c>
      <c r="AZ4555" t="s">
        <v>11221</v>
      </c>
      <c r="BE4555" t="s">
        <v>14244</v>
      </c>
      <c r="BF4555" t="s">
        <v>14364</v>
      </c>
      <c r="BM4555" t="s">
        <v>15651</v>
      </c>
    </row>
    <row r="4556" spans="1:65">
      <c r="A4556" s="1">
        <f>HYPERLINK("https://lsnyc.legalserver.org/matter/dynamic-profile/view/1844116","17-1844116")</f>
        <v>0</v>
      </c>
      <c r="B4556" t="s">
        <v>238</v>
      </c>
      <c r="C4556" t="s">
        <v>245</v>
      </c>
      <c r="D4556" t="s">
        <v>1068</v>
      </c>
      <c r="F4556" t="s">
        <v>2802</v>
      </c>
      <c r="G4556" t="s">
        <v>3168</v>
      </c>
      <c r="H4556" t="s">
        <v>6330</v>
      </c>
      <c r="J4556" t="s">
        <v>7169</v>
      </c>
      <c r="K4556">
        <v>10032</v>
      </c>
      <c r="N4556" t="s">
        <v>7237</v>
      </c>
      <c r="O4556" t="s">
        <v>8115</v>
      </c>
      <c r="P4556">
        <v>1</v>
      </c>
      <c r="Q4556">
        <v>0</v>
      </c>
      <c r="R4556">
        <v>73.13</v>
      </c>
      <c r="S4556" t="s">
        <v>535</v>
      </c>
      <c r="U4556">
        <v>8820</v>
      </c>
      <c r="W4556">
        <v>112.95</v>
      </c>
      <c r="X4556" t="s">
        <v>735</v>
      </c>
      <c r="Y4556" t="s">
        <v>127</v>
      </c>
      <c r="AA4556" t="s">
        <v>10974</v>
      </c>
      <c r="AB4556" t="s">
        <v>1068</v>
      </c>
      <c r="AD4556" t="s">
        <v>11098</v>
      </c>
      <c r="AF4556" t="s">
        <v>11122</v>
      </c>
      <c r="AH4556" t="s">
        <v>10975</v>
      </c>
      <c r="AJ4556" t="s">
        <v>11129</v>
      </c>
      <c r="AK4556" t="s">
        <v>7225</v>
      </c>
      <c r="AM4556">
        <v>531</v>
      </c>
      <c r="AO4556">
        <v>32</v>
      </c>
      <c r="AQ4556" t="s">
        <v>11157</v>
      </c>
      <c r="AS4556" t="s">
        <v>11173</v>
      </c>
      <c r="AU4556">
        <v>12</v>
      </c>
      <c r="AW4556" t="s">
        <v>11187</v>
      </c>
      <c r="AY4556" t="s">
        <v>11213</v>
      </c>
      <c r="AZ4556" t="s">
        <v>11221</v>
      </c>
      <c r="BE4556" t="s">
        <v>14222</v>
      </c>
      <c r="BG4556" t="s">
        <v>15523</v>
      </c>
      <c r="BM4556" t="s">
        <v>15650</v>
      </c>
    </row>
    <row r="4557" spans="1:65">
      <c r="A4557" s="1">
        <f>HYPERLINK("https://lsnyc.legalserver.org/matter/dynamic-profile/view/1880120","18-1880120")</f>
        <v>0</v>
      </c>
      <c r="B4557" t="s">
        <v>238</v>
      </c>
      <c r="C4557" t="s">
        <v>245</v>
      </c>
      <c r="D4557" t="s">
        <v>619</v>
      </c>
      <c r="F4557" t="s">
        <v>2796</v>
      </c>
      <c r="G4557" t="s">
        <v>4667</v>
      </c>
      <c r="H4557" t="s">
        <v>5341</v>
      </c>
      <c r="I4557" t="s">
        <v>6471</v>
      </c>
      <c r="J4557" t="s">
        <v>7169</v>
      </c>
      <c r="K4557">
        <v>10040</v>
      </c>
      <c r="N4557" t="s">
        <v>7237</v>
      </c>
      <c r="O4557" t="s">
        <v>10096</v>
      </c>
      <c r="P4557">
        <v>1</v>
      </c>
      <c r="Q4557">
        <v>0</v>
      </c>
      <c r="R4557">
        <v>118.62</v>
      </c>
      <c r="U4557">
        <v>14400</v>
      </c>
      <c r="W4557">
        <v>0</v>
      </c>
      <c r="Y4557" t="s">
        <v>127</v>
      </c>
      <c r="AA4557" t="s">
        <v>10974</v>
      </c>
      <c r="AB4557" t="s">
        <v>619</v>
      </c>
      <c r="AD4557" t="s">
        <v>11098</v>
      </c>
      <c r="AF4557" t="s">
        <v>11122</v>
      </c>
      <c r="AH4557" t="s">
        <v>10974</v>
      </c>
      <c r="AJ4557" t="s">
        <v>11129</v>
      </c>
      <c r="AK4557" t="s">
        <v>7225</v>
      </c>
      <c r="AM4557">
        <v>1438.5</v>
      </c>
      <c r="AO4557">
        <v>88</v>
      </c>
      <c r="AQ4557" t="s">
        <v>11157</v>
      </c>
      <c r="AS4557" t="s">
        <v>11173</v>
      </c>
      <c r="AU4557">
        <v>3</v>
      </c>
      <c r="AW4557" t="s">
        <v>11187</v>
      </c>
      <c r="AZ4557" t="s">
        <v>11221</v>
      </c>
      <c r="BE4557" t="s">
        <v>14213</v>
      </c>
      <c r="BF4557" t="s">
        <v>14364</v>
      </c>
      <c r="BM4557" t="s">
        <v>15650</v>
      </c>
    </row>
    <row r="4558" spans="1:65">
      <c r="A4558" s="1">
        <f>HYPERLINK("https://lsnyc.legalserver.org/matter/dynamic-profile/view/1836743","17-1836743")</f>
        <v>0</v>
      </c>
      <c r="B4558" t="s">
        <v>238</v>
      </c>
      <c r="C4558" t="s">
        <v>245</v>
      </c>
      <c r="D4558" t="s">
        <v>357</v>
      </c>
      <c r="F4558" t="s">
        <v>2811</v>
      </c>
      <c r="G4558" t="s">
        <v>4647</v>
      </c>
      <c r="H4558" t="s">
        <v>4875</v>
      </c>
      <c r="I4558" t="s">
        <v>7144</v>
      </c>
      <c r="J4558" t="s">
        <v>7169</v>
      </c>
      <c r="K4558">
        <v>10034</v>
      </c>
      <c r="N4558" t="s">
        <v>7237</v>
      </c>
      <c r="O4558" t="s">
        <v>10132</v>
      </c>
      <c r="P4558">
        <v>3</v>
      </c>
      <c r="Q4558">
        <v>0</v>
      </c>
      <c r="R4558">
        <v>117.06</v>
      </c>
      <c r="U4558">
        <v>23904</v>
      </c>
      <c r="W4558">
        <v>1.3</v>
      </c>
      <c r="X4558" t="s">
        <v>631</v>
      </c>
      <c r="Y4558" t="s">
        <v>10859</v>
      </c>
      <c r="AA4558" t="s">
        <v>10974</v>
      </c>
      <c r="AB4558" t="s">
        <v>809</v>
      </c>
      <c r="AD4558" t="s">
        <v>11086</v>
      </c>
      <c r="AF4558" t="s">
        <v>11120</v>
      </c>
      <c r="AH4558" t="s">
        <v>10974</v>
      </c>
      <c r="AJ4558" t="s">
        <v>11134</v>
      </c>
      <c r="AK4558" t="s">
        <v>7225</v>
      </c>
      <c r="AM4558">
        <v>1225</v>
      </c>
      <c r="AO4558">
        <v>50</v>
      </c>
      <c r="AQ4558" t="s">
        <v>11157</v>
      </c>
      <c r="AS4558" t="s">
        <v>11173</v>
      </c>
      <c r="AU4558">
        <v>24</v>
      </c>
      <c r="AW4558" t="s">
        <v>11189</v>
      </c>
      <c r="AZ4558" t="s">
        <v>11221</v>
      </c>
      <c r="BE4558" t="s">
        <v>14245</v>
      </c>
      <c r="BF4558" t="s">
        <v>14364</v>
      </c>
      <c r="BM4558" t="s">
        <v>15650</v>
      </c>
    </row>
    <row r="4559" spans="1:65">
      <c r="A4559" s="1">
        <f>HYPERLINK("https://lsnyc.legalserver.org/matter/dynamic-profile/view/1911932","19-1911932")</f>
        <v>0</v>
      </c>
      <c r="B4559" t="s">
        <v>238</v>
      </c>
      <c r="C4559" t="s">
        <v>245</v>
      </c>
      <c r="D4559" t="s">
        <v>341</v>
      </c>
      <c r="E4559" t="s">
        <v>266</v>
      </c>
      <c r="F4559" t="s">
        <v>2066</v>
      </c>
      <c r="G4559" t="s">
        <v>4683</v>
      </c>
      <c r="H4559" t="s">
        <v>6335</v>
      </c>
      <c r="I4559" t="s">
        <v>6429</v>
      </c>
      <c r="J4559" t="s">
        <v>7169</v>
      </c>
      <c r="K4559">
        <v>10034</v>
      </c>
      <c r="L4559" t="s">
        <v>7216</v>
      </c>
      <c r="N4559" t="s">
        <v>7237</v>
      </c>
      <c r="O4559" t="s">
        <v>10133</v>
      </c>
      <c r="P4559">
        <v>1</v>
      </c>
      <c r="Q4559">
        <v>0</v>
      </c>
      <c r="R4559">
        <v>14.36</v>
      </c>
      <c r="U4559">
        <v>1794</v>
      </c>
      <c r="W4559">
        <v>3.75</v>
      </c>
      <c r="X4559" t="s">
        <v>266</v>
      </c>
      <c r="Y4559" t="s">
        <v>127</v>
      </c>
      <c r="AA4559" t="s">
        <v>10974</v>
      </c>
      <c r="AB4559" t="s">
        <v>341</v>
      </c>
      <c r="AC4559" t="s">
        <v>11081</v>
      </c>
      <c r="AF4559" t="s">
        <v>11119</v>
      </c>
      <c r="AH4559" t="s">
        <v>10975</v>
      </c>
      <c r="AJ4559" t="s">
        <v>11129</v>
      </c>
      <c r="AK4559" t="s">
        <v>7225</v>
      </c>
      <c r="AM4559">
        <v>1409</v>
      </c>
      <c r="AO4559">
        <v>228</v>
      </c>
      <c r="AQ4559" t="s">
        <v>11157</v>
      </c>
      <c r="AS4559" t="s">
        <v>11173</v>
      </c>
      <c r="AU4559">
        <v>19</v>
      </c>
      <c r="AW4559" t="s">
        <v>11187</v>
      </c>
      <c r="BA4559" t="s">
        <v>11222</v>
      </c>
      <c r="BE4559" t="s">
        <v>14246</v>
      </c>
      <c r="BF4559" t="s">
        <v>14364</v>
      </c>
      <c r="BM4559" t="s">
        <v>15651</v>
      </c>
    </row>
    <row r="4560" spans="1:65">
      <c r="A4560" s="1">
        <f>HYPERLINK("https://lsnyc.legalserver.org/matter/dynamic-profile/view/0826241","17-0826241")</f>
        <v>0</v>
      </c>
      <c r="B4560" t="s">
        <v>238</v>
      </c>
      <c r="C4560" t="s">
        <v>245</v>
      </c>
      <c r="D4560" t="s">
        <v>378</v>
      </c>
      <c r="F4560" t="s">
        <v>1464</v>
      </c>
      <c r="G4560" t="s">
        <v>4684</v>
      </c>
      <c r="H4560" t="s">
        <v>5341</v>
      </c>
      <c r="I4560" t="s">
        <v>6403</v>
      </c>
      <c r="J4560" t="s">
        <v>7169</v>
      </c>
      <c r="K4560">
        <v>10040</v>
      </c>
      <c r="N4560" t="s">
        <v>7237</v>
      </c>
      <c r="O4560" t="s">
        <v>10134</v>
      </c>
      <c r="P4560">
        <v>1</v>
      </c>
      <c r="Q4560">
        <v>0</v>
      </c>
      <c r="R4560">
        <v>74.23999999999999</v>
      </c>
      <c r="S4560" t="s">
        <v>481</v>
      </c>
      <c r="U4560">
        <v>8820</v>
      </c>
      <c r="W4560">
        <v>0</v>
      </c>
      <c r="X4560" t="s">
        <v>10811</v>
      </c>
      <c r="Y4560" t="s">
        <v>10859</v>
      </c>
      <c r="AA4560" t="s">
        <v>10974</v>
      </c>
      <c r="AB4560" t="s">
        <v>998</v>
      </c>
      <c r="AD4560" t="s">
        <v>11101</v>
      </c>
      <c r="AF4560" t="s">
        <v>11118</v>
      </c>
      <c r="AH4560" t="s">
        <v>10974</v>
      </c>
      <c r="AJ4560" t="s">
        <v>11134</v>
      </c>
      <c r="AK4560" t="s">
        <v>7225</v>
      </c>
      <c r="AM4560">
        <v>991.98</v>
      </c>
      <c r="AO4560">
        <v>83</v>
      </c>
      <c r="AQ4560" t="s">
        <v>11157</v>
      </c>
      <c r="AS4560" t="s">
        <v>11173</v>
      </c>
      <c r="AU4560">
        <v>40</v>
      </c>
      <c r="AW4560" t="s">
        <v>11189</v>
      </c>
      <c r="AZ4560" t="s">
        <v>11221</v>
      </c>
      <c r="BE4560" t="s">
        <v>14247</v>
      </c>
      <c r="BF4560" t="s">
        <v>14364</v>
      </c>
      <c r="BG4560" t="s">
        <v>15521</v>
      </c>
      <c r="BM4560" t="s">
        <v>15650</v>
      </c>
    </row>
    <row r="4561" spans="1:65">
      <c r="A4561" s="1">
        <f>HYPERLINK("https://lsnyc.legalserver.org/matter/dynamic-profile/view/1856450","18-1856450")</f>
        <v>0</v>
      </c>
      <c r="B4561" t="s">
        <v>238</v>
      </c>
      <c r="C4561" t="s">
        <v>245</v>
      </c>
      <c r="D4561" t="s">
        <v>533</v>
      </c>
      <c r="F4561" t="s">
        <v>2812</v>
      </c>
      <c r="G4561" t="s">
        <v>2884</v>
      </c>
      <c r="H4561" t="s">
        <v>4875</v>
      </c>
      <c r="I4561" t="s">
        <v>6518</v>
      </c>
      <c r="J4561" t="s">
        <v>7169</v>
      </c>
      <c r="K4561">
        <v>10034</v>
      </c>
      <c r="N4561" t="s">
        <v>7237</v>
      </c>
      <c r="O4561" t="s">
        <v>10135</v>
      </c>
      <c r="P4561">
        <v>3</v>
      </c>
      <c r="Q4561">
        <v>1</v>
      </c>
      <c r="R4561">
        <v>207.32</v>
      </c>
      <c r="U4561">
        <v>51000</v>
      </c>
      <c r="W4561">
        <v>0.9</v>
      </c>
      <c r="X4561" t="s">
        <v>631</v>
      </c>
      <c r="Y4561" t="s">
        <v>127</v>
      </c>
      <c r="AA4561" t="s">
        <v>10974</v>
      </c>
      <c r="AB4561" t="s">
        <v>533</v>
      </c>
      <c r="AD4561" t="s">
        <v>11101</v>
      </c>
      <c r="AF4561" t="s">
        <v>11118</v>
      </c>
      <c r="AH4561" t="s">
        <v>10974</v>
      </c>
      <c r="AJ4561" t="s">
        <v>11134</v>
      </c>
      <c r="AK4561" t="s">
        <v>7225</v>
      </c>
      <c r="AM4561">
        <v>987</v>
      </c>
      <c r="AO4561">
        <v>49</v>
      </c>
      <c r="AQ4561" t="s">
        <v>11157</v>
      </c>
      <c r="AS4561" t="s">
        <v>11173</v>
      </c>
      <c r="AU4561">
        <v>35</v>
      </c>
      <c r="AW4561" t="s">
        <v>11187</v>
      </c>
      <c r="AZ4561" t="s">
        <v>11221</v>
      </c>
      <c r="BE4561" t="s">
        <v>14248</v>
      </c>
      <c r="BF4561" t="s">
        <v>14364</v>
      </c>
      <c r="BM4561" t="s">
        <v>15650</v>
      </c>
    </row>
    <row r="4562" spans="1:65">
      <c r="A4562" s="1">
        <f>HYPERLINK("https://lsnyc.legalserver.org/matter/dynamic-profile/view/1897247","19-1897247")</f>
        <v>0</v>
      </c>
      <c r="B4562" t="s">
        <v>238</v>
      </c>
      <c r="C4562" t="s">
        <v>245</v>
      </c>
      <c r="D4562" t="s">
        <v>444</v>
      </c>
      <c r="F4562" t="s">
        <v>2777</v>
      </c>
      <c r="G4562" t="s">
        <v>3226</v>
      </c>
      <c r="H4562" t="s">
        <v>5991</v>
      </c>
      <c r="I4562">
        <v>23</v>
      </c>
      <c r="J4562" t="s">
        <v>7169</v>
      </c>
      <c r="K4562">
        <v>10034</v>
      </c>
      <c r="N4562" t="s">
        <v>7237</v>
      </c>
      <c r="O4562" t="s">
        <v>10136</v>
      </c>
      <c r="P4562">
        <v>3</v>
      </c>
      <c r="Q4562">
        <v>0</v>
      </c>
      <c r="R4562">
        <v>71.79000000000001</v>
      </c>
      <c r="U4562">
        <v>15312</v>
      </c>
      <c r="W4562">
        <v>0</v>
      </c>
      <c r="Y4562" t="s">
        <v>127</v>
      </c>
      <c r="AA4562" t="s">
        <v>10974</v>
      </c>
      <c r="AB4562" t="s">
        <v>444</v>
      </c>
      <c r="AD4562" t="s">
        <v>11101</v>
      </c>
      <c r="AF4562" t="s">
        <v>11118</v>
      </c>
      <c r="AH4562" t="s">
        <v>10974</v>
      </c>
      <c r="AJ4562" t="s">
        <v>11130</v>
      </c>
      <c r="AK4562" t="s">
        <v>7225</v>
      </c>
      <c r="AM4562">
        <v>929.89</v>
      </c>
      <c r="AO4562">
        <v>20</v>
      </c>
      <c r="AQ4562" t="s">
        <v>11157</v>
      </c>
      <c r="AS4562" t="s">
        <v>11175</v>
      </c>
      <c r="AU4562">
        <v>48</v>
      </c>
      <c r="AW4562" t="s">
        <v>11189</v>
      </c>
      <c r="BA4562" t="s">
        <v>11222</v>
      </c>
      <c r="BE4562" t="s">
        <v>14249</v>
      </c>
      <c r="BF4562" t="s">
        <v>14364</v>
      </c>
      <c r="BG4562" t="s">
        <v>15265</v>
      </c>
      <c r="BM4562" t="s">
        <v>15650</v>
      </c>
    </row>
    <row r="4563" spans="1:65">
      <c r="A4563" s="1">
        <f>HYPERLINK("https://lsnyc.legalserver.org/matter/dynamic-profile/view/1895304","19-1895304")</f>
        <v>0</v>
      </c>
      <c r="B4563" t="s">
        <v>238</v>
      </c>
      <c r="C4563" t="s">
        <v>245</v>
      </c>
      <c r="D4563" t="s">
        <v>299</v>
      </c>
      <c r="E4563" t="s">
        <v>497</v>
      </c>
      <c r="F4563" t="s">
        <v>1711</v>
      </c>
      <c r="G4563" t="s">
        <v>3152</v>
      </c>
      <c r="H4563" t="s">
        <v>6336</v>
      </c>
      <c r="I4563" t="s">
        <v>6525</v>
      </c>
      <c r="J4563" t="s">
        <v>7169</v>
      </c>
      <c r="K4563">
        <v>10034</v>
      </c>
      <c r="L4563" t="s">
        <v>7216</v>
      </c>
      <c r="N4563" t="s">
        <v>7237</v>
      </c>
      <c r="O4563" t="s">
        <v>10137</v>
      </c>
      <c r="P4563">
        <v>1</v>
      </c>
      <c r="Q4563">
        <v>0</v>
      </c>
      <c r="R4563">
        <v>121.06</v>
      </c>
      <c r="U4563">
        <v>15120</v>
      </c>
      <c r="W4563">
        <v>1.5</v>
      </c>
      <c r="X4563" t="s">
        <v>299</v>
      </c>
      <c r="Y4563" t="s">
        <v>238</v>
      </c>
      <c r="AA4563" t="s">
        <v>10974</v>
      </c>
      <c r="AB4563" t="s">
        <v>299</v>
      </c>
      <c r="AD4563" t="s">
        <v>11103</v>
      </c>
      <c r="AF4563" t="s">
        <v>10384</v>
      </c>
      <c r="AH4563" t="s">
        <v>10975</v>
      </c>
      <c r="AJ4563" t="s">
        <v>11134</v>
      </c>
      <c r="AK4563" t="s">
        <v>7225</v>
      </c>
      <c r="AM4563">
        <v>789.63</v>
      </c>
      <c r="AO4563">
        <v>49</v>
      </c>
      <c r="AQ4563" t="s">
        <v>11157</v>
      </c>
      <c r="AS4563" t="s">
        <v>11173</v>
      </c>
      <c r="AU4563">
        <v>41</v>
      </c>
      <c r="AW4563" t="s">
        <v>11189</v>
      </c>
      <c r="AY4563" t="s">
        <v>11213</v>
      </c>
      <c r="AZ4563" t="s">
        <v>11221</v>
      </c>
      <c r="BE4563" t="s">
        <v>14250</v>
      </c>
      <c r="BG4563" t="s">
        <v>15524</v>
      </c>
      <c r="BM4563" t="s">
        <v>15651</v>
      </c>
    </row>
    <row r="4564" spans="1:65">
      <c r="A4564" s="1">
        <f>HYPERLINK("https://lsnyc.legalserver.org/matter/dynamic-profile/view/0830813","17-0830813")</f>
        <v>0</v>
      </c>
      <c r="B4564" t="s">
        <v>238</v>
      </c>
      <c r="C4564" t="s">
        <v>245</v>
      </c>
      <c r="D4564" t="s">
        <v>914</v>
      </c>
      <c r="F4564" t="s">
        <v>1451</v>
      </c>
      <c r="G4564" t="s">
        <v>2938</v>
      </c>
      <c r="H4564" t="s">
        <v>5876</v>
      </c>
      <c r="I4564">
        <v>25</v>
      </c>
      <c r="J4564" t="s">
        <v>7169</v>
      </c>
      <c r="K4564">
        <v>10032</v>
      </c>
      <c r="N4564" t="s">
        <v>7237</v>
      </c>
      <c r="O4564" t="s">
        <v>10138</v>
      </c>
      <c r="P4564">
        <v>4</v>
      </c>
      <c r="Q4564">
        <v>0</v>
      </c>
      <c r="R4564">
        <v>274.8</v>
      </c>
      <c r="S4564" t="s">
        <v>951</v>
      </c>
      <c r="U4564">
        <v>67600</v>
      </c>
      <c r="W4564">
        <v>3.85</v>
      </c>
      <c r="X4564" t="s">
        <v>794</v>
      </c>
      <c r="Y4564" t="s">
        <v>10859</v>
      </c>
      <c r="Z4564" t="s">
        <v>10972</v>
      </c>
      <c r="AA4564" t="s">
        <v>10976</v>
      </c>
      <c r="AB4564" t="s">
        <v>769</v>
      </c>
      <c r="AD4564" t="s">
        <v>11101</v>
      </c>
      <c r="AF4564" t="s">
        <v>11118</v>
      </c>
      <c r="AH4564" t="s">
        <v>10974</v>
      </c>
      <c r="AJ4564" t="s">
        <v>11134</v>
      </c>
      <c r="AK4564" t="s">
        <v>7225</v>
      </c>
      <c r="AM4564">
        <v>1021.83</v>
      </c>
      <c r="AO4564">
        <v>35</v>
      </c>
      <c r="AQ4564" t="s">
        <v>11157</v>
      </c>
      <c r="AS4564" t="s">
        <v>11173</v>
      </c>
      <c r="AU4564">
        <v>35</v>
      </c>
      <c r="AW4564" t="s">
        <v>11189</v>
      </c>
      <c r="AZ4564" t="s">
        <v>11221</v>
      </c>
      <c r="BE4564" t="s">
        <v>14251</v>
      </c>
      <c r="BF4564" t="s">
        <v>14364</v>
      </c>
      <c r="BG4564" t="s">
        <v>15525</v>
      </c>
      <c r="BM4564" t="s">
        <v>15650</v>
      </c>
    </row>
    <row r="4565" spans="1:65">
      <c r="A4565" s="1">
        <f>HYPERLINK("https://lsnyc.legalserver.org/matter/dynamic-profile/view/0831091","17-0831091")</f>
        <v>0</v>
      </c>
      <c r="B4565" t="s">
        <v>238</v>
      </c>
      <c r="C4565" t="s">
        <v>245</v>
      </c>
      <c r="D4565" t="s">
        <v>777</v>
      </c>
      <c r="F4565" t="s">
        <v>2813</v>
      </c>
      <c r="G4565" t="s">
        <v>4685</v>
      </c>
      <c r="H4565" t="s">
        <v>5341</v>
      </c>
      <c r="I4565" t="s">
        <v>6495</v>
      </c>
      <c r="J4565" t="s">
        <v>7169</v>
      </c>
      <c r="K4565">
        <v>10040</v>
      </c>
      <c r="N4565" t="s">
        <v>7237</v>
      </c>
      <c r="O4565" t="s">
        <v>10139</v>
      </c>
      <c r="P4565">
        <v>2</v>
      </c>
      <c r="Q4565">
        <v>4</v>
      </c>
      <c r="R4565">
        <v>273.67</v>
      </c>
      <c r="S4565" t="s">
        <v>481</v>
      </c>
      <c r="U4565">
        <v>124000</v>
      </c>
      <c r="W4565">
        <v>0</v>
      </c>
      <c r="Y4565" t="s">
        <v>10859</v>
      </c>
      <c r="AA4565" t="s">
        <v>10974</v>
      </c>
      <c r="AB4565" t="s">
        <v>11077</v>
      </c>
      <c r="AD4565" t="s">
        <v>11086</v>
      </c>
      <c r="AF4565" t="s">
        <v>11120</v>
      </c>
      <c r="AH4565" t="s">
        <v>10974</v>
      </c>
      <c r="AI4565" t="s">
        <v>11126</v>
      </c>
      <c r="AK4565" t="s">
        <v>7225</v>
      </c>
      <c r="AM4565">
        <v>1850</v>
      </c>
      <c r="AO4565">
        <v>83</v>
      </c>
      <c r="AQ4565" t="s">
        <v>11157</v>
      </c>
      <c r="AS4565" t="s">
        <v>11173</v>
      </c>
      <c r="AU4565">
        <v>3</v>
      </c>
      <c r="AW4565" t="s">
        <v>11187</v>
      </c>
      <c r="AZ4565" t="s">
        <v>11221</v>
      </c>
      <c r="BE4565" t="s">
        <v>14252</v>
      </c>
      <c r="BF4565" t="s">
        <v>14364</v>
      </c>
      <c r="BM4565" t="s">
        <v>15650</v>
      </c>
    </row>
    <row r="4566" spans="1:65">
      <c r="A4566" s="1">
        <f>HYPERLINK("https://lsnyc.legalserver.org/matter/dynamic-profile/view/1880117","18-1880117")</f>
        <v>0</v>
      </c>
      <c r="B4566" t="s">
        <v>238</v>
      </c>
      <c r="C4566" t="s">
        <v>245</v>
      </c>
      <c r="D4566" t="s">
        <v>619</v>
      </c>
      <c r="F4566" t="s">
        <v>1464</v>
      </c>
      <c r="G4566" t="s">
        <v>4684</v>
      </c>
      <c r="H4566" t="s">
        <v>5341</v>
      </c>
      <c r="I4566" t="s">
        <v>6403</v>
      </c>
      <c r="J4566" t="s">
        <v>7169</v>
      </c>
      <c r="K4566">
        <v>10040</v>
      </c>
      <c r="N4566" t="s">
        <v>7237</v>
      </c>
      <c r="O4566" t="s">
        <v>10134</v>
      </c>
      <c r="P4566">
        <v>1</v>
      </c>
      <c r="Q4566">
        <v>0</v>
      </c>
      <c r="R4566">
        <v>72.65000000000001</v>
      </c>
      <c r="U4566">
        <v>8820</v>
      </c>
      <c r="W4566">
        <v>0</v>
      </c>
      <c r="Y4566" t="s">
        <v>127</v>
      </c>
      <c r="AA4566" t="s">
        <v>10974</v>
      </c>
      <c r="AB4566" t="s">
        <v>619</v>
      </c>
      <c r="AD4566" t="s">
        <v>11098</v>
      </c>
      <c r="AF4566" t="s">
        <v>11122</v>
      </c>
      <c r="AH4566" t="s">
        <v>10974</v>
      </c>
      <c r="AJ4566" t="s">
        <v>11129</v>
      </c>
      <c r="AK4566" t="s">
        <v>7225</v>
      </c>
      <c r="AM4566">
        <v>991.98</v>
      </c>
      <c r="AO4566">
        <v>88</v>
      </c>
      <c r="AQ4566" t="s">
        <v>11157</v>
      </c>
      <c r="AS4566" t="s">
        <v>11173</v>
      </c>
      <c r="AU4566">
        <v>40</v>
      </c>
      <c r="AW4566" t="s">
        <v>11189</v>
      </c>
      <c r="AZ4566" t="s">
        <v>11221</v>
      </c>
      <c r="BE4566" t="s">
        <v>14247</v>
      </c>
      <c r="BF4566" t="s">
        <v>14364</v>
      </c>
      <c r="BM4566" t="s">
        <v>15650</v>
      </c>
    </row>
    <row r="4567" spans="1:65">
      <c r="A4567" s="1">
        <f>HYPERLINK("https://lsnyc.legalserver.org/matter/dynamic-profile/view/0826973","17-0826973")</f>
        <v>0</v>
      </c>
      <c r="B4567" t="s">
        <v>238</v>
      </c>
      <c r="C4567" t="s">
        <v>245</v>
      </c>
      <c r="D4567" t="s">
        <v>1065</v>
      </c>
      <c r="F4567" t="s">
        <v>1149</v>
      </c>
      <c r="G4567" t="s">
        <v>4413</v>
      </c>
      <c r="H4567" t="s">
        <v>5341</v>
      </c>
      <c r="I4567" t="s">
        <v>6437</v>
      </c>
      <c r="J4567" t="s">
        <v>7169</v>
      </c>
      <c r="K4567">
        <v>10040</v>
      </c>
      <c r="N4567" t="s">
        <v>7237</v>
      </c>
      <c r="O4567" t="s">
        <v>10140</v>
      </c>
      <c r="P4567">
        <v>1</v>
      </c>
      <c r="Q4567">
        <v>0</v>
      </c>
      <c r="R4567">
        <v>72.73999999999999</v>
      </c>
      <c r="S4567" t="s">
        <v>481</v>
      </c>
      <c r="U4567">
        <v>8772</v>
      </c>
      <c r="W4567">
        <v>0</v>
      </c>
      <c r="X4567" t="s">
        <v>10811</v>
      </c>
      <c r="Y4567" t="s">
        <v>10859</v>
      </c>
      <c r="AA4567" t="s">
        <v>10974</v>
      </c>
      <c r="AB4567" t="s">
        <v>11079</v>
      </c>
      <c r="AD4567" t="s">
        <v>11101</v>
      </c>
      <c r="AF4567" t="s">
        <v>11118</v>
      </c>
      <c r="AH4567" t="s">
        <v>10974</v>
      </c>
      <c r="AJ4567" t="s">
        <v>11134</v>
      </c>
      <c r="AK4567" t="s">
        <v>7225</v>
      </c>
      <c r="AM4567">
        <v>631.42</v>
      </c>
      <c r="AO4567">
        <v>83</v>
      </c>
      <c r="AQ4567" t="s">
        <v>11157</v>
      </c>
      <c r="AS4567" t="s">
        <v>11173</v>
      </c>
      <c r="AU4567">
        <v>15</v>
      </c>
      <c r="AW4567" t="s">
        <v>11189</v>
      </c>
      <c r="AZ4567" t="s">
        <v>11221</v>
      </c>
      <c r="BE4567" t="s">
        <v>14253</v>
      </c>
      <c r="BF4567" t="s">
        <v>14364</v>
      </c>
      <c r="BG4567" t="s">
        <v>15521</v>
      </c>
      <c r="BM4567" t="s">
        <v>15650</v>
      </c>
    </row>
    <row r="4568" spans="1:65">
      <c r="A4568" s="1">
        <f>HYPERLINK("https://lsnyc.legalserver.org/matter/dynamic-profile/view/1896304","19-1896304")</f>
        <v>0</v>
      </c>
      <c r="B4568" t="s">
        <v>238</v>
      </c>
      <c r="C4568" t="s">
        <v>245</v>
      </c>
      <c r="D4568" t="s">
        <v>295</v>
      </c>
      <c r="E4568" t="s">
        <v>266</v>
      </c>
      <c r="F4568" t="s">
        <v>1443</v>
      </c>
      <c r="G4568" t="s">
        <v>3153</v>
      </c>
      <c r="H4568" t="s">
        <v>5600</v>
      </c>
      <c r="I4568" t="s">
        <v>7145</v>
      </c>
      <c r="J4568" t="s">
        <v>7169</v>
      </c>
      <c r="K4568">
        <v>10034</v>
      </c>
      <c r="L4568" t="s">
        <v>7216</v>
      </c>
      <c r="M4568" t="s">
        <v>7225</v>
      </c>
      <c r="N4568" t="s">
        <v>7237</v>
      </c>
      <c r="O4568" t="s">
        <v>9770</v>
      </c>
      <c r="P4568">
        <v>1</v>
      </c>
      <c r="Q4568">
        <v>0</v>
      </c>
      <c r="R4568">
        <v>0</v>
      </c>
      <c r="U4568">
        <v>0</v>
      </c>
      <c r="W4568">
        <v>2</v>
      </c>
      <c r="X4568" t="s">
        <v>266</v>
      </c>
      <c r="Y4568" t="s">
        <v>10893</v>
      </c>
      <c r="AA4568" t="s">
        <v>10974</v>
      </c>
      <c r="AB4568" t="s">
        <v>295</v>
      </c>
      <c r="AD4568" t="s">
        <v>11082</v>
      </c>
      <c r="AF4568" t="s">
        <v>11119</v>
      </c>
      <c r="AH4568" t="s">
        <v>10975</v>
      </c>
      <c r="AI4568" t="s">
        <v>11126</v>
      </c>
      <c r="AK4568" t="s">
        <v>7225</v>
      </c>
      <c r="AM4568">
        <v>1348.75</v>
      </c>
      <c r="AN4568" t="s">
        <v>11151</v>
      </c>
      <c r="AO4568" t="s">
        <v>11153</v>
      </c>
      <c r="AQ4568" t="s">
        <v>11157</v>
      </c>
      <c r="AR4568" t="s">
        <v>11172</v>
      </c>
      <c r="AU4568">
        <v>21</v>
      </c>
      <c r="AW4568" t="s">
        <v>11187</v>
      </c>
      <c r="AZ4568" t="s">
        <v>11221</v>
      </c>
      <c r="BE4568" t="s">
        <v>14254</v>
      </c>
      <c r="BG4568" t="s">
        <v>15526</v>
      </c>
      <c r="BM4568" t="s">
        <v>15651</v>
      </c>
    </row>
    <row r="4569" spans="1:65">
      <c r="A4569" s="1">
        <f>HYPERLINK("https://lsnyc.legalserver.org/matter/dynamic-profile/view/1846029","17-1846029")</f>
        <v>0</v>
      </c>
      <c r="B4569" t="s">
        <v>238</v>
      </c>
      <c r="C4569" t="s">
        <v>245</v>
      </c>
      <c r="D4569" t="s">
        <v>1069</v>
      </c>
      <c r="E4569" t="s">
        <v>497</v>
      </c>
      <c r="F4569" t="s">
        <v>2814</v>
      </c>
      <c r="G4569" t="s">
        <v>3529</v>
      </c>
      <c r="H4569" t="s">
        <v>5501</v>
      </c>
      <c r="I4569">
        <v>5</v>
      </c>
      <c r="J4569" t="s">
        <v>7169</v>
      </c>
      <c r="K4569">
        <v>10034</v>
      </c>
      <c r="L4569" t="s">
        <v>7221</v>
      </c>
      <c r="N4569" t="s">
        <v>7237</v>
      </c>
      <c r="O4569" t="s">
        <v>10141</v>
      </c>
      <c r="P4569">
        <v>2</v>
      </c>
      <c r="Q4569">
        <v>3</v>
      </c>
      <c r="R4569">
        <v>114.66</v>
      </c>
      <c r="U4569">
        <v>33000</v>
      </c>
      <c r="W4569">
        <v>36</v>
      </c>
      <c r="X4569" t="s">
        <v>497</v>
      </c>
      <c r="Y4569" t="s">
        <v>127</v>
      </c>
      <c r="AA4569" t="s">
        <v>10974</v>
      </c>
      <c r="AB4569" t="s">
        <v>883</v>
      </c>
      <c r="AD4569" t="s">
        <v>11083</v>
      </c>
      <c r="AF4569" t="s">
        <v>11120</v>
      </c>
      <c r="AH4569" t="s">
        <v>10975</v>
      </c>
      <c r="AJ4569" t="s">
        <v>11130</v>
      </c>
      <c r="AK4569" t="s">
        <v>7225</v>
      </c>
      <c r="AM4569">
        <v>1250</v>
      </c>
      <c r="AO4569">
        <v>41</v>
      </c>
      <c r="AQ4569" t="s">
        <v>11157</v>
      </c>
      <c r="AS4569" t="s">
        <v>11173</v>
      </c>
      <c r="AU4569">
        <v>5</v>
      </c>
      <c r="AW4569" t="s">
        <v>11189</v>
      </c>
      <c r="AZ4569" t="s">
        <v>11221</v>
      </c>
      <c r="BE4569" t="s">
        <v>14255</v>
      </c>
      <c r="BF4569" t="s">
        <v>14364</v>
      </c>
      <c r="BM4569" t="s">
        <v>15651</v>
      </c>
    </row>
    <row r="4570" spans="1:65">
      <c r="A4570" s="1">
        <f>HYPERLINK("https://lsnyc.legalserver.org/matter/dynamic-profile/view/1838642","17-1838642")</f>
        <v>0</v>
      </c>
      <c r="B4570" t="s">
        <v>238</v>
      </c>
      <c r="C4570" t="s">
        <v>245</v>
      </c>
      <c r="D4570" t="s">
        <v>807</v>
      </c>
      <c r="F4570" t="s">
        <v>1464</v>
      </c>
      <c r="G4570" t="s">
        <v>3249</v>
      </c>
      <c r="H4570" t="s">
        <v>6337</v>
      </c>
      <c r="I4570" t="s">
        <v>6405</v>
      </c>
      <c r="J4570" t="s">
        <v>7169</v>
      </c>
      <c r="K4570">
        <v>10034</v>
      </c>
      <c r="N4570" t="s">
        <v>7237</v>
      </c>
      <c r="O4570" t="s">
        <v>10142</v>
      </c>
      <c r="P4570">
        <v>3</v>
      </c>
      <c r="Q4570">
        <v>1</v>
      </c>
      <c r="R4570">
        <v>447.15</v>
      </c>
      <c r="U4570">
        <v>110000</v>
      </c>
      <c r="W4570">
        <v>0.45</v>
      </c>
      <c r="X4570" t="s">
        <v>631</v>
      </c>
      <c r="Y4570" t="s">
        <v>10859</v>
      </c>
      <c r="AA4570" t="s">
        <v>10974</v>
      </c>
      <c r="AB4570" t="s">
        <v>807</v>
      </c>
      <c r="AD4570" t="s">
        <v>11101</v>
      </c>
      <c r="AF4570" t="s">
        <v>11118</v>
      </c>
      <c r="AH4570" t="s">
        <v>10974</v>
      </c>
      <c r="AJ4570" t="s">
        <v>11134</v>
      </c>
      <c r="AK4570" t="s">
        <v>7225</v>
      </c>
      <c r="AM4570">
        <v>949</v>
      </c>
      <c r="AN4570" t="s">
        <v>11151</v>
      </c>
      <c r="AO4570" t="s">
        <v>11153</v>
      </c>
      <c r="AQ4570" t="s">
        <v>11157</v>
      </c>
      <c r="AS4570" t="s">
        <v>11173</v>
      </c>
      <c r="AU4570">
        <v>15</v>
      </c>
      <c r="AW4570" t="s">
        <v>11189</v>
      </c>
      <c r="AZ4570" t="s">
        <v>11221</v>
      </c>
      <c r="BE4570" t="s">
        <v>14256</v>
      </c>
      <c r="BF4570" t="s">
        <v>14364</v>
      </c>
      <c r="BM4570" t="s">
        <v>15650</v>
      </c>
    </row>
    <row r="4571" spans="1:65">
      <c r="A4571" s="1">
        <f>HYPERLINK("https://lsnyc.legalserver.org/matter/dynamic-profile/view/0831083","17-0831083")</f>
        <v>0</v>
      </c>
      <c r="B4571" t="s">
        <v>238</v>
      </c>
      <c r="C4571" t="s">
        <v>245</v>
      </c>
      <c r="D4571" t="s">
        <v>777</v>
      </c>
      <c r="F4571" t="s">
        <v>2813</v>
      </c>
      <c r="G4571" t="s">
        <v>4685</v>
      </c>
      <c r="H4571" t="s">
        <v>5341</v>
      </c>
      <c r="I4571" t="s">
        <v>6495</v>
      </c>
      <c r="J4571" t="s">
        <v>7169</v>
      </c>
      <c r="K4571">
        <v>10040</v>
      </c>
      <c r="N4571" t="s">
        <v>7237</v>
      </c>
      <c r="O4571" t="s">
        <v>10139</v>
      </c>
      <c r="P4571">
        <v>2</v>
      </c>
      <c r="Q4571">
        <v>4</v>
      </c>
      <c r="R4571">
        <v>273.67</v>
      </c>
      <c r="S4571" t="s">
        <v>10255</v>
      </c>
      <c r="U4571">
        <v>90200</v>
      </c>
      <c r="W4571">
        <v>0</v>
      </c>
      <c r="X4571" t="s">
        <v>10811</v>
      </c>
      <c r="Y4571" t="s">
        <v>10859</v>
      </c>
      <c r="AA4571" t="s">
        <v>10974</v>
      </c>
      <c r="AB4571" t="s">
        <v>11077</v>
      </c>
      <c r="AD4571" t="s">
        <v>11101</v>
      </c>
      <c r="AF4571" t="s">
        <v>11118</v>
      </c>
      <c r="AH4571" t="s">
        <v>10974</v>
      </c>
      <c r="AJ4571" t="s">
        <v>11134</v>
      </c>
      <c r="AK4571" t="s">
        <v>7225</v>
      </c>
      <c r="AM4571">
        <v>1850</v>
      </c>
      <c r="AO4571">
        <v>83</v>
      </c>
      <c r="AQ4571" t="s">
        <v>11157</v>
      </c>
      <c r="AS4571" t="s">
        <v>11173</v>
      </c>
      <c r="AU4571">
        <v>3</v>
      </c>
      <c r="AW4571" t="s">
        <v>11187</v>
      </c>
      <c r="AZ4571" t="s">
        <v>11221</v>
      </c>
      <c r="BE4571" t="s">
        <v>14252</v>
      </c>
      <c r="BF4571" t="s">
        <v>14364</v>
      </c>
      <c r="BG4571" t="s">
        <v>15513</v>
      </c>
      <c r="BM4571" t="s">
        <v>15650</v>
      </c>
    </row>
    <row r="4572" spans="1:65">
      <c r="A4572" s="1">
        <f>HYPERLINK("https://lsnyc.legalserver.org/matter/dynamic-profile/view/1836777","17-1836777")</f>
        <v>0</v>
      </c>
      <c r="B4572" t="s">
        <v>238</v>
      </c>
      <c r="C4572" t="s">
        <v>245</v>
      </c>
      <c r="D4572" t="s">
        <v>357</v>
      </c>
      <c r="F4572" t="s">
        <v>2815</v>
      </c>
      <c r="G4572" t="s">
        <v>3090</v>
      </c>
      <c r="H4572" t="s">
        <v>4875</v>
      </c>
      <c r="I4572" t="s">
        <v>7146</v>
      </c>
      <c r="J4572" t="s">
        <v>7169</v>
      </c>
      <c r="K4572">
        <v>10034</v>
      </c>
      <c r="N4572" t="s">
        <v>7237</v>
      </c>
      <c r="O4572" t="s">
        <v>7593</v>
      </c>
      <c r="P4572">
        <v>3</v>
      </c>
      <c r="Q4572">
        <v>2</v>
      </c>
      <c r="R4572">
        <v>121.61</v>
      </c>
      <c r="U4572">
        <v>35000</v>
      </c>
      <c r="W4572">
        <v>0.15</v>
      </c>
      <c r="X4572" t="s">
        <v>631</v>
      </c>
      <c r="Y4572" t="s">
        <v>10859</v>
      </c>
      <c r="AA4572" t="s">
        <v>10974</v>
      </c>
      <c r="AB4572" t="s">
        <v>534</v>
      </c>
      <c r="AD4572" t="s">
        <v>11101</v>
      </c>
      <c r="AF4572" t="s">
        <v>11118</v>
      </c>
      <c r="AH4572" t="s">
        <v>10974</v>
      </c>
      <c r="AJ4572" t="s">
        <v>11134</v>
      </c>
      <c r="AK4572" t="s">
        <v>7225</v>
      </c>
      <c r="AM4572">
        <v>900</v>
      </c>
      <c r="AO4572">
        <v>44</v>
      </c>
      <c r="AQ4572" t="s">
        <v>11157</v>
      </c>
      <c r="AS4572" t="s">
        <v>11173</v>
      </c>
      <c r="AU4572">
        <v>16</v>
      </c>
      <c r="AW4572" t="s">
        <v>11189</v>
      </c>
      <c r="AZ4572" t="s">
        <v>11221</v>
      </c>
      <c r="BE4572" t="s">
        <v>14257</v>
      </c>
      <c r="BF4572" t="s">
        <v>14364</v>
      </c>
      <c r="BM4572" t="s">
        <v>15650</v>
      </c>
    </row>
    <row r="4573" spans="1:65">
      <c r="A4573" s="1">
        <f>HYPERLINK("https://lsnyc.legalserver.org/matter/dynamic-profile/view/1901243","19-1901243")</f>
        <v>0</v>
      </c>
      <c r="B4573" t="s">
        <v>238</v>
      </c>
      <c r="C4573" t="s">
        <v>245</v>
      </c>
      <c r="D4573" t="s">
        <v>287</v>
      </c>
      <c r="F4573" t="s">
        <v>1451</v>
      </c>
      <c r="G4573" t="s">
        <v>3930</v>
      </c>
      <c r="H4573" t="s">
        <v>6320</v>
      </c>
      <c r="I4573">
        <v>45</v>
      </c>
      <c r="J4573" t="s">
        <v>7169</v>
      </c>
      <c r="K4573">
        <v>10032</v>
      </c>
      <c r="N4573" t="s">
        <v>7237</v>
      </c>
      <c r="O4573" t="s">
        <v>8736</v>
      </c>
      <c r="P4573">
        <v>6</v>
      </c>
      <c r="Q4573">
        <v>0</v>
      </c>
      <c r="R4573">
        <v>120.27</v>
      </c>
      <c r="U4573">
        <v>41600</v>
      </c>
      <c r="W4573">
        <v>0.1</v>
      </c>
      <c r="X4573" t="s">
        <v>497</v>
      </c>
      <c r="Y4573" t="s">
        <v>127</v>
      </c>
      <c r="AA4573" t="s">
        <v>10974</v>
      </c>
      <c r="AB4573" t="s">
        <v>287</v>
      </c>
      <c r="AD4573" t="s">
        <v>11090</v>
      </c>
      <c r="AF4573" t="s">
        <v>10384</v>
      </c>
      <c r="AH4573" t="s">
        <v>10975</v>
      </c>
      <c r="AJ4573" t="s">
        <v>11130</v>
      </c>
      <c r="AK4573" t="s">
        <v>7225</v>
      </c>
      <c r="AL4573" t="s">
        <v>11150</v>
      </c>
      <c r="AM4573">
        <v>0</v>
      </c>
      <c r="AO4573">
        <v>30</v>
      </c>
      <c r="AQ4573" t="s">
        <v>11157</v>
      </c>
      <c r="AS4573" t="s">
        <v>11173</v>
      </c>
      <c r="AU4573">
        <v>22</v>
      </c>
      <c r="AW4573" t="s">
        <v>11189</v>
      </c>
      <c r="BA4573" t="s">
        <v>11222</v>
      </c>
      <c r="BD4573" t="s">
        <v>11667</v>
      </c>
      <c r="BF4573" t="s">
        <v>14364</v>
      </c>
      <c r="BM4573" t="s">
        <v>15650</v>
      </c>
    </row>
    <row r="4574" spans="1:65">
      <c r="A4574" s="1">
        <f>HYPERLINK("https://lsnyc.legalserver.org/matter/dynamic-profile/view/1878945","18-1878945")</f>
        <v>0</v>
      </c>
      <c r="B4574" t="s">
        <v>238</v>
      </c>
      <c r="C4574" t="s">
        <v>245</v>
      </c>
      <c r="D4574" t="s">
        <v>760</v>
      </c>
      <c r="F4574" t="s">
        <v>2816</v>
      </c>
      <c r="G4574" t="s">
        <v>4686</v>
      </c>
      <c r="H4574" t="s">
        <v>5341</v>
      </c>
      <c r="I4574" t="s">
        <v>6596</v>
      </c>
      <c r="J4574" t="s">
        <v>7169</v>
      </c>
      <c r="K4574">
        <v>10040</v>
      </c>
      <c r="N4574" t="s">
        <v>7237</v>
      </c>
      <c r="O4574" t="s">
        <v>10143</v>
      </c>
      <c r="P4574">
        <v>4</v>
      </c>
      <c r="Q4574">
        <v>0</v>
      </c>
      <c r="R4574">
        <v>195.22</v>
      </c>
      <c r="U4574">
        <v>49000</v>
      </c>
      <c r="W4574">
        <v>0</v>
      </c>
      <c r="Y4574" t="s">
        <v>127</v>
      </c>
      <c r="AA4574" t="s">
        <v>10974</v>
      </c>
      <c r="AB4574" t="s">
        <v>760</v>
      </c>
      <c r="AD4574" t="s">
        <v>11098</v>
      </c>
      <c r="AF4574" t="s">
        <v>11122</v>
      </c>
      <c r="AH4574" t="s">
        <v>10974</v>
      </c>
      <c r="AJ4574" t="s">
        <v>11134</v>
      </c>
      <c r="AK4574" t="s">
        <v>7225</v>
      </c>
      <c r="AM4574">
        <v>1120.85</v>
      </c>
      <c r="AO4574">
        <v>88</v>
      </c>
      <c r="AQ4574" t="s">
        <v>11157</v>
      </c>
      <c r="AS4574" t="s">
        <v>11173</v>
      </c>
      <c r="AU4574">
        <v>23</v>
      </c>
      <c r="AW4574" t="s">
        <v>11187</v>
      </c>
      <c r="BA4574" t="s">
        <v>11222</v>
      </c>
      <c r="BE4574" t="s">
        <v>14258</v>
      </c>
      <c r="BF4574" t="s">
        <v>14364</v>
      </c>
      <c r="BM4574" t="s">
        <v>15650</v>
      </c>
    </row>
    <row r="4575" spans="1:65">
      <c r="A4575" s="1">
        <f>HYPERLINK("https://lsnyc.legalserver.org/matter/dynamic-profile/view/1879892","18-1879892")</f>
        <v>0</v>
      </c>
      <c r="B4575" t="s">
        <v>238</v>
      </c>
      <c r="C4575" t="s">
        <v>245</v>
      </c>
      <c r="D4575" t="s">
        <v>595</v>
      </c>
      <c r="F4575" t="s">
        <v>1280</v>
      </c>
      <c r="G4575" t="s">
        <v>3680</v>
      </c>
      <c r="H4575" t="s">
        <v>5341</v>
      </c>
      <c r="I4575" t="s">
        <v>6491</v>
      </c>
      <c r="J4575" t="s">
        <v>7169</v>
      </c>
      <c r="K4575">
        <v>10040</v>
      </c>
      <c r="N4575" t="s">
        <v>7237</v>
      </c>
      <c r="O4575" t="s">
        <v>10110</v>
      </c>
      <c r="P4575">
        <v>2</v>
      </c>
      <c r="Q4575">
        <v>0</v>
      </c>
      <c r="R4575">
        <v>205.35</v>
      </c>
      <c r="U4575">
        <v>33800</v>
      </c>
      <c r="W4575">
        <v>0</v>
      </c>
      <c r="Y4575" t="s">
        <v>127</v>
      </c>
      <c r="AA4575" t="s">
        <v>10974</v>
      </c>
      <c r="AB4575" t="s">
        <v>595</v>
      </c>
      <c r="AD4575" t="s">
        <v>11098</v>
      </c>
      <c r="AF4575" t="s">
        <v>11122</v>
      </c>
      <c r="AH4575" t="s">
        <v>10974</v>
      </c>
      <c r="AJ4575" t="s">
        <v>11129</v>
      </c>
      <c r="AK4575" t="s">
        <v>7225</v>
      </c>
      <c r="AM4575">
        <v>1269.44</v>
      </c>
      <c r="AO4575">
        <v>88</v>
      </c>
      <c r="AQ4575" t="s">
        <v>11157</v>
      </c>
      <c r="AS4575" t="s">
        <v>11173</v>
      </c>
      <c r="AU4575">
        <v>24</v>
      </c>
      <c r="AW4575" t="s">
        <v>11189</v>
      </c>
      <c r="AZ4575" t="s">
        <v>11221</v>
      </c>
      <c r="BE4575" t="s">
        <v>14226</v>
      </c>
      <c r="BF4575" t="s">
        <v>14364</v>
      </c>
      <c r="BM4575" t="s">
        <v>15650</v>
      </c>
    </row>
    <row r="4576" spans="1:65">
      <c r="A4576" s="1">
        <f>HYPERLINK("https://lsnyc.legalserver.org/matter/dynamic-profile/view/0824155","17-0824155")</f>
        <v>0</v>
      </c>
      <c r="B4576" t="s">
        <v>238</v>
      </c>
      <c r="C4576" t="s">
        <v>245</v>
      </c>
      <c r="D4576" t="s">
        <v>463</v>
      </c>
      <c r="F4576" t="s">
        <v>2144</v>
      </c>
      <c r="G4576" t="s">
        <v>4687</v>
      </c>
      <c r="H4576" t="s">
        <v>5341</v>
      </c>
      <c r="I4576" t="s">
        <v>6423</v>
      </c>
      <c r="J4576" t="s">
        <v>7169</v>
      </c>
      <c r="K4576">
        <v>10040</v>
      </c>
      <c r="N4576" t="s">
        <v>7237</v>
      </c>
      <c r="O4576" t="s">
        <v>10144</v>
      </c>
      <c r="P4576">
        <v>2</v>
      </c>
      <c r="Q4576">
        <v>0</v>
      </c>
      <c r="R4576">
        <v>655.4299999999999</v>
      </c>
      <c r="S4576" t="s">
        <v>481</v>
      </c>
      <c r="U4576">
        <v>105000</v>
      </c>
      <c r="W4576">
        <v>0</v>
      </c>
      <c r="X4576" t="s">
        <v>10811</v>
      </c>
      <c r="Y4576" t="s">
        <v>10859</v>
      </c>
      <c r="AA4576" t="s">
        <v>10974</v>
      </c>
      <c r="AB4576" t="s">
        <v>998</v>
      </c>
      <c r="AD4576" t="s">
        <v>11101</v>
      </c>
      <c r="AF4576" t="s">
        <v>11118</v>
      </c>
      <c r="AH4576" t="s">
        <v>10974</v>
      </c>
      <c r="AJ4576" t="s">
        <v>11134</v>
      </c>
      <c r="AK4576" t="s">
        <v>7225</v>
      </c>
      <c r="AM4576">
        <v>1250</v>
      </c>
      <c r="AO4576">
        <v>83</v>
      </c>
      <c r="AQ4576" t="s">
        <v>11157</v>
      </c>
      <c r="AS4576" t="s">
        <v>11173</v>
      </c>
      <c r="AU4576">
        <v>3</v>
      </c>
      <c r="AW4576" t="s">
        <v>11187</v>
      </c>
      <c r="AZ4576" t="s">
        <v>11221</v>
      </c>
      <c r="BE4576" t="s">
        <v>14259</v>
      </c>
      <c r="BF4576" t="s">
        <v>14364</v>
      </c>
      <c r="BG4576" t="s">
        <v>15521</v>
      </c>
      <c r="BM4576" t="s">
        <v>15650</v>
      </c>
    </row>
    <row r="4577" spans="1:65">
      <c r="A4577" s="1">
        <f>HYPERLINK("https://lsnyc.legalserver.org/matter/dynamic-profile/view/1909432","19-1909432")</f>
        <v>0</v>
      </c>
      <c r="B4577" t="s">
        <v>238</v>
      </c>
      <c r="C4577" t="s">
        <v>245</v>
      </c>
      <c r="D4577" t="s">
        <v>270</v>
      </c>
      <c r="F4577" t="s">
        <v>2817</v>
      </c>
      <c r="G4577" t="s">
        <v>4688</v>
      </c>
      <c r="H4577" t="s">
        <v>5632</v>
      </c>
      <c r="I4577" t="s">
        <v>6495</v>
      </c>
      <c r="J4577" t="s">
        <v>7169</v>
      </c>
      <c r="K4577">
        <v>10040</v>
      </c>
      <c r="N4577" t="s">
        <v>7237</v>
      </c>
      <c r="O4577" t="s">
        <v>10145</v>
      </c>
      <c r="P4577">
        <v>1</v>
      </c>
      <c r="Q4577">
        <v>0</v>
      </c>
      <c r="R4577">
        <v>205.6</v>
      </c>
      <c r="S4577" t="s">
        <v>271</v>
      </c>
      <c r="T4577" t="s">
        <v>10276</v>
      </c>
      <c r="U4577">
        <v>25680</v>
      </c>
      <c r="W4577">
        <v>0.1</v>
      </c>
      <c r="X4577" t="s">
        <v>434</v>
      </c>
      <c r="Y4577" t="s">
        <v>127</v>
      </c>
      <c r="AA4577" t="s">
        <v>10974</v>
      </c>
      <c r="AB4577" t="s">
        <v>11080</v>
      </c>
      <c r="AD4577" t="s">
        <v>11101</v>
      </c>
      <c r="AF4577" t="s">
        <v>11118</v>
      </c>
      <c r="AH4577" t="s">
        <v>10974</v>
      </c>
      <c r="AJ4577" t="s">
        <v>11130</v>
      </c>
      <c r="AK4577" t="s">
        <v>7225</v>
      </c>
      <c r="AM4577">
        <v>1200</v>
      </c>
      <c r="AO4577">
        <v>77</v>
      </c>
      <c r="AQ4577" t="s">
        <v>11156</v>
      </c>
      <c r="AS4577" t="s">
        <v>11173</v>
      </c>
      <c r="AU4577">
        <v>8</v>
      </c>
      <c r="AW4577" t="s">
        <v>11187</v>
      </c>
      <c r="BA4577" t="s">
        <v>11222</v>
      </c>
      <c r="BE4577" t="s">
        <v>14260</v>
      </c>
      <c r="BF4577" t="s">
        <v>14364</v>
      </c>
      <c r="BM4577" t="s">
        <v>15650</v>
      </c>
    </row>
    <row r="4578" spans="1:65">
      <c r="A4578" s="1">
        <f>HYPERLINK("https://lsnyc.legalserver.org/matter/dynamic-profile/view/0828022","17-0828022")</f>
        <v>0</v>
      </c>
      <c r="B4578" t="s">
        <v>238</v>
      </c>
      <c r="C4578" t="s">
        <v>245</v>
      </c>
      <c r="D4578" t="s">
        <v>992</v>
      </c>
      <c r="F4578" t="s">
        <v>2818</v>
      </c>
      <c r="G4578" t="s">
        <v>3004</v>
      </c>
      <c r="H4578" t="s">
        <v>6323</v>
      </c>
      <c r="I4578" t="s">
        <v>6405</v>
      </c>
      <c r="J4578" t="s">
        <v>7169</v>
      </c>
      <c r="K4578">
        <v>10034</v>
      </c>
      <c r="N4578" t="s">
        <v>7237</v>
      </c>
      <c r="O4578" t="s">
        <v>8740</v>
      </c>
      <c r="P4578">
        <v>1</v>
      </c>
      <c r="Q4578">
        <v>0</v>
      </c>
      <c r="R4578">
        <v>75.22</v>
      </c>
      <c r="U4578">
        <v>9072</v>
      </c>
      <c r="W4578">
        <v>1</v>
      </c>
      <c r="X4578" t="s">
        <v>405</v>
      </c>
      <c r="Y4578" t="s">
        <v>10859</v>
      </c>
      <c r="Z4578" t="s">
        <v>10973</v>
      </c>
      <c r="AA4578" t="s">
        <v>10975</v>
      </c>
      <c r="AB4578" t="s">
        <v>513</v>
      </c>
      <c r="AD4578" t="s">
        <v>11101</v>
      </c>
      <c r="AF4578" t="s">
        <v>11118</v>
      </c>
      <c r="AH4578" t="s">
        <v>10974</v>
      </c>
      <c r="AJ4578" t="s">
        <v>11134</v>
      </c>
      <c r="AK4578" t="s">
        <v>7225</v>
      </c>
      <c r="AM4578">
        <v>1529</v>
      </c>
      <c r="AO4578">
        <v>25</v>
      </c>
      <c r="AQ4578" t="s">
        <v>11157</v>
      </c>
      <c r="AS4578" t="s">
        <v>11174</v>
      </c>
      <c r="AU4578">
        <v>28</v>
      </c>
      <c r="AW4578" t="s">
        <v>11189</v>
      </c>
      <c r="AZ4578" t="s">
        <v>11221</v>
      </c>
      <c r="BE4578" t="s">
        <v>14261</v>
      </c>
      <c r="BF4578" t="s">
        <v>14364</v>
      </c>
      <c r="BM4578" t="s">
        <v>15650</v>
      </c>
    </row>
    <row r="4579" spans="1:65">
      <c r="A4579" s="1">
        <f>HYPERLINK("https://lsnyc.legalserver.org/matter/dynamic-profile/view/0809813","16-0809813")</f>
        <v>0</v>
      </c>
      <c r="B4579" t="s">
        <v>239</v>
      </c>
      <c r="C4579" t="s">
        <v>248</v>
      </c>
      <c r="D4579" t="s">
        <v>841</v>
      </c>
      <c r="F4579" t="s">
        <v>2819</v>
      </c>
      <c r="G4579" t="s">
        <v>4057</v>
      </c>
      <c r="H4579" t="s">
        <v>6338</v>
      </c>
      <c r="I4579" t="s">
        <v>7147</v>
      </c>
      <c r="J4579" t="s">
        <v>7174</v>
      </c>
      <c r="K4579">
        <v>11217</v>
      </c>
      <c r="M4579" t="s">
        <v>7226</v>
      </c>
      <c r="N4579" t="s">
        <v>7237</v>
      </c>
      <c r="O4579" t="s">
        <v>10146</v>
      </c>
      <c r="P4579">
        <v>1</v>
      </c>
      <c r="Q4579">
        <v>0</v>
      </c>
      <c r="R4579">
        <v>269.36</v>
      </c>
      <c r="S4579" t="s">
        <v>10255</v>
      </c>
      <c r="U4579">
        <v>32000</v>
      </c>
      <c r="W4579">
        <v>75.2</v>
      </c>
      <c r="X4579" t="s">
        <v>725</v>
      </c>
      <c r="Y4579" t="s">
        <v>10909</v>
      </c>
      <c r="AA4579" t="s">
        <v>10974</v>
      </c>
      <c r="AB4579" t="s">
        <v>10990</v>
      </c>
      <c r="AD4579" t="s">
        <v>11083</v>
      </c>
      <c r="AF4579" t="s">
        <v>11118</v>
      </c>
      <c r="AH4579" t="s">
        <v>10974</v>
      </c>
      <c r="AJ4579" t="s">
        <v>11132</v>
      </c>
      <c r="AK4579" t="s">
        <v>7225</v>
      </c>
      <c r="AM4579">
        <v>300</v>
      </c>
      <c r="AO4579">
        <v>6</v>
      </c>
      <c r="AQ4579" t="s">
        <v>11157</v>
      </c>
      <c r="AS4579" t="s">
        <v>11173</v>
      </c>
      <c r="AU4579">
        <v>4</v>
      </c>
      <c r="AW4579" t="s">
        <v>11187</v>
      </c>
      <c r="AZ4579" t="s">
        <v>11221</v>
      </c>
      <c r="BE4579" t="s">
        <v>14262</v>
      </c>
      <c r="BG4579" t="s">
        <v>15527</v>
      </c>
      <c r="BM4579" t="s">
        <v>15650</v>
      </c>
    </row>
    <row r="4580" spans="1:65">
      <c r="A4580" s="1">
        <f>HYPERLINK("https://lsnyc.legalserver.org/matter/dynamic-profile/view/0810502","16-0810502")</f>
        <v>0</v>
      </c>
      <c r="B4580" t="s">
        <v>239</v>
      </c>
      <c r="C4580" t="s">
        <v>248</v>
      </c>
      <c r="D4580" t="s">
        <v>1070</v>
      </c>
      <c r="F4580" t="s">
        <v>2820</v>
      </c>
      <c r="G4580" t="s">
        <v>4689</v>
      </c>
      <c r="H4580" t="s">
        <v>6338</v>
      </c>
      <c r="J4580" t="s">
        <v>7174</v>
      </c>
      <c r="K4580">
        <v>11217</v>
      </c>
      <c r="M4580" t="s">
        <v>7226</v>
      </c>
      <c r="N4580" t="s">
        <v>7237</v>
      </c>
      <c r="O4580" t="s">
        <v>8597</v>
      </c>
      <c r="P4580">
        <v>1</v>
      </c>
      <c r="Q4580">
        <v>0</v>
      </c>
      <c r="R4580">
        <v>311.45</v>
      </c>
      <c r="U4580">
        <v>37000</v>
      </c>
      <c r="W4580">
        <v>237.3</v>
      </c>
      <c r="X4580" t="s">
        <v>497</v>
      </c>
      <c r="Y4580" t="s">
        <v>10909</v>
      </c>
      <c r="AA4580" t="s">
        <v>10974</v>
      </c>
      <c r="AD4580" t="s">
        <v>11083</v>
      </c>
      <c r="AF4580" t="s">
        <v>11118</v>
      </c>
      <c r="AG4580" t="s">
        <v>11124</v>
      </c>
      <c r="AJ4580" t="s">
        <v>11141</v>
      </c>
      <c r="AK4580" t="s">
        <v>7225</v>
      </c>
      <c r="AM4580">
        <v>270</v>
      </c>
      <c r="AO4580">
        <v>6</v>
      </c>
      <c r="AQ4580" t="s">
        <v>11157</v>
      </c>
      <c r="AS4580" t="s">
        <v>11173</v>
      </c>
      <c r="AU4580">
        <v>6</v>
      </c>
      <c r="AW4580" t="s">
        <v>11187</v>
      </c>
      <c r="AX4580" t="s">
        <v>11212</v>
      </c>
      <c r="AZ4580" t="s">
        <v>11221</v>
      </c>
      <c r="BD4580" t="s">
        <v>11667</v>
      </c>
      <c r="BG4580" t="s">
        <v>15528</v>
      </c>
      <c r="BM4580" t="s">
        <v>15650</v>
      </c>
    </row>
    <row r="4581" spans="1:65">
      <c r="A4581" s="1">
        <f>HYPERLINK("https://lsnyc.legalserver.org/matter/dynamic-profile/view/1879561","18-1879561")</f>
        <v>0</v>
      </c>
      <c r="B4581" t="s">
        <v>240</v>
      </c>
      <c r="C4581" t="s">
        <v>248</v>
      </c>
      <c r="D4581" t="s">
        <v>600</v>
      </c>
      <c r="F4581" t="s">
        <v>1266</v>
      </c>
      <c r="G4581" t="s">
        <v>4690</v>
      </c>
      <c r="H4581" t="s">
        <v>6339</v>
      </c>
      <c r="I4581" t="s">
        <v>7148</v>
      </c>
      <c r="J4581" t="s">
        <v>7174</v>
      </c>
      <c r="K4581">
        <v>11226</v>
      </c>
      <c r="M4581" t="s">
        <v>7227</v>
      </c>
      <c r="N4581" t="s">
        <v>7237</v>
      </c>
      <c r="O4581" t="s">
        <v>10147</v>
      </c>
      <c r="P4581">
        <v>2</v>
      </c>
      <c r="Q4581">
        <v>0</v>
      </c>
      <c r="R4581">
        <v>292.22</v>
      </c>
      <c r="U4581">
        <v>48100</v>
      </c>
      <c r="V4581" t="s">
        <v>10795</v>
      </c>
      <c r="W4581">
        <v>0</v>
      </c>
      <c r="Y4581" t="s">
        <v>10912</v>
      </c>
      <c r="AA4581" t="s">
        <v>10974</v>
      </c>
      <c r="AB4581" t="s">
        <v>959</v>
      </c>
      <c r="AD4581" t="s">
        <v>11101</v>
      </c>
      <c r="AF4581" t="s">
        <v>11118</v>
      </c>
      <c r="AH4581" t="s">
        <v>10974</v>
      </c>
      <c r="AJ4581" t="s">
        <v>11129</v>
      </c>
      <c r="AK4581" t="s">
        <v>7225</v>
      </c>
      <c r="AM4581">
        <v>1632</v>
      </c>
      <c r="AO4581">
        <v>6</v>
      </c>
      <c r="AQ4581" t="s">
        <v>11157</v>
      </c>
      <c r="AR4581" t="s">
        <v>11172</v>
      </c>
      <c r="AU4581">
        <v>2</v>
      </c>
      <c r="AW4581" t="s">
        <v>11187</v>
      </c>
      <c r="AZ4581" t="s">
        <v>11221</v>
      </c>
      <c r="BE4581" t="s">
        <v>14263</v>
      </c>
      <c r="BG4581" t="s">
        <v>15529</v>
      </c>
      <c r="BM4581" t="s">
        <v>15650</v>
      </c>
    </row>
    <row r="4582" spans="1:65">
      <c r="A4582" s="1">
        <f>HYPERLINK("https://lsnyc.legalserver.org/matter/dynamic-profile/view/1863481","18-1863481")</f>
        <v>0</v>
      </c>
      <c r="B4582" t="s">
        <v>240</v>
      </c>
      <c r="C4582" t="s">
        <v>248</v>
      </c>
      <c r="D4582" t="s">
        <v>952</v>
      </c>
      <c r="F4582" t="s">
        <v>2821</v>
      </c>
      <c r="G4582" t="s">
        <v>4465</v>
      </c>
      <c r="H4582" t="s">
        <v>6340</v>
      </c>
      <c r="I4582" t="s">
        <v>6666</v>
      </c>
      <c r="J4582" t="s">
        <v>7174</v>
      </c>
      <c r="K4582">
        <v>11226</v>
      </c>
      <c r="M4582" t="s">
        <v>7227</v>
      </c>
      <c r="N4582" t="s">
        <v>7237</v>
      </c>
      <c r="O4582" t="s">
        <v>10148</v>
      </c>
      <c r="P4582">
        <v>2</v>
      </c>
      <c r="Q4582">
        <v>2</v>
      </c>
      <c r="R4582">
        <v>0</v>
      </c>
      <c r="U4582">
        <v>0</v>
      </c>
      <c r="V4582" t="s">
        <v>10796</v>
      </c>
      <c r="W4582">
        <v>2.05</v>
      </c>
      <c r="X4582" t="s">
        <v>559</v>
      </c>
      <c r="Y4582" t="s">
        <v>10909</v>
      </c>
      <c r="AA4582" t="s">
        <v>10974</v>
      </c>
      <c r="AB4582" t="s">
        <v>473</v>
      </c>
      <c r="AD4582" t="s">
        <v>11090</v>
      </c>
      <c r="AF4582" t="s">
        <v>11120</v>
      </c>
      <c r="AH4582" t="s">
        <v>10974</v>
      </c>
      <c r="AJ4582" t="s">
        <v>11129</v>
      </c>
      <c r="AK4582" t="s">
        <v>7225</v>
      </c>
      <c r="AL4582" t="s">
        <v>11150</v>
      </c>
      <c r="AM4582">
        <v>0</v>
      </c>
      <c r="AO4582">
        <v>65</v>
      </c>
      <c r="AP4582" t="s">
        <v>11155</v>
      </c>
      <c r="AR4582" t="s">
        <v>11172</v>
      </c>
      <c r="AT4582" t="s">
        <v>11184</v>
      </c>
      <c r="AU4582">
        <v>0</v>
      </c>
      <c r="AW4582" t="s">
        <v>11187</v>
      </c>
      <c r="AZ4582" t="s">
        <v>11221</v>
      </c>
      <c r="BD4582" t="s">
        <v>11667</v>
      </c>
      <c r="BF4582" t="s">
        <v>14364</v>
      </c>
      <c r="BM4582" t="s">
        <v>15650</v>
      </c>
    </row>
    <row r="4583" spans="1:65">
      <c r="A4583" s="1">
        <f>HYPERLINK("https://lsnyc.legalserver.org/matter/dynamic-profile/view/1860383","18-1860383")</f>
        <v>0</v>
      </c>
      <c r="B4583" t="s">
        <v>240</v>
      </c>
      <c r="C4583" t="s">
        <v>248</v>
      </c>
      <c r="D4583" t="s">
        <v>871</v>
      </c>
      <c r="F4583" t="s">
        <v>2333</v>
      </c>
      <c r="G4583" t="s">
        <v>4691</v>
      </c>
      <c r="H4583" t="s">
        <v>6341</v>
      </c>
      <c r="I4583" t="s">
        <v>6971</v>
      </c>
      <c r="J4583" t="s">
        <v>7174</v>
      </c>
      <c r="K4583">
        <v>11225</v>
      </c>
      <c r="M4583" t="s">
        <v>7227</v>
      </c>
      <c r="N4583" t="s">
        <v>7237</v>
      </c>
      <c r="O4583" t="s">
        <v>10149</v>
      </c>
      <c r="P4583">
        <v>1</v>
      </c>
      <c r="Q4583">
        <v>0</v>
      </c>
      <c r="R4583">
        <v>0</v>
      </c>
      <c r="U4583">
        <v>0</v>
      </c>
      <c r="W4583">
        <v>0.82</v>
      </c>
      <c r="X4583" t="s">
        <v>419</v>
      </c>
      <c r="Y4583" t="s">
        <v>10909</v>
      </c>
      <c r="AA4583" t="s">
        <v>10974</v>
      </c>
      <c r="AB4583" t="s">
        <v>10987</v>
      </c>
      <c r="AD4583" t="s">
        <v>11101</v>
      </c>
      <c r="AF4583" t="s">
        <v>11118</v>
      </c>
      <c r="AH4583" t="s">
        <v>10974</v>
      </c>
      <c r="AJ4583" t="s">
        <v>11141</v>
      </c>
      <c r="AK4583" t="s">
        <v>7225</v>
      </c>
      <c r="AM4583">
        <v>1262.69</v>
      </c>
      <c r="AO4583">
        <v>50</v>
      </c>
      <c r="AQ4583" t="s">
        <v>11157</v>
      </c>
      <c r="AS4583" t="s">
        <v>11173</v>
      </c>
      <c r="AU4583">
        <v>18</v>
      </c>
      <c r="AW4583" t="s">
        <v>11211</v>
      </c>
      <c r="BA4583" t="s">
        <v>11222</v>
      </c>
      <c r="BD4583" t="s">
        <v>11667</v>
      </c>
      <c r="BF4583" t="s">
        <v>14364</v>
      </c>
      <c r="BM4583" t="s">
        <v>15650</v>
      </c>
    </row>
    <row r="4584" spans="1:65">
      <c r="A4584" s="1">
        <f>HYPERLINK("https://lsnyc.legalserver.org/matter/dynamic-profile/view/1903821","19-1903821")</f>
        <v>0</v>
      </c>
      <c r="B4584" t="s">
        <v>240</v>
      </c>
      <c r="C4584" t="s">
        <v>248</v>
      </c>
      <c r="D4584" t="s">
        <v>260</v>
      </c>
      <c r="F4584" t="s">
        <v>2822</v>
      </c>
      <c r="G4584" t="s">
        <v>3947</v>
      </c>
      <c r="H4584" t="s">
        <v>6342</v>
      </c>
      <c r="I4584" t="s">
        <v>6628</v>
      </c>
      <c r="J4584" t="s">
        <v>7174</v>
      </c>
      <c r="K4584">
        <v>11220</v>
      </c>
      <c r="M4584" t="s">
        <v>7227</v>
      </c>
      <c r="N4584" t="s">
        <v>7237</v>
      </c>
      <c r="O4584" t="s">
        <v>10150</v>
      </c>
      <c r="P4584">
        <v>1</v>
      </c>
      <c r="Q4584">
        <v>0</v>
      </c>
      <c r="R4584">
        <v>240.19</v>
      </c>
      <c r="U4584">
        <v>30000</v>
      </c>
      <c r="W4584">
        <v>0.3</v>
      </c>
      <c r="X4584" t="s">
        <v>260</v>
      </c>
      <c r="Y4584" t="s">
        <v>212</v>
      </c>
      <c r="AA4584" t="s">
        <v>10974</v>
      </c>
      <c r="AB4584" t="s">
        <v>659</v>
      </c>
      <c r="AD4584" t="s">
        <v>11101</v>
      </c>
      <c r="AF4584" t="s">
        <v>11118</v>
      </c>
      <c r="AH4584" t="s">
        <v>10974</v>
      </c>
      <c r="AI4584" t="s">
        <v>11126</v>
      </c>
      <c r="AK4584" t="s">
        <v>7225</v>
      </c>
      <c r="AL4584" t="s">
        <v>11150</v>
      </c>
      <c r="AM4584">
        <v>0</v>
      </c>
      <c r="AN4584" t="s">
        <v>11151</v>
      </c>
      <c r="AO4584" t="s">
        <v>11153</v>
      </c>
      <c r="AP4584" t="s">
        <v>11155</v>
      </c>
      <c r="AR4584" t="s">
        <v>11172</v>
      </c>
      <c r="AT4584" t="s">
        <v>11184</v>
      </c>
      <c r="AU4584">
        <v>0</v>
      </c>
      <c r="AW4584" t="s">
        <v>11187</v>
      </c>
      <c r="BA4584" t="s">
        <v>11222</v>
      </c>
      <c r="BE4584" t="s">
        <v>14264</v>
      </c>
      <c r="BF4584" t="s">
        <v>14364</v>
      </c>
      <c r="BM4584" t="s">
        <v>15650</v>
      </c>
    </row>
    <row r="4585" spans="1:65">
      <c r="A4585" s="1">
        <f>HYPERLINK("https://lsnyc.legalserver.org/matter/dynamic-profile/view/1903818","19-1903818")</f>
        <v>0</v>
      </c>
      <c r="B4585" t="s">
        <v>240</v>
      </c>
      <c r="C4585" t="s">
        <v>248</v>
      </c>
      <c r="D4585" t="s">
        <v>260</v>
      </c>
      <c r="F4585" t="s">
        <v>2823</v>
      </c>
      <c r="G4585" t="s">
        <v>4692</v>
      </c>
      <c r="H4585" t="s">
        <v>6342</v>
      </c>
      <c r="I4585" t="s">
        <v>6449</v>
      </c>
      <c r="J4585" t="s">
        <v>7174</v>
      </c>
      <c r="K4585">
        <v>11220</v>
      </c>
      <c r="M4585" t="s">
        <v>7227</v>
      </c>
      <c r="N4585" t="s">
        <v>7237</v>
      </c>
      <c r="O4585" t="s">
        <v>10151</v>
      </c>
      <c r="P4585">
        <v>3</v>
      </c>
      <c r="Q4585">
        <v>0</v>
      </c>
      <c r="R4585">
        <v>625.9299999999999</v>
      </c>
      <c r="T4585" t="s">
        <v>10276</v>
      </c>
      <c r="U4585">
        <v>133510</v>
      </c>
      <c r="W4585">
        <v>1.8</v>
      </c>
      <c r="X4585" t="s">
        <v>272</v>
      </c>
      <c r="Y4585" t="s">
        <v>212</v>
      </c>
      <c r="AA4585" t="s">
        <v>10974</v>
      </c>
      <c r="AB4585" t="s">
        <v>659</v>
      </c>
      <c r="AD4585" t="s">
        <v>11101</v>
      </c>
      <c r="AF4585" t="s">
        <v>11118</v>
      </c>
      <c r="AH4585" t="s">
        <v>10974</v>
      </c>
      <c r="AI4585" t="s">
        <v>11126</v>
      </c>
      <c r="AK4585" t="s">
        <v>7225</v>
      </c>
      <c r="AL4585" t="s">
        <v>11150</v>
      </c>
      <c r="AM4585">
        <v>0</v>
      </c>
      <c r="AN4585" t="s">
        <v>11151</v>
      </c>
      <c r="AO4585" t="s">
        <v>11153</v>
      </c>
      <c r="AP4585" t="s">
        <v>11155</v>
      </c>
      <c r="AR4585" t="s">
        <v>11172</v>
      </c>
      <c r="AT4585" t="s">
        <v>11184</v>
      </c>
      <c r="AU4585">
        <v>0</v>
      </c>
      <c r="AW4585" t="s">
        <v>11187</v>
      </c>
      <c r="BA4585" t="s">
        <v>11222</v>
      </c>
      <c r="BE4585" t="s">
        <v>14265</v>
      </c>
      <c r="BF4585" t="s">
        <v>14364</v>
      </c>
      <c r="BM4585" t="s">
        <v>15650</v>
      </c>
    </row>
    <row r="4586" spans="1:65">
      <c r="A4586" s="1">
        <f>HYPERLINK("https://lsnyc.legalserver.org/matter/dynamic-profile/view/1907507","19-1907507")</f>
        <v>0</v>
      </c>
      <c r="B4586" t="s">
        <v>240</v>
      </c>
      <c r="C4586" t="s">
        <v>248</v>
      </c>
      <c r="D4586" t="s">
        <v>362</v>
      </c>
      <c r="F4586" t="s">
        <v>2824</v>
      </c>
      <c r="G4586" t="s">
        <v>4693</v>
      </c>
      <c r="H4586" t="s">
        <v>6341</v>
      </c>
      <c r="I4586" t="s">
        <v>6745</v>
      </c>
      <c r="J4586" t="s">
        <v>7174</v>
      </c>
      <c r="K4586">
        <v>11225</v>
      </c>
      <c r="N4586" t="s">
        <v>7237</v>
      </c>
      <c r="O4586" t="s">
        <v>10152</v>
      </c>
      <c r="P4586">
        <v>1</v>
      </c>
      <c r="Q4586">
        <v>0</v>
      </c>
      <c r="R4586">
        <v>1136.91</v>
      </c>
      <c r="U4586">
        <v>142000</v>
      </c>
      <c r="W4586">
        <v>0</v>
      </c>
      <c r="Y4586" t="s">
        <v>81</v>
      </c>
      <c r="AA4586" t="s">
        <v>10974</v>
      </c>
      <c r="AB4586" t="s">
        <v>362</v>
      </c>
      <c r="AD4586" t="s">
        <v>11100</v>
      </c>
      <c r="AF4586" t="s">
        <v>11120</v>
      </c>
      <c r="AH4586" t="s">
        <v>10974</v>
      </c>
      <c r="AI4586" t="s">
        <v>11126</v>
      </c>
      <c r="AK4586" t="s">
        <v>7225</v>
      </c>
      <c r="AL4586" t="s">
        <v>11150</v>
      </c>
      <c r="AM4586">
        <v>0</v>
      </c>
      <c r="AO4586">
        <v>46</v>
      </c>
      <c r="AP4586" t="s">
        <v>11155</v>
      </c>
      <c r="AR4586" t="s">
        <v>11172</v>
      </c>
      <c r="AT4586" t="s">
        <v>11184</v>
      </c>
      <c r="AU4586">
        <v>0</v>
      </c>
      <c r="AW4586" t="s">
        <v>11187</v>
      </c>
      <c r="BA4586" t="s">
        <v>11222</v>
      </c>
      <c r="BE4586" t="s">
        <v>14266</v>
      </c>
      <c r="BF4586" t="s">
        <v>14364</v>
      </c>
      <c r="BM4586" t="s">
        <v>15650</v>
      </c>
    </row>
    <row r="4587" spans="1:65">
      <c r="A4587" s="1">
        <f>HYPERLINK("https://lsnyc.legalserver.org/matter/dynamic-profile/view/1863360","18-1863360")</f>
        <v>0</v>
      </c>
      <c r="B4587" t="s">
        <v>240</v>
      </c>
      <c r="C4587" t="s">
        <v>248</v>
      </c>
      <c r="D4587" t="s">
        <v>687</v>
      </c>
      <c r="F4587" t="s">
        <v>2824</v>
      </c>
      <c r="G4587" t="s">
        <v>4693</v>
      </c>
      <c r="H4587" t="s">
        <v>6341</v>
      </c>
      <c r="I4587" t="s">
        <v>6745</v>
      </c>
      <c r="J4587" t="s">
        <v>7174</v>
      </c>
      <c r="K4587">
        <v>11225</v>
      </c>
      <c r="M4587" t="s">
        <v>7227</v>
      </c>
      <c r="N4587" t="s">
        <v>7237</v>
      </c>
      <c r="O4587" t="s">
        <v>10152</v>
      </c>
      <c r="P4587">
        <v>1</v>
      </c>
      <c r="Q4587">
        <v>0</v>
      </c>
      <c r="R4587">
        <v>1169.69</v>
      </c>
      <c r="U4587">
        <v>142000</v>
      </c>
      <c r="W4587">
        <v>1</v>
      </c>
      <c r="X4587" t="s">
        <v>1059</v>
      </c>
      <c r="Y4587" t="s">
        <v>10909</v>
      </c>
      <c r="AA4587" t="s">
        <v>10974</v>
      </c>
      <c r="AB4587" t="s">
        <v>10987</v>
      </c>
      <c r="AD4587" t="s">
        <v>11101</v>
      </c>
      <c r="AF4587" t="s">
        <v>11118</v>
      </c>
      <c r="AH4587" t="s">
        <v>10974</v>
      </c>
      <c r="AJ4587" t="s">
        <v>11141</v>
      </c>
      <c r="AK4587" t="s">
        <v>7225</v>
      </c>
      <c r="AM4587">
        <v>1327</v>
      </c>
      <c r="AO4587">
        <v>61</v>
      </c>
      <c r="AQ4587" t="s">
        <v>11157</v>
      </c>
      <c r="AS4587" t="s">
        <v>11173</v>
      </c>
      <c r="AU4587">
        <v>6</v>
      </c>
      <c r="AW4587" t="s">
        <v>11187</v>
      </c>
      <c r="BA4587" t="s">
        <v>11222</v>
      </c>
      <c r="BE4587" t="s">
        <v>14266</v>
      </c>
      <c r="BF4587" t="s">
        <v>14364</v>
      </c>
      <c r="BM4587" t="s">
        <v>15650</v>
      </c>
    </row>
    <row r="4588" spans="1:65">
      <c r="A4588" s="1">
        <f>HYPERLINK("https://lsnyc.legalserver.org/matter/dynamic-profile/view/1870234","18-1870234")</f>
        <v>0</v>
      </c>
      <c r="B4588" t="s">
        <v>240</v>
      </c>
      <c r="C4588" t="s">
        <v>248</v>
      </c>
      <c r="D4588" t="s">
        <v>953</v>
      </c>
      <c r="F4588" t="s">
        <v>1137</v>
      </c>
      <c r="G4588" t="s">
        <v>4694</v>
      </c>
      <c r="H4588" t="s">
        <v>6341</v>
      </c>
      <c r="I4588" t="s">
        <v>7149</v>
      </c>
      <c r="J4588" t="s">
        <v>7174</v>
      </c>
      <c r="K4588">
        <v>11225</v>
      </c>
      <c r="M4588" t="s">
        <v>7227</v>
      </c>
      <c r="N4588" t="s">
        <v>7237</v>
      </c>
      <c r="O4588" t="s">
        <v>8037</v>
      </c>
      <c r="P4588">
        <v>3</v>
      </c>
      <c r="Q4588">
        <v>2</v>
      </c>
      <c r="R4588">
        <v>0</v>
      </c>
      <c r="U4588">
        <v>0</v>
      </c>
      <c r="W4588">
        <v>1.1</v>
      </c>
      <c r="X4588" t="s">
        <v>946</v>
      </c>
      <c r="Y4588" t="s">
        <v>10909</v>
      </c>
      <c r="AA4588" t="s">
        <v>10974</v>
      </c>
      <c r="AB4588" t="s">
        <v>730</v>
      </c>
      <c r="AD4588" t="s">
        <v>11101</v>
      </c>
      <c r="AF4588" t="s">
        <v>11118</v>
      </c>
      <c r="AH4588" t="s">
        <v>10974</v>
      </c>
      <c r="AJ4588" t="s">
        <v>11141</v>
      </c>
      <c r="AK4588" t="s">
        <v>7225</v>
      </c>
      <c r="AL4588" t="s">
        <v>11150</v>
      </c>
      <c r="AM4588">
        <v>0</v>
      </c>
      <c r="AO4588">
        <v>47</v>
      </c>
      <c r="AQ4588" t="s">
        <v>11157</v>
      </c>
      <c r="AR4588" t="s">
        <v>11172</v>
      </c>
      <c r="AU4588">
        <v>41</v>
      </c>
      <c r="AW4588" t="s">
        <v>11187</v>
      </c>
      <c r="AZ4588" t="s">
        <v>11221</v>
      </c>
      <c r="BD4588" t="s">
        <v>11667</v>
      </c>
      <c r="BF4588" t="s">
        <v>14364</v>
      </c>
      <c r="BM4588" t="s">
        <v>15650</v>
      </c>
    </row>
    <row r="4589" spans="1:65">
      <c r="A4589" s="1">
        <f>HYPERLINK("https://lsnyc.legalserver.org/matter/dynamic-profile/view/1903822","19-1903822")</f>
        <v>0</v>
      </c>
      <c r="B4589" t="s">
        <v>240</v>
      </c>
      <c r="C4589" t="s">
        <v>248</v>
      </c>
      <c r="D4589" t="s">
        <v>260</v>
      </c>
      <c r="F4589" t="s">
        <v>1250</v>
      </c>
      <c r="G4589" t="s">
        <v>3021</v>
      </c>
      <c r="H4589" t="s">
        <v>6342</v>
      </c>
      <c r="I4589" t="s">
        <v>6466</v>
      </c>
      <c r="J4589" t="s">
        <v>7174</v>
      </c>
      <c r="K4589">
        <v>11220</v>
      </c>
      <c r="M4589" t="s">
        <v>7227</v>
      </c>
      <c r="N4589" t="s">
        <v>7237</v>
      </c>
      <c r="O4589" t="s">
        <v>7772</v>
      </c>
      <c r="P4589">
        <v>1</v>
      </c>
      <c r="Q4589">
        <v>0</v>
      </c>
      <c r="R4589">
        <v>240.19</v>
      </c>
      <c r="U4589">
        <v>30000</v>
      </c>
      <c r="W4589">
        <v>0.3</v>
      </c>
      <c r="X4589" t="s">
        <v>260</v>
      </c>
      <c r="Y4589" t="s">
        <v>212</v>
      </c>
      <c r="AA4589" t="s">
        <v>10974</v>
      </c>
      <c r="AB4589" t="s">
        <v>659</v>
      </c>
      <c r="AD4589" t="s">
        <v>11101</v>
      </c>
      <c r="AF4589" t="s">
        <v>11118</v>
      </c>
      <c r="AH4589" t="s">
        <v>10974</v>
      </c>
      <c r="AI4589" t="s">
        <v>11126</v>
      </c>
      <c r="AK4589" t="s">
        <v>7225</v>
      </c>
      <c r="AL4589" t="s">
        <v>11150</v>
      </c>
      <c r="AM4589">
        <v>0</v>
      </c>
      <c r="AN4589" t="s">
        <v>11151</v>
      </c>
      <c r="AO4589" t="s">
        <v>11153</v>
      </c>
      <c r="AP4589" t="s">
        <v>11155</v>
      </c>
      <c r="AR4589" t="s">
        <v>11172</v>
      </c>
      <c r="AT4589" t="s">
        <v>11184</v>
      </c>
      <c r="AU4589">
        <v>0</v>
      </c>
      <c r="AW4589" t="s">
        <v>11189</v>
      </c>
      <c r="BA4589" t="s">
        <v>11222</v>
      </c>
      <c r="BD4589" t="s">
        <v>11667</v>
      </c>
      <c r="BF4589" t="s">
        <v>14364</v>
      </c>
      <c r="BM4589" t="s">
        <v>15650</v>
      </c>
    </row>
    <row r="4590" spans="1:65">
      <c r="A4590" s="1">
        <f>HYPERLINK("https://lsnyc.legalserver.org/matter/dynamic-profile/view/1862857","18-1862857")</f>
        <v>0</v>
      </c>
      <c r="B4590" t="s">
        <v>240</v>
      </c>
      <c r="C4590" t="s">
        <v>248</v>
      </c>
      <c r="D4590" t="s">
        <v>488</v>
      </c>
      <c r="F4590" t="s">
        <v>2825</v>
      </c>
      <c r="G4590" t="s">
        <v>4579</v>
      </c>
      <c r="H4590" t="s">
        <v>6341</v>
      </c>
      <c r="I4590" t="s">
        <v>6731</v>
      </c>
      <c r="J4590" t="s">
        <v>7174</v>
      </c>
      <c r="K4590">
        <v>11225</v>
      </c>
      <c r="M4590" t="s">
        <v>7227</v>
      </c>
      <c r="N4590" t="s">
        <v>7237</v>
      </c>
      <c r="O4590" t="s">
        <v>10153</v>
      </c>
      <c r="P4590">
        <v>2</v>
      </c>
      <c r="Q4590">
        <v>0</v>
      </c>
      <c r="R4590">
        <v>255.16</v>
      </c>
      <c r="U4590">
        <v>42000</v>
      </c>
      <c r="W4590">
        <v>1</v>
      </c>
      <c r="X4590" t="s">
        <v>488</v>
      </c>
      <c r="Y4590" t="s">
        <v>10909</v>
      </c>
      <c r="AA4590" t="s">
        <v>10974</v>
      </c>
      <c r="AB4590" t="s">
        <v>10987</v>
      </c>
      <c r="AD4590" t="s">
        <v>11101</v>
      </c>
      <c r="AF4590" t="s">
        <v>11118</v>
      </c>
      <c r="AH4590" t="s">
        <v>10974</v>
      </c>
      <c r="AJ4590" t="s">
        <v>11141</v>
      </c>
      <c r="AK4590" t="s">
        <v>7225</v>
      </c>
      <c r="AM4590">
        <v>1336.23</v>
      </c>
      <c r="AO4590">
        <v>47</v>
      </c>
      <c r="AQ4590" t="s">
        <v>11157</v>
      </c>
      <c r="AS4590" t="s">
        <v>11173</v>
      </c>
      <c r="AU4590">
        <v>18</v>
      </c>
      <c r="AW4590" t="s">
        <v>11187</v>
      </c>
      <c r="BA4590" t="s">
        <v>11222</v>
      </c>
      <c r="BD4590" t="s">
        <v>11667</v>
      </c>
      <c r="BF4590" t="s">
        <v>14364</v>
      </c>
      <c r="BG4590" t="s">
        <v>15530</v>
      </c>
      <c r="BM4590" t="s">
        <v>15650</v>
      </c>
    </row>
    <row r="4591" spans="1:65">
      <c r="A4591" s="1">
        <f>HYPERLINK("https://lsnyc.legalserver.org/matter/dynamic-profile/view/0770683","15-0770683")</f>
        <v>0</v>
      </c>
      <c r="B4591" t="s">
        <v>240</v>
      </c>
      <c r="C4591" t="s">
        <v>248</v>
      </c>
      <c r="D4591" t="s">
        <v>1071</v>
      </c>
      <c r="F4591" t="s">
        <v>2826</v>
      </c>
      <c r="G4591" t="s">
        <v>3236</v>
      </c>
      <c r="H4591" t="s">
        <v>6343</v>
      </c>
      <c r="I4591" t="s">
        <v>6684</v>
      </c>
      <c r="J4591" t="s">
        <v>7174</v>
      </c>
      <c r="K4591">
        <v>11213</v>
      </c>
      <c r="M4591" t="s">
        <v>7227</v>
      </c>
      <c r="N4591" t="s">
        <v>7237</v>
      </c>
      <c r="O4591" t="s">
        <v>10154</v>
      </c>
      <c r="P4591">
        <v>2</v>
      </c>
      <c r="Q4591">
        <v>0</v>
      </c>
      <c r="R4591">
        <v>257.55</v>
      </c>
      <c r="S4591" t="s">
        <v>645</v>
      </c>
      <c r="U4591">
        <v>41028</v>
      </c>
      <c r="W4591">
        <v>55.8</v>
      </c>
      <c r="X4591" t="s">
        <v>700</v>
      </c>
      <c r="Y4591" t="s">
        <v>10970</v>
      </c>
      <c r="Z4591" t="s">
        <v>10973</v>
      </c>
      <c r="AA4591" t="s">
        <v>10975</v>
      </c>
      <c r="AB4591" t="s">
        <v>10990</v>
      </c>
      <c r="AD4591" t="s">
        <v>11083</v>
      </c>
      <c r="AF4591" t="s">
        <v>11118</v>
      </c>
      <c r="AG4591" t="s">
        <v>11124</v>
      </c>
      <c r="AI4591" t="s">
        <v>11126</v>
      </c>
      <c r="AK4591" t="s">
        <v>7225</v>
      </c>
      <c r="AM4591">
        <v>962</v>
      </c>
      <c r="AO4591">
        <v>38</v>
      </c>
      <c r="AQ4591" t="s">
        <v>11157</v>
      </c>
      <c r="AR4591" t="s">
        <v>11172</v>
      </c>
      <c r="AU4591">
        <v>28</v>
      </c>
      <c r="AW4591" t="s">
        <v>11187</v>
      </c>
      <c r="AZ4591" t="s">
        <v>11221</v>
      </c>
      <c r="BE4591" t="s">
        <v>14267</v>
      </c>
      <c r="BG4591" t="s">
        <v>15531</v>
      </c>
      <c r="BM4591" t="s">
        <v>15650</v>
      </c>
    </row>
    <row r="4592" spans="1:65">
      <c r="A4592" s="1">
        <f>HYPERLINK("https://lsnyc.legalserver.org/matter/dynamic-profile/view/1862655","18-1862655")</f>
        <v>0</v>
      </c>
      <c r="B4592" t="s">
        <v>240</v>
      </c>
      <c r="C4592" t="s">
        <v>248</v>
      </c>
      <c r="D4592" t="s">
        <v>725</v>
      </c>
      <c r="F4592" t="s">
        <v>1295</v>
      </c>
      <c r="G4592" t="s">
        <v>4695</v>
      </c>
      <c r="H4592" t="s">
        <v>6344</v>
      </c>
      <c r="I4592" t="s">
        <v>6794</v>
      </c>
      <c r="J4592" t="s">
        <v>7174</v>
      </c>
      <c r="K4592">
        <v>11226</v>
      </c>
      <c r="M4592" t="s">
        <v>7227</v>
      </c>
      <c r="N4592" t="s">
        <v>7237</v>
      </c>
      <c r="O4592" t="s">
        <v>10155</v>
      </c>
      <c r="P4592">
        <v>2</v>
      </c>
      <c r="Q4592">
        <v>1</v>
      </c>
      <c r="R4592">
        <v>264.68</v>
      </c>
      <c r="S4592" t="s">
        <v>10255</v>
      </c>
      <c r="T4592" t="s">
        <v>10276</v>
      </c>
      <c r="U4592">
        <v>55000</v>
      </c>
      <c r="W4592">
        <v>0.25</v>
      </c>
      <c r="X4592" t="s">
        <v>324</v>
      </c>
      <c r="Y4592" t="s">
        <v>10909</v>
      </c>
      <c r="AA4592" t="s">
        <v>10974</v>
      </c>
      <c r="AB4592" t="s">
        <v>725</v>
      </c>
      <c r="AD4592" t="s">
        <v>11096</v>
      </c>
      <c r="AF4592" t="s">
        <v>11118</v>
      </c>
      <c r="AH4592" t="s">
        <v>10974</v>
      </c>
      <c r="AJ4592" t="s">
        <v>11141</v>
      </c>
      <c r="AK4592" t="s">
        <v>7225</v>
      </c>
      <c r="AM4592">
        <v>1539.49</v>
      </c>
      <c r="AO4592">
        <v>61</v>
      </c>
      <c r="AQ4592" t="s">
        <v>11157</v>
      </c>
      <c r="AS4592" t="s">
        <v>11173</v>
      </c>
      <c r="AU4592">
        <v>19</v>
      </c>
      <c r="AW4592" t="s">
        <v>11187</v>
      </c>
      <c r="AZ4592" t="s">
        <v>11221</v>
      </c>
      <c r="BE4592" t="s">
        <v>14268</v>
      </c>
      <c r="BG4592" t="s">
        <v>15532</v>
      </c>
      <c r="BM4592" t="s">
        <v>15650</v>
      </c>
    </row>
    <row r="4593" spans="1:65">
      <c r="A4593" s="1">
        <f>HYPERLINK("https://lsnyc.legalserver.org/matter/dynamic-profile/view/1860943","18-1860943")</f>
        <v>0</v>
      </c>
      <c r="B4593" t="s">
        <v>240</v>
      </c>
      <c r="C4593" t="s">
        <v>248</v>
      </c>
      <c r="D4593" t="s">
        <v>944</v>
      </c>
      <c r="F4593" t="s">
        <v>1295</v>
      </c>
      <c r="G4593" t="s">
        <v>4695</v>
      </c>
      <c r="H4593" t="s">
        <v>6344</v>
      </c>
      <c r="I4593" t="s">
        <v>6794</v>
      </c>
      <c r="J4593" t="s">
        <v>7174</v>
      </c>
      <c r="K4593">
        <v>11226</v>
      </c>
      <c r="M4593" t="s">
        <v>7227</v>
      </c>
      <c r="N4593" t="s">
        <v>7237</v>
      </c>
      <c r="O4593" t="s">
        <v>10155</v>
      </c>
      <c r="P4593">
        <v>2</v>
      </c>
      <c r="Q4593">
        <v>1</v>
      </c>
      <c r="R4593">
        <v>264.68</v>
      </c>
      <c r="S4593" t="s">
        <v>10255</v>
      </c>
      <c r="U4593">
        <v>55000</v>
      </c>
      <c r="W4593">
        <v>20.3</v>
      </c>
      <c r="X4593" t="s">
        <v>10805</v>
      </c>
      <c r="Y4593" t="s">
        <v>10909</v>
      </c>
      <c r="AA4593" t="s">
        <v>10974</v>
      </c>
      <c r="AB4593" t="s">
        <v>11046</v>
      </c>
      <c r="AD4593" t="s">
        <v>11084</v>
      </c>
      <c r="AF4593" t="s">
        <v>11118</v>
      </c>
      <c r="AH4593" t="s">
        <v>10974</v>
      </c>
      <c r="AJ4593" t="s">
        <v>11141</v>
      </c>
      <c r="AK4593" t="s">
        <v>7225</v>
      </c>
      <c r="AM4593">
        <v>1539.49</v>
      </c>
      <c r="AO4593">
        <v>61</v>
      </c>
      <c r="AQ4593" t="s">
        <v>11157</v>
      </c>
      <c r="AS4593" t="s">
        <v>11173</v>
      </c>
      <c r="AU4593">
        <v>19</v>
      </c>
      <c r="AW4593" t="s">
        <v>11187</v>
      </c>
      <c r="AZ4593" t="s">
        <v>11221</v>
      </c>
      <c r="BE4593" t="s">
        <v>14268</v>
      </c>
      <c r="BF4593" t="s">
        <v>14364</v>
      </c>
      <c r="BG4593" t="s">
        <v>15533</v>
      </c>
      <c r="BM4593" t="s">
        <v>15650</v>
      </c>
    </row>
    <row r="4594" spans="1:65">
      <c r="A4594" s="1">
        <f>HYPERLINK("https://lsnyc.legalserver.org/matter/dynamic-profile/view/0770683","15-0770683")</f>
        <v>0</v>
      </c>
      <c r="B4594" t="s">
        <v>240</v>
      </c>
      <c r="C4594" t="s">
        <v>248</v>
      </c>
      <c r="D4594" t="s">
        <v>1071</v>
      </c>
      <c r="F4594" t="s">
        <v>2826</v>
      </c>
      <c r="G4594" t="s">
        <v>3236</v>
      </c>
      <c r="H4594" t="s">
        <v>6343</v>
      </c>
      <c r="I4594" t="s">
        <v>6684</v>
      </c>
      <c r="J4594" t="s">
        <v>7174</v>
      </c>
      <c r="K4594">
        <v>11213</v>
      </c>
      <c r="M4594" t="s">
        <v>7227</v>
      </c>
      <c r="N4594" t="s">
        <v>7237</v>
      </c>
      <c r="O4594" t="s">
        <v>10154</v>
      </c>
      <c r="P4594">
        <v>2</v>
      </c>
      <c r="Q4594">
        <v>0</v>
      </c>
      <c r="R4594">
        <v>257.55</v>
      </c>
      <c r="S4594" t="s">
        <v>645</v>
      </c>
      <c r="U4594">
        <v>41028</v>
      </c>
      <c r="W4594">
        <v>55.8</v>
      </c>
      <c r="X4594" t="s">
        <v>700</v>
      </c>
      <c r="Y4594" t="s">
        <v>10958</v>
      </c>
      <c r="Z4594" t="s">
        <v>10973</v>
      </c>
      <c r="AA4594" t="s">
        <v>10975</v>
      </c>
      <c r="AB4594" t="s">
        <v>10990</v>
      </c>
      <c r="AD4594" t="s">
        <v>11083</v>
      </c>
      <c r="AF4594" t="s">
        <v>11118</v>
      </c>
      <c r="AG4594" t="s">
        <v>11124</v>
      </c>
      <c r="AI4594" t="s">
        <v>11126</v>
      </c>
      <c r="AK4594" t="s">
        <v>7225</v>
      </c>
      <c r="AM4594">
        <v>962</v>
      </c>
      <c r="AO4594">
        <v>38</v>
      </c>
      <c r="AQ4594" t="s">
        <v>11157</v>
      </c>
      <c r="AR4594" t="s">
        <v>11172</v>
      </c>
      <c r="AU4594">
        <v>28</v>
      </c>
      <c r="AW4594" t="s">
        <v>11187</v>
      </c>
      <c r="AZ4594" t="s">
        <v>11221</v>
      </c>
      <c r="BE4594" t="s">
        <v>14267</v>
      </c>
      <c r="BG4594" t="s">
        <v>15531</v>
      </c>
      <c r="BM4594" t="s">
        <v>15650</v>
      </c>
    </row>
    <row r="4595" spans="1:65">
      <c r="A4595" s="1">
        <f>HYPERLINK("https://lsnyc.legalserver.org/matter/dynamic-profile/view/1870199","18-1870199")</f>
        <v>0</v>
      </c>
      <c r="B4595" t="s">
        <v>240</v>
      </c>
      <c r="C4595" t="s">
        <v>248</v>
      </c>
      <c r="D4595" t="s">
        <v>953</v>
      </c>
      <c r="F4595" t="s">
        <v>1136</v>
      </c>
      <c r="G4595" t="s">
        <v>4696</v>
      </c>
      <c r="H4595" t="s">
        <v>6341</v>
      </c>
      <c r="I4595" t="s">
        <v>6910</v>
      </c>
      <c r="J4595" t="s">
        <v>7174</v>
      </c>
      <c r="K4595">
        <v>11225</v>
      </c>
      <c r="M4595" t="s">
        <v>7227</v>
      </c>
      <c r="N4595" t="s">
        <v>7237</v>
      </c>
      <c r="O4595" t="s">
        <v>7992</v>
      </c>
      <c r="P4595">
        <v>3</v>
      </c>
      <c r="Q4595">
        <v>0</v>
      </c>
      <c r="R4595">
        <v>192.49</v>
      </c>
      <c r="U4595">
        <v>40000</v>
      </c>
      <c r="W4595">
        <v>1</v>
      </c>
      <c r="X4595" t="s">
        <v>953</v>
      </c>
      <c r="Y4595" t="s">
        <v>10909</v>
      </c>
      <c r="AA4595" t="s">
        <v>10974</v>
      </c>
      <c r="AB4595" t="s">
        <v>730</v>
      </c>
      <c r="AD4595" t="s">
        <v>11101</v>
      </c>
      <c r="AF4595" t="s">
        <v>11118</v>
      </c>
      <c r="AH4595" t="s">
        <v>10974</v>
      </c>
      <c r="AJ4595" t="s">
        <v>11141</v>
      </c>
      <c r="AK4595" t="s">
        <v>7225</v>
      </c>
      <c r="AM4595">
        <v>1214</v>
      </c>
      <c r="AO4595">
        <v>47</v>
      </c>
      <c r="AQ4595" t="s">
        <v>11157</v>
      </c>
      <c r="AS4595" t="s">
        <v>11173</v>
      </c>
      <c r="AU4595">
        <v>30</v>
      </c>
      <c r="AW4595" t="s">
        <v>11187</v>
      </c>
      <c r="AZ4595" t="s">
        <v>11221</v>
      </c>
      <c r="BD4595" t="s">
        <v>11667</v>
      </c>
      <c r="BF4595" t="s">
        <v>14364</v>
      </c>
      <c r="BM4595" t="s">
        <v>15650</v>
      </c>
    </row>
    <row r="4596" spans="1:65">
      <c r="A4596" s="1">
        <f>HYPERLINK("https://lsnyc.legalserver.org/matter/dynamic-profile/view/1863740","18-1863740")</f>
        <v>0</v>
      </c>
      <c r="B4596" t="s">
        <v>240</v>
      </c>
      <c r="C4596" t="s">
        <v>248</v>
      </c>
      <c r="D4596" t="s">
        <v>832</v>
      </c>
      <c r="F4596" t="s">
        <v>1266</v>
      </c>
      <c r="G4596" t="s">
        <v>4690</v>
      </c>
      <c r="H4596" t="s">
        <v>6339</v>
      </c>
      <c r="I4596" t="s">
        <v>7148</v>
      </c>
      <c r="J4596" t="s">
        <v>7174</v>
      </c>
      <c r="K4596">
        <v>11226</v>
      </c>
      <c r="M4596" t="s">
        <v>7227</v>
      </c>
      <c r="N4596" t="s">
        <v>7237</v>
      </c>
      <c r="O4596" t="s">
        <v>10147</v>
      </c>
      <c r="P4596">
        <v>2</v>
      </c>
      <c r="Q4596">
        <v>0</v>
      </c>
      <c r="R4596">
        <v>292.22</v>
      </c>
      <c r="U4596">
        <v>48100</v>
      </c>
      <c r="W4596">
        <v>3.6</v>
      </c>
      <c r="X4596" t="s">
        <v>641</v>
      </c>
      <c r="Y4596" t="s">
        <v>10892</v>
      </c>
      <c r="AA4596" t="s">
        <v>10974</v>
      </c>
      <c r="AB4596" t="s">
        <v>10987</v>
      </c>
      <c r="AD4596" t="s">
        <v>11101</v>
      </c>
      <c r="AF4596" t="s">
        <v>11118</v>
      </c>
      <c r="AH4596" t="s">
        <v>10974</v>
      </c>
      <c r="AJ4596" t="s">
        <v>11130</v>
      </c>
      <c r="AK4596" t="s">
        <v>7225</v>
      </c>
      <c r="AM4596">
        <v>1632</v>
      </c>
      <c r="AO4596">
        <v>6</v>
      </c>
      <c r="AP4596" t="s">
        <v>11155</v>
      </c>
      <c r="AR4596" t="s">
        <v>11172</v>
      </c>
      <c r="AU4596">
        <v>2</v>
      </c>
      <c r="AW4596" t="s">
        <v>11187</v>
      </c>
      <c r="BA4596" t="s">
        <v>11222</v>
      </c>
      <c r="BE4596" t="s">
        <v>14263</v>
      </c>
      <c r="BF4596" t="s">
        <v>14364</v>
      </c>
      <c r="BG4596" t="s">
        <v>15534</v>
      </c>
      <c r="BM4596" t="s">
        <v>15650</v>
      </c>
    </row>
    <row r="4597" spans="1:65">
      <c r="A4597" s="1">
        <f>HYPERLINK("https://lsnyc.legalserver.org/matter/dynamic-profile/view/1907743","19-1907743")</f>
        <v>0</v>
      </c>
      <c r="B4597" t="s">
        <v>240</v>
      </c>
      <c r="C4597" t="s">
        <v>248</v>
      </c>
      <c r="D4597" t="s">
        <v>570</v>
      </c>
      <c r="F4597" t="s">
        <v>2827</v>
      </c>
      <c r="G4597" t="s">
        <v>4697</v>
      </c>
      <c r="H4597" t="s">
        <v>6345</v>
      </c>
      <c r="I4597" t="s">
        <v>6433</v>
      </c>
      <c r="J4597" t="s">
        <v>7174</v>
      </c>
      <c r="K4597">
        <v>11210</v>
      </c>
      <c r="N4597" t="s">
        <v>7237</v>
      </c>
      <c r="O4597" t="s">
        <v>10156</v>
      </c>
      <c r="P4597">
        <v>1</v>
      </c>
      <c r="Q4597">
        <v>2</v>
      </c>
      <c r="R4597">
        <v>0</v>
      </c>
      <c r="U4597">
        <v>0</v>
      </c>
      <c r="W4597">
        <v>9.85</v>
      </c>
      <c r="X4597" t="s">
        <v>554</v>
      </c>
      <c r="Y4597" t="s">
        <v>10884</v>
      </c>
      <c r="AA4597" t="s">
        <v>10974</v>
      </c>
      <c r="AB4597" t="s">
        <v>570</v>
      </c>
      <c r="AD4597" t="s">
        <v>11083</v>
      </c>
      <c r="AF4597" t="s">
        <v>11118</v>
      </c>
      <c r="AH4597" t="s">
        <v>10975</v>
      </c>
      <c r="AI4597" t="s">
        <v>11126</v>
      </c>
      <c r="AK4597" t="s">
        <v>7225</v>
      </c>
      <c r="AM4597">
        <v>1400</v>
      </c>
      <c r="AO4597">
        <v>42</v>
      </c>
      <c r="AQ4597" t="s">
        <v>11157</v>
      </c>
      <c r="AR4597" t="s">
        <v>11172</v>
      </c>
      <c r="AU4597">
        <v>23</v>
      </c>
      <c r="AW4597" t="s">
        <v>11187</v>
      </c>
      <c r="BA4597" t="s">
        <v>11222</v>
      </c>
      <c r="BE4597" t="s">
        <v>14269</v>
      </c>
      <c r="BG4597" t="s">
        <v>15535</v>
      </c>
      <c r="BM4597" t="s">
        <v>15650</v>
      </c>
    </row>
    <row r="4598" spans="1:65">
      <c r="A4598" s="1">
        <f>HYPERLINK("https://lsnyc.legalserver.org/matter/dynamic-profile/view/1874517","18-1874517")</f>
        <v>0</v>
      </c>
      <c r="B4598" t="s">
        <v>240</v>
      </c>
      <c r="C4598" t="s">
        <v>248</v>
      </c>
      <c r="D4598" t="s">
        <v>876</v>
      </c>
      <c r="F4598" t="s">
        <v>2031</v>
      </c>
      <c r="G4598" t="s">
        <v>3413</v>
      </c>
      <c r="H4598" t="s">
        <v>6346</v>
      </c>
      <c r="I4598" t="s">
        <v>7150</v>
      </c>
      <c r="J4598" t="s">
        <v>7174</v>
      </c>
      <c r="K4598">
        <v>11209</v>
      </c>
      <c r="N4598" t="s">
        <v>7237</v>
      </c>
      <c r="O4598" t="s">
        <v>10157</v>
      </c>
      <c r="P4598">
        <v>1</v>
      </c>
      <c r="Q4598">
        <v>1</v>
      </c>
      <c r="R4598">
        <v>191.96</v>
      </c>
      <c r="U4598">
        <v>31596</v>
      </c>
      <c r="W4598">
        <v>120.15</v>
      </c>
      <c r="X4598" t="s">
        <v>436</v>
      </c>
      <c r="Y4598" t="s">
        <v>10909</v>
      </c>
      <c r="AA4598" t="s">
        <v>10974</v>
      </c>
      <c r="AB4598" t="s">
        <v>1017</v>
      </c>
      <c r="AD4598" t="s">
        <v>11102</v>
      </c>
      <c r="AF4598" t="s">
        <v>11123</v>
      </c>
      <c r="AH4598" t="s">
        <v>10975</v>
      </c>
      <c r="AJ4598" t="s">
        <v>11138</v>
      </c>
      <c r="AK4598" t="s">
        <v>7225</v>
      </c>
      <c r="AM4598">
        <v>1729</v>
      </c>
      <c r="AO4598">
        <v>116</v>
      </c>
      <c r="AQ4598" t="s">
        <v>11164</v>
      </c>
      <c r="AS4598" t="s">
        <v>11173</v>
      </c>
      <c r="AU4598">
        <v>9</v>
      </c>
      <c r="AW4598" t="s">
        <v>11187</v>
      </c>
      <c r="AY4598" t="s">
        <v>11218</v>
      </c>
      <c r="AZ4598" t="s">
        <v>11221</v>
      </c>
      <c r="BE4598" t="s">
        <v>14270</v>
      </c>
      <c r="BG4598" t="s">
        <v>15536</v>
      </c>
      <c r="BM4598" t="s">
        <v>15650</v>
      </c>
    </row>
    <row r="4599" spans="1:65">
      <c r="A4599" s="1">
        <f>HYPERLINK("https://lsnyc.legalserver.org/matter/dynamic-profile/view/1859972","18-1859972")</f>
        <v>0</v>
      </c>
      <c r="B4599" t="s">
        <v>240</v>
      </c>
      <c r="C4599" t="s">
        <v>248</v>
      </c>
      <c r="D4599" t="s">
        <v>643</v>
      </c>
      <c r="F4599" t="s">
        <v>2690</v>
      </c>
      <c r="G4599" t="s">
        <v>4574</v>
      </c>
      <c r="H4599" t="s">
        <v>6344</v>
      </c>
      <c r="I4599" t="s">
        <v>6731</v>
      </c>
      <c r="J4599" t="s">
        <v>7174</v>
      </c>
      <c r="K4599">
        <v>11226</v>
      </c>
      <c r="M4599" t="s">
        <v>7227</v>
      </c>
      <c r="N4599" t="s">
        <v>7237</v>
      </c>
      <c r="O4599" t="s">
        <v>10158</v>
      </c>
      <c r="P4599">
        <v>2</v>
      </c>
      <c r="Q4599">
        <v>2</v>
      </c>
      <c r="R4599">
        <v>284.55</v>
      </c>
      <c r="S4599" t="s">
        <v>10255</v>
      </c>
      <c r="U4599">
        <v>70000</v>
      </c>
      <c r="W4599">
        <v>0.8</v>
      </c>
      <c r="X4599" t="s">
        <v>1051</v>
      </c>
      <c r="Y4599" t="s">
        <v>10909</v>
      </c>
      <c r="AA4599" t="s">
        <v>10974</v>
      </c>
      <c r="AB4599" t="s">
        <v>11046</v>
      </c>
      <c r="AD4599" t="s">
        <v>11084</v>
      </c>
      <c r="AF4599" t="s">
        <v>11118</v>
      </c>
      <c r="AH4599" t="s">
        <v>10974</v>
      </c>
      <c r="AJ4599" t="s">
        <v>11141</v>
      </c>
      <c r="AK4599" t="s">
        <v>7225</v>
      </c>
      <c r="AL4599" t="s">
        <v>11150</v>
      </c>
      <c r="AM4599">
        <v>0</v>
      </c>
      <c r="AO4599">
        <v>61</v>
      </c>
      <c r="AQ4599" t="s">
        <v>11160</v>
      </c>
      <c r="AS4599" t="s">
        <v>11173</v>
      </c>
      <c r="AU4599">
        <v>18</v>
      </c>
      <c r="AW4599" t="s">
        <v>11187</v>
      </c>
      <c r="AZ4599" t="s">
        <v>11221</v>
      </c>
      <c r="BE4599" t="s">
        <v>14271</v>
      </c>
      <c r="BF4599" t="s">
        <v>14364</v>
      </c>
      <c r="BG4599" t="s">
        <v>15533</v>
      </c>
      <c r="BM4599" t="s">
        <v>15650</v>
      </c>
    </row>
    <row r="4600" spans="1:65">
      <c r="A4600" s="1">
        <f>HYPERLINK("https://lsnyc.legalserver.org/matter/dynamic-profile/view/1915576","19-1915576")</f>
        <v>0</v>
      </c>
      <c r="B4600" t="s">
        <v>240</v>
      </c>
      <c r="C4600" t="s">
        <v>248</v>
      </c>
      <c r="D4600" t="s">
        <v>548</v>
      </c>
      <c r="F4600" t="s">
        <v>2828</v>
      </c>
      <c r="G4600" t="s">
        <v>3961</v>
      </c>
      <c r="H4600" t="s">
        <v>6339</v>
      </c>
      <c r="I4600" t="s">
        <v>6436</v>
      </c>
      <c r="J4600" t="s">
        <v>7174</v>
      </c>
      <c r="K4600">
        <v>11226</v>
      </c>
      <c r="N4600" t="s">
        <v>7237</v>
      </c>
      <c r="O4600" t="s">
        <v>10159</v>
      </c>
      <c r="P4600">
        <v>1</v>
      </c>
      <c r="Q4600">
        <v>0</v>
      </c>
      <c r="R4600">
        <v>17.87</v>
      </c>
      <c r="U4600">
        <v>2232</v>
      </c>
      <c r="W4600">
        <v>0</v>
      </c>
      <c r="Y4600" t="s">
        <v>81</v>
      </c>
      <c r="AA4600" t="s">
        <v>10974</v>
      </c>
      <c r="AB4600" t="s">
        <v>264</v>
      </c>
      <c r="AD4600" t="s">
        <v>11100</v>
      </c>
      <c r="AF4600" t="s">
        <v>11120</v>
      </c>
      <c r="AH4600" t="s">
        <v>10974</v>
      </c>
      <c r="AJ4600" t="s">
        <v>11129</v>
      </c>
      <c r="AK4600" t="s">
        <v>7225</v>
      </c>
      <c r="AM4600">
        <v>12000</v>
      </c>
      <c r="AO4600">
        <v>6</v>
      </c>
      <c r="AP4600" t="s">
        <v>11155</v>
      </c>
      <c r="AR4600" t="s">
        <v>11172</v>
      </c>
      <c r="AU4600">
        <v>13</v>
      </c>
      <c r="AW4600" t="s">
        <v>11187</v>
      </c>
      <c r="BA4600" t="s">
        <v>11222</v>
      </c>
      <c r="BD4600" t="s">
        <v>11667</v>
      </c>
      <c r="BF4600" t="s">
        <v>14364</v>
      </c>
      <c r="BM4600" t="s">
        <v>15650</v>
      </c>
    </row>
    <row r="4601" spans="1:65">
      <c r="A4601" s="1">
        <f>HYPERLINK("https://lsnyc.legalserver.org/matter/dynamic-profile/view/1882976","18-1882976")</f>
        <v>0</v>
      </c>
      <c r="B4601" t="s">
        <v>240</v>
      </c>
      <c r="C4601" t="s">
        <v>248</v>
      </c>
      <c r="D4601" t="s">
        <v>400</v>
      </c>
      <c r="F4601" t="s">
        <v>2828</v>
      </c>
      <c r="G4601" t="s">
        <v>3961</v>
      </c>
      <c r="H4601" t="s">
        <v>6339</v>
      </c>
      <c r="I4601" t="s">
        <v>6436</v>
      </c>
      <c r="J4601" t="s">
        <v>7174</v>
      </c>
      <c r="K4601">
        <v>11226</v>
      </c>
      <c r="M4601" t="s">
        <v>7227</v>
      </c>
      <c r="N4601" t="s">
        <v>7237</v>
      </c>
      <c r="O4601" t="s">
        <v>10159</v>
      </c>
      <c r="P4601">
        <v>1</v>
      </c>
      <c r="Q4601">
        <v>0</v>
      </c>
      <c r="R4601">
        <v>18.39</v>
      </c>
      <c r="U4601">
        <v>2232</v>
      </c>
      <c r="W4601">
        <v>0.9</v>
      </c>
      <c r="X4601" t="s">
        <v>400</v>
      </c>
      <c r="Y4601" t="s">
        <v>10902</v>
      </c>
      <c r="AA4601" t="s">
        <v>10974</v>
      </c>
      <c r="AB4601" t="s">
        <v>11000</v>
      </c>
      <c r="AD4601" t="s">
        <v>11101</v>
      </c>
      <c r="AF4601" t="s">
        <v>11118</v>
      </c>
      <c r="AH4601" t="s">
        <v>10974</v>
      </c>
      <c r="AJ4601" t="s">
        <v>11129</v>
      </c>
      <c r="AK4601" t="s">
        <v>7225</v>
      </c>
      <c r="AM4601">
        <v>1200</v>
      </c>
      <c r="AO4601">
        <v>6</v>
      </c>
      <c r="AP4601" t="s">
        <v>11155</v>
      </c>
      <c r="AS4601" t="s">
        <v>11104</v>
      </c>
      <c r="AU4601">
        <v>13</v>
      </c>
      <c r="AW4601" t="s">
        <v>11187</v>
      </c>
      <c r="AZ4601" t="s">
        <v>11221</v>
      </c>
      <c r="BD4601" t="s">
        <v>11667</v>
      </c>
      <c r="BF4601" t="s">
        <v>14364</v>
      </c>
      <c r="BM4601" t="s">
        <v>15650</v>
      </c>
    </row>
    <row r="4602" spans="1:65">
      <c r="A4602" s="1">
        <f>HYPERLINK("https://lsnyc.legalserver.org/matter/dynamic-profile/view/0772732","15-0772732")</f>
        <v>0</v>
      </c>
      <c r="B4602" t="s">
        <v>240</v>
      </c>
      <c r="C4602" t="s">
        <v>248</v>
      </c>
      <c r="D4602" t="s">
        <v>1072</v>
      </c>
      <c r="F4602" t="s">
        <v>1138</v>
      </c>
      <c r="G4602" t="s">
        <v>4698</v>
      </c>
      <c r="H4602" t="s">
        <v>6180</v>
      </c>
      <c r="I4602" t="s">
        <v>6425</v>
      </c>
      <c r="J4602" t="s">
        <v>7174</v>
      </c>
      <c r="K4602">
        <v>11213</v>
      </c>
      <c r="M4602" t="s">
        <v>7235</v>
      </c>
      <c r="N4602" t="s">
        <v>7237</v>
      </c>
      <c r="O4602" t="s">
        <v>10160</v>
      </c>
      <c r="P4602">
        <v>2</v>
      </c>
      <c r="Q4602">
        <v>0</v>
      </c>
      <c r="R4602">
        <v>213.43</v>
      </c>
      <c r="S4602" t="s">
        <v>10255</v>
      </c>
      <c r="U4602">
        <v>34000</v>
      </c>
      <c r="W4602">
        <v>133.5</v>
      </c>
      <c r="X4602" t="s">
        <v>1081</v>
      </c>
      <c r="Y4602" t="s">
        <v>10971</v>
      </c>
      <c r="AA4602" t="s">
        <v>10974</v>
      </c>
      <c r="AB4602" t="s">
        <v>10990</v>
      </c>
      <c r="AD4602" t="s">
        <v>11083</v>
      </c>
      <c r="AF4602" t="s">
        <v>11118</v>
      </c>
      <c r="AG4602" t="s">
        <v>11124</v>
      </c>
      <c r="AI4602" t="s">
        <v>11126</v>
      </c>
      <c r="AK4602" t="s">
        <v>7225</v>
      </c>
      <c r="AM4602">
        <v>1180.32</v>
      </c>
      <c r="AN4602" t="s">
        <v>11151</v>
      </c>
      <c r="AO4602" t="s">
        <v>11153</v>
      </c>
      <c r="AQ4602" t="s">
        <v>11157</v>
      </c>
      <c r="AR4602" t="s">
        <v>11172</v>
      </c>
      <c r="AU4602">
        <v>11</v>
      </c>
      <c r="AW4602" t="s">
        <v>11187</v>
      </c>
      <c r="AZ4602" t="s">
        <v>11221</v>
      </c>
      <c r="BE4602" t="s">
        <v>14272</v>
      </c>
      <c r="BG4602" t="s">
        <v>15537</v>
      </c>
      <c r="BM4602" t="s">
        <v>15650</v>
      </c>
    </row>
    <row r="4603" spans="1:65">
      <c r="A4603" s="1">
        <f>HYPERLINK("https://lsnyc.legalserver.org/matter/dynamic-profile/view/1907259","19-1907259")</f>
        <v>0</v>
      </c>
      <c r="B4603" t="s">
        <v>240</v>
      </c>
      <c r="C4603" t="s">
        <v>248</v>
      </c>
      <c r="D4603" t="s">
        <v>655</v>
      </c>
      <c r="F4603" t="s">
        <v>2829</v>
      </c>
      <c r="G4603" t="s">
        <v>2922</v>
      </c>
      <c r="H4603" t="s">
        <v>6341</v>
      </c>
      <c r="I4603" t="s">
        <v>7151</v>
      </c>
      <c r="J4603" t="s">
        <v>7174</v>
      </c>
      <c r="K4603">
        <v>11225</v>
      </c>
      <c r="N4603" t="s">
        <v>7237</v>
      </c>
      <c r="O4603" t="s">
        <v>10161</v>
      </c>
      <c r="P4603">
        <v>2</v>
      </c>
      <c r="Q4603">
        <v>0</v>
      </c>
      <c r="R4603">
        <v>215.26</v>
      </c>
      <c r="U4603">
        <v>36400</v>
      </c>
      <c r="W4603">
        <v>10.5</v>
      </c>
      <c r="X4603" t="s">
        <v>293</v>
      </c>
      <c r="Y4603" t="s">
        <v>81</v>
      </c>
      <c r="Z4603" t="s">
        <v>10972</v>
      </c>
      <c r="AA4603" t="s">
        <v>10975</v>
      </c>
      <c r="AD4603" t="s">
        <v>11100</v>
      </c>
      <c r="AF4603" t="s">
        <v>11120</v>
      </c>
      <c r="AH4603" t="s">
        <v>10974</v>
      </c>
      <c r="AI4603" t="s">
        <v>11126</v>
      </c>
      <c r="AK4603" t="s">
        <v>7225</v>
      </c>
      <c r="AL4603" t="s">
        <v>11150</v>
      </c>
      <c r="AM4603">
        <v>0</v>
      </c>
      <c r="AO4603">
        <v>46</v>
      </c>
      <c r="AP4603" t="s">
        <v>11155</v>
      </c>
      <c r="AR4603" t="s">
        <v>11172</v>
      </c>
      <c r="AT4603" t="s">
        <v>11184</v>
      </c>
      <c r="AU4603">
        <v>0</v>
      </c>
      <c r="AW4603" t="s">
        <v>11187</v>
      </c>
      <c r="AX4603" t="s">
        <v>11212</v>
      </c>
      <c r="AZ4603" t="s">
        <v>11221</v>
      </c>
      <c r="BD4603" t="s">
        <v>11667</v>
      </c>
      <c r="BF4603" t="s">
        <v>14364</v>
      </c>
      <c r="BM4603" t="s">
        <v>15650</v>
      </c>
    </row>
    <row r="4604" spans="1:65">
      <c r="A4604" s="1">
        <f>HYPERLINK("https://lsnyc.legalserver.org/matter/dynamic-profile/view/1862661","18-1862661")</f>
        <v>0</v>
      </c>
      <c r="B4604" t="s">
        <v>240</v>
      </c>
      <c r="C4604" t="s">
        <v>248</v>
      </c>
      <c r="D4604" t="s">
        <v>725</v>
      </c>
      <c r="F4604" t="s">
        <v>2026</v>
      </c>
      <c r="G4604" t="s">
        <v>4699</v>
      </c>
      <c r="H4604" t="s">
        <v>6344</v>
      </c>
      <c r="I4604" t="s">
        <v>7152</v>
      </c>
      <c r="J4604" t="s">
        <v>7174</v>
      </c>
      <c r="K4604">
        <v>11226</v>
      </c>
      <c r="M4604" t="s">
        <v>7227</v>
      </c>
      <c r="N4604" t="s">
        <v>7237</v>
      </c>
      <c r="O4604" t="s">
        <v>10162</v>
      </c>
      <c r="P4604">
        <v>2</v>
      </c>
      <c r="Q4604">
        <v>0</v>
      </c>
      <c r="R4604">
        <v>218.71</v>
      </c>
      <c r="U4604">
        <v>36000</v>
      </c>
      <c r="W4604">
        <v>0</v>
      </c>
      <c r="Y4604" t="s">
        <v>10909</v>
      </c>
      <c r="AA4604" t="s">
        <v>10974</v>
      </c>
      <c r="AB4604" t="s">
        <v>939</v>
      </c>
      <c r="AD4604" t="s">
        <v>11096</v>
      </c>
      <c r="AF4604" t="s">
        <v>11118</v>
      </c>
      <c r="AH4604" t="s">
        <v>10974</v>
      </c>
      <c r="AJ4604" t="s">
        <v>11141</v>
      </c>
      <c r="AK4604" t="s">
        <v>7225</v>
      </c>
      <c r="AL4604" t="s">
        <v>11150</v>
      </c>
      <c r="AM4604">
        <v>0</v>
      </c>
      <c r="AO4604">
        <v>61</v>
      </c>
      <c r="AQ4604" t="s">
        <v>11157</v>
      </c>
      <c r="AR4604" t="s">
        <v>11172</v>
      </c>
      <c r="AU4604">
        <v>20</v>
      </c>
      <c r="AW4604" t="s">
        <v>11187</v>
      </c>
      <c r="AZ4604" t="s">
        <v>11221</v>
      </c>
      <c r="BE4604" t="s">
        <v>14273</v>
      </c>
      <c r="BG4604" t="s">
        <v>15538</v>
      </c>
      <c r="BM4604" t="s">
        <v>15650</v>
      </c>
    </row>
    <row r="4605" spans="1:65">
      <c r="A4605" s="1">
        <f>HYPERLINK("https://lsnyc.legalserver.org/matter/dynamic-profile/view/1859964","18-1859964")</f>
        <v>0</v>
      </c>
      <c r="B4605" t="s">
        <v>240</v>
      </c>
      <c r="C4605" t="s">
        <v>248</v>
      </c>
      <c r="D4605" t="s">
        <v>643</v>
      </c>
      <c r="F4605" t="s">
        <v>2026</v>
      </c>
      <c r="G4605" t="s">
        <v>4699</v>
      </c>
      <c r="H4605" t="s">
        <v>6344</v>
      </c>
      <c r="I4605" t="s">
        <v>7152</v>
      </c>
      <c r="J4605" t="s">
        <v>7174</v>
      </c>
      <c r="K4605">
        <v>11226</v>
      </c>
      <c r="M4605" t="s">
        <v>7227</v>
      </c>
      <c r="N4605" t="s">
        <v>7237</v>
      </c>
      <c r="O4605" t="s">
        <v>10162</v>
      </c>
      <c r="P4605">
        <v>2</v>
      </c>
      <c r="Q4605">
        <v>0</v>
      </c>
      <c r="R4605">
        <v>221.67</v>
      </c>
      <c r="S4605" t="s">
        <v>10255</v>
      </c>
      <c r="U4605">
        <v>36000</v>
      </c>
      <c r="W4605">
        <v>4.3</v>
      </c>
      <c r="X4605" t="s">
        <v>569</v>
      </c>
      <c r="Y4605" t="s">
        <v>10909</v>
      </c>
      <c r="AA4605" t="s">
        <v>10974</v>
      </c>
      <c r="AB4605" t="s">
        <v>11046</v>
      </c>
      <c r="AD4605" t="s">
        <v>11084</v>
      </c>
      <c r="AF4605" t="s">
        <v>11118</v>
      </c>
      <c r="AH4605" t="s">
        <v>10974</v>
      </c>
      <c r="AJ4605" t="s">
        <v>11141</v>
      </c>
      <c r="AK4605" t="s">
        <v>7225</v>
      </c>
      <c r="AL4605" t="s">
        <v>11150</v>
      </c>
      <c r="AM4605">
        <v>0</v>
      </c>
      <c r="AO4605">
        <v>61</v>
      </c>
      <c r="AQ4605" t="s">
        <v>11160</v>
      </c>
      <c r="AS4605" t="s">
        <v>11173</v>
      </c>
      <c r="AU4605">
        <v>20</v>
      </c>
      <c r="AW4605" t="s">
        <v>11187</v>
      </c>
      <c r="AZ4605" t="s">
        <v>11221</v>
      </c>
      <c r="BE4605" t="s">
        <v>14273</v>
      </c>
      <c r="BF4605" t="s">
        <v>14364</v>
      </c>
      <c r="BG4605" t="s">
        <v>15533</v>
      </c>
      <c r="BM4605" t="s">
        <v>15650</v>
      </c>
    </row>
    <row r="4606" spans="1:65">
      <c r="A4606" s="1">
        <f>HYPERLINK("https://lsnyc.legalserver.org/matter/dynamic-profile/view/1859333","18-1859333")</f>
        <v>0</v>
      </c>
      <c r="B4606" t="s">
        <v>240</v>
      </c>
      <c r="C4606" t="s">
        <v>248</v>
      </c>
      <c r="D4606" t="s">
        <v>456</v>
      </c>
      <c r="F4606" t="s">
        <v>2829</v>
      </c>
      <c r="G4606" t="s">
        <v>2922</v>
      </c>
      <c r="H4606" t="s">
        <v>6341</v>
      </c>
      <c r="I4606" t="s">
        <v>7151</v>
      </c>
      <c r="J4606" t="s">
        <v>7174</v>
      </c>
      <c r="K4606">
        <v>11225</v>
      </c>
      <c r="M4606" t="s">
        <v>7227</v>
      </c>
      <c r="N4606" t="s">
        <v>7237</v>
      </c>
      <c r="O4606" t="s">
        <v>10161</v>
      </c>
      <c r="P4606">
        <v>2</v>
      </c>
      <c r="Q4606">
        <v>0</v>
      </c>
      <c r="R4606">
        <v>224.14</v>
      </c>
      <c r="U4606">
        <v>36400</v>
      </c>
      <c r="W4606">
        <v>20.5</v>
      </c>
      <c r="X4606" t="s">
        <v>798</v>
      </c>
      <c r="Y4606" t="s">
        <v>10909</v>
      </c>
      <c r="Z4606" t="s">
        <v>10973</v>
      </c>
      <c r="AA4606" t="s">
        <v>10975</v>
      </c>
      <c r="AB4606" t="s">
        <v>323</v>
      </c>
      <c r="AD4606" t="s">
        <v>11101</v>
      </c>
      <c r="AF4606" t="s">
        <v>11118</v>
      </c>
      <c r="AH4606" t="s">
        <v>10974</v>
      </c>
      <c r="AJ4606" t="s">
        <v>11141</v>
      </c>
      <c r="AK4606" t="s">
        <v>7225</v>
      </c>
      <c r="AM4606">
        <v>1044.76</v>
      </c>
      <c r="AO4606">
        <v>42</v>
      </c>
      <c r="AQ4606" t="s">
        <v>11157</v>
      </c>
      <c r="AR4606" t="s">
        <v>11172</v>
      </c>
      <c r="AU4606">
        <v>19</v>
      </c>
      <c r="AW4606" t="s">
        <v>11187</v>
      </c>
      <c r="AZ4606" t="s">
        <v>11221</v>
      </c>
      <c r="BD4606" t="s">
        <v>11667</v>
      </c>
      <c r="BG4606" t="s">
        <v>15539</v>
      </c>
      <c r="BM4606" t="s">
        <v>15650</v>
      </c>
    </row>
    <row r="4607" spans="1:65">
      <c r="A4607" s="1">
        <f>HYPERLINK("https://lsnyc.legalserver.org/matter/dynamic-profile/view/1915272","19-1915272")</f>
        <v>0</v>
      </c>
      <c r="B4607" t="s">
        <v>240</v>
      </c>
      <c r="C4607" t="s">
        <v>248</v>
      </c>
      <c r="D4607" t="s">
        <v>426</v>
      </c>
      <c r="F4607" t="s">
        <v>1266</v>
      </c>
      <c r="G4607" t="s">
        <v>4690</v>
      </c>
      <c r="H4607" t="s">
        <v>6339</v>
      </c>
      <c r="I4607" t="s">
        <v>7148</v>
      </c>
      <c r="J4607" t="s">
        <v>7174</v>
      </c>
      <c r="K4607">
        <v>11226</v>
      </c>
      <c r="N4607" t="s">
        <v>7237</v>
      </c>
      <c r="O4607" t="s">
        <v>10147</v>
      </c>
      <c r="P4607">
        <v>2</v>
      </c>
      <c r="Q4607">
        <v>0</v>
      </c>
      <c r="R4607">
        <v>284.45</v>
      </c>
      <c r="U4607">
        <v>48100</v>
      </c>
      <c r="W4607">
        <v>0</v>
      </c>
      <c r="Y4607" t="s">
        <v>81</v>
      </c>
      <c r="AA4607" t="s">
        <v>10974</v>
      </c>
      <c r="AB4607" t="s">
        <v>264</v>
      </c>
      <c r="AC4607" t="s">
        <v>11081</v>
      </c>
      <c r="AF4607" t="s">
        <v>11120</v>
      </c>
      <c r="AH4607" t="s">
        <v>10974</v>
      </c>
      <c r="AJ4607" t="s">
        <v>11129</v>
      </c>
      <c r="AK4607" t="s">
        <v>7225</v>
      </c>
      <c r="AM4607">
        <v>1632</v>
      </c>
      <c r="AN4607" t="s">
        <v>11151</v>
      </c>
      <c r="AO4607" t="s">
        <v>11153</v>
      </c>
      <c r="AQ4607" t="s">
        <v>11157</v>
      </c>
      <c r="AR4607" t="s">
        <v>11172</v>
      </c>
      <c r="AU4607">
        <v>2</v>
      </c>
      <c r="AW4607" t="s">
        <v>11187</v>
      </c>
      <c r="BA4607" t="s">
        <v>11222</v>
      </c>
      <c r="BE4607" t="s">
        <v>14263</v>
      </c>
      <c r="BG4607" t="s">
        <v>15529</v>
      </c>
      <c r="BM4607" t="s">
        <v>15650</v>
      </c>
    </row>
    <row r="4608" spans="1:65">
      <c r="A4608" s="1">
        <f>HYPERLINK("https://lsnyc.legalserver.org/matter/dynamic-profile/view/1875483","18-1875483")</f>
        <v>0</v>
      </c>
      <c r="B4608" t="s">
        <v>240</v>
      </c>
      <c r="C4608" t="s">
        <v>248</v>
      </c>
      <c r="D4608" t="s">
        <v>508</v>
      </c>
      <c r="F4608" t="s">
        <v>1781</v>
      </c>
      <c r="G4608" t="s">
        <v>4700</v>
      </c>
      <c r="H4608" t="s">
        <v>6347</v>
      </c>
      <c r="I4608" t="s">
        <v>6969</v>
      </c>
      <c r="J4608" t="s">
        <v>7174</v>
      </c>
      <c r="K4608">
        <v>11226</v>
      </c>
      <c r="N4608" t="s">
        <v>7237</v>
      </c>
      <c r="O4608" t="s">
        <v>10163</v>
      </c>
      <c r="P4608">
        <v>3</v>
      </c>
      <c r="Q4608">
        <v>0</v>
      </c>
      <c r="R4608">
        <v>188.12</v>
      </c>
      <c r="U4608">
        <v>39092</v>
      </c>
      <c r="W4608">
        <v>71.25</v>
      </c>
      <c r="X4608" t="s">
        <v>435</v>
      </c>
      <c r="Y4608" t="s">
        <v>10909</v>
      </c>
      <c r="AA4608" t="s">
        <v>10974</v>
      </c>
      <c r="AB4608" t="s">
        <v>892</v>
      </c>
      <c r="AD4608" t="s">
        <v>11101</v>
      </c>
      <c r="AF4608" t="s">
        <v>11118</v>
      </c>
      <c r="AH4608" t="s">
        <v>10975</v>
      </c>
      <c r="AJ4608" t="s">
        <v>11141</v>
      </c>
      <c r="AK4608" t="s">
        <v>7225</v>
      </c>
      <c r="AM4608">
        <v>1500</v>
      </c>
      <c r="AO4608">
        <v>66</v>
      </c>
      <c r="AQ4608" t="s">
        <v>11157</v>
      </c>
      <c r="AS4608" t="s">
        <v>11173</v>
      </c>
      <c r="AU4608">
        <v>4</v>
      </c>
      <c r="AW4608" t="s">
        <v>11187</v>
      </c>
      <c r="AY4608" t="s">
        <v>11213</v>
      </c>
      <c r="AZ4608" t="s">
        <v>11221</v>
      </c>
      <c r="BB4608" t="s">
        <v>11224</v>
      </c>
      <c r="BC4608">
        <v>35171648</v>
      </c>
      <c r="BE4608" t="s">
        <v>14274</v>
      </c>
      <c r="BG4608" t="s">
        <v>15540</v>
      </c>
      <c r="BM4608" t="s">
        <v>15650</v>
      </c>
    </row>
    <row r="4609" spans="1:65">
      <c r="A4609" s="1">
        <f>HYPERLINK("https://lsnyc.legalserver.org/matter/dynamic-profile/view/1862663","18-1862663")</f>
        <v>0</v>
      </c>
      <c r="B4609" t="s">
        <v>240</v>
      </c>
      <c r="C4609" t="s">
        <v>248</v>
      </c>
      <c r="D4609" t="s">
        <v>725</v>
      </c>
      <c r="F4609" t="s">
        <v>2690</v>
      </c>
      <c r="G4609" t="s">
        <v>4574</v>
      </c>
      <c r="H4609" t="s">
        <v>6344</v>
      </c>
      <c r="I4609" t="s">
        <v>6731</v>
      </c>
      <c r="J4609" t="s">
        <v>7174</v>
      </c>
      <c r="K4609">
        <v>11226</v>
      </c>
      <c r="N4609" t="s">
        <v>7237</v>
      </c>
      <c r="O4609" t="s">
        <v>10158</v>
      </c>
      <c r="P4609">
        <v>2</v>
      </c>
      <c r="Q4609">
        <v>2</v>
      </c>
      <c r="R4609">
        <v>278.88</v>
      </c>
      <c r="U4609">
        <v>70000</v>
      </c>
      <c r="W4609">
        <v>0</v>
      </c>
      <c r="Y4609" t="s">
        <v>10909</v>
      </c>
      <c r="AA4609" t="s">
        <v>10974</v>
      </c>
      <c r="AB4609" t="s">
        <v>10987</v>
      </c>
      <c r="AD4609" t="s">
        <v>11096</v>
      </c>
      <c r="AF4609" t="s">
        <v>11118</v>
      </c>
      <c r="AH4609" t="s">
        <v>10974</v>
      </c>
      <c r="AJ4609" t="s">
        <v>11141</v>
      </c>
      <c r="AK4609" t="s">
        <v>7225</v>
      </c>
      <c r="AL4609" t="s">
        <v>11150</v>
      </c>
      <c r="AM4609">
        <v>0</v>
      </c>
      <c r="AO4609">
        <v>61</v>
      </c>
      <c r="AQ4609" t="s">
        <v>11157</v>
      </c>
      <c r="AR4609" t="s">
        <v>11172</v>
      </c>
      <c r="AU4609">
        <v>18</v>
      </c>
      <c r="AW4609" t="s">
        <v>11187</v>
      </c>
      <c r="BA4609" t="s">
        <v>11222</v>
      </c>
      <c r="BE4609" t="s">
        <v>14271</v>
      </c>
      <c r="BG4609" t="s">
        <v>15541</v>
      </c>
      <c r="BM4609" t="s">
        <v>15650</v>
      </c>
    </row>
    <row r="4610" spans="1:65">
      <c r="A4610" s="1">
        <f>HYPERLINK("https://lsnyc.legalserver.org/matter/dynamic-profile/view/0769528","15-0769528")</f>
        <v>0</v>
      </c>
      <c r="B4610" t="s">
        <v>240</v>
      </c>
      <c r="C4610" t="s">
        <v>248</v>
      </c>
      <c r="D4610" t="s">
        <v>1073</v>
      </c>
      <c r="F4610" t="s">
        <v>2830</v>
      </c>
      <c r="G4610" t="s">
        <v>2921</v>
      </c>
      <c r="H4610" t="s">
        <v>6180</v>
      </c>
      <c r="I4610" t="s">
        <v>6410</v>
      </c>
      <c r="J4610" t="s">
        <v>7174</v>
      </c>
      <c r="K4610">
        <v>11213</v>
      </c>
      <c r="M4610" t="s">
        <v>7227</v>
      </c>
      <c r="N4610" t="s">
        <v>7237</v>
      </c>
      <c r="O4610" t="s">
        <v>8121</v>
      </c>
      <c r="P4610">
        <v>3</v>
      </c>
      <c r="Q4610">
        <v>0</v>
      </c>
      <c r="R4610">
        <v>200.91</v>
      </c>
      <c r="S4610" t="s">
        <v>645</v>
      </c>
      <c r="U4610">
        <v>39760</v>
      </c>
      <c r="W4610">
        <v>75</v>
      </c>
      <c r="X4610" t="s">
        <v>425</v>
      </c>
      <c r="Y4610" t="s">
        <v>10960</v>
      </c>
      <c r="Z4610" t="s">
        <v>10973</v>
      </c>
      <c r="AA4610" t="s">
        <v>10975</v>
      </c>
      <c r="AB4610" t="s">
        <v>10990</v>
      </c>
      <c r="AD4610" t="s">
        <v>11083</v>
      </c>
      <c r="AF4610" t="s">
        <v>11118</v>
      </c>
      <c r="AG4610" t="s">
        <v>11124</v>
      </c>
      <c r="AI4610" t="s">
        <v>11126</v>
      </c>
      <c r="AK4610" t="s">
        <v>7225</v>
      </c>
      <c r="AM4610">
        <v>1575.48</v>
      </c>
      <c r="AO4610">
        <v>23</v>
      </c>
      <c r="AQ4610" t="s">
        <v>11157</v>
      </c>
      <c r="AR4610" t="s">
        <v>11172</v>
      </c>
      <c r="AT4610" t="s">
        <v>11184</v>
      </c>
      <c r="AU4610">
        <v>0</v>
      </c>
      <c r="AW4610" t="s">
        <v>11187</v>
      </c>
      <c r="AZ4610" t="s">
        <v>11221</v>
      </c>
      <c r="BE4610" t="s">
        <v>14275</v>
      </c>
      <c r="BG4610" t="s">
        <v>15542</v>
      </c>
      <c r="BM4610" t="s">
        <v>15650</v>
      </c>
    </row>
    <row r="4611" spans="1:65">
      <c r="A4611" s="1">
        <f>HYPERLINK("https://lsnyc.legalserver.org/matter/dynamic-profile/view/1867470","18-1867470")</f>
        <v>0</v>
      </c>
      <c r="B4611" t="s">
        <v>240</v>
      </c>
      <c r="C4611" t="s">
        <v>248</v>
      </c>
      <c r="D4611" t="s">
        <v>683</v>
      </c>
      <c r="F4611" t="s">
        <v>1452</v>
      </c>
      <c r="G4611" t="s">
        <v>4701</v>
      </c>
      <c r="H4611" t="s">
        <v>6341</v>
      </c>
      <c r="I4611" t="s">
        <v>7153</v>
      </c>
      <c r="J4611" t="s">
        <v>7174</v>
      </c>
      <c r="K4611">
        <v>11225</v>
      </c>
      <c r="N4611" t="s">
        <v>7237</v>
      </c>
      <c r="O4611" t="s">
        <v>10164</v>
      </c>
      <c r="P4611">
        <v>4</v>
      </c>
      <c r="Q4611">
        <v>0</v>
      </c>
      <c r="R4611">
        <v>179.28</v>
      </c>
      <c r="U4611">
        <v>45000</v>
      </c>
      <c r="W4611">
        <v>1</v>
      </c>
      <c r="X4611" t="s">
        <v>974</v>
      </c>
      <c r="Y4611" t="s">
        <v>10909</v>
      </c>
      <c r="AA4611" t="s">
        <v>10974</v>
      </c>
      <c r="AB4611" t="s">
        <v>730</v>
      </c>
      <c r="AD4611" t="s">
        <v>11101</v>
      </c>
      <c r="AF4611" t="s">
        <v>11118</v>
      </c>
      <c r="AH4611" t="s">
        <v>10974</v>
      </c>
      <c r="AJ4611" t="s">
        <v>11141</v>
      </c>
      <c r="AK4611" t="s">
        <v>7225</v>
      </c>
      <c r="AM4611">
        <v>1139.21</v>
      </c>
      <c r="AO4611">
        <v>47</v>
      </c>
      <c r="AQ4611" t="s">
        <v>11157</v>
      </c>
      <c r="AS4611" t="s">
        <v>11173</v>
      </c>
      <c r="AU4611">
        <v>12</v>
      </c>
      <c r="AW4611" t="s">
        <v>11187</v>
      </c>
      <c r="AZ4611" t="s">
        <v>11221</v>
      </c>
      <c r="BE4611" t="s">
        <v>14276</v>
      </c>
      <c r="BF4611" t="s">
        <v>14364</v>
      </c>
      <c r="BM4611" t="s">
        <v>15650</v>
      </c>
    </row>
    <row r="4612" spans="1:65">
      <c r="A4612" s="1">
        <f>HYPERLINK("https://lsnyc.legalserver.org/matter/dynamic-profile/view/1899896","19-1899896")</f>
        <v>0</v>
      </c>
      <c r="B4612" t="s">
        <v>240</v>
      </c>
      <c r="C4612" t="s">
        <v>248</v>
      </c>
      <c r="D4612" t="s">
        <v>382</v>
      </c>
      <c r="F4612" t="s">
        <v>2831</v>
      </c>
      <c r="G4612" t="s">
        <v>2507</v>
      </c>
      <c r="H4612" t="s">
        <v>6340</v>
      </c>
      <c r="I4612" t="s">
        <v>6910</v>
      </c>
      <c r="J4612" t="s">
        <v>7174</v>
      </c>
      <c r="K4612">
        <v>11226</v>
      </c>
      <c r="N4612" t="s">
        <v>7237</v>
      </c>
      <c r="O4612" t="s">
        <v>10165</v>
      </c>
      <c r="P4612">
        <v>1</v>
      </c>
      <c r="Q4612">
        <v>0</v>
      </c>
      <c r="R4612">
        <v>200.16</v>
      </c>
      <c r="U4612">
        <v>25000</v>
      </c>
      <c r="W4612">
        <v>44.75</v>
      </c>
      <c r="X4612" t="s">
        <v>328</v>
      </c>
      <c r="Y4612" t="s">
        <v>81</v>
      </c>
      <c r="AA4612" t="s">
        <v>10974</v>
      </c>
      <c r="AB4612" t="s">
        <v>651</v>
      </c>
      <c r="AD4612" t="s">
        <v>11086</v>
      </c>
      <c r="AF4612" t="s">
        <v>11120</v>
      </c>
      <c r="AG4612" t="s">
        <v>11124</v>
      </c>
      <c r="AI4612" t="s">
        <v>11126</v>
      </c>
      <c r="AK4612" t="s">
        <v>7225</v>
      </c>
      <c r="AL4612" t="s">
        <v>11150</v>
      </c>
      <c r="AM4612">
        <v>0</v>
      </c>
      <c r="AN4612" t="s">
        <v>11151</v>
      </c>
      <c r="AO4612" t="s">
        <v>11153</v>
      </c>
      <c r="AP4612" t="s">
        <v>11155</v>
      </c>
      <c r="AR4612" t="s">
        <v>11172</v>
      </c>
      <c r="AT4612" t="s">
        <v>11184</v>
      </c>
      <c r="AU4612">
        <v>0</v>
      </c>
      <c r="AW4612" t="s">
        <v>11187</v>
      </c>
      <c r="BA4612" t="s">
        <v>11222</v>
      </c>
      <c r="BE4612" t="s">
        <v>14277</v>
      </c>
      <c r="BF4612" t="s">
        <v>14364</v>
      </c>
      <c r="BM4612" t="s">
        <v>15650</v>
      </c>
    </row>
    <row r="4613" spans="1:65">
      <c r="A4613" s="1">
        <f>HYPERLINK("https://lsnyc.legalserver.org/matter/dynamic-profile/view/0771642","15-0771642")</f>
        <v>0</v>
      </c>
      <c r="B4613" t="s">
        <v>240</v>
      </c>
      <c r="C4613" t="s">
        <v>248</v>
      </c>
      <c r="D4613" t="s">
        <v>1074</v>
      </c>
      <c r="F4613" t="s">
        <v>1304</v>
      </c>
      <c r="G4613" t="s">
        <v>3718</v>
      </c>
      <c r="H4613" t="s">
        <v>6180</v>
      </c>
      <c r="I4613" t="s">
        <v>7132</v>
      </c>
      <c r="J4613" t="s">
        <v>7174</v>
      </c>
      <c r="K4613">
        <v>11213</v>
      </c>
      <c r="M4613" t="s">
        <v>7227</v>
      </c>
      <c r="N4613" t="s">
        <v>7237</v>
      </c>
      <c r="O4613" t="s">
        <v>10166</v>
      </c>
      <c r="P4613">
        <v>2</v>
      </c>
      <c r="Q4613">
        <v>2</v>
      </c>
      <c r="R4613">
        <v>189.69</v>
      </c>
      <c r="S4613" t="s">
        <v>645</v>
      </c>
      <c r="U4613">
        <v>46000</v>
      </c>
      <c r="W4613">
        <v>78.15000000000001</v>
      </c>
      <c r="X4613" t="s">
        <v>266</v>
      </c>
      <c r="Y4613" t="s">
        <v>10970</v>
      </c>
      <c r="Z4613" t="s">
        <v>10973</v>
      </c>
      <c r="AA4613" t="s">
        <v>10975</v>
      </c>
      <c r="AB4613" t="s">
        <v>10990</v>
      </c>
      <c r="AD4613" t="s">
        <v>11083</v>
      </c>
      <c r="AF4613" t="s">
        <v>11118</v>
      </c>
      <c r="AG4613" t="s">
        <v>11124</v>
      </c>
      <c r="AI4613" t="s">
        <v>11126</v>
      </c>
      <c r="AK4613" t="s">
        <v>7225</v>
      </c>
      <c r="AM4613">
        <v>1248</v>
      </c>
      <c r="AO4613">
        <v>23</v>
      </c>
      <c r="AQ4613" t="s">
        <v>11157</v>
      </c>
      <c r="AR4613" t="s">
        <v>11172</v>
      </c>
      <c r="AU4613">
        <v>5</v>
      </c>
      <c r="AW4613" t="s">
        <v>11189</v>
      </c>
      <c r="AZ4613" t="s">
        <v>11221</v>
      </c>
      <c r="BE4613" t="s">
        <v>14278</v>
      </c>
      <c r="BF4613" t="s">
        <v>14364</v>
      </c>
      <c r="BM4613" t="s">
        <v>15650</v>
      </c>
    </row>
    <row r="4614" spans="1:65">
      <c r="A4614" s="1">
        <f>HYPERLINK("https://lsnyc.legalserver.org/matter/dynamic-profile/view/1859311","18-1859311")</f>
        <v>0</v>
      </c>
      <c r="B4614" t="s">
        <v>240</v>
      </c>
      <c r="C4614" t="s">
        <v>248</v>
      </c>
      <c r="D4614" t="s">
        <v>456</v>
      </c>
      <c r="F4614" t="s">
        <v>1122</v>
      </c>
      <c r="G4614" t="s">
        <v>4702</v>
      </c>
      <c r="H4614" t="s">
        <v>6341</v>
      </c>
      <c r="I4614" t="s">
        <v>7154</v>
      </c>
      <c r="J4614" t="s">
        <v>7174</v>
      </c>
      <c r="K4614">
        <v>11225</v>
      </c>
      <c r="M4614" t="s">
        <v>7227</v>
      </c>
      <c r="N4614" t="s">
        <v>7237</v>
      </c>
      <c r="O4614" t="s">
        <v>10167</v>
      </c>
      <c r="P4614">
        <v>2</v>
      </c>
      <c r="Q4614">
        <v>0</v>
      </c>
      <c r="R4614">
        <v>21.5</v>
      </c>
      <c r="U4614">
        <v>3492</v>
      </c>
      <c r="W4614">
        <v>0.7</v>
      </c>
      <c r="X4614" t="s">
        <v>308</v>
      </c>
      <c r="Y4614" t="s">
        <v>10909</v>
      </c>
      <c r="AA4614" t="s">
        <v>10974</v>
      </c>
      <c r="AB4614" t="s">
        <v>10987</v>
      </c>
      <c r="AD4614" t="s">
        <v>11101</v>
      </c>
      <c r="AF4614" t="s">
        <v>11118</v>
      </c>
      <c r="AH4614" t="s">
        <v>10974</v>
      </c>
      <c r="AJ4614" t="s">
        <v>11141</v>
      </c>
      <c r="AK4614" t="s">
        <v>7225</v>
      </c>
      <c r="AM4614">
        <v>1078</v>
      </c>
      <c r="AO4614">
        <v>42</v>
      </c>
      <c r="AQ4614" t="s">
        <v>11157</v>
      </c>
      <c r="AR4614" t="s">
        <v>11172</v>
      </c>
      <c r="AU4614">
        <v>21</v>
      </c>
      <c r="AW4614" t="s">
        <v>11189</v>
      </c>
      <c r="AZ4614" t="s">
        <v>11221</v>
      </c>
      <c r="BE4614" t="s">
        <v>14279</v>
      </c>
      <c r="BF4614" t="s">
        <v>14364</v>
      </c>
      <c r="BM4614" t="s">
        <v>15650</v>
      </c>
    </row>
    <row r="4615" spans="1:65">
      <c r="A4615" s="1">
        <f>HYPERLINK("https://lsnyc.legalserver.org/matter/dynamic-profile/view/1907063","19-1907063")</f>
        <v>0</v>
      </c>
      <c r="B4615" t="s">
        <v>240</v>
      </c>
      <c r="C4615" t="s">
        <v>248</v>
      </c>
      <c r="D4615" t="s">
        <v>653</v>
      </c>
      <c r="F4615" t="s">
        <v>2832</v>
      </c>
      <c r="G4615" t="s">
        <v>4703</v>
      </c>
      <c r="H4615" t="s">
        <v>6343</v>
      </c>
      <c r="I4615" t="s">
        <v>6449</v>
      </c>
      <c r="J4615" t="s">
        <v>7174</v>
      </c>
      <c r="K4615">
        <v>11213</v>
      </c>
      <c r="N4615" t="s">
        <v>7237</v>
      </c>
      <c r="O4615" t="s">
        <v>10168</v>
      </c>
      <c r="P4615">
        <v>2</v>
      </c>
      <c r="Q4615">
        <v>0</v>
      </c>
      <c r="R4615">
        <v>839.15</v>
      </c>
      <c r="U4615">
        <v>141900</v>
      </c>
      <c r="W4615">
        <v>1.4</v>
      </c>
      <c r="X4615" t="s">
        <v>653</v>
      </c>
      <c r="Y4615" t="s">
        <v>212</v>
      </c>
      <c r="AA4615" t="s">
        <v>10974</v>
      </c>
      <c r="AB4615" t="s">
        <v>450</v>
      </c>
      <c r="AD4615" t="s">
        <v>11100</v>
      </c>
      <c r="AF4615" t="s">
        <v>11120</v>
      </c>
      <c r="AG4615" t="s">
        <v>11124</v>
      </c>
      <c r="AI4615" t="s">
        <v>11126</v>
      </c>
      <c r="AK4615" t="s">
        <v>7225</v>
      </c>
      <c r="AL4615" t="s">
        <v>11150</v>
      </c>
      <c r="AM4615">
        <v>0</v>
      </c>
      <c r="AO4615">
        <v>38</v>
      </c>
      <c r="AP4615" t="s">
        <v>11155</v>
      </c>
      <c r="AR4615" t="s">
        <v>11172</v>
      </c>
      <c r="AT4615" t="s">
        <v>11184</v>
      </c>
      <c r="AU4615">
        <v>0</v>
      </c>
      <c r="AW4615" t="s">
        <v>11187</v>
      </c>
      <c r="AZ4615" t="s">
        <v>11221</v>
      </c>
      <c r="BA4615" t="s">
        <v>11173</v>
      </c>
      <c r="BE4615" t="s">
        <v>14280</v>
      </c>
      <c r="BF4615" t="s">
        <v>14364</v>
      </c>
      <c r="BM4615" t="s">
        <v>15650</v>
      </c>
    </row>
    <row r="4616" spans="1:65">
      <c r="A4616" s="1">
        <f>HYPERLINK("https://lsnyc.legalserver.org/matter/dynamic-profile/view/1907304","19-1907304")</f>
        <v>0</v>
      </c>
      <c r="B4616" t="s">
        <v>240</v>
      </c>
      <c r="C4616" t="s">
        <v>248</v>
      </c>
      <c r="D4616" t="s">
        <v>362</v>
      </c>
      <c r="F4616" t="s">
        <v>1122</v>
      </c>
      <c r="G4616" t="s">
        <v>4702</v>
      </c>
      <c r="H4616" t="s">
        <v>6341</v>
      </c>
      <c r="I4616" t="s">
        <v>7154</v>
      </c>
      <c r="J4616" t="s">
        <v>7174</v>
      </c>
      <c r="K4616">
        <v>11225</v>
      </c>
      <c r="M4616" t="s">
        <v>7227</v>
      </c>
      <c r="N4616" t="s">
        <v>7237</v>
      </c>
      <c r="O4616" t="s">
        <v>10167</v>
      </c>
      <c r="P4616">
        <v>3</v>
      </c>
      <c r="Q4616">
        <v>0</v>
      </c>
      <c r="R4616">
        <v>16.37</v>
      </c>
      <c r="U4616">
        <v>3492</v>
      </c>
      <c r="W4616">
        <v>0</v>
      </c>
      <c r="Y4616" t="s">
        <v>81</v>
      </c>
      <c r="AA4616" t="s">
        <v>10974</v>
      </c>
      <c r="AB4616" t="s">
        <v>362</v>
      </c>
      <c r="AD4616" t="s">
        <v>11100</v>
      </c>
      <c r="AF4616" t="s">
        <v>11120</v>
      </c>
      <c r="AH4616" t="s">
        <v>10974</v>
      </c>
      <c r="AI4616" t="s">
        <v>11126</v>
      </c>
      <c r="AK4616" t="s">
        <v>7225</v>
      </c>
      <c r="AL4616" t="s">
        <v>11150</v>
      </c>
      <c r="AM4616">
        <v>0</v>
      </c>
      <c r="AO4616">
        <v>46</v>
      </c>
      <c r="AP4616" t="s">
        <v>11155</v>
      </c>
      <c r="AR4616" t="s">
        <v>11172</v>
      </c>
      <c r="AT4616" t="s">
        <v>11184</v>
      </c>
      <c r="AU4616">
        <v>0</v>
      </c>
      <c r="AW4616" t="s">
        <v>11189</v>
      </c>
      <c r="AZ4616" t="s">
        <v>11221</v>
      </c>
      <c r="BE4616" t="s">
        <v>14279</v>
      </c>
      <c r="BF4616" t="s">
        <v>14364</v>
      </c>
      <c r="BM4616" t="s">
        <v>15650</v>
      </c>
    </row>
    <row r="4617" spans="1:65">
      <c r="A4617" s="1">
        <f>HYPERLINK("https://lsnyc.legalserver.org/matter/dynamic-profile/view/1905064","19-1905064")</f>
        <v>0</v>
      </c>
      <c r="B4617" t="s">
        <v>240</v>
      </c>
      <c r="C4617" t="s">
        <v>248</v>
      </c>
      <c r="D4617" t="s">
        <v>332</v>
      </c>
      <c r="F4617" t="s">
        <v>2183</v>
      </c>
      <c r="G4617" t="s">
        <v>3386</v>
      </c>
      <c r="H4617" t="s">
        <v>5649</v>
      </c>
      <c r="I4617">
        <v>1</v>
      </c>
      <c r="J4617" t="s">
        <v>7174</v>
      </c>
      <c r="K4617">
        <v>11221</v>
      </c>
      <c r="N4617" t="s">
        <v>7237</v>
      </c>
      <c r="O4617" t="s">
        <v>8931</v>
      </c>
      <c r="P4617">
        <v>1</v>
      </c>
      <c r="Q4617">
        <v>0</v>
      </c>
      <c r="R4617">
        <v>0</v>
      </c>
      <c r="U4617">
        <v>0</v>
      </c>
      <c r="W4617">
        <v>0.7</v>
      </c>
      <c r="X4617" t="s">
        <v>728</v>
      </c>
      <c r="Y4617" t="s">
        <v>212</v>
      </c>
      <c r="AA4617" t="s">
        <v>10974</v>
      </c>
      <c r="AB4617" t="s">
        <v>311</v>
      </c>
      <c r="AD4617" t="s">
        <v>11100</v>
      </c>
      <c r="AF4617" t="s">
        <v>11120</v>
      </c>
      <c r="AH4617" t="s">
        <v>10974</v>
      </c>
      <c r="AI4617" t="s">
        <v>11126</v>
      </c>
      <c r="AK4617" t="s">
        <v>7225</v>
      </c>
      <c r="AL4617" t="s">
        <v>11150</v>
      </c>
      <c r="AM4617">
        <v>0</v>
      </c>
      <c r="AO4617">
        <v>2</v>
      </c>
      <c r="AP4617" t="s">
        <v>11155</v>
      </c>
      <c r="AR4617" t="s">
        <v>11172</v>
      </c>
      <c r="AT4617" t="s">
        <v>11184</v>
      </c>
      <c r="AU4617">
        <v>0</v>
      </c>
      <c r="AW4617" t="s">
        <v>11187</v>
      </c>
      <c r="AZ4617" t="s">
        <v>11221</v>
      </c>
      <c r="BE4617" t="s">
        <v>13172</v>
      </c>
      <c r="BF4617" t="s">
        <v>14364</v>
      </c>
      <c r="BM4617" t="s">
        <v>15650</v>
      </c>
    </row>
    <row r="4618" spans="1:65">
      <c r="A4618" s="1">
        <f>HYPERLINK("https://lsnyc.legalserver.org/matter/dynamic-profile/view/1894821","19-1894821")</f>
        <v>0</v>
      </c>
      <c r="B4618" t="s">
        <v>240</v>
      </c>
      <c r="C4618" t="s">
        <v>248</v>
      </c>
      <c r="D4618" t="s">
        <v>521</v>
      </c>
      <c r="F4618" t="s">
        <v>1473</v>
      </c>
      <c r="G4618" t="s">
        <v>1187</v>
      </c>
      <c r="H4618" t="s">
        <v>5649</v>
      </c>
      <c r="I4618" t="s">
        <v>6464</v>
      </c>
      <c r="J4618" t="s">
        <v>7174</v>
      </c>
      <c r="K4618">
        <v>11221</v>
      </c>
      <c r="M4618" t="s">
        <v>7227</v>
      </c>
      <c r="N4618" t="s">
        <v>7237</v>
      </c>
      <c r="O4618" t="s">
        <v>8929</v>
      </c>
      <c r="P4618">
        <v>1</v>
      </c>
      <c r="Q4618">
        <v>0</v>
      </c>
      <c r="R4618">
        <v>191.51</v>
      </c>
      <c r="U4618">
        <v>23920</v>
      </c>
      <c r="W4618">
        <v>0.2</v>
      </c>
      <c r="X4618" t="s">
        <v>550</v>
      </c>
      <c r="Y4618" t="s">
        <v>81</v>
      </c>
      <c r="AA4618" t="s">
        <v>10974</v>
      </c>
      <c r="AB4618" t="s">
        <v>550</v>
      </c>
      <c r="AD4618" t="s">
        <v>11090</v>
      </c>
      <c r="AF4618" t="s">
        <v>11120</v>
      </c>
      <c r="AG4618" t="s">
        <v>11124</v>
      </c>
      <c r="AI4618" t="s">
        <v>11126</v>
      </c>
      <c r="AK4618" t="s">
        <v>7225</v>
      </c>
      <c r="AL4618" t="s">
        <v>11150</v>
      </c>
      <c r="AM4618">
        <v>0</v>
      </c>
      <c r="AN4618" t="s">
        <v>11151</v>
      </c>
      <c r="AO4618" t="s">
        <v>11153</v>
      </c>
      <c r="AP4618" t="s">
        <v>11155</v>
      </c>
      <c r="AR4618" t="s">
        <v>11172</v>
      </c>
      <c r="AT4618" t="s">
        <v>11184</v>
      </c>
      <c r="AU4618">
        <v>0</v>
      </c>
      <c r="AW4618" t="s">
        <v>11187</v>
      </c>
      <c r="AZ4618" t="s">
        <v>11221</v>
      </c>
      <c r="BE4618" t="s">
        <v>13170</v>
      </c>
      <c r="BF4618" t="s">
        <v>14364</v>
      </c>
      <c r="BM4618" t="s">
        <v>15650</v>
      </c>
    </row>
    <row r="4619" spans="1:65">
      <c r="A4619" s="1">
        <f>HYPERLINK("https://lsnyc.legalserver.org/matter/dynamic-profile/view/1904324","19-1904324")</f>
        <v>0</v>
      </c>
      <c r="B4619" t="s">
        <v>240</v>
      </c>
      <c r="C4619" t="s">
        <v>248</v>
      </c>
      <c r="D4619" t="s">
        <v>512</v>
      </c>
      <c r="F4619" t="s">
        <v>1858</v>
      </c>
      <c r="G4619" t="s">
        <v>3990</v>
      </c>
      <c r="H4619" t="s">
        <v>5649</v>
      </c>
      <c r="I4619" t="s">
        <v>6493</v>
      </c>
      <c r="J4619" t="s">
        <v>7174</v>
      </c>
      <c r="K4619">
        <v>11221</v>
      </c>
      <c r="M4619" t="s">
        <v>7227</v>
      </c>
      <c r="N4619" t="s">
        <v>7237</v>
      </c>
      <c r="O4619" t="s">
        <v>7930</v>
      </c>
      <c r="P4619">
        <v>1</v>
      </c>
      <c r="Q4619">
        <v>0</v>
      </c>
      <c r="R4619">
        <v>0</v>
      </c>
      <c r="U4619">
        <v>0</v>
      </c>
      <c r="W4619">
        <v>2</v>
      </c>
      <c r="X4619" t="s">
        <v>512</v>
      </c>
      <c r="Y4619" t="s">
        <v>212</v>
      </c>
      <c r="AA4619" t="s">
        <v>10974</v>
      </c>
      <c r="AB4619" t="s">
        <v>512</v>
      </c>
      <c r="AD4619" t="s">
        <v>11100</v>
      </c>
      <c r="AF4619" t="s">
        <v>11120</v>
      </c>
      <c r="AH4619" t="s">
        <v>10974</v>
      </c>
      <c r="AI4619" t="s">
        <v>11126</v>
      </c>
      <c r="AK4619" t="s">
        <v>7225</v>
      </c>
      <c r="AL4619" t="s">
        <v>11150</v>
      </c>
      <c r="AM4619">
        <v>0</v>
      </c>
      <c r="AO4619">
        <v>2</v>
      </c>
      <c r="AP4619" t="s">
        <v>11155</v>
      </c>
      <c r="AR4619" t="s">
        <v>11172</v>
      </c>
      <c r="AT4619" t="s">
        <v>11184</v>
      </c>
      <c r="AU4619">
        <v>0</v>
      </c>
      <c r="AW4619" t="s">
        <v>11187</v>
      </c>
      <c r="AZ4619" t="s">
        <v>11221</v>
      </c>
      <c r="BD4619" t="s">
        <v>11667</v>
      </c>
      <c r="BF4619" t="s">
        <v>14364</v>
      </c>
      <c r="BM4619" t="s">
        <v>15650</v>
      </c>
    </row>
    <row r="4620" spans="1:65">
      <c r="A4620" s="1">
        <f>HYPERLINK("https://lsnyc.legalserver.org/matter/dynamic-profile/view/1907514","19-1907514")</f>
        <v>0</v>
      </c>
      <c r="B4620" t="s">
        <v>240</v>
      </c>
      <c r="C4620" t="s">
        <v>248</v>
      </c>
      <c r="D4620" t="s">
        <v>362</v>
      </c>
      <c r="F4620" t="s">
        <v>1137</v>
      </c>
      <c r="G4620" t="s">
        <v>4694</v>
      </c>
      <c r="H4620" t="s">
        <v>6341</v>
      </c>
      <c r="I4620" t="s">
        <v>7149</v>
      </c>
      <c r="J4620" t="s">
        <v>7174</v>
      </c>
      <c r="K4620">
        <v>11225</v>
      </c>
      <c r="M4620" t="s">
        <v>7227</v>
      </c>
      <c r="N4620" t="s">
        <v>7237</v>
      </c>
      <c r="O4620" t="s">
        <v>8037</v>
      </c>
      <c r="P4620">
        <v>3</v>
      </c>
      <c r="Q4620">
        <v>2</v>
      </c>
      <c r="R4620">
        <v>0</v>
      </c>
      <c r="U4620">
        <v>0</v>
      </c>
      <c r="W4620">
        <v>0</v>
      </c>
      <c r="Y4620" t="s">
        <v>81</v>
      </c>
      <c r="AA4620" t="s">
        <v>10974</v>
      </c>
      <c r="AB4620" t="s">
        <v>362</v>
      </c>
      <c r="AD4620" t="s">
        <v>11100</v>
      </c>
      <c r="AF4620" t="s">
        <v>11120</v>
      </c>
      <c r="AH4620" t="s">
        <v>10974</v>
      </c>
      <c r="AI4620" t="s">
        <v>11126</v>
      </c>
      <c r="AK4620" t="s">
        <v>7225</v>
      </c>
      <c r="AL4620" t="s">
        <v>11150</v>
      </c>
      <c r="AM4620">
        <v>0</v>
      </c>
      <c r="AO4620">
        <v>46</v>
      </c>
      <c r="AP4620" t="s">
        <v>11155</v>
      </c>
      <c r="AR4620" t="s">
        <v>11172</v>
      </c>
      <c r="AT4620" t="s">
        <v>11184</v>
      </c>
      <c r="AU4620">
        <v>0</v>
      </c>
      <c r="AW4620" t="s">
        <v>11187</v>
      </c>
      <c r="BA4620" t="s">
        <v>11222</v>
      </c>
      <c r="BD4620" t="s">
        <v>11667</v>
      </c>
      <c r="BF4620" t="s">
        <v>14364</v>
      </c>
      <c r="BM4620" t="s">
        <v>15650</v>
      </c>
    </row>
    <row r="4621" spans="1:65">
      <c r="A4621" s="1">
        <f>HYPERLINK("https://lsnyc.legalserver.org/matter/dynamic-profile/view/1883696","18-1883696")</f>
        <v>0</v>
      </c>
      <c r="B4621" t="s">
        <v>240</v>
      </c>
      <c r="C4621" t="s">
        <v>248</v>
      </c>
      <c r="D4621" t="s">
        <v>958</v>
      </c>
      <c r="F4621" t="s">
        <v>1781</v>
      </c>
      <c r="G4621" t="s">
        <v>4700</v>
      </c>
      <c r="H4621" t="s">
        <v>6347</v>
      </c>
      <c r="I4621" t="s">
        <v>6969</v>
      </c>
      <c r="J4621" t="s">
        <v>7174</v>
      </c>
      <c r="K4621">
        <v>11226</v>
      </c>
      <c r="N4621" t="s">
        <v>7237</v>
      </c>
      <c r="O4621" t="s">
        <v>10163</v>
      </c>
      <c r="P4621">
        <v>3</v>
      </c>
      <c r="Q4621">
        <v>0</v>
      </c>
      <c r="R4621">
        <v>188.12</v>
      </c>
      <c r="U4621">
        <v>39092</v>
      </c>
      <c r="W4621">
        <v>26.5</v>
      </c>
      <c r="X4621" t="s">
        <v>290</v>
      </c>
      <c r="Y4621" t="s">
        <v>10912</v>
      </c>
      <c r="AA4621" t="s">
        <v>10974</v>
      </c>
      <c r="AB4621" t="s">
        <v>958</v>
      </c>
      <c r="AD4621" t="s">
        <v>11097</v>
      </c>
      <c r="AF4621" t="s">
        <v>11118</v>
      </c>
      <c r="AG4621" t="s">
        <v>11124</v>
      </c>
      <c r="AJ4621" t="s">
        <v>11129</v>
      </c>
      <c r="AK4621" t="s">
        <v>7225</v>
      </c>
      <c r="AM4621">
        <v>1500</v>
      </c>
      <c r="AO4621">
        <v>66</v>
      </c>
      <c r="AP4621" t="s">
        <v>11155</v>
      </c>
      <c r="AR4621" t="s">
        <v>11172</v>
      </c>
      <c r="AU4621">
        <v>4</v>
      </c>
      <c r="AW4621" t="s">
        <v>11187</v>
      </c>
      <c r="AY4621" t="s">
        <v>11213</v>
      </c>
      <c r="AZ4621" t="s">
        <v>11221</v>
      </c>
      <c r="BB4621" t="s">
        <v>11224</v>
      </c>
      <c r="BC4621">
        <v>35171648</v>
      </c>
      <c r="BE4621" t="s">
        <v>14274</v>
      </c>
      <c r="BF4621" t="s">
        <v>14364</v>
      </c>
      <c r="BM4621" t="s">
        <v>15650</v>
      </c>
    </row>
    <row r="4622" spans="1:65">
      <c r="A4622" s="1">
        <f>HYPERLINK("https://lsnyc.legalserver.org/matter/dynamic-profile/view/1864898","18-1864898")</f>
        <v>0</v>
      </c>
      <c r="B4622" t="s">
        <v>240</v>
      </c>
      <c r="C4622" t="s">
        <v>248</v>
      </c>
      <c r="D4622" t="s">
        <v>716</v>
      </c>
      <c r="F4622" t="s">
        <v>2261</v>
      </c>
      <c r="G4622" t="s">
        <v>4704</v>
      </c>
      <c r="H4622" t="s">
        <v>6348</v>
      </c>
      <c r="I4622" t="s">
        <v>6737</v>
      </c>
      <c r="J4622" t="s">
        <v>7174</v>
      </c>
      <c r="K4622">
        <v>11226</v>
      </c>
      <c r="M4622" t="s">
        <v>7227</v>
      </c>
      <c r="N4622" t="s">
        <v>7237</v>
      </c>
      <c r="O4622" t="s">
        <v>10169</v>
      </c>
      <c r="P4622">
        <v>1</v>
      </c>
      <c r="Q4622">
        <v>0</v>
      </c>
      <c r="R4622">
        <v>171.33</v>
      </c>
      <c r="U4622">
        <v>20800</v>
      </c>
      <c r="W4622">
        <v>28.25</v>
      </c>
      <c r="X4622" t="s">
        <v>274</v>
      </c>
      <c r="Y4622" t="s">
        <v>10909</v>
      </c>
      <c r="AA4622" t="s">
        <v>10974</v>
      </c>
      <c r="AB4622" t="s">
        <v>621</v>
      </c>
      <c r="AD4622" t="s">
        <v>11090</v>
      </c>
      <c r="AF4622" t="s">
        <v>11120</v>
      </c>
      <c r="AH4622" t="s">
        <v>10974</v>
      </c>
      <c r="AJ4622" t="s">
        <v>11141</v>
      </c>
      <c r="AK4622" t="s">
        <v>7225</v>
      </c>
      <c r="AM4622">
        <v>560</v>
      </c>
      <c r="AO4622">
        <v>6</v>
      </c>
      <c r="AQ4622" t="s">
        <v>11157</v>
      </c>
      <c r="AS4622" t="s">
        <v>11173</v>
      </c>
      <c r="AU4622">
        <v>17</v>
      </c>
      <c r="AW4622" t="s">
        <v>11187</v>
      </c>
      <c r="AZ4622" t="s">
        <v>11221</v>
      </c>
      <c r="BD4622" t="s">
        <v>11667</v>
      </c>
      <c r="BF4622" t="s">
        <v>14364</v>
      </c>
      <c r="BM4622" t="s">
        <v>15650</v>
      </c>
    </row>
    <row r="4623" spans="1:65">
      <c r="A4623" s="1">
        <f>HYPERLINK("https://lsnyc.legalserver.org/matter/dynamic-profile/view/1866488","18-1866488")</f>
        <v>0</v>
      </c>
      <c r="B4623" t="s">
        <v>240</v>
      </c>
      <c r="C4623" t="s">
        <v>248</v>
      </c>
      <c r="D4623" t="s">
        <v>829</v>
      </c>
      <c r="F4623" t="s">
        <v>2833</v>
      </c>
      <c r="G4623" t="s">
        <v>3180</v>
      </c>
      <c r="H4623" t="s">
        <v>6340</v>
      </c>
      <c r="I4623" t="s">
        <v>6909</v>
      </c>
      <c r="J4623" t="s">
        <v>7174</v>
      </c>
      <c r="K4623">
        <v>11226</v>
      </c>
      <c r="M4623" t="s">
        <v>7227</v>
      </c>
      <c r="N4623" t="s">
        <v>7237</v>
      </c>
      <c r="O4623" t="s">
        <v>10170</v>
      </c>
      <c r="P4623">
        <v>2</v>
      </c>
      <c r="Q4623">
        <v>0</v>
      </c>
      <c r="R4623">
        <v>97.18000000000001</v>
      </c>
      <c r="U4623">
        <v>27780</v>
      </c>
      <c r="W4623">
        <v>1.1</v>
      </c>
      <c r="X4623" t="s">
        <v>780</v>
      </c>
      <c r="Y4623" t="s">
        <v>10909</v>
      </c>
      <c r="AA4623" t="s">
        <v>10974</v>
      </c>
      <c r="AB4623" t="s">
        <v>569</v>
      </c>
      <c r="AD4623" t="s">
        <v>11090</v>
      </c>
      <c r="AF4623" t="s">
        <v>11118</v>
      </c>
      <c r="AH4623" t="s">
        <v>10974</v>
      </c>
      <c r="AJ4623" t="s">
        <v>11141</v>
      </c>
      <c r="AK4623" t="s">
        <v>7225</v>
      </c>
      <c r="AL4623" t="s">
        <v>11150</v>
      </c>
      <c r="AM4623">
        <v>0</v>
      </c>
      <c r="AO4623">
        <v>61</v>
      </c>
      <c r="AQ4623" t="s">
        <v>11157</v>
      </c>
      <c r="AR4623" t="s">
        <v>11172</v>
      </c>
      <c r="AT4623" t="s">
        <v>11184</v>
      </c>
      <c r="AU4623">
        <v>0</v>
      </c>
      <c r="AW4623" t="s">
        <v>11187</v>
      </c>
      <c r="AZ4623" t="s">
        <v>11221</v>
      </c>
      <c r="BD4623" t="s">
        <v>11667</v>
      </c>
      <c r="BF4623" t="s">
        <v>14364</v>
      </c>
      <c r="BM4623" t="s">
        <v>15650</v>
      </c>
    </row>
    <row r="4624" spans="1:65">
      <c r="A4624" s="1">
        <f>HYPERLINK("https://lsnyc.legalserver.org/matter/dynamic-profile/view/1864890","18-1864890")</f>
        <v>0</v>
      </c>
      <c r="B4624" t="s">
        <v>240</v>
      </c>
      <c r="C4624" t="s">
        <v>248</v>
      </c>
      <c r="D4624" t="s">
        <v>716</v>
      </c>
      <c r="F4624" t="s">
        <v>1799</v>
      </c>
      <c r="G4624" t="s">
        <v>4705</v>
      </c>
      <c r="H4624" t="s">
        <v>6348</v>
      </c>
      <c r="I4624" t="s">
        <v>6760</v>
      </c>
      <c r="J4624" t="s">
        <v>7174</v>
      </c>
      <c r="K4624">
        <v>11226</v>
      </c>
      <c r="M4624" t="s">
        <v>7227</v>
      </c>
      <c r="N4624" t="s">
        <v>7237</v>
      </c>
      <c r="O4624" t="s">
        <v>10171</v>
      </c>
      <c r="P4624">
        <v>2</v>
      </c>
      <c r="Q4624">
        <v>1</v>
      </c>
      <c r="R4624">
        <v>75.06999999999999</v>
      </c>
      <c r="U4624">
        <v>15600</v>
      </c>
      <c r="W4624">
        <v>0.6</v>
      </c>
      <c r="X4624" t="s">
        <v>657</v>
      </c>
      <c r="Y4624" t="s">
        <v>10909</v>
      </c>
      <c r="AA4624" t="s">
        <v>10974</v>
      </c>
      <c r="AB4624" t="s">
        <v>959</v>
      </c>
      <c r="AD4624" t="s">
        <v>11090</v>
      </c>
      <c r="AF4624" t="s">
        <v>11120</v>
      </c>
      <c r="AH4624" t="s">
        <v>10974</v>
      </c>
      <c r="AJ4624" t="s">
        <v>11141</v>
      </c>
      <c r="AK4624" t="s">
        <v>7225</v>
      </c>
      <c r="AM4624">
        <v>884</v>
      </c>
      <c r="AO4624">
        <v>6</v>
      </c>
      <c r="AQ4624" t="s">
        <v>11157</v>
      </c>
      <c r="AS4624" t="s">
        <v>11173</v>
      </c>
      <c r="AU4624">
        <v>16</v>
      </c>
      <c r="AW4624" t="s">
        <v>11187</v>
      </c>
      <c r="AZ4624" t="s">
        <v>11221</v>
      </c>
      <c r="BD4624" t="s">
        <v>11667</v>
      </c>
      <c r="BF4624" t="s">
        <v>14364</v>
      </c>
      <c r="BM4624" t="s">
        <v>15650</v>
      </c>
    </row>
    <row r="4625" spans="1:65">
      <c r="A4625" s="1">
        <f>HYPERLINK("https://lsnyc.legalserver.org/matter/dynamic-profile/view/1863498","18-1863498")</f>
        <v>0</v>
      </c>
      <c r="B4625" t="s">
        <v>240</v>
      </c>
      <c r="C4625" t="s">
        <v>248</v>
      </c>
      <c r="D4625" t="s">
        <v>952</v>
      </c>
      <c r="F4625" t="s">
        <v>1437</v>
      </c>
      <c r="G4625" t="s">
        <v>1728</v>
      </c>
      <c r="H4625" t="s">
        <v>6340</v>
      </c>
      <c r="I4625" t="s">
        <v>6495</v>
      </c>
      <c r="J4625" t="s">
        <v>7174</v>
      </c>
      <c r="K4625">
        <v>11226</v>
      </c>
      <c r="M4625" t="s">
        <v>7227</v>
      </c>
      <c r="N4625" t="s">
        <v>7237</v>
      </c>
      <c r="O4625" t="s">
        <v>10172</v>
      </c>
      <c r="P4625">
        <v>1</v>
      </c>
      <c r="Q4625">
        <v>2</v>
      </c>
      <c r="R4625">
        <v>81.02</v>
      </c>
      <c r="U4625">
        <v>22512</v>
      </c>
      <c r="W4625">
        <v>3</v>
      </c>
      <c r="X4625" t="s">
        <v>565</v>
      </c>
      <c r="Y4625" t="s">
        <v>10909</v>
      </c>
      <c r="AA4625" t="s">
        <v>10974</v>
      </c>
      <c r="AB4625" t="s">
        <v>473</v>
      </c>
      <c r="AD4625" t="s">
        <v>11090</v>
      </c>
      <c r="AF4625" t="s">
        <v>11120</v>
      </c>
      <c r="AH4625" t="s">
        <v>10974</v>
      </c>
      <c r="AJ4625" t="s">
        <v>11129</v>
      </c>
      <c r="AK4625" t="s">
        <v>7225</v>
      </c>
      <c r="AM4625">
        <v>1825</v>
      </c>
      <c r="AO4625">
        <v>65</v>
      </c>
      <c r="AP4625" t="s">
        <v>11155</v>
      </c>
      <c r="AS4625" t="s">
        <v>11174</v>
      </c>
      <c r="AU4625">
        <v>31</v>
      </c>
      <c r="AW4625" t="s">
        <v>11187</v>
      </c>
      <c r="AZ4625" t="s">
        <v>11221</v>
      </c>
      <c r="BC4625" t="s">
        <v>11645</v>
      </c>
      <c r="BD4625" t="s">
        <v>11667</v>
      </c>
      <c r="BF4625" t="s">
        <v>14364</v>
      </c>
      <c r="BM4625" t="s">
        <v>15650</v>
      </c>
    </row>
    <row r="4626" spans="1:65">
      <c r="A4626" s="1">
        <f>HYPERLINK("https://lsnyc.legalserver.org/matter/dynamic-profile/view/1908938","19-1908938")</f>
        <v>0</v>
      </c>
      <c r="B4626" t="s">
        <v>240</v>
      </c>
      <c r="C4626" t="s">
        <v>248</v>
      </c>
      <c r="D4626" t="s">
        <v>420</v>
      </c>
      <c r="F4626" t="s">
        <v>1128</v>
      </c>
      <c r="G4626" t="s">
        <v>4696</v>
      </c>
      <c r="H4626" t="s">
        <v>6341</v>
      </c>
      <c r="I4626" t="s">
        <v>6419</v>
      </c>
      <c r="J4626" t="s">
        <v>7174</v>
      </c>
      <c r="K4626">
        <v>11225</v>
      </c>
      <c r="N4626" t="s">
        <v>7237</v>
      </c>
      <c r="O4626" t="s">
        <v>10173</v>
      </c>
      <c r="P4626">
        <v>2</v>
      </c>
      <c r="Q4626">
        <v>0</v>
      </c>
      <c r="R4626">
        <v>61.81</v>
      </c>
      <c r="U4626">
        <v>10452</v>
      </c>
      <c r="W4626">
        <v>0</v>
      </c>
      <c r="Y4626" t="s">
        <v>81</v>
      </c>
      <c r="AA4626" t="s">
        <v>10974</v>
      </c>
      <c r="AB4626" t="s">
        <v>420</v>
      </c>
      <c r="AD4626" t="s">
        <v>11100</v>
      </c>
      <c r="AF4626" t="s">
        <v>11122</v>
      </c>
      <c r="AH4626" t="s">
        <v>10975</v>
      </c>
      <c r="AI4626" t="s">
        <v>11126</v>
      </c>
      <c r="AK4626" t="s">
        <v>7225</v>
      </c>
      <c r="AM4626">
        <v>600</v>
      </c>
      <c r="AO4626">
        <v>46</v>
      </c>
      <c r="AP4626" t="s">
        <v>11155</v>
      </c>
      <c r="AR4626" t="s">
        <v>11172</v>
      </c>
      <c r="AU4626">
        <v>20</v>
      </c>
      <c r="AW4626" t="s">
        <v>11187</v>
      </c>
      <c r="AZ4626" t="s">
        <v>11221</v>
      </c>
      <c r="BE4626" t="s">
        <v>14281</v>
      </c>
      <c r="BF4626" t="s">
        <v>14364</v>
      </c>
      <c r="BM4626" t="s">
        <v>15650</v>
      </c>
    </row>
    <row r="4627" spans="1:65">
      <c r="A4627" s="1">
        <f>HYPERLINK("https://lsnyc.legalserver.org/matter/dynamic-profile/view/1861195","18-1861195")</f>
        <v>0</v>
      </c>
      <c r="B4627" t="s">
        <v>240</v>
      </c>
      <c r="C4627" t="s">
        <v>248</v>
      </c>
      <c r="D4627" t="s">
        <v>414</v>
      </c>
      <c r="F4627" t="s">
        <v>1090</v>
      </c>
      <c r="G4627" t="s">
        <v>3035</v>
      </c>
      <c r="H4627" t="s">
        <v>6344</v>
      </c>
      <c r="I4627" t="s">
        <v>7155</v>
      </c>
      <c r="J4627" t="s">
        <v>7174</v>
      </c>
      <c r="K4627">
        <v>11226</v>
      </c>
      <c r="M4627" t="s">
        <v>7227</v>
      </c>
      <c r="N4627" t="s">
        <v>7237</v>
      </c>
      <c r="O4627" t="s">
        <v>8779</v>
      </c>
      <c r="P4627">
        <v>1</v>
      </c>
      <c r="Q4627">
        <v>3</v>
      </c>
      <c r="R4627">
        <v>111.55</v>
      </c>
      <c r="U4627">
        <v>28000</v>
      </c>
      <c r="W4627">
        <v>0.8</v>
      </c>
      <c r="X4627" t="s">
        <v>414</v>
      </c>
      <c r="Y4627" t="s">
        <v>10909</v>
      </c>
      <c r="AA4627" t="s">
        <v>10974</v>
      </c>
      <c r="AB4627" t="s">
        <v>871</v>
      </c>
      <c r="AD4627" t="s">
        <v>11084</v>
      </c>
      <c r="AF4627" t="s">
        <v>11118</v>
      </c>
      <c r="AH4627" t="s">
        <v>10975</v>
      </c>
      <c r="AJ4627" t="s">
        <v>11141</v>
      </c>
      <c r="AK4627" t="s">
        <v>7225</v>
      </c>
      <c r="AL4627" t="s">
        <v>11150</v>
      </c>
      <c r="AM4627">
        <v>0</v>
      </c>
      <c r="AO4627">
        <v>61</v>
      </c>
      <c r="AQ4627" t="s">
        <v>11157</v>
      </c>
      <c r="AS4627" t="s">
        <v>11173</v>
      </c>
      <c r="AU4627">
        <v>6</v>
      </c>
      <c r="AW4627" t="s">
        <v>11187</v>
      </c>
      <c r="AZ4627" t="s">
        <v>11221</v>
      </c>
      <c r="BE4627" t="s">
        <v>14282</v>
      </c>
      <c r="BF4627" t="s">
        <v>14364</v>
      </c>
      <c r="BG4627" t="s">
        <v>15533</v>
      </c>
      <c r="BM4627" t="s">
        <v>15650</v>
      </c>
    </row>
    <row r="4628" spans="1:65">
      <c r="A4628" s="1">
        <f>HYPERLINK("https://lsnyc.legalserver.org/matter/dynamic-profile/view/1862649","18-1862649")</f>
        <v>0</v>
      </c>
      <c r="B4628" t="s">
        <v>240</v>
      </c>
      <c r="C4628" t="s">
        <v>248</v>
      </c>
      <c r="D4628" t="s">
        <v>725</v>
      </c>
      <c r="F4628" t="s">
        <v>1090</v>
      </c>
      <c r="G4628" t="s">
        <v>3035</v>
      </c>
      <c r="H4628" t="s">
        <v>6344</v>
      </c>
      <c r="I4628" t="s">
        <v>7155</v>
      </c>
      <c r="J4628" t="s">
        <v>7174</v>
      </c>
      <c r="K4628">
        <v>11226</v>
      </c>
      <c r="M4628" t="s">
        <v>7227</v>
      </c>
      <c r="N4628" t="s">
        <v>7237</v>
      </c>
      <c r="O4628" t="s">
        <v>8779</v>
      </c>
      <c r="P4628">
        <v>1</v>
      </c>
      <c r="Q4628">
        <v>3</v>
      </c>
      <c r="R4628">
        <v>111.55</v>
      </c>
      <c r="U4628">
        <v>28000</v>
      </c>
      <c r="W4628">
        <v>0</v>
      </c>
      <c r="Y4628" t="s">
        <v>10909</v>
      </c>
      <c r="AA4628" t="s">
        <v>10974</v>
      </c>
      <c r="AB4628" t="s">
        <v>725</v>
      </c>
      <c r="AD4628" t="s">
        <v>11096</v>
      </c>
      <c r="AF4628" t="s">
        <v>11118</v>
      </c>
      <c r="AH4628" t="s">
        <v>10974</v>
      </c>
      <c r="AJ4628" t="s">
        <v>11141</v>
      </c>
      <c r="AK4628" t="s">
        <v>7225</v>
      </c>
      <c r="AL4628" t="s">
        <v>11150</v>
      </c>
      <c r="AM4628">
        <v>0</v>
      </c>
      <c r="AO4628">
        <v>61</v>
      </c>
      <c r="AQ4628" t="s">
        <v>11157</v>
      </c>
      <c r="AR4628" t="s">
        <v>11172</v>
      </c>
      <c r="AU4628">
        <v>6</v>
      </c>
      <c r="AW4628" t="s">
        <v>11187</v>
      </c>
      <c r="AZ4628" t="s">
        <v>11221</v>
      </c>
      <c r="BE4628" t="s">
        <v>14282</v>
      </c>
      <c r="BG4628" t="s">
        <v>15543</v>
      </c>
      <c r="BM4628" t="s">
        <v>15650</v>
      </c>
    </row>
    <row r="4629" spans="1:65">
      <c r="A4629" s="1">
        <f>HYPERLINK("https://lsnyc.legalserver.org/matter/dynamic-profile/view/1896988","19-1896988")</f>
        <v>0</v>
      </c>
      <c r="B4629" t="s">
        <v>240</v>
      </c>
      <c r="C4629" t="s">
        <v>248</v>
      </c>
      <c r="D4629" t="s">
        <v>872</v>
      </c>
      <c r="F4629" t="s">
        <v>1543</v>
      </c>
      <c r="G4629" t="s">
        <v>3318</v>
      </c>
      <c r="H4629" t="s">
        <v>5075</v>
      </c>
      <c r="I4629">
        <v>8</v>
      </c>
      <c r="J4629" t="s">
        <v>7174</v>
      </c>
      <c r="K4629">
        <v>11226</v>
      </c>
      <c r="N4629" t="s">
        <v>7237</v>
      </c>
      <c r="O4629" t="s">
        <v>7835</v>
      </c>
      <c r="P4629">
        <v>4</v>
      </c>
      <c r="Q4629">
        <v>1</v>
      </c>
      <c r="R4629">
        <v>130.99</v>
      </c>
      <c r="U4629">
        <v>39520</v>
      </c>
      <c r="W4629">
        <v>0.9</v>
      </c>
      <c r="X4629" t="s">
        <v>447</v>
      </c>
      <c r="Y4629" t="s">
        <v>81</v>
      </c>
      <c r="AA4629" t="s">
        <v>10974</v>
      </c>
      <c r="AB4629" t="s">
        <v>872</v>
      </c>
      <c r="AD4629" t="s">
        <v>11101</v>
      </c>
      <c r="AF4629" t="s">
        <v>11118</v>
      </c>
      <c r="AG4629" t="s">
        <v>11124</v>
      </c>
      <c r="AI4629" t="s">
        <v>11126</v>
      </c>
      <c r="AK4629" t="s">
        <v>7225</v>
      </c>
      <c r="AM4629">
        <v>763.86</v>
      </c>
      <c r="AN4629" t="s">
        <v>11151</v>
      </c>
      <c r="AO4629" t="s">
        <v>11153</v>
      </c>
      <c r="AP4629" t="s">
        <v>11155</v>
      </c>
      <c r="AR4629" t="s">
        <v>11172</v>
      </c>
      <c r="AU4629">
        <v>18</v>
      </c>
      <c r="AW4629" t="s">
        <v>11187</v>
      </c>
      <c r="AZ4629" t="s">
        <v>11221</v>
      </c>
      <c r="BE4629" t="s">
        <v>12169</v>
      </c>
      <c r="BF4629" t="s">
        <v>14364</v>
      </c>
      <c r="BM4629" t="s">
        <v>15650</v>
      </c>
    </row>
    <row r="4630" spans="1:65">
      <c r="A4630" s="1">
        <f>HYPERLINK("https://lsnyc.legalserver.org/matter/dynamic-profile/view/1861203","18-1861203")</f>
        <v>0</v>
      </c>
      <c r="B4630" t="s">
        <v>240</v>
      </c>
      <c r="C4630" t="s">
        <v>248</v>
      </c>
      <c r="D4630" t="s">
        <v>414</v>
      </c>
      <c r="F4630" t="s">
        <v>2834</v>
      </c>
      <c r="G4630" t="s">
        <v>3047</v>
      </c>
      <c r="H4630" t="s">
        <v>6344</v>
      </c>
      <c r="I4630" t="s">
        <v>7156</v>
      </c>
      <c r="J4630" t="s">
        <v>7174</v>
      </c>
      <c r="K4630">
        <v>11226</v>
      </c>
      <c r="M4630" t="s">
        <v>7227</v>
      </c>
      <c r="N4630" t="s">
        <v>7237</v>
      </c>
      <c r="O4630" t="s">
        <v>10174</v>
      </c>
      <c r="P4630">
        <v>3</v>
      </c>
      <c r="Q4630">
        <v>0</v>
      </c>
      <c r="R4630">
        <v>327.24</v>
      </c>
      <c r="S4630" t="s">
        <v>10255</v>
      </c>
      <c r="U4630">
        <v>68000</v>
      </c>
      <c r="W4630">
        <v>0</v>
      </c>
      <c r="Y4630" t="s">
        <v>10909</v>
      </c>
      <c r="AA4630" t="s">
        <v>10974</v>
      </c>
      <c r="AB4630" t="s">
        <v>11046</v>
      </c>
      <c r="AD4630" t="s">
        <v>11084</v>
      </c>
      <c r="AF4630" t="s">
        <v>11118</v>
      </c>
      <c r="AH4630" t="s">
        <v>10974</v>
      </c>
      <c r="AJ4630" t="s">
        <v>11141</v>
      </c>
      <c r="AK4630" t="s">
        <v>7225</v>
      </c>
      <c r="AL4630" t="s">
        <v>11150</v>
      </c>
      <c r="AM4630">
        <v>0</v>
      </c>
      <c r="AO4630">
        <v>61</v>
      </c>
      <c r="AQ4630" t="s">
        <v>11157</v>
      </c>
      <c r="AR4630" t="s">
        <v>11172</v>
      </c>
      <c r="AU4630">
        <v>41</v>
      </c>
      <c r="AW4630" t="s">
        <v>11187</v>
      </c>
      <c r="AZ4630" t="s">
        <v>11221</v>
      </c>
      <c r="BE4630" t="s">
        <v>14283</v>
      </c>
      <c r="BF4630" t="s">
        <v>14364</v>
      </c>
      <c r="BG4630" t="s">
        <v>15533</v>
      </c>
      <c r="BM4630" t="s">
        <v>15650</v>
      </c>
    </row>
    <row r="4631" spans="1:65">
      <c r="A4631" s="1">
        <f>HYPERLINK("https://lsnyc.legalserver.org/matter/dynamic-profile/view/1870868","18-1870868")</f>
        <v>0</v>
      </c>
      <c r="B4631" t="s">
        <v>240</v>
      </c>
      <c r="C4631" t="s">
        <v>248</v>
      </c>
      <c r="D4631" t="s">
        <v>975</v>
      </c>
      <c r="F4631" t="s">
        <v>2835</v>
      </c>
      <c r="G4631" t="s">
        <v>3308</v>
      </c>
      <c r="H4631" t="s">
        <v>6341</v>
      </c>
      <c r="I4631" t="s">
        <v>7157</v>
      </c>
      <c r="J4631" t="s">
        <v>7174</v>
      </c>
      <c r="K4631">
        <v>11225</v>
      </c>
      <c r="M4631" t="s">
        <v>7227</v>
      </c>
      <c r="N4631" t="s">
        <v>7237</v>
      </c>
      <c r="O4631" t="s">
        <v>10175</v>
      </c>
      <c r="P4631">
        <v>1</v>
      </c>
      <c r="Q4631">
        <v>0</v>
      </c>
      <c r="R4631">
        <v>79.08</v>
      </c>
      <c r="U4631">
        <v>9600</v>
      </c>
      <c r="W4631">
        <v>1</v>
      </c>
      <c r="X4631" t="s">
        <v>891</v>
      </c>
      <c r="Y4631" t="s">
        <v>10909</v>
      </c>
      <c r="AA4631" t="s">
        <v>10974</v>
      </c>
      <c r="AB4631" t="s">
        <v>1017</v>
      </c>
      <c r="AD4631" t="s">
        <v>11101</v>
      </c>
      <c r="AF4631" t="s">
        <v>11118</v>
      </c>
      <c r="AH4631" t="s">
        <v>10974</v>
      </c>
      <c r="AJ4631" t="s">
        <v>11141</v>
      </c>
      <c r="AK4631" t="s">
        <v>7225</v>
      </c>
      <c r="AL4631" t="s">
        <v>11150</v>
      </c>
      <c r="AM4631">
        <v>0</v>
      </c>
      <c r="AO4631">
        <v>47</v>
      </c>
      <c r="AQ4631" t="s">
        <v>11157</v>
      </c>
      <c r="AS4631" t="s">
        <v>11173</v>
      </c>
      <c r="AU4631">
        <v>28</v>
      </c>
      <c r="AW4631" t="s">
        <v>11187</v>
      </c>
      <c r="AZ4631" t="s">
        <v>11221</v>
      </c>
      <c r="BD4631" t="s">
        <v>11667</v>
      </c>
      <c r="BF4631" t="s">
        <v>14364</v>
      </c>
      <c r="BM4631" t="s">
        <v>15650</v>
      </c>
    </row>
    <row r="4632" spans="1:65">
      <c r="A4632" s="1">
        <f>HYPERLINK("https://lsnyc.legalserver.org/matter/dynamic-profile/view/1862641","18-1862641")</f>
        <v>0</v>
      </c>
      <c r="B4632" t="s">
        <v>240</v>
      </c>
      <c r="C4632" t="s">
        <v>248</v>
      </c>
      <c r="D4632" t="s">
        <v>725</v>
      </c>
      <c r="F4632" t="s">
        <v>2834</v>
      </c>
      <c r="G4632" t="s">
        <v>3047</v>
      </c>
      <c r="H4632" t="s">
        <v>6344</v>
      </c>
      <c r="I4632" t="s">
        <v>7156</v>
      </c>
      <c r="J4632" t="s">
        <v>7174</v>
      </c>
      <c r="K4632">
        <v>11226</v>
      </c>
      <c r="M4632" t="s">
        <v>7227</v>
      </c>
      <c r="N4632" t="s">
        <v>7237</v>
      </c>
      <c r="O4632" t="s">
        <v>10174</v>
      </c>
      <c r="P4632">
        <v>3</v>
      </c>
      <c r="Q4632">
        <v>0</v>
      </c>
      <c r="R4632">
        <v>327.24</v>
      </c>
      <c r="S4632" t="s">
        <v>10255</v>
      </c>
      <c r="U4632">
        <v>77000</v>
      </c>
      <c r="W4632">
        <v>0.5</v>
      </c>
      <c r="X4632" t="s">
        <v>350</v>
      </c>
      <c r="Y4632" t="s">
        <v>10909</v>
      </c>
      <c r="AA4632" t="s">
        <v>10974</v>
      </c>
      <c r="AB4632" t="s">
        <v>725</v>
      </c>
      <c r="AD4632" t="s">
        <v>11096</v>
      </c>
      <c r="AF4632" t="s">
        <v>11118</v>
      </c>
      <c r="AH4632" t="s">
        <v>10974</v>
      </c>
      <c r="AJ4632" t="s">
        <v>11141</v>
      </c>
      <c r="AK4632" t="s">
        <v>7225</v>
      </c>
      <c r="AL4632" t="s">
        <v>11150</v>
      </c>
      <c r="AM4632">
        <v>0</v>
      </c>
      <c r="AO4632">
        <v>61</v>
      </c>
      <c r="AQ4632" t="s">
        <v>11157</v>
      </c>
      <c r="AR4632" t="s">
        <v>11172</v>
      </c>
      <c r="AU4632">
        <v>41</v>
      </c>
      <c r="AW4632" t="s">
        <v>11187</v>
      </c>
      <c r="AZ4632" t="s">
        <v>11221</v>
      </c>
      <c r="BE4632" t="s">
        <v>14283</v>
      </c>
      <c r="BG4632" t="s">
        <v>15544</v>
      </c>
      <c r="BM4632" t="s">
        <v>15650</v>
      </c>
    </row>
    <row r="4633" spans="1:65">
      <c r="A4633" s="1">
        <f>HYPERLINK("https://lsnyc.legalserver.org/matter/dynamic-profile/view/1890900","19-1890900")</f>
        <v>0</v>
      </c>
      <c r="B4633" t="s">
        <v>240</v>
      </c>
      <c r="C4633" t="s">
        <v>248</v>
      </c>
      <c r="D4633" t="s">
        <v>479</v>
      </c>
      <c r="F4633" t="s">
        <v>2836</v>
      </c>
      <c r="G4633" t="s">
        <v>3801</v>
      </c>
      <c r="H4633" t="s">
        <v>5069</v>
      </c>
      <c r="I4633">
        <v>3</v>
      </c>
      <c r="J4633" t="s">
        <v>7174</v>
      </c>
      <c r="K4633">
        <v>11226</v>
      </c>
      <c r="N4633" t="s">
        <v>7237</v>
      </c>
      <c r="O4633" t="s">
        <v>7772</v>
      </c>
      <c r="P4633">
        <v>2</v>
      </c>
      <c r="Q4633">
        <v>2</v>
      </c>
      <c r="R4633">
        <v>130.72</v>
      </c>
      <c r="U4633">
        <v>33660</v>
      </c>
      <c r="W4633">
        <v>38.9</v>
      </c>
      <c r="X4633" t="s">
        <v>635</v>
      </c>
      <c r="Y4633" t="s">
        <v>81</v>
      </c>
      <c r="AA4633" t="s">
        <v>10974</v>
      </c>
      <c r="AB4633" t="s">
        <v>480</v>
      </c>
      <c r="AC4633" t="s">
        <v>11081</v>
      </c>
      <c r="AF4633" t="s">
        <v>11118</v>
      </c>
      <c r="AH4633" t="s">
        <v>10974</v>
      </c>
      <c r="AI4633" t="s">
        <v>11126</v>
      </c>
      <c r="AK4633" t="s">
        <v>7225</v>
      </c>
      <c r="AM4633">
        <v>1407.32</v>
      </c>
      <c r="AN4633" t="s">
        <v>11151</v>
      </c>
      <c r="AO4633" t="s">
        <v>11153</v>
      </c>
      <c r="AP4633" t="s">
        <v>11155</v>
      </c>
      <c r="AR4633" t="s">
        <v>11172</v>
      </c>
      <c r="AU4633">
        <v>19</v>
      </c>
      <c r="AW4633" t="s">
        <v>11187</v>
      </c>
      <c r="AZ4633" t="s">
        <v>11221</v>
      </c>
      <c r="BD4633" t="s">
        <v>11667</v>
      </c>
      <c r="BF4633" t="s">
        <v>14364</v>
      </c>
      <c r="BM4633" t="s">
        <v>15650</v>
      </c>
    </row>
    <row r="4634" spans="1:65">
      <c r="A4634" s="1">
        <f>HYPERLINK("https://lsnyc.legalserver.org/matter/dynamic-profile/view/1901624","19-1901624")</f>
        <v>0</v>
      </c>
      <c r="B4634" t="s">
        <v>240</v>
      </c>
      <c r="C4634" t="s">
        <v>248</v>
      </c>
      <c r="D4634" t="s">
        <v>1075</v>
      </c>
      <c r="F4634" t="s">
        <v>2837</v>
      </c>
      <c r="G4634" t="s">
        <v>2886</v>
      </c>
      <c r="H4634" t="s">
        <v>6343</v>
      </c>
      <c r="J4634" t="s">
        <v>7174</v>
      </c>
      <c r="K4634">
        <v>11213</v>
      </c>
      <c r="N4634" t="s">
        <v>7237</v>
      </c>
      <c r="O4634" t="s">
        <v>7491</v>
      </c>
      <c r="P4634">
        <v>2</v>
      </c>
      <c r="Q4634">
        <v>0</v>
      </c>
      <c r="R4634">
        <v>112.36</v>
      </c>
      <c r="U4634">
        <v>19000</v>
      </c>
      <c r="W4634">
        <v>0</v>
      </c>
      <c r="Y4634" t="s">
        <v>81</v>
      </c>
      <c r="AA4634" t="s">
        <v>10974</v>
      </c>
      <c r="AB4634" t="s">
        <v>1075</v>
      </c>
      <c r="AD4634" t="s">
        <v>11083</v>
      </c>
      <c r="AF4634" t="s">
        <v>11118</v>
      </c>
      <c r="AH4634" t="s">
        <v>10975</v>
      </c>
      <c r="AI4634" t="s">
        <v>11126</v>
      </c>
      <c r="AK4634" t="s">
        <v>7225</v>
      </c>
      <c r="AM4634">
        <v>999.11</v>
      </c>
      <c r="AN4634" t="s">
        <v>11151</v>
      </c>
      <c r="AO4634" t="s">
        <v>11153</v>
      </c>
      <c r="AP4634" t="s">
        <v>11155</v>
      </c>
      <c r="AR4634" t="s">
        <v>11172</v>
      </c>
      <c r="AU4634">
        <v>13</v>
      </c>
      <c r="AW4634" t="s">
        <v>11187</v>
      </c>
      <c r="BA4634" t="s">
        <v>11222</v>
      </c>
      <c r="BE4634" t="s">
        <v>14284</v>
      </c>
      <c r="BF4634" t="s">
        <v>14364</v>
      </c>
      <c r="BM4634" t="s">
        <v>15650</v>
      </c>
    </row>
    <row r="4635" spans="1:65">
      <c r="A4635" s="1">
        <f>HYPERLINK("https://lsnyc.legalserver.org/matter/dynamic-profile/view/1903813","19-1903813")</f>
        <v>0</v>
      </c>
      <c r="B4635" t="s">
        <v>240</v>
      </c>
      <c r="C4635" t="s">
        <v>248</v>
      </c>
      <c r="D4635" t="s">
        <v>260</v>
      </c>
      <c r="F4635" t="s">
        <v>2838</v>
      </c>
      <c r="G4635" t="s">
        <v>4706</v>
      </c>
      <c r="H4635" t="s">
        <v>6342</v>
      </c>
      <c r="I4635" t="s">
        <v>6423</v>
      </c>
      <c r="J4635" t="s">
        <v>7174</v>
      </c>
      <c r="K4635">
        <v>11220</v>
      </c>
      <c r="M4635" t="s">
        <v>7227</v>
      </c>
      <c r="N4635" t="s">
        <v>7237</v>
      </c>
      <c r="O4635" t="s">
        <v>10176</v>
      </c>
      <c r="P4635">
        <v>2</v>
      </c>
      <c r="Q4635">
        <v>0</v>
      </c>
      <c r="R4635">
        <v>112.48</v>
      </c>
      <c r="U4635">
        <v>19020</v>
      </c>
      <c r="W4635">
        <v>0.3</v>
      </c>
      <c r="X4635" t="s">
        <v>260</v>
      </c>
      <c r="Y4635" t="s">
        <v>212</v>
      </c>
      <c r="AA4635" t="s">
        <v>10974</v>
      </c>
      <c r="AB4635" t="s">
        <v>659</v>
      </c>
      <c r="AD4635" t="s">
        <v>11101</v>
      </c>
      <c r="AF4635" t="s">
        <v>11118</v>
      </c>
      <c r="AH4635" t="s">
        <v>10974</v>
      </c>
      <c r="AI4635" t="s">
        <v>11126</v>
      </c>
      <c r="AK4635" t="s">
        <v>7225</v>
      </c>
      <c r="AL4635" t="s">
        <v>11150</v>
      </c>
      <c r="AM4635">
        <v>0</v>
      </c>
      <c r="AN4635" t="s">
        <v>11151</v>
      </c>
      <c r="AO4635" t="s">
        <v>11153</v>
      </c>
      <c r="AP4635" t="s">
        <v>11155</v>
      </c>
      <c r="AR4635" t="s">
        <v>11172</v>
      </c>
      <c r="AT4635" t="s">
        <v>11184</v>
      </c>
      <c r="AU4635">
        <v>0</v>
      </c>
      <c r="AW4635" t="s">
        <v>11187</v>
      </c>
      <c r="BA4635" t="s">
        <v>11222</v>
      </c>
      <c r="BE4635" t="s">
        <v>14285</v>
      </c>
      <c r="BF4635" t="s">
        <v>14364</v>
      </c>
      <c r="BM4635" t="s">
        <v>15650</v>
      </c>
    </row>
    <row r="4636" spans="1:65">
      <c r="A4636" s="1">
        <f>HYPERLINK("https://lsnyc.legalserver.org/matter/dynamic-profile/view/1907460","19-1907460")</f>
        <v>0</v>
      </c>
      <c r="B4636" t="s">
        <v>240</v>
      </c>
      <c r="C4636" t="s">
        <v>248</v>
      </c>
      <c r="D4636" t="s">
        <v>362</v>
      </c>
      <c r="F4636" t="s">
        <v>2839</v>
      </c>
      <c r="G4636" t="s">
        <v>4707</v>
      </c>
      <c r="H4636" t="s">
        <v>6341</v>
      </c>
      <c r="I4636" t="s">
        <v>6573</v>
      </c>
      <c r="J4636" t="s">
        <v>7174</v>
      </c>
      <c r="K4636">
        <v>11225</v>
      </c>
      <c r="M4636" t="s">
        <v>7227</v>
      </c>
      <c r="N4636" t="s">
        <v>7237</v>
      </c>
      <c r="O4636" t="s">
        <v>10177</v>
      </c>
      <c r="P4636">
        <v>2</v>
      </c>
      <c r="Q4636">
        <v>0</v>
      </c>
      <c r="R4636">
        <v>124.19</v>
      </c>
      <c r="U4636">
        <v>21000</v>
      </c>
      <c r="W4636">
        <v>0</v>
      </c>
      <c r="Y4636" t="s">
        <v>81</v>
      </c>
      <c r="AA4636" t="s">
        <v>10974</v>
      </c>
      <c r="AB4636" t="s">
        <v>362</v>
      </c>
      <c r="AD4636" t="s">
        <v>11100</v>
      </c>
      <c r="AF4636" t="s">
        <v>11120</v>
      </c>
      <c r="AH4636" t="s">
        <v>10974</v>
      </c>
      <c r="AI4636" t="s">
        <v>11126</v>
      </c>
      <c r="AK4636" t="s">
        <v>7225</v>
      </c>
      <c r="AL4636" t="s">
        <v>11150</v>
      </c>
      <c r="AM4636">
        <v>0</v>
      </c>
      <c r="AO4636">
        <v>46</v>
      </c>
      <c r="AP4636" t="s">
        <v>11155</v>
      </c>
      <c r="AR4636" t="s">
        <v>11172</v>
      </c>
      <c r="AT4636" t="s">
        <v>11184</v>
      </c>
      <c r="AU4636">
        <v>0</v>
      </c>
      <c r="AW4636" t="s">
        <v>11187</v>
      </c>
      <c r="BA4636" t="s">
        <v>11222</v>
      </c>
      <c r="BE4636" t="s">
        <v>14286</v>
      </c>
      <c r="BF4636" t="s">
        <v>14364</v>
      </c>
      <c r="BM4636" t="s">
        <v>15650</v>
      </c>
    </row>
    <row r="4637" spans="1:65">
      <c r="A4637" s="1">
        <f>HYPERLINK("https://lsnyc.legalserver.org/matter/dynamic-profile/view/1863494","18-1863494")</f>
        <v>0</v>
      </c>
      <c r="B4637" t="s">
        <v>240</v>
      </c>
      <c r="C4637" t="s">
        <v>248</v>
      </c>
      <c r="D4637" t="s">
        <v>952</v>
      </c>
      <c r="F4637" t="s">
        <v>2840</v>
      </c>
      <c r="G4637" t="s">
        <v>4708</v>
      </c>
      <c r="H4637" t="s">
        <v>6340</v>
      </c>
      <c r="I4637" t="s">
        <v>7158</v>
      </c>
      <c r="J4637" t="s">
        <v>7174</v>
      </c>
      <c r="K4637">
        <v>11226</v>
      </c>
      <c r="M4637" t="s">
        <v>7227</v>
      </c>
      <c r="N4637" t="s">
        <v>7237</v>
      </c>
      <c r="O4637" t="s">
        <v>10178</v>
      </c>
      <c r="P4637">
        <v>1</v>
      </c>
      <c r="Q4637">
        <v>0</v>
      </c>
      <c r="R4637">
        <v>70.68000000000001</v>
      </c>
      <c r="U4637">
        <v>8580</v>
      </c>
      <c r="W4637">
        <v>1.5</v>
      </c>
      <c r="X4637" t="s">
        <v>372</v>
      </c>
      <c r="Y4637" t="s">
        <v>10909</v>
      </c>
      <c r="AA4637" t="s">
        <v>10974</v>
      </c>
      <c r="AB4637" t="s">
        <v>473</v>
      </c>
      <c r="AD4637" t="s">
        <v>11090</v>
      </c>
      <c r="AF4637" t="s">
        <v>11120</v>
      </c>
      <c r="AH4637" t="s">
        <v>10974</v>
      </c>
      <c r="AJ4637" t="s">
        <v>11129</v>
      </c>
      <c r="AK4637" t="s">
        <v>7225</v>
      </c>
      <c r="AM4637">
        <v>1500</v>
      </c>
      <c r="AO4637">
        <v>65</v>
      </c>
      <c r="AP4637" t="s">
        <v>11155</v>
      </c>
      <c r="AS4637" t="s">
        <v>11174</v>
      </c>
      <c r="AU4637">
        <v>31</v>
      </c>
      <c r="AW4637" t="s">
        <v>11187</v>
      </c>
      <c r="AZ4637" t="s">
        <v>11221</v>
      </c>
      <c r="BE4637" t="s">
        <v>14287</v>
      </c>
      <c r="BF4637" t="s">
        <v>14364</v>
      </c>
      <c r="BM4637" t="s">
        <v>15650</v>
      </c>
    </row>
    <row r="4638" spans="1:65">
      <c r="A4638" s="1">
        <f>HYPERLINK("https://lsnyc.legalserver.org/matter/dynamic-profile/view/1863490","18-1863490")</f>
        <v>0</v>
      </c>
      <c r="B4638" t="s">
        <v>240</v>
      </c>
      <c r="C4638" t="s">
        <v>248</v>
      </c>
      <c r="D4638" t="s">
        <v>952</v>
      </c>
      <c r="F4638" t="s">
        <v>2333</v>
      </c>
      <c r="G4638" t="s">
        <v>4709</v>
      </c>
      <c r="H4638" t="s">
        <v>6340</v>
      </c>
      <c r="I4638" t="s">
        <v>7159</v>
      </c>
      <c r="J4638" t="s">
        <v>7174</v>
      </c>
      <c r="K4638">
        <v>11226</v>
      </c>
      <c r="M4638" t="s">
        <v>7227</v>
      </c>
      <c r="N4638" t="s">
        <v>7237</v>
      </c>
      <c r="O4638" t="s">
        <v>7681</v>
      </c>
      <c r="P4638">
        <v>3</v>
      </c>
      <c r="Q4638">
        <v>2</v>
      </c>
      <c r="R4638">
        <v>122.81</v>
      </c>
      <c r="U4638">
        <v>36132</v>
      </c>
      <c r="V4638" t="s">
        <v>10797</v>
      </c>
      <c r="W4638">
        <v>0.7</v>
      </c>
      <c r="X4638" t="s">
        <v>610</v>
      </c>
      <c r="Y4638" t="s">
        <v>10909</v>
      </c>
      <c r="AA4638" t="s">
        <v>10974</v>
      </c>
      <c r="AB4638" t="s">
        <v>473</v>
      </c>
      <c r="AD4638" t="s">
        <v>11090</v>
      </c>
      <c r="AF4638" t="s">
        <v>11120</v>
      </c>
      <c r="AH4638" t="s">
        <v>10974</v>
      </c>
      <c r="AJ4638" t="s">
        <v>11129</v>
      </c>
      <c r="AK4638" t="s">
        <v>7225</v>
      </c>
      <c r="AL4638" t="s">
        <v>11150</v>
      </c>
      <c r="AM4638">
        <v>0</v>
      </c>
      <c r="AO4638">
        <v>65</v>
      </c>
      <c r="AP4638" t="s">
        <v>11155</v>
      </c>
      <c r="AR4638" t="s">
        <v>11172</v>
      </c>
      <c r="AU4638">
        <v>31</v>
      </c>
      <c r="AW4638" t="s">
        <v>11187</v>
      </c>
      <c r="AZ4638" t="s">
        <v>11221</v>
      </c>
      <c r="BD4638" t="s">
        <v>11667</v>
      </c>
      <c r="BF4638" t="s">
        <v>14364</v>
      </c>
      <c r="BM4638" t="s">
        <v>15650</v>
      </c>
    </row>
    <row r="4639" spans="1:65">
      <c r="A4639" s="1">
        <f>HYPERLINK("https://lsnyc.legalserver.org/matter/dynamic-profile/view/1860851","18-1860851")</f>
        <v>0</v>
      </c>
      <c r="B4639" t="s">
        <v>240</v>
      </c>
      <c r="C4639" t="s">
        <v>248</v>
      </c>
      <c r="D4639" t="s">
        <v>289</v>
      </c>
      <c r="F4639" t="s">
        <v>1331</v>
      </c>
      <c r="G4639" t="s">
        <v>4710</v>
      </c>
      <c r="H4639" t="s">
        <v>6344</v>
      </c>
      <c r="I4639" t="s">
        <v>6621</v>
      </c>
      <c r="J4639" t="s">
        <v>7174</v>
      </c>
      <c r="K4639">
        <v>11226</v>
      </c>
      <c r="M4639" t="s">
        <v>7227</v>
      </c>
      <c r="N4639" t="s">
        <v>7237</v>
      </c>
      <c r="O4639" t="s">
        <v>10179</v>
      </c>
      <c r="P4639">
        <v>1</v>
      </c>
      <c r="Q4639">
        <v>1</v>
      </c>
      <c r="R4639">
        <v>115.43</v>
      </c>
      <c r="U4639">
        <v>19000</v>
      </c>
      <c r="W4639">
        <v>0.7</v>
      </c>
      <c r="X4639" t="s">
        <v>944</v>
      </c>
      <c r="Y4639" t="s">
        <v>10909</v>
      </c>
      <c r="AA4639" t="s">
        <v>10974</v>
      </c>
      <c r="AB4639" t="s">
        <v>939</v>
      </c>
      <c r="AD4639" t="s">
        <v>11084</v>
      </c>
      <c r="AF4639" t="s">
        <v>11118</v>
      </c>
      <c r="AH4639" t="s">
        <v>10974</v>
      </c>
      <c r="AJ4639" t="s">
        <v>11141</v>
      </c>
      <c r="AK4639" t="s">
        <v>7225</v>
      </c>
      <c r="AL4639" t="s">
        <v>11150</v>
      </c>
      <c r="AM4639">
        <v>0</v>
      </c>
      <c r="AO4639">
        <v>61</v>
      </c>
      <c r="AQ4639" t="s">
        <v>11157</v>
      </c>
      <c r="AS4639" t="s">
        <v>11173</v>
      </c>
      <c r="AU4639">
        <v>35</v>
      </c>
      <c r="AW4639" t="s">
        <v>11187</v>
      </c>
      <c r="AZ4639" t="s">
        <v>11221</v>
      </c>
      <c r="BD4639" t="s">
        <v>11667</v>
      </c>
      <c r="BF4639" t="s">
        <v>14364</v>
      </c>
      <c r="BG4639" t="s">
        <v>15533</v>
      </c>
      <c r="BM4639" t="s">
        <v>15650</v>
      </c>
    </row>
    <row r="4640" spans="1:65">
      <c r="A4640" s="1">
        <f>HYPERLINK("https://lsnyc.legalserver.org/matter/dynamic-profile/view/1905193","19-1905193")</f>
        <v>0</v>
      </c>
      <c r="B4640" t="s">
        <v>240</v>
      </c>
      <c r="C4640" t="s">
        <v>248</v>
      </c>
      <c r="D4640" t="s">
        <v>470</v>
      </c>
      <c r="F4640" t="s">
        <v>2690</v>
      </c>
      <c r="G4640" t="s">
        <v>1636</v>
      </c>
      <c r="H4640" t="s">
        <v>6342</v>
      </c>
      <c r="I4640" t="s">
        <v>6485</v>
      </c>
      <c r="J4640" t="s">
        <v>7174</v>
      </c>
      <c r="K4640">
        <v>11220</v>
      </c>
      <c r="M4640" t="s">
        <v>7227</v>
      </c>
      <c r="N4640" t="s">
        <v>7237</v>
      </c>
      <c r="O4640" t="s">
        <v>10180</v>
      </c>
      <c r="P4640">
        <v>1</v>
      </c>
      <c r="Q4640">
        <v>0</v>
      </c>
      <c r="R4640">
        <v>333.07</v>
      </c>
      <c r="U4640">
        <v>41600</v>
      </c>
      <c r="W4640">
        <v>0.2</v>
      </c>
      <c r="X4640" t="s">
        <v>470</v>
      </c>
      <c r="Y4640" t="s">
        <v>212</v>
      </c>
      <c r="AA4640" t="s">
        <v>10974</v>
      </c>
      <c r="AB4640" t="s">
        <v>328</v>
      </c>
      <c r="AD4640" t="s">
        <v>11101</v>
      </c>
      <c r="AF4640" t="s">
        <v>11118</v>
      </c>
      <c r="AH4640" t="s">
        <v>10974</v>
      </c>
      <c r="AI4640" t="s">
        <v>11126</v>
      </c>
      <c r="AK4640" t="s">
        <v>7225</v>
      </c>
      <c r="AL4640" t="s">
        <v>11150</v>
      </c>
      <c r="AM4640">
        <v>0</v>
      </c>
      <c r="AO4640">
        <v>54</v>
      </c>
      <c r="AP4640" t="s">
        <v>11155</v>
      </c>
      <c r="AR4640" t="s">
        <v>11172</v>
      </c>
      <c r="AT4640" t="s">
        <v>11184</v>
      </c>
      <c r="AU4640">
        <v>0</v>
      </c>
      <c r="AW4640" t="s">
        <v>11187</v>
      </c>
      <c r="BA4640" t="s">
        <v>11222</v>
      </c>
      <c r="BE4640" t="s">
        <v>14288</v>
      </c>
      <c r="BF4640" t="s">
        <v>14364</v>
      </c>
      <c r="BM4640" t="s">
        <v>15650</v>
      </c>
    </row>
    <row r="4641" spans="1:65">
      <c r="A4641" s="1">
        <f>HYPERLINK("https://lsnyc.legalserver.org/matter/dynamic-profile/view/1881067","18-1881067")</f>
        <v>0</v>
      </c>
      <c r="B4641" t="s">
        <v>240</v>
      </c>
      <c r="C4641" t="s">
        <v>248</v>
      </c>
      <c r="D4641" t="s">
        <v>959</v>
      </c>
      <c r="F4641" t="s">
        <v>1155</v>
      </c>
      <c r="G4641" t="s">
        <v>3168</v>
      </c>
      <c r="H4641" t="s">
        <v>6339</v>
      </c>
      <c r="I4641" t="s">
        <v>6437</v>
      </c>
      <c r="J4641" t="s">
        <v>7174</v>
      </c>
      <c r="K4641">
        <v>11226</v>
      </c>
      <c r="M4641" t="s">
        <v>7227</v>
      </c>
      <c r="N4641" t="s">
        <v>7237</v>
      </c>
      <c r="O4641" t="s">
        <v>10181</v>
      </c>
      <c r="P4641">
        <v>1</v>
      </c>
      <c r="Q4641">
        <v>0</v>
      </c>
      <c r="R4641">
        <v>417.63</v>
      </c>
      <c r="U4641">
        <v>50700</v>
      </c>
      <c r="W4641">
        <v>0</v>
      </c>
      <c r="Y4641" t="s">
        <v>10912</v>
      </c>
      <c r="AA4641" t="s">
        <v>10974</v>
      </c>
      <c r="AB4641" t="s">
        <v>959</v>
      </c>
      <c r="AD4641" t="s">
        <v>11101</v>
      </c>
      <c r="AF4641" t="s">
        <v>11118</v>
      </c>
      <c r="AH4641" t="s">
        <v>10974</v>
      </c>
      <c r="AI4641" t="s">
        <v>11126</v>
      </c>
      <c r="AK4641" t="s">
        <v>7225</v>
      </c>
      <c r="AM4641">
        <v>1632</v>
      </c>
      <c r="AO4641">
        <v>6</v>
      </c>
      <c r="AP4641" t="s">
        <v>11155</v>
      </c>
      <c r="AR4641" t="s">
        <v>11172</v>
      </c>
      <c r="AU4641">
        <v>2</v>
      </c>
      <c r="AW4641" t="s">
        <v>11187</v>
      </c>
      <c r="AZ4641" t="s">
        <v>11221</v>
      </c>
      <c r="BE4641" t="s">
        <v>14289</v>
      </c>
      <c r="BG4641" t="s">
        <v>15529</v>
      </c>
      <c r="BM4641" t="s">
        <v>15650</v>
      </c>
    </row>
    <row r="4642" spans="1:65">
      <c r="A4642" s="1">
        <f>HYPERLINK("https://lsnyc.legalserver.org/matter/dynamic-profile/view/1879974","18-1879974")</f>
        <v>0</v>
      </c>
      <c r="B4642" t="s">
        <v>240</v>
      </c>
      <c r="C4642" t="s">
        <v>248</v>
      </c>
      <c r="D4642" t="s">
        <v>595</v>
      </c>
      <c r="F4642" t="s">
        <v>1472</v>
      </c>
      <c r="G4642" t="s">
        <v>4711</v>
      </c>
      <c r="H4642" t="s">
        <v>6339</v>
      </c>
      <c r="I4642" t="s">
        <v>6761</v>
      </c>
      <c r="J4642" t="s">
        <v>7174</v>
      </c>
      <c r="K4642">
        <v>11226</v>
      </c>
      <c r="M4642" t="s">
        <v>7227</v>
      </c>
      <c r="N4642" t="s">
        <v>7237</v>
      </c>
      <c r="O4642" t="s">
        <v>10182</v>
      </c>
      <c r="P4642">
        <v>1</v>
      </c>
      <c r="Q4642">
        <v>0</v>
      </c>
      <c r="R4642">
        <v>420.1</v>
      </c>
      <c r="U4642">
        <v>51000</v>
      </c>
      <c r="W4642">
        <v>4</v>
      </c>
      <c r="X4642" t="s">
        <v>335</v>
      </c>
      <c r="Y4642" t="s">
        <v>10913</v>
      </c>
      <c r="AA4642" t="s">
        <v>10974</v>
      </c>
      <c r="AB4642" t="s">
        <v>959</v>
      </c>
      <c r="AD4642" t="s">
        <v>11101</v>
      </c>
      <c r="AF4642" t="s">
        <v>11118</v>
      </c>
      <c r="AH4642" t="s">
        <v>10974</v>
      </c>
      <c r="AJ4642" t="s">
        <v>11129</v>
      </c>
      <c r="AK4642" t="s">
        <v>7225</v>
      </c>
      <c r="AM4642">
        <v>1250</v>
      </c>
      <c r="AO4642">
        <v>6</v>
      </c>
      <c r="AQ4642" t="s">
        <v>11157</v>
      </c>
      <c r="AS4642" t="s">
        <v>11173</v>
      </c>
      <c r="AU4642">
        <v>1</v>
      </c>
      <c r="AW4642" t="s">
        <v>11187</v>
      </c>
      <c r="AZ4642" t="s">
        <v>11221</v>
      </c>
      <c r="BD4642" t="s">
        <v>11667</v>
      </c>
      <c r="BG4642" t="s">
        <v>15529</v>
      </c>
      <c r="BM4642" t="s">
        <v>15650</v>
      </c>
    </row>
    <row r="4643" spans="1:65">
      <c r="A4643" s="1">
        <f>HYPERLINK("https://lsnyc.legalserver.org/matter/dynamic-profile/view/1903642","19-1903642")</f>
        <v>0</v>
      </c>
      <c r="B4643" t="s">
        <v>240</v>
      </c>
      <c r="C4643" t="s">
        <v>248</v>
      </c>
      <c r="D4643" t="s">
        <v>311</v>
      </c>
      <c r="F4643" t="s">
        <v>2841</v>
      </c>
      <c r="G4643" t="s">
        <v>3385</v>
      </c>
      <c r="H4643" t="s">
        <v>6342</v>
      </c>
      <c r="I4643" t="s">
        <v>6437</v>
      </c>
      <c r="J4643" t="s">
        <v>7174</v>
      </c>
      <c r="K4643">
        <v>11220</v>
      </c>
      <c r="M4643" t="s">
        <v>7227</v>
      </c>
      <c r="N4643" t="s">
        <v>7237</v>
      </c>
      <c r="O4643" t="s">
        <v>10017</v>
      </c>
      <c r="P4643">
        <v>3</v>
      </c>
      <c r="Q4643">
        <v>3</v>
      </c>
      <c r="R4643">
        <v>120.73</v>
      </c>
      <c r="U4643">
        <v>41760</v>
      </c>
      <c r="W4643">
        <v>0</v>
      </c>
      <c r="Y4643" t="s">
        <v>81</v>
      </c>
      <c r="AA4643" t="s">
        <v>10974</v>
      </c>
      <c r="AB4643" t="s">
        <v>311</v>
      </c>
      <c r="AD4643" t="s">
        <v>11101</v>
      </c>
      <c r="AF4643" t="s">
        <v>11118</v>
      </c>
      <c r="AH4643" t="s">
        <v>10974</v>
      </c>
      <c r="AI4643" t="s">
        <v>11126</v>
      </c>
      <c r="AK4643" t="s">
        <v>7225</v>
      </c>
      <c r="AM4643">
        <v>745</v>
      </c>
      <c r="AO4643">
        <v>54</v>
      </c>
      <c r="AP4643" t="s">
        <v>11155</v>
      </c>
      <c r="AR4643" t="s">
        <v>11172</v>
      </c>
      <c r="AU4643">
        <v>40</v>
      </c>
      <c r="AW4643" t="s">
        <v>11187</v>
      </c>
      <c r="BA4643" t="s">
        <v>11222</v>
      </c>
      <c r="BE4643" t="s">
        <v>14290</v>
      </c>
      <c r="BF4643" t="s">
        <v>14364</v>
      </c>
      <c r="BM4643" t="s">
        <v>15650</v>
      </c>
    </row>
    <row r="4644" spans="1:65">
      <c r="A4644" s="1">
        <f>HYPERLINK("https://lsnyc.legalserver.org/matter/dynamic-profile/view/1867935","18-1867935")</f>
        <v>0</v>
      </c>
      <c r="B4644" t="s">
        <v>240</v>
      </c>
      <c r="C4644" t="s">
        <v>248</v>
      </c>
      <c r="D4644" t="s">
        <v>827</v>
      </c>
      <c r="F4644" t="s">
        <v>1472</v>
      </c>
      <c r="G4644" t="s">
        <v>4711</v>
      </c>
      <c r="H4644" t="s">
        <v>6339</v>
      </c>
      <c r="I4644" t="s">
        <v>6761</v>
      </c>
      <c r="J4644" t="s">
        <v>7174</v>
      </c>
      <c r="K4644">
        <v>11226</v>
      </c>
      <c r="M4644" t="s">
        <v>7227</v>
      </c>
      <c r="N4644" t="s">
        <v>7237</v>
      </c>
      <c r="O4644" t="s">
        <v>10182</v>
      </c>
      <c r="P4644">
        <v>1</v>
      </c>
      <c r="Q4644">
        <v>0</v>
      </c>
      <c r="R4644">
        <v>420.1</v>
      </c>
      <c r="U4644">
        <v>51000</v>
      </c>
      <c r="W4644">
        <v>12</v>
      </c>
      <c r="X4644" t="s">
        <v>442</v>
      </c>
      <c r="Y4644" t="s">
        <v>10909</v>
      </c>
      <c r="AA4644" t="s">
        <v>10974</v>
      </c>
      <c r="AB4644" t="s">
        <v>959</v>
      </c>
      <c r="AD4644" t="s">
        <v>11082</v>
      </c>
      <c r="AF4644" t="s">
        <v>11118</v>
      </c>
      <c r="AH4644" t="s">
        <v>10974</v>
      </c>
      <c r="AJ4644" t="s">
        <v>11140</v>
      </c>
      <c r="AK4644" t="s">
        <v>7225</v>
      </c>
      <c r="AM4644">
        <v>1250</v>
      </c>
      <c r="AO4644">
        <v>6</v>
      </c>
      <c r="AQ4644" t="s">
        <v>11157</v>
      </c>
      <c r="AS4644" t="s">
        <v>11173</v>
      </c>
      <c r="AU4644">
        <v>1</v>
      </c>
      <c r="AW4644" t="s">
        <v>11187</v>
      </c>
      <c r="AZ4644" t="s">
        <v>11221</v>
      </c>
      <c r="BD4644" t="s">
        <v>11667</v>
      </c>
      <c r="BG4644" t="s">
        <v>15545</v>
      </c>
      <c r="BM4644" t="s">
        <v>15650</v>
      </c>
    </row>
    <row r="4645" spans="1:65">
      <c r="A4645" s="1">
        <f>HYPERLINK("https://lsnyc.legalserver.org/matter/dynamic-profile/view/1890798","19-1890798")</f>
        <v>0</v>
      </c>
      <c r="B4645" t="s">
        <v>240</v>
      </c>
      <c r="C4645" t="s">
        <v>248</v>
      </c>
      <c r="D4645" t="s">
        <v>367</v>
      </c>
      <c r="F4645" t="s">
        <v>2842</v>
      </c>
      <c r="G4645" t="s">
        <v>3789</v>
      </c>
      <c r="H4645" t="s">
        <v>6349</v>
      </c>
      <c r="I4645" t="s">
        <v>6447</v>
      </c>
      <c r="J4645" t="s">
        <v>7174</v>
      </c>
      <c r="K4645">
        <v>11235</v>
      </c>
      <c r="N4645" t="s">
        <v>7237</v>
      </c>
      <c r="O4645" t="s">
        <v>10183</v>
      </c>
      <c r="P4645">
        <v>2</v>
      </c>
      <c r="Q4645">
        <v>0</v>
      </c>
      <c r="R4645">
        <v>113.54</v>
      </c>
      <c r="U4645">
        <v>19200</v>
      </c>
      <c r="W4645">
        <v>13.25</v>
      </c>
      <c r="X4645" t="s">
        <v>548</v>
      </c>
      <c r="Y4645" t="s">
        <v>81</v>
      </c>
      <c r="AA4645" t="s">
        <v>10974</v>
      </c>
      <c r="AB4645" t="s">
        <v>1007</v>
      </c>
      <c r="AD4645" t="s">
        <v>11098</v>
      </c>
      <c r="AF4645" t="s">
        <v>11122</v>
      </c>
      <c r="AH4645" t="s">
        <v>10975</v>
      </c>
      <c r="AI4645" t="s">
        <v>11126</v>
      </c>
      <c r="AK4645" t="s">
        <v>7225</v>
      </c>
      <c r="AM4645">
        <v>93</v>
      </c>
      <c r="AN4645" t="s">
        <v>11151</v>
      </c>
      <c r="AO4645" t="s">
        <v>11153</v>
      </c>
      <c r="AP4645" t="s">
        <v>11155</v>
      </c>
      <c r="AR4645" t="s">
        <v>11172</v>
      </c>
      <c r="AT4645" t="s">
        <v>11184</v>
      </c>
      <c r="AU4645">
        <v>0</v>
      </c>
      <c r="AW4645" t="s">
        <v>11187</v>
      </c>
      <c r="AZ4645" t="s">
        <v>11221</v>
      </c>
      <c r="BE4645" t="s">
        <v>14291</v>
      </c>
      <c r="BF4645" t="s">
        <v>14364</v>
      </c>
      <c r="BM4645" t="s">
        <v>15650</v>
      </c>
    </row>
    <row r="4646" spans="1:65">
      <c r="A4646" s="1">
        <f>HYPERLINK("https://lsnyc.legalserver.org/matter/dynamic-profile/view/1890807","19-1890807")</f>
        <v>0</v>
      </c>
      <c r="B4646" t="s">
        <v>240</v>
      </c>
      <c r="C4646" t="s">
        <v>248</v>
      </c>
      <c r="D4646" t="s">
        <v>367</v>
      </c>
      <c r="F4646" t="s">
        <v>2842</v>
      </c>
      <c r="G4646" t="s">
        <v>3789</v>
      </c>
      <c r="H4646" t="s">
        <v>6349</v>
      </c>
      <c r="I4646" t="s">
        <v>6447</v>
      </c>
      <c r="J4646" t="s">
        <v>7174</v>
      </c>
      <c r="K4646">
        <v>11235</v>
      </c>
      <c r="N4646" t="s">
        <v>7237</v>
      </c>
      <c r="O4646" t="s">
        <v>10183</v>
      </c>
      <c r="P4646">
        <v>2</v>
      </c>
      <c r="Q4646">
        <v>0</v>
      </c>
      <c r="R4646">
        <v>113.54</v>
      </c>
      <c r="U4646">
        <v>19200</v>
      </c>
      <c r="V4646" t="s">
        <v>10798</v>
      </c>
      <c r="W4646">
        <v>4.25</v>
      </c>
      <c r="X4646" t="s">
        <v>614</v>
      </c>
      <c r="Y4646" t="s">
        <v>81</v>
      </c>
      <c r="AA4646" t="s">
        <v>10974</v>
      </c>
      <c r="AB4646" t="s">
        <v>651</v>
      </c>
      <c r="AD4646" t="s">
        <v>11098</v>
      </c>
      <c r="AF4646" t="s">
        <v>11122</v>
      </c>
      <c r="AH4646" t="s">
        <v>10975</v>
      </c>
      <c r="AI4646" t="s">
        <v>11126</v>
      </c>
      <c r="AK4646" t="s">
        <v>7225</v>
      </c>
      <c r="AM4646">
        <v>930</v>
      </c>
      <c r="AN4646" t="s">
        <v>11151</v>
      </c>
      <c r="AO4646" t="s">
        <v>11153</v>
      </c>
      <c r="AP4646" t="s">
        <v>11155</v>
      </c>
      <c r="AR4646" t="s">
        <v>11172</v>
      </c>
      <c r="AT4646" t="s">
        <v>11184</v>
      </c>
      <c r="AU4646">
        <v>0</v>
      </c>
      <c r="AW4646" t="s">
        <v>11187</v>
      </c>
      <c r="AZ4646" t="s">
        <v>11221</v>
      </c>
      <c r="BE4646" t="s">
        <v>14291</v>
      </c>
      <c r="BF4646" t="s">
        <v>14364</v>
      </c>
      <c r="BM4646" t="s">
        <v>15650</v>
      </c>
    </row>
    <row r="4647" spans="1:65">
      <c r="A4647" s="1">
        <f>HYPERLINK("https://lsnyc.legalserver.org/matter/dynamic-profile/view/1864902","18-1864902")</f>
        <v>0</v>
      </c>
      <c r="B4647" t="s">
        <v>240</v>
      </c>
      <c r="C4647" t="s">
        <v>248</v>
      </c>
      <c r="D4647" t="s">
        <v>716</v>
      </c>
      <c r="F4647" t="s">
        <v>1868</v>
      </c>
      <c r="G4647" t="s">
        <v>2443</v>
      </c>
      <c r="H4647" t="s">
        <v>6348</v>
      </c>
      <c r="I4647" t="s">
        <v>6947</v>
      </c>
      <c r="J4647" t="s">
        <v>7174</v>
      </c>
      <c r="K4647">
        <v>11226</v>
      </c>
      <c r="M4647" t="s">
        <v>7227</v>
      </c>
      <c r="N4647" t="s">
        <v>7237</v>
      </c>
      <c r="O4647" t="s">
        <v>10184</v>
      </c>
      <c r="P4647">
        <v>2</v>
      </c>
      <c r="Q4647">
        <v>0</v>
      </c>
      <c r="R4647">
        <v>75.94</v>
      </c>
      <c r="U4647">
        <v>12500</v>
      </c>
      <c r="W4647">
        <v>2.75</v>
      </c>
      <c r="X4647" t="s">
        <v>1006</v>
      </c>
      <c r="Y4647" t="s">
        <v>10909</v>
      </c>
      <c r="AA4647" t="s">
        <v>10974</v>
      </c>
      <c r="AB4647" t="s">
        <v>892</v>
      </c>
      <c r="AD4647" t="s">
        <v>11090</v>
      </c>
      <c r="AF4647" t="s">
        <v>11120</v>
      </c>
      <c r="AH4647" t="s">
        <v>10974</v>
      </c>
      <c r="AJ4647" t="s">
        <v>11141</v>
      </c>
      <c r="AK4647" t="s">
        <v>7225</v>
      </c>
      <c r="AM4647">
        <v>915</v>
      </c>
      <c r="AO4647">
        <v>6</v>
      </c>
      <c r="AQ4647" t="s">
        <v>11157</v>
      </c>
      <c r="AS4647" t="s">
        <v>11173</v>
      </c>
      <c r="AU4647">
        <v>9</v>
      </c>
      <c r="AW4647" t="s">
        <v>11187</v>
      </c>
      <c r="AZ4647" t="s">
        <v>11221</v>
      </c>
      <c r="BE4647" t="s">
        <v>14292</v>
      </c>
      <c r="BF4647" t="s">
        <v>14364</v>
      </c>
      <c r="BM4647" t="s">
        <v>15650</v>
      </c>
    </row>
    <row r="4648" spans="1:65">
      <c r="A4648" s="1">
        <f>HYPERLINK("https://lsnyc.legalserver.org/matter/dynamic-profile/view/1890810","19-1890810")</f>
        <v>0</v>
      </c>
      <c r="B4648" t="s">
        <v>240</v>
      </c>
      <c r="C4648" t="s">
        <v>248</v>
      </c>
      <c r="D4648" t="s">
        <v>367</v>
      </c>
      <c r="F4648" t="s">
        <v>2842</v>
      </c>
      <c r="G4648" t="s">
        <v>3789</v>
      </c>
      <c r="H4648" t="s">
        <v>6349</v>
      </c>
      <c r="I4648" t="s">
        <v>6447</v>
      </c>
      <c r="J4648" t="s">
        <v>7174</v>
      </c>
      <c r="K4648">
        <v>11235</v>
      </c>
      <c r="N4648" t="s">
        <v>7237</v>
      </c>
      <c r="O4648" t="s">
        <v>10183</v>
      </c>
      <c r="P4648">
        <v>2</v>
      </c>
      <c r="Q4648">
        <v>0</v>
      </c>
      <c r="R4648">
        <v>113.54</v>
      </c>
      <c r="U4648">
        <v>19200</v>
      </c>
      <c r="V4648" t="s">
        <v>10799</v>
      </c>
      <c r="W4648">
        <v>4.5</v>
      </c>
      <c r="X4648" t="s">
        <v>611</v>
      </c>
      <c r="Y4648" t="s">
        <v>81</v>
      </c>
      <c r="AA4648" t="s">
        <v>10974</v>
      </c>
      <c r="AB4648" t="s">
        <v>373</v>
      </c>
      <c r="AD4648" t="s">
        <v>11088</v>
      </c>
      <c r="AF4648" t="s">
        <v>11120</v>
      </c>
      <c r="AH4648" t="s">
        <v>10975</v>
      </c>
      <c r="AI4648" t="s">
        <v>11126</v>
      </c>
      <c r="AK4648" t="s">
        <v>7225</v>
      </c>
      <c r="AM4648">
        <v>930</v>
      </c>
      <c r="AO4648">
        <v>144</v>
      </c>
      <c r="AP4648" t="s">
        <v>11155</v>
      </c>
      <c r="AR4648" t="s">
        <v>11172</v>
      </c>
      <c r="AT4648" t="s">
        <v>11184</v>
      </c>
      <c r="AU4648">
        <v>0</v>
      </c>
      <c r="AW4648" t="s">
        <v>11187</v>
      </c>
      <c r="BA4648" t="s">
        <v>11222</v>
      </c>
      <c r="BE4648" t="s">
        <v>14291</v>
      </c>
      <c r="BF4648" t="s">
        <v>14364</v>
      </c>
      <c r="BM4648" t="s">
        <v>15650</v>
      </c>
    </row>
    <row r="4649" spans="1:65">
      <c r="A4649" s="1">
        <f>HYPERLINK("https://lsnyc.legalserver.org/matter/dynamic-profile/view/1913897","19-1913897")</f>
        <v>0</v>
      </c>
      <c r="B4649" t="s">
        <v>240</v>
      </c>
      <c r="C4649" t="s">
        <v>248</v>
      </c>
      <c r="D4649" t="s">
        <v>735</v>
      </c>
      <c r="F4649" t="s">
        <v>2074</v>
      </c>
      <c r="G4649" t="s">
        <v>2334</v>
      </c>
      <c r="H4649" t="s">
        <v>6180</v>
      </c>
      <c r="I4649" t="s">
        <v>6440</v>
      </c>
      <c r="J4649" t="s">
        <v>7174</v>
      </c>
      <c r="K4649">
        <v>11213</v>
      </c>
      <c r="N4649" t="s">
        <v>7237</v>
      </c>
      <c r="O4649" t="s">
        <v>10185</v>
      </c>
      <c r="P4649">
        <v>2</v>
      </c>
      <c r="Q4649">
        <v>0</v>
      </c>
      <c r="R4649">
        <v>337.08</v>
      </c>
      <c r="U4649">
        <v>57000</v>
      </c>
      <c r="W4649">
        <v>0</v>
      </c>
      <c r="Y4649" t="s">
        <v>81</v>
      </c>
      <c r="AA4649" t="s">
        <v>10974</v>
      </c>
      <c r="AB4649" t="s">
        <v>735</v>
      </c>
      <c r="AC4649" t="s">
        <v>11081</v>
      </c>
      <c r="AF4649" t="s">
        <v>11118</v>
      </c>
      <c r="AG4649" t="s">
        <v>11124</v>
      </c>
      <c r="AI4649" t="s">
        <v>11126</v>
      </c>
      <c r="AK4649" t="s">
        <v>7225</v>
      </c>
      <c r="AM4649">
        <v>1207.2</v>
      </c>
      <c r="AO4649">
        <v>23</v>
      </c>
      <c r="AP4649" t="s">
        <v>11155</v>
      </c>
      <c r="AR4649" t="s">
        <v>11172</v>
      </c>
      <c r="AU4649">
        <v>21</v>
      </c>
      <c r="AW4649" t="s">
        <v>11187</v>
      </c>
      <c r="BA4649" t="s">
        <v>11222</v>
      </c>
      <c r="BE4649" t="s">
        <v>14293</v>
      </c>
      <c r="BF4649" t="s">
        <v>14364</v>
      </c>
      <c r="BM4649" t="s">
        <v>15650</v>
      </c>
    </row>
    <row r="4650" spans="1:65">
      <c r="A4650" s="1">
        <f>HYPERLINK("https://lsnyc.legalserver.org/matter/dynamic-profile/view/1890808","19-1890808")</f>
        <v>0</v>
      </c>
      <c r="B4650" t="s">
        <v>240</v>
      </c>
      <c r="C4650" t="s">
        <v>248</v>
      </c>
      <c r="D4650" t="s">
        <v>367</v>
      </c>
      <c r="F4650" t="s">
        <v>2842</v>
      </c>
      <c r="G4650" t="s">
        <v>3789</v>
      </c>
      <c r="H4650" t="s">
        <v>6349</v>
      </c>
      <c r="I4650" t="s">
        <v>6447</v>
      </c>
      <c r="J4650" t="s">
        <v>7174</v>
      </c>
      <c r="K4650">
        <v>11235</v>
      </c>
      <c r="N4650" t="s">
        <v>7237</v>
      </c>
      <c r="O4650" t="s">
        <v>10183</v>
      </c>
      <c r="P4650">
        <v>2</v>
      </c>
      <c r="Q4650">
        <v>0</v>
      </c>
      <c r="R4650">
        <v>114.25</v>
      </c>
      <c r="U4650">
        <v>19320</v>
      </c>
      <c r="V4650" t="s">
        <v>10800</v>
      </c>
      <c r="W4650">
        <v>1.75</v>
      </c>
      <c r="X4650" t="s">
        <v>565</v>
      </c>
      <c r="Y4650" t="s">
        <v>81</v>
      </c>
      <c r="AA4650" t="s">
        <v>10974</v>
      </c>
      <c r="AB4650" t="s">
        <v>344</v>
      </c>
      <c r="AD4650" t="s">
        <v>11100</v>
      </c>
      <c r="AF4650" t="s">
        <v>11120</v>
      </c>
      <c r="AH4650" t="s">
        <v>10975</v>
      </c>
      <c r="AI4650" t="s">
        <v>11126</v>
      </c>
      <c r="AK4650" t="s">
        <v>7225</v>
      </c>
      <c r="AL4650" t="s">
        <v>11150</v>
      </c>
      <c r="AM4650">
        <v>0</v>
      </c>
      <c r="AN4650" t="s">
        <v>11151</v>
      </c>
      <c r="AO4650" t="s">
        <v>11153</v>
      </c>
      <c r="AP4650" t="s">
        <v>11155</v>
      </c>
      <c r="AR4650" t="s">
        <v>11172</v>
      </c>
      <c r="AT4650" t="s">
        <v>11184</v>
      </c>
      <c r="AU4650">
        <v>0</v>
      </c>
      <c r="AW4650" t="s">
        <v>11187</v>
      </c>
      <c r="AZ4650" t="s">
        <v>11221</v>
      </c>
      <c r="BE4650" t="s">
        <v>14291</v>
      </c>
      <c r="BF4650" t="s">
        <v>14364</v>
      </c>
      <c r="BM4650" t="s">
        <v>15650</v>
      </c>
    </row>
    <row r="4651" spans="1:65">
      <c r="A4651" s="1">
        <f>HYPERLINK("https://lsnyc.legalserver.org/matter/dynamic-profile/view/1915501","19-1915501")</f>
        <v>0</v>
      </c>
      <c r="B4651" t="s">
        <v>240</v>
      </c>
      <c r="C4651" t="s">
        <v>248</v>
      </c>
      <c r="D4651" t="s">
        <v>1076</v>
      </c>
      <c r="F4651" t="s">
        <v>2535</v>
      </c>
      <c r="G4651" t="s">
        <v>4712</v>
      </c>
      <c r="H4651" t="s">
        <v>6339</v>
      </c>
      <c r="I4651" t="s">
        <v>6968</v>
      </c>
      <c r="J4651" t="s">
        <v>7174</v>
      </c>
      <c r="K4651">
        <v>11226</v>
      </c>
      <c r="N4651" t="s">
        <v>7237</v>
      </c>
      <c r="O4651" t="s">
        <v>10186</v>
      </c>
      <c r="P4651">
        <v>2</v>
      </c>
      <c r="Q4651">
        <v>0</v>
      </c>
      <c r="R4651">
        <v>340.8</v>
      </c>
      <c r="U4651">
        <v>57630</v>
      </c>
      <c r="W4651">
        <v>0</v>
      </c>
      <c r="Y4651" t="s">
        <v>81</v>
      </c>
      <c r="AA4651" t="s">
        <v>10974</v>
      </c>
      <c r="AB4651" t="s">
        <v>264</v>
      </c>
      <c r="AD4651" t="s">
        <v>11100</v>
      </c>
      <c r="AF4651" t="s">
        <v>11120</v>
      </c>
      <c r="AH4651" t="s">
        <v>10974</v>
      </c>
      <c r="AI4651" t="s">
        <v>11126</v>
      </c>
      <c r="AK4651" t="s">
        <v>7225</v>
      </c>
      <c r="AL4651" t="s">
        <v>11150</v>
      </c>
      <c r="AM4651">
        <v>0</v>
      </c>
      <c r="AN4651" t="s">
        <v>11151</v>
      </c>
      <c r="AO4651" t="s">
        <v>11153</v>
      </c>
      <c r="AP4651" t="s">
        <v>11155</v>
      </c>
      <c r="AR4651" t="s">
        <v>11172</v>
      </c>
      <c r="AT4651" t="s">
        <v>11184</v>
      </c>
      <c r="AU4651">
        <v>0</v>
      </c>
      <c r="AV4651" t="s">
        <v>11186</v>
      </c>
      <c r="BA4651" t="s">
        <v>11222</v>
      </c>
      <c r="BD4651" t="s">
        <v>11667</v>
      </c>
      <c r="BF4651" t="s">
        <v>14364</v>
      </c>
      <c r="BM4651" t="s">
        <v>15650</v>
      </c>
    </row>
    <row r="4652" spans="1:65">
      <c r="A4652" s="1">
        <f>HYPERLINK("https://lsnyc.legalserver.org/matter/dynamic-profile/view/1862894","18-1862894")</f>
        <v>0</v>
      </c>
      <c r="B4652" t="s">
        <v>240</v>
      </c>
      <c r="C4652" t="s">
        <v>248</v>
      </c>
      <c r="D4652" t="s">
        <v>488</v>
      </c>
      <c r="F4652" t="s">
        <v>1108</v>
      </c>
      <c r="G4652" t="s">
        <v>4713</v>
      </c>
      <c r="H4652" t="s">
        <v>6341</v>
      </c>
      <c r="I4652" t="s">
        <v>6974</v>
      </c>
      <c r="J4652" t="s">
        <v>7174</v>
      </c>
      <c r="K4652">
        <v>11225</v>
      </c>
      <c r="M4652" t="s">
        <v>7227</v>
      </c>
      <c r="N4652" t="s">
        <v>7237</v>
      </c>
      <c r="O4652" t="s">
        <v>10187</v>
      </c>
      <c r="P4652">
        <v>3</v>
      </c>
      <c r="Q4652">
        <v>0</v>
      </c>
      <c r="R4652">
        <v>118.38</v>
      </c>
      <c r="U4652">
        <v>24600</v>
      </c>
      <c r="W4652">
        <v>1.25</v>
      </c>
      <c r="X4652" t="s">
        <v>620</v>
      </c>
      <c r="Y4652" t="s">
        <v>10909</v>
      </c>
      <c r="AA4652" t="s">
        <v>10974</v>
      </c>
      <c r="AB4652" t="s">
        <v>488</v>
      </c>
      <c r="AD4652" t="s">
        <v>11101</v>
      </c>
      <c r="AF4652" t="s">
        <v>11118</v>
      </c>
      <c r="AH4652" t="s">
        <v>10974</v>
      </c>
      <c r="AJ4652" t="s">
        <v>11141</v>
      </c>
      <c r="AK4652" t="s">
        <v>7225</v>
      </c>
      <c r="AM4652">
        <v>1000</v>
      </c>
      <c r="AO4652">
        <v>47</v>
      </c>
      <c r="AQ4652" t="s">
        <v>11157</v>
      </c>
      <c r="AS4652" t="s">
        <v>11173</v>
      </c>
      <c r="AU4652">
        <v>36</v>
      </c>
      <c r="AW4652" t="s">
        <v>11187</v>
      </c>
      <c r="AZ4652" t="s">
        <v>11221</v>
      </c>
      <c r="BD4652" t="s">
        <v>11667</v>
      </c>
      <c r="BF4652" t="s">
        <v>14364</v>
      </c>
      <c r="BM4652" t="s">
        <v>15650</v>
      </c>
    </row>
    <row r="4653" spans="1:65">
      <c r="A4653" s="1">
        <f>HYPERLINK("https://lsnyc.legalserver.org/matter/dynamic-profile/view/1863782","18-1863782")</f>
        <v>0</v>
      </c>
      <c r="B4653" t="s">
        <v>240</v>
      </c>
      <c r="C4653" t="s">
        <v>248</v>
      </c>
      <c r="D4653" t="s">
        <v>350</v>
      </c>
      <c r="F4653" t="s">
        <v>2261</v>
      </c>
      <c r="G4653" t="s">
        <v>4704</v>
      </c>
      <c r="H4653" t="s">
        <v>6348</v>
      </c>
      <c r="I4653" t="s">
        <v>6737</v>
      </c>
      <c r="J4653" t="s">
        <v>7174</v>
      </c>
      <c r="K4653">
        <v>11226</v>
      </c>
      <c r="M4653" t="s">
        <v>7227</v>
      </c>
      <c r="N4653" t="s">
        <v>7237</v>
      </c>
      <c r="O4653" t="s">
        <v>10169</v>
      </c>
      <c r="P4653">
        <v>1</v>
      </c>
      <c r="Q4653">
        <v>0</v>
      </c>
      <c r="R4653">
        <v>171.33</v>
      </c>
      <c r="U4653">
        <v>20800</v>
      </c>
      <c r="W4653">
        <v>44.75</v>
      </c>
      <c r="X4653" t="s">
        <v>567</v>
      </c>
      <c r="Y4653" t="s">
        <v>10909</v>
      </c>
      <c r="AA4653" t="s">
        <v>10974</v>
      </c>
      <c r="AB4653" t="s">
        <v>730</v>
      </c>
      <c r="AD4653" t="s">
        <v>11101</v>
      </c>
      <c r="AF4653" t="s">
        <v>11120</v>
      </c>
      <c r="AH4653" t="s">
        <v>10974</v>
      </c>
      <c r="AJ4653" t="s">
        <v>11141</v>
      </c>
      <c r="AK4653" t="s">
        <v>7225</v>
      </c>
      <c r="AM4653">
        <v>560</v>
      </c>
      <c r="AO4653">
        <v>6</v>
      </c>
      <c r="AQ4653" t="s">
        <v>11157</v>
      </c>
      <c r="AS4653" t="s">
        <v>11173</v>
      </c>
      <c r="AU4653">
        <v>17</v>
      </c>
      <c r="AW4653" t="s">
        <v>11187</v>
      </c>
      <c r="AZ4653" t="s">
        <v>11221</v>
      </c>
      <c r="BD4653" t="s">
        <v>11667</v>
      </c>
      <c r="BF4653" t="s">
        <v>14364</v>
      </c>
      <c r="BM4653" t="s">
        <v>15650</v>
      </c>
    </row>
    <row r="4654" spans="1:65">
      <c r="A4654" s="1">
        <f>HYPERLINK("https://lsnyc.legalserver.org/matter/dynamic-profile/view/1864205","18-1864205")</f>
        <v>0</v>
      </c>
      <c r="B4654" t="s">
        <v>240</v>
      </c>
      <c r="C4654" t="s">
        <v>248</v>
      </c>
      <c r="D4654" t="s">
        <v>817</v>
      </c>
      <c r="F4654" t="s">
        <v>1799</v>
      </c>
      <c r="G4654" t="s">
        <v>4705</v>
      </c>
      <c r="H4654" t="s">
        <v>6348</v>
      </c>
      <c r="I4654" t="s">
        <v>6760</v>
      </c>
      <c r="J4654" t="s">
        <v>7174</v>
      </c>
      <c r="K4654">
        <v>11226</v>
      </c>
      <c r="M4654" t="s">
        <v>7227</v>
      </c>
      <c r="N4654" t="s">
        <v>7237</v>
      </c>
      <c r="O4654" t="s">
        <v>10171</v>
      </c>
      <c r="P4654">
        <v>2</v>
      </c>
      <c r="Q4654">
        <v>1</v>
      </c>
      <c r="R4654">
        <v>75.06999999999999</v>
      </c>
      <c r="U4654">
        <v>15600</v>
      </c>
      <c r="W4654">
        <v>2</v>
      </c>
      <c r="X4654" t="s">
        <v>505</v>
      </c>
      <c r="Y4654" t="s">
        <v>10909</v>
      </c>
      <c r="AA4654" t="s">
        <v>10974</v>
      </c>
      <c r="AB4654" t="s">
        <v>730</v>
      </c>
      <c r="AD4654" t="s">
        <v>11101</v>
      </c>
      <c r="AF4654" t="s">
        <v>11120</v>
      </c>
      <c r="AH4654" t="s">
        <v>10974</v>
      </c>
      <c r="AJ4654" t="s">
        <v>11141</v>
      </c>
      <c r="AK4654" t="s">
        <v>7225</v>
      </c>
      <c r="AM4654">
        <v>884</v>
      </c>
      <c r="AO4654">
        <v>6</v>
      </c>
      <c r="AQ4654" t="s">
        <v>11157</v>
      </c>
      <c r="AS4654" t="s">
        <v>11173</v>
      </c>
      <c r="AU4654">
        <v>16</v>
      </c>
      <c r="AW4654" t="s">
        <v>11187</v>
      </c>
      <c r="AZ4654" t="s">
        <v>11221</v>
      </c>
      <c r="BD4654" t="s">
        <v>11667</v>
      </c>
      <c r="BF4654" t="s">
        <v>14364</v>
      </c>
      <c r="BM4654" t="s">
        <v>15650</v>
      </c>
    </row>
    <row r="4655" spans="1:65">
      <c r="A4655" s="1">
        <f>HYPERLINK("https://lsnyc.legalserver.org/matter/dynamic-profile/view/1889539","19-1889539")</f>
        <v>0</v>
      </c>
      <c r="B4655" t="s">
        <v>240</v>
      </c>
      <c r="C4655" t="s">
        <v>248</v>
      </c>
      <c r="D4655" t="s">
        <v>1077</v>
      </c>
      <c r="F4655" t="s">
        <v>2842</v>
      </c>
      <c r="G4655" t="s">
        <v>3789</v>
      </c>
      <c r="H4655" t="s">
        <v>6349</v>
      </c>
      <c r="I4655" t="s">
        <v>6447</v>
      </c>
      <c r="J4655" t="s">
        <v>7174</v>
      </c>
      <c r="K4655">
        <v>11235</v>
      </c>
      <c r="N4655" t="s">
        <v>7237</v>
      </c>
      <c r="O4655" t="s">
        <v>10183</v>
      </c>
      <c r="P4655">
        <v>2</v>
      </c>
      <c r="Q4655">
        <v>0</v>
      </c>
      <c r="R4655">
        <v>113.54</v>
      </c>
      <c r="U4655">
        <v>19200</v>
      </c>
      <c r="W4655">
        <v>16.05</v>
      </c>
      <c r="X4655" t="s">
        <v>599</v>
      </c>
      <c r="Y4655" t="s">
        <v>81</v>
      </c>
      <c r="AA4655" t="s">
        <v>10974</v>
      </c>
      <c r="AB4655" t="s">
        <v>339</v>
      </c>
      <c r="AD4655" t="s">
        <v>11109</v>
      </c>
      <c r="AF4655" t="s">
        <v>11123</v>
      </c>
      <c r="AG4655" t="s">
        <v>11124</v>
      </c>
      <c r="AI4655" t="s">
        <v>11126</v>
      </c>
      <c r="AK4655" t="s">
        <v>7225</v>
      </c>
      <c r="AL4655" t="s">
        <v>11150</v>
      </c>
      <c r="AM4655">
        <v>0</v>
      </c>
      <c r="AN4655" t="s">
        <v>11151</v>
      </c>
      <c r="AO4655" t="s">
        <v>11153</v>
      </c>
      <c r="AQ4655" t="s">
        <v>11160</v>
      </c>
      <c r="AR4655" t="s">
        <v>11172</v>
      </c>
      <c r="AT4655" t="s">
        <v>11184</v>
      </c>
      <c r="AU4655">
        <v>0</v>
      </c>
      <c r="AW4655" t="s">
        <v>11187</v>
      </c>
      <c r="AZ4655" t="s">
        <v>11221</v>
      </c>
      <c r="BE4655" t="s">
        <v>14291</v>
      </c>
      <c r="BF4655" t="s">
        <v>14364</v>
      </c>
      <c r="BM4655" t="s">
        <v>15650</v>
      </c>
    </row>
    <row r="4656" spans="1:65">
      <c r="A4656" s="1">
        <f>HYPERLINK("https://lsnyc.legalserver.org/matter/dynamic-profile/view/1903826","19-1903826")</f>
        <v>0</v>
      </c>
      <c r="B4656" t="s">
        <v>240</v>
      </c>
      <c r="C4656" t="s">
        <v>248</v>
      </c>
      <c r="D4656" t="s">
        <v>260</v>
      </c>
      <c r="F4656" t="s">
        <v>1472</v>
      </c>
      <c r="G4656" t="s">
        <v>4714</v>
      </c>
      <c r="H4656" t="s">
        <v>6342</v>
      </c>
      <c r="I4656" t="s">
        <v>6495</v>
      </c>
      <c r="J4656" t="s">
        <v>7174</v>
      </c>
      <c r="K4656">
        <v>11220</v>
      </c>
      <c r="M4656" t="s">
        <v>7227</v>
      </c>
      <c r="N4656" t="s">
        <v>7237</v>
      </c>
      <c r="O4656" t="s">
        <v>10188</v>
      </c>
      <c r="P4656">
        <v>3</v>
      </c>
      <c r="Q4656">
        <v>0</v>
      </c>
      <c r="R4656">
        <v>365.68</v>
      </c>
      <c r="U4656">
        <v>78000</v>
      </c>
      <c r="W4656">
        <v>5.3</v>
      </c>
      <c r="X4656" t="s">
        <v>328</v>
      </c>
      <c r="Y4656" t="s">
        <v>212</v>
      </c>
      <c r="AA4656" t="s">
        <v>10974</v>
      </c>
      <c r="AB4656" t="s">
        <v>659</v>
      </c>
      <c r="AD4656" t="s">
        <v>11101</v>
      </c>
      <c r="AF4656" t="s">
        <v>11118</v>
      </c>
      <c r="AH4656" t="s">
        <v>10974</v>
      </c>
      <c r="AI4656" t="s">
        <v>11126</v>
      </c>
      <c r="AK4656" t="s">
        <v>7225</v>
      </c>
      <c r="AL4656" t="s">
        <v>11150</v>
      </c>
      <c r="AM4656">
        <v>0</v>
      </c>
      <c r="AN4656" t="s">
        <v>11151</v>
      </c>
      <c r="AO4656" t="s">
        <v>11153</v>
      </c>
      <c r="AP4656" t="s">
        <v>11155</v>
      </c>
      <c r="AR4656" t="s">
        <v>11172</v>
      </c>
      <c r="AT4656" t="s">
        <v>11184</v>
      </c>
      <c r="AU4656">
        <v>0</v>
      </c>
      <c r="AV4656" t="s">
        <v>11186</v>
      </c>
      <c r="BA4656" t="s">
        <v>11222</v>
      </c>
      <c r="BD4656" t="s">
        <v>11667</v>
      </c>
      <c r="BF4656" t="s">
        <v>14364</v>
      </c>
      <c r="BM4656" t="s">
        <v>15650</v>
      </c>
    </row>
    <row r="4657" spans="1:65">
      <c r="A4657" s="1">
        <f>HYPERLINK("https://lsnyc.legalserver.org/matter/dynamic-profile/view/1862660","18-1862660")</f>
        <v>0</v>
      </c>
      <c r="B4657" t="s">
        <v>240</v>
      </c>
      <c r="C4657" t="s">
        <v>248</v>
      </c>
      <c r="D4657" t="s">
        <v>725</v>
      </c>
      <c r="F4657" t="s">
        <v>1331</v>
      </c>
      <c r="G4657" t="s">
        <v>4710</v>
      </c>
      <c r="H4657" t="s">
        <v>6344</v>
      </c>
      <c r="I4657" t="s">
        <v>6621</v>
      </c>
      <c r="J4657" t="s">
        <v>7174</v>
      </c>
      <c r="K4657">
        <v>11226</v>
      </c>
      <c r="M4657" t="s">
        <v>7227</v>
      </c>
      <c r="N4657" t="s">
        <v>7237</v>
      </c>
      <c r="O4657" t="s">
        <v>10179</v>
      </c>
      <c r="P4657">
        <v>1</v>
      </c>
      <c r="Q4657">
        <v>1</v>
      </c>
      <c r="R4657">
        <v>115.43</v>
      </c>
      <c r="U4657">
        <v>19000</v>
      </c>
      <c r="W4657">
        <v>0.5</v>
      </c>
      <c r="X4657" t="s">
        <v>773</v>
      </c>
      <c r="Y4657" t="s">
        <v>10909</v>
      </c>
      <c r="AA4657" t="s">
        <v>10974</v>
      </c>
      <c r="AB4657" t="s">
        <v>939</v>
      </c>
      <c r="AD4657" t="s">
        <v>11096</v>
      </c>
      <c r="AF4657" t="s">
        <v>11118</v>
      </c>
      <c r="AH4657" t="s">
        <v>10974</v>
      </c>
      <c r="AJ4657" t="s">
        <v>11141</v>
      </c>
      <c r="AK4657" t="s">
        <v>7225</v>
      </c>
      <c r="AL4657" t="s">
        <v>11150</v>
      </c>
      <c r="AM4657">
        <v>0</v>
      </c>
      <c r="AO4657">
        <v>61</v>
      </c>
      <c r="AQ4657" t="s">
        <v>11157</v>
      </c>
      <c r="AR4657" t="s">
        <v>11172</v>
      </c>
      <c r="AU4657">
        <v>35</v>
      </c>
      <c r="AW4657" t="s">
        <v>11187</v>
      </c>
      <c r="AZ4657" t="s">
        <v>11221</v>
      </c>
      <c r="BD4657" t="s">
        <v>11667</v>
      </c>
      <c r="BG4657" t="s">
        <v>15546</v>
      </c>
      <c r="BM4657" t="s">
        <v>15650</v>
      </c>
    </row>
    <row r="4658" spans="1:65">
      <c r="A4658" s="1">
        <f>HYPERLINK("https://lsnyc.legalserver.org/matter/dynamic-profile/view/1896441","19-1896441")</f>
        <v>0</v>
      </c>
      <c r="B4658" t="s">
        <v>240</v>
      </c>
      <c r="C4658" t="s">
        <v>248</v>
      </c>
      <c r="D4658" t="s">
        <v>412</v>
      </c>
      <c r="F4658" t="s">
        <v>1638</v>
      </c>
      <c r="G4658" t="s">
        <v>4715</v>
      </c>
      <c r="H4658" t="s">
        <v>6350</v>
      </c>
      <c r="I4658" t="s">
        <v>7160</v>
      </c>
      <c r="J4658" t="s">
        <v>7174</v>
      </c>
      <c r="K4658">
        <v>11209</v>
      </c>
      <c r="N4658" t="s">
        <v>7237</v>
      </c>
      <c r="O4658" t="s">
        <v>10189</v>
      </c>
      <c r="P4658">
        <v>1</v>
      </c>
      <c r="Q4658">
        <v>1</v>
      </c>
      <c r="R4658">
        <v>145.48</v>
      </c>
      <c r="U4658">
        <v>24600</v>
      </c>
      <c r="W4658">
        <v>24.45</v>
      </c>
      <c r="X4658" t="s">
        <v>797</v>
      </c>
      <c r="Y4658" t="s">
        <v>212</v>
      </c>
      <c r="AA4658" t="s">
        <v>10974</v>
      </c>
      <c r="AB4658" t="s">
        <v>412</v>
      </c>
      <c r="AD4658" t="s">
        <v>11100</v>
      </c>
      <c r="AF4658" t="s">
        <v>11120</v>
      </c>
      <c r="AG4658" t="s">
        <v>11124</v>
      </c>
      <c r="AI4658" t="s">
        <v>11126</v>
      </c>
      <c r="AK4658" t="s">
        <v>7225</v>
      </c>
      <c r="AL4658" t="s">
        <v>11150</v>
      </c>
      <c r="AM4658">
        <v>0</v>
      </c>
      <c r="AN4658" t="s">
        <v>11151</v>
      </c>
      <c r="AO4658" t="s">
        <v>11153</v>
      </c>
      <c r="AP4658" t="s">
        <v>11155</v>
      </c>
      <c r="AR4658" t="s">
        <v>11172</v>
      </c>
      <c r="AT4658" t="s">
        <v>11184</v>
      </c>
      <c r="AU4658">
        <v>0</v>
      </c>
      <c r="AW4658" t="s">
        <v>11187</v>
      </c>
      <c r="BA4658" t="s">
        <v>11222</v>
      </c>
      <c r="BE4658" t="s">
        <v>14294</v>
      </c>
      <c r="BF4658" t="s">
        <v>14364</v>
      </c>
      <c r="BM4658" t="s">
        <v>15650</v>
      </c>
    </row>
    <row r="4659" spans="1:65">
      <c r="A4659" s="1">
        <f>HYPERLINK("https://lsnyc.legalserver.org/matter/dynamic-profile/view/1902983","19-1902983")</f>
        <v>0</v>
      </c>
      <c r="B4659" t="s">
        <v>240</v>
      </c>
      <c r="C4659" t="s">
        <v>248</v>
      </c>
      <c r="D4659" t="s">
        <v>611</v>
      </c>
      <c r="F4659" t="s">
        <v>2096</v>
      </c>
      <c r="G4659" t="s">
        <v>4716</v>
      </c>
      <c r="H4659" t="s">
        <v>6180</v>
      </c>
      <c r="I4659" t="s">
        <v>6405</v>
      </c>
      <c r="J4659" t="s">
        <v>7174</v>
      </c>
      <c r="K4659">
        <v>11213</v>
      </c>
      <c r="M4659" t="s">
        <v>7227</v>
      </c>
      <c r="N4659" t="s">
        <v>7237</v>
      </c>
      <c r="O4659" t="s">
        <v>10190</v>
      </c>
      <c r="P4659">
        <v>1</v>
      </c>
      <c r="Q4659">
        <v>0</v>
      </c>
      <c r="R4659">
        <v>541.23</v>
      </c>
      <c r="U4659">
        <v>67600</v>
      </c>
      <c r="W4659">
        <v>3</v>
      </c>
      <c r="X4659" t="s">
        <v>322</v>
      </c>
      <c r="Y4659" t="s">
        <v>81</v>
      </c>
      <c r="AA4659" t="s">
        <v>10974</v>
      </c>
      <c r="AB4659" t="s">
        <v>611</v>
      </c>
      <c r="AD4659" t="s">
        <v>11082</v>
      </c>
      <c r="AF4659" t="s">
        <v>11118</v>
      </c>
      <c r="AH4659" t="s">
        <v>10975</v>
      </c>
      <c r="AI4659" t="s">
        <v>11126</v>
      </c>
      <c r="AK4659" t="s">
        <v>7225</v>
      </c>
      <c r="AL4659" t="s">
        <v>11150</v>
      </c>
      <c r="AM4659">
        <v>0</v>
      </c>
      <c r="AN4659" t="s">
        <v>11151</v>
      </c>
      <c r="AO4659" t="s">
        <v>11153</v>
      </c>
      <c r="AP4659" t="s">
        <v>11155</v>
      </c>
      <c r="AR4659" t="s">
        <v>11172</v>
      </c>
      <c r="AT4659" t="s">
        <v>11184</v>
      </c>
      <c r="AU4659">
        <v>0</v>
      </c>
      <c r="AV4659" t="s">
        <v>11186</v>
      </c>
      <c r="AZ4659" t="s">
        <v>11221</v>
      </c>
      <c r="BE4659" t="s">
        <v>14295</v>
      </c>
      <c r="BF4659" t="s">
        <v>14364</v>
      </c>
      <c r="BM4659" t="s">
        <v>15650</v>
      </c>
    </row>
    <row r="4660" spans="1:65">
      <c r="A4660" s="1">
        <f>HYPERLINK("https://lsnyc.legalserver.org/matter/dynamic-profile/view/1864743","18-1864743")</f>
        <v>0</v>
      </c>
      <c r="B4660" t="s">
        <v>240</v>
      </c>
      <c r="C4660" t="s">
        <v>248</v>
      </c>
      <c r="D4660" t="s">
        <v>818</v>
      </c>
      <c r="F4660" t="s">
        <v>2843</v>
      </c>
      <c r="G4660" t="s">
        <v>4717</v>
      </c>
      <c r="H4660" t="s">
        <v>6341</v>
      </c>
      <c r="I4660" t="s">
        <v>6803</v>
      </c>
      <c r="J4660" t="s">
        <v>7174</v>
      </c>
      <c r="K4660">
        <v>11225</v>
      </c>
      <c r="N4660" t="s">
        <v>7237</v>
      </c>
      <c r="O4660" t="s">
        <v>10191</v>
      </c>
      <c r="P4660">
        <v>2</v>
      </c>
      <c r="Q4660">
        <v>3</v>
      </c>
      <c r="R4660">
        <v>98.56999999999999</v>
      </c>
      <c r="U4660">
        <v>29000</v>
      </c>
      <c r="W4660">
        <v>59.25</v>
      </c>
      <c r="X4660" t="s">
        <v>696</v>
      </c>
      <c r="Y4660" t="s">
        <v>10909</v>
      </c>
      <c r="AA4660" t="s">
        <v>10974</v>
      </c>
      <c r="AB4660" t="s">
        <v>730</v>
      </c>
      <c r="AD4660" t="s">
        <v>11101</v>
      </c>
      <c r="AF4660" t="s">
        <v>11118</v>
      </c>
      <c r="AH4660" t="s">
        <v>10974</v>
      </c>
      <c r="AJ4660" t="s">
        <v>11141</v>
      </c>
      <c r="AK4660" t="s">
        <v>7225</v>
      </c>
      <c r="AM4660">
        <v>1322.21</v>
      </c>
      <c r="AO4660">
        <v>47</v>
      </c>
      <c r="AQ4660" t="s">
        <v>11157</v>
      </c>
      <c r="AS4660" t="s">
        <v>11173</v>
      </c>
      <c r="AU4660">
        <v>15</v>
      </c>
      <c r="AW4660" t="s">
        <v>11187</v>
      </c>
      <c r="AZ4660" t="s">
        <v>11221</v>
      </c>
      <c r="BD4660" t="s">
        <v>11667</v>
      </c>
      <c r="BG4660" t="s">
        <v>15547</v>
      </c>
      <c r="BM4660" t="s">
        <v>15650</v>
      </c>
    </row>
    <row r="4661" spans="1:65">
      <c r="A4661" s="1">
        <f>HYPERLINK("https://lsnyc.legalserver.org/matter/dynamic-profile/view/1903749","19-1903749")</f>
        <v>0</v>
      </c>
      <c r="B4661" t="s">
        <v>240</v>
      </c>
      <c r="C4661" t="s">
        <v>248</v>
      </c>
      <c r="D4661" t="s">
        <v>311</v>
      </c>
      <c r="F4661" t="s">
        <v>1144</v>
      </c>
      <c r="G4661" t="s">
        <v>3492</v>
      </c>
      <c r="H4661" t="s">
        <v>6342</v>
      </c>
      <c r="I4661" t="s">
        <v>6480</v>
      </c>
      <c r="J4661" t="s">
        <v>7174</v>
      </c>
      <c r="K4661">
        <v>11220</v>
      </c>
      <c r="M4661" t="s">
        <v>7227</v>
      </c>
      <c r="N4661" t="s">
        <v>7237</v>
      </c>
      <c r="O4661" t="s">
        <v>10192</v>
      </c>
      <c r="P4661">
        <v>2</v>
      </c>
      <c r="Q4661">
        <v>0</v>
      </c>
      <c r="R4661">
        <v>99.34999999999999</v>
      </c>
      <c r="U4661">
        <v>16800</v>
      </c>
      <c r="W4661">
        <v>0.7</v>
      </c>
      <c r="X4661" t="s">
        <v>423</v>
      </c>
      <c r="Y4661" t="s">
        <v>81</v>
      </c>
      <c r="AA4661" t="s">
        <v>10974</v>
      </c>
      <c r="AB4661" t="s">
        <v>311</v>
      </c>
      <c r="AD4661" t="s">
        <v>11101</v>
      </c>
      <c r="AF4661" t="s">
        <v>11118</v>
      </c>
      <c r="AH4661" t="s">
        <v>10974</v>
      </c>
      <c r="AI4661" t="s">
        <v>11126</v>
      </c>
      <c r="AK4661" t="s">
        <v>7225</v>
      </c>
      <c r="AM4661">
        <v>1375</v>
      </c>
      <c r="AO4661">
        <v>54</v>
      </c>
      <c r="AP4661" t="s">
        <v>11155</v>
      </c>
      <c r="AR4661" t="s">
        <v>11172</v>
      </c>
      <c r="AU4661">
        <v>16</v>
      </c>
      <c r="AW4661" t="s">
        <v>11187</v>
      </c>
      <c r="BA4661" t="s">
        <v>11222</v>
      </c>
      <c r="BE4661" t="s">
        <v>14296</v>
      </c>
      <c r="BF4661" t="s">
        <v>14364</v>
      </c>
      <c r="BM4661" t="s">
        <v>15650</v>
      </c>
    </row>
    <row r="4662" spans="1:65">
      <c r="A4662" s="1">
        <f>HYPERLINK("https://lsnyc.legalserver.org/matter/dynamic-profile/view/1863302","18-1863302")</f>
        <v>0</v>
      </c>
      <c r="B4662" t="s">
        <v>240</v>
      </c>
      <c r="C4662" t="s">
        <v>248</v>
      </c>
      <c r="D4662" t="s">
        <v>687</v>
      </c>
      <c r="F4662" t="s">
        <v>2844</v>
      </c>
      <c r="G4662" t="s">
        <v>3333</v>
      </c>
      <c r="H4662" t="s">
        <v>6340</v>
      </c>
      <c r="I4662" t="s">
        <v>6761</v>
      </c>
      <c r="J4662" t="s">
        <v>7174</v>
      </c>
      <c r="K4662">
        <v>11226</v>
      </c>
      <c r="M4662" t="s">
        <v>7227</v>
      </c>
      <c r="N4662" t="s">
        <v>7237</v>
      </c>
      <c r="O4662" t="s">
        <v>10193</v>
      </c>
      <c r="P4662">
        <v>2</v>
      </c>
      <c r="Q4662">
        <v>0</v>
      </c>
      <c r="R4662">
        <v>39.48</v>
      </c>
      <c r="U4662">
        <v>6498</v>
      </c>
      <c r="W4662">
        <v>9.65</v>
      </c>
      <c r="X4662" t="s">
        <v>637</v>
      </c>
      <c r="Y4662" t="s">
        <v>10909</v>
      </c>
      <c r="AA4662" t="s">
        <v>10974</v>
      </c>
      <c r="AB4662" t="s">
        <v>473</v>
      </c>
      <c r="AC4662" t="s">
        <v>11081</v>
      </c>
      <c r="AF4662" t="s">
        <v>11118</v>
      </c>
      <c r="AH4662" t="s">
        <v>10974</v>
      </c>
      <c r="AJ4662" t="s">
        <v>11129</v>
      </c>
      <c r="AK4662" t="s">
        <v>7225</v>
      </c>
      <c r="AM4662">
        <v>1560.44</v>
      </c>
      <c r="AO4662">
        <v>65</v>
      </c>
      <c r="AQ4662" t="s">
        <v>11157</v>
      </c>
      <c r="AS4662" t="s">
        <v>11174</v>
      </c>
      <c r="AU4662">
        <v>32</v>
      </c>
      <c r="AW4662" t="s">
        <v>11187</v>
      </c>
      <c r="AZ4662" t="s">
        <v>11221</v>
      </c>
      <c r="BB4662" t="s">
        <v>11224</v>
      </c>
      <c r="BC4662" t="s">
        <v>11646</v>
      </c>
      <c r="BE4662" t="s">
        <v>14297</v>
      </c>
      <c r="BF4662" t="s">
        <v>14364</v>
      </c>
      <c r="BM4662" t="s">
        <v>15650</v>
      </c>
    </row>
    <row r="4663" spans="1:65">
      <c r="A4663" s="1">
        <f>HYPERLINK("https://lsnyc.legalserver.org/matter/dynamic-profile/view/1894805","19-1894805")</f>
        <v>0</v>
      </c>
      <c r="B4663" t="s">
        <v>240</v>
      </c>
      <c r="C4663" t="s">
        <v>248</v>
      </c>
      <c r="D4663" t="s">
        <v>435</v>
      </c>
      <c r="F4663" t="s">
        <v>2170</v>
      </c>
      <c r="G4663" t="s">
        <v>3991</v>
      </c>
      <c r="H4663" t="s">
        <v>5649</v>
      </c>
      <c r="I4663" t="s">
        <v>6888</v>
      </c>
      <c r="J4663" t="s">
        <v>7174</v>
      </c>
      <c r="K4663">
        <v>11221</v>
      </c>
      <c r="M4663" t="s">
        <v>7227</v>
      </c>
      <c r="N4663" t="s">
        <v>7237</v>
      </c>
      <c r="O4663" t="s">
        <v>8930</v>
      </c>
      <c r="P4663">
        <v>1</v>
      </c>
      <c r="Q4663">
        <v>1</v>
      </c>
      <c r="R4663">
        <v>39.74</v>
      </c>
      <c r="U4663">
        <v>6720</v>
      </c>
      <c r="W4663">
        <v>42.7</v>
      </c>
      <c r="X4663" t="s">
        <v>669</v>
      </c>
      <c r="Y4663" t="s">
        <v>81</v>
      </c>
      <c r="AA4663" t="s">
        <v>10974</v>
      </c>
      <c r="AB4663" t="s">
        <v>550</v>
      </c>
      <c r="AC4663" t="s">
        <v>11081</v>
      </c>
      <c r="AF4663" t="s">
        <v>11120</v>
      </c>
      <c r="AH4663" t="s">
        <v>10975</v>
      </c>
      <c r="AI4663" t="s">
        <v>11126</v>
      </c>
      <c r="AK4663" t="s">
        <v>7225</v>
      </c>
      <c r="AL4663" t="s">
        <v>11150</v>
      </c>
      <c r="AM4663">
        <v>0</v>
      </c>
      <c r="AN4663" t="s">
        <v>11151</v>
      </c>
      <c r="AO4663" t="s">
        <v>11153</v>
      </c>
      <c r="AP4663" t="s">
        <v>11155</v>
      </c>
      <c r="AR4663" t="s">
        <v>11172</v>
      </c>
      <c r="AT4663" t="s">
        <v>11184</v>
      </c>
      <c r="AU4663">
        <v>0</v>
      </c>
      <c r="AW4663" t="s">
        <v>11187</v>
      </c>
      <c r="AZ4663" t="s">
        <v>11221</v>
      </c>
      <c r="BE4663" t="s">
        <v>13171</v>
      </c>
      <c r="BF4663" t="s">
        <v>14364</v>
      </c>
      <c r="BM4663" t="s">
        <v>15650</v>
      </c>
    </row>
    <row r="4664" spans="1:65">
      <c r="A4664" s="1">
        <f>HYPERLINK("https://lsnyc.legalserver.org/matter/dynamic-profile/view/1897794","19-1897794")</f>
        <v>0</v>
      </c>
      <c r="B4664" t="s">
        <v>240</v>
      </c>
      <c r="C4664" t="s">
        <v>248</v>
      </c>
      <c r="D4664" t="s">
        <v>633</v>
      </c>
      <c r="F4664" t="s">
        <v>1238</v>
      </c>
      <c r="G4664" t="s">
        <v>1784</v>
      </c>
      <c r="H4664" t="s">
        <v>6340</v>
      </c>
      <c r="I4664" t="s">
        <v>7161</v>
      </c>
      <c r="J4664" t="s">
        <v>7174</v>
      </c>
      <c r="K4664">
        <v>11226</v>
      </c>
      <c r="N4664" t="s">
        <v>7237</v>
      </c>
      <c r="O4664" t="s">
        <v>10194</v>
      </c>
      <c r="P4664">
        <v>1</v>
      </c>
      <c r="Q4664">
        <v>0</v>
      </c>
      <c r="R4664">
        <v>100.3</v>
      </c>
      <c r="U4664">
        <v>12528</v>
      </c>
      <c r="W4664">
        <v>3.25</v>
      </c>
      <c r="X4664" t="s">
        <v>584</v>
      </c>
      <c r="Y4664" t="s">
        <v>81</v>
      </c>
      <c r="AA4664" t="s">
        <v>10974</v>
      </c>
      <c r="AB4664" t="s">
        <v>633</v>
      </c>
      <c r="AD4664" t="s">
        <v>11111</v>
      </c>
      <c r="AF4664" t="s">
        <v>11118</v>
      </c>
      <c r="AG4664" t="s">
        <v>11124</v>
      </c>
      <c r="AI4664" t="s">
        <v>11126</v>
      </c>
      <c r="AK4664" t="s">
        <v>7225</v>
      </c>
      <c r="AM4664">
        <v>261</v>
      </c>
      <c r="AN4664" t="s">
        <v>11151</v>
      </c>
      <c r="AO4664" t="s">
        <v>11153</v>
      </c>
      <c r="AP4664" t="s">
        <v>11155</v>
      </c>
      <c r="AR4664" t="s">
        <v>11172</v>
      </c>
      <c r="AU4664">
        <v>15</v>
      </c>
      <c r="AW4664" t="s">
        <v>11187</v>
      </c>
      <c r="AZ4664" t="s">
        <v>11221</v>
      </c>
      <c r="BE4664" t="s">
        <v>14298</v>
      </c>
      <c r="BF4664" t="s">
        <v>14364</v>
      </c>
      <c r="BM4664" t="s">
        <v>15650</v>
      </c>
    </row>
    <row r="4665" spans="1:65">
      <c r="A4665" s="1">
        <f>HYPERLINK("https://lsnyc.legalserver.org/matter/dynamic-profile/view/1871869","18-1871869")</f>
        <v>0</v>
      </c>
      <c r="B4665" t="s">
        <v>240</v>
      </c>
      <c r="C4665" t="s">
        <v>248</v>
      </c>
      <c r="D4665" t="s">
        <v>779</v>
      </c>
      <c r="F4665" t="s">
        <v>2845</v>
      </c>
      <c r="G4665" t="s">
        <v>1618</v>
      </c>
      <c r="H4665" t="s">
        <v>6341</v>
      </c>
      <c r="I4665" t="s">
        <v>7044</v>
      </c>
      <c r="J4665" t="s">
        <v>7174</v>
      </c>
      <c r="K4665">
        <v>11225</v>
      </c>
      <c r="M4665" t="s">
        <v>7227</v>
      </c>
      <c r="N4665" t="s">
        <v>7237</v>
      </c>
      <c r="O4665" t="s">
        <v>10195</v>
      </c>
      <c r="P4665">
        <v>2</v>
      </c>
      <c r="Q4665">
        <v>0</v>
      </c>
      <c r="R4665">
        <v>388.82</v>
      </c>
      <c r="U4665">
        <v>64000</v>
      </c>
      <c r="W4665">
        <v>0</v>
      </c>
      <c r="Y4665" t="s">
        <v>10909</v>
      </c>
      <c r="Z4665" t="s">
        <v>10973</v>
      </c>
      <c r="AA4665" t="s">
        <v>10975</v>
      </c>
      <c r="AB4665" t="s">
        <v>10987</v>
      </c>
      <c r="AD4665" t="s">
        <v>11101</v>
      </c>
      <c r="AF4665" t="s">
        <v>11118</v>
      </c>
      <c r="AH4665" t="s">
        <v>10974</v>
      </c>
      <c r="AJ4665" t="s">
        <v>11141</v>
      </c>
      <c r="AK4665" t="s">
        <v>7225</v>
      </c>
      <c r="AM4665">
        <v>1918</v>
      </c>
      <c r="AO4665">
        <v>51</v>
      </c>
      <c r="AQ4665" t="s">
        <v>11157</v>
      </c>
      <c r="AR4665" t="s">
        <v>11172</v>
      </c>
      <c r="AU4665">
        <v>6</v>
      </c>
      <c r="AW4665" t="s">
        <v>11187</v>
      </c>
      <c r="AZ4665" t="s">
        <v>11221</v>
      </c>
      <c r="BA4665" t="s">
        <v>11173</v>
      </c>
      <c r="BD4665" t="s">
        <v>11667</v>
      </c>
      <c r="BG4665" t="s">
        <v>15539</v>
      </c>
      <c r="BM4665" t="s">
        <v>15650</v>
      </c>
    </row>
    <row r="4666" spans="1:65">
      <c r="A4666" s="1">
        <f>HYPERLINK("https://lsnyc.legalserver.org/matter/dynamic-profile/view/1864271","18-1864271")</f>
        <v>0</v>
      </c>
      <c r="B4666" t="s">
        <v>240</v>
      </c>
      <c r="C4666" t="s">
        <v>248</v>
      </c>
      <c r="D4666" t="s">
        <v>1078</v>
      </c>
      <c r="F4666" t="s">
        <v>1868</v>
      </c>
      <c r="G4666" t="s">
        <v>2443</v>
      </c>
      <c r="H4666" t="s">
        <v>6348</v>
      </c>
      <c r="I4666" t="s">
        <v>6947</v>
      </c>
      <c r="J4666" t="s">
        <v>7174</v>
      </c>
      <c r="K4666">
        <v>11226</v>
      </c>
      <c r="M4666" t="s">
        <v>7227</v>
      </c>
      <c r="N4666" t="s">
        <v>7237</v>
      </c>
      <c r="O4666" t="s">
        <v>10184</v>
      </c>
      <c r="P4666">
        <v>1</v>
      </c>
      <c r="Q4666">
        <v>0</v>
      </c>
      <c r="R4666">
        <v>102.97</v>
      </c>
      <c r="U4666">
        <v>12500</v>
      </c>
      <c r="W4666">
        <v>1</v>
      </c>
      <c r="X4666" t="s">
        <v>683</v>
      </c>
      <c r="Y4666" t="s">
        <v>10909</v>
      </c>
      <c r="AA4666" t="s">
        <v>10974</v>
      </c>
      <c r="AB4666" t="s">
        <v>730</v>
      </c>
      <c r="AD4666" t="s">
        <v>11101</v>
      </c>
      <c r="AF4666" t="s">
        <v>11118</v>
      </c>
      <c r="AH4666" t="s">
        <v>10974</v>
      </c>
      <c r="AJ4666" t="s">
        <v>11141</v>
      </c>
      <c r="AK4666" t="s">
        <v>7225</v>
      </c>
      <c r="AM4666">
        <v>915</v>
      </c>
      <c r="AO4666">
        <v>6</v>
      </c>
      <c r="AQ4666" t="s">
        <v>11157</v>
      </c>
      <c r="AS4666" t="s">
        <v>11173</v>
      </c>
      <c r="AU4666">
        <v>9</v>
      </c>
      <c r="AW4666" t="s">
        <v>11187</v>
      </c>
      <c r="AZ4666" t="s">
        <v>11221</v>
      </c>
      <c r="BE4666" t="s">
        <v>14292</v>
      </c>
      <c r="BF4666" t="s">
        <v>14364</v>
      </c>
      <c r="BM4666" t="s">
        <v>15650</v>
      </c>
    </row>
    <row r="4667" spans="1:65">
      <c r="A4667" s="1">
        <f>HYPERLINK("https://lsnyc.legalserver.org/matter/dynamic-profile/view/1866458","18-1866458")</f>
        <v>0</v>
      </c>
      <c r="B4667" t="s">
        <v>240</v>
      </c>
      <c r="C4667" t="s">
        <v>248</v>
      </c>
      <c r="D4667" t="s">
        <v>829</v>
      </c>
      <c r="F4667" t="s">
        <v>1238</v>
      </c>
      <c r="G4667" t="s">
        <v>1784</v>
      </c>
      <c r="H4667" t="s">
        <v>6340</v>
      </c>
      <c r="I4667" t="s">
        <v>7161</v>
      </c>
      <c r="J4667" t="s">
        <v>7174</v>
      </c>
      <c r="K4667">
        <v>11226</v>
      </c>
      <c r="N4667" t="s">
        <v>7237</v>
      </c>
      <c r="O4667" t="s">
        <v>10194</v>
      </c>
      <c r="P4667">
        <v>1</v>
      </c>
      <c r="Q4667">
        <v>0</v>
      </c>
      <c r="R4667">
        <v>103.2</v>
      </c>
      <c r="U4667">
        <v>12528</v>
      </c>
      <c r="W4667">
        <v>31.7</v>
      </c>
      <c r="X4667" t="s">
        <v>276</v>
      </c>
      <c r="Y4667" t="s">
        <v>10909</v>
      </c>
      <c r="AA4667" t="s">
        <v>10974</v>
      </c>
      <c r="AB4667" t="s">
        <v>569</v>
      </c>
      <c r="AD4667" t="s">
        <v>11083</v>
      </c>
      <c r="AF4667" t="s">
        <v>11118</v>
      </c>
      <c r="AH4667" t="s">
        <v>10974</v>
      </c>
      <c r="AJ4667" t="s">
        <v>11141</v>
      </c>
      <c r="AK4667" t="s">
        <v>7225</v>
      </c>
      <c r="AM4667">
        <v>1091.17</v>
      </c>
      <c r="AO4667">
        <v>61</v>
      </c>
      <c r="AQ4667" t="s">
        <v>11157</v>
      </c>
      <c r="AS4667" t="s">
        <v>11174</v>
      </c>
      <c r="AU4667">
        <v>15</v>
      </c>
      <c r="AW4667" t="s">
        <v>11187</v>
      </c>
      <c r="AZ4667" t="s">
        <v>11221</v>
      </c>
      <c r="BE4667" t="s">
        <v>14298</v>
      </c>
      <c r="BF4667" t="s">
        <v>14364</v>
      </c>
      <c r="BM4667" t="s">
        <v>15650</v>
      </c>
    </row>
    <row r="4668" spans="1:65">
      <c r="A4668" s="1">
        <f>HYPERLINK("https://lsnyc.legalserver.org/matter/dynamic-profile/view/1879651","18-1879651")</f>
        <v>0</v>
      </c>
      <c r="B4668" t="s">
        <v>240</v>
      </c>
      <c r="C4668" t="s">
        <v>248</v>
      </c>
      <c r="D4668" t="s">
        <v>595</v>
      </c>
      <c r="F4668" t="s">
        <v>2535</v>
      </c>
      <c r="G4668" t="s">
        <v>4712</v>
      </c>
      <c r="H4668" t="s">
        <v>6339</v>
      </c>
      <c r="I4668" t="s">
        <v>6968</v>
      </c>
      <c r="J4668" t="s">
        <v>7174</v>
      </c>
      <c r="K4668">
        <v>11226</v>
      </c>
      <c r="M4668" t="s">
        <v>7227</v>
      </c>
      <c r="N4668" t="s">
        <v>7237</v>
      </c>
      <c r="O4668" t="s">
        <v>10186</v>
      </c>
      <c r="P4668">
        <v>2</v>
      </c>
      <c r="Q4668">
        <v>0</v>
      </c>
      <c r="R4668">
        <v>103.28</v>
      </c>
      <c r="U4668">
        <v>17000</v>
      </c>
      <c r="W4668">
        <v>48.15</v>
      </c>
      <c r="X4668" t="s">
        <v>341</v>
      </c>
      <c r="Y4668" t="s">
        <v>10902</v>
      </c>
      <c r="AA4668" t="s">
        <v>10974</v>
      </c>
      <c r="AB4668" t="s">
        <v>959</v>
      </c>
      <c r="AD4668" t="s">
        <v>11101</v>
      </c>
      <c r="AF4668" t="s">
        <v>11121</v>
      </c>
      <c r="AH4668" t="s">
        <v>10974</v>
      </c>
      <c r="AJ4668" t="s">
        <v>11129</v>
      </c>
      <c r="AK4668" t="s">
        <v>7225</v>
      </c>
      <c r="AM4668">
        <v>1529.97</v>
      </c>
      <c r="AO4668">
        <v>6</v>
      </c>
      <c r="AQ4668" t="s">
        <v>11157</v>
      </c>
      <c r="AS4668" t="s">
        <v>11173</v>
      </c>
      <c r="AU4668">
        <v>6</v>
      </c>
      <c r="AW4668" t="s">
        <v>11187</v>
      </c>
      <c r="AZ4668" t="s">
        <v>11221</v>
      </c>
      <c r="BD4668" t="s">
        <v>11667</v>
      </c>
      <c r="BG4668" t="s">
        <v>15548</v>
      </c>
      <c r="BM4668" t="s">
        <v>15650</v>
      </c>
    </row>
    <row r="4669" spans="1:65">
      <c r="A4669" s="1">
        <f>HYPERLINK("https://lsnyc.legalserver.org/matter/dynamic-profile/view/1867522","18-1867522")</f>
        <v>0</v>
      </c>
      <c r="B4669" t="s">
        <v>240</v>
      </c>
      <c r="C4669" t="s">
        <v>248</v>
      </c>
      <c r="D4669" t="s">
        <v>827</v>
      </c>
      <c r="F4669" t="s">
        <v>2535</v>
      </c>
      <c r="G4669" t="s">
        <v>4712</v>
      </c>
      <c r="H4669" t="s">
        <v>6339</v>
      </c>
      <c r="I4669" t="s">
        <v>6968</v>
      </c>
      <c r="J4669" t="s">
        <v>7174</v>
      </c>
      <c r="K4669">
        <v>11226</v>
      </c>
      <c r="M4669" t="s">
        <v>7227</v>
      </c>
      <c r="N4669" t="s">
        <v>7237</v>
      </c>
      <c r="O4669" t="s">
        <v>10186</v>
      </c>
      <c r="P4669">
        <v>2</v>
      </c>
      <c r="Q4669">
        <v>0</v>
      </c>
      <c r="R4669">
        <v>103.28</v>
      </c>
      <c r="U4669">
        <v>17000</v>
      </c>
      <c r="W4669">
        <v>108.75</v>
      </c>
      <c r="X4669" t="s">
        <v>436</v>
      </c>
      <c r="Y4669" t="s">
        <v>10909</v>
      </c>
      <c r="AA4669" t="s">
        <v>10974</v>
      </c>
      <c r="AB4669" t="s">
        <v>939</v>
      </c>
      <c r="AC4669" t="s">
        <v>11081</v>
      </c>
      <c r="AF4669" t="s">
        <v>11118</v>
      </c>
      <c r="AH4669" t="s">
        <v>10974</v>
      </c>
      <c r="AJ4669" t="s">
        <v>11140</v>
      </c>
      <c r="AK4669" t="s">
        <v>7225</v>
      </c>
      <c r="AM4669">
        <v>1529.97</v>
      </c>
      <c r="AO4669">
        <v>6</v>
      </c>
      <c r="AQ4669" t="s">
        <v>11157</v>
      </c>
      <c r="AS4669" t="s">
        <v>11173</v>
      </c>
      <c r="AU4669">
        <v>6</v>
      </c>
      <c r="AV4669" t="s">
        <v>11186</v>
      </c>
      <c r="AZ4669" t="s">
        <v>11221</v>
      </c>
      <c r="BD4669" t="s">
        <v>11667</v>
      </c>
      <c r="BG4669" t="s">
        <v>15548</v>
      </c>
      <c r="BM4669" t="s">
        <v>15650</v>
      </c>
    </row>
    <row r="4670" spans="1:65">
      <c r="A4670" s="1">
        <f>HYPERLINK("https://lsnyc.legalserver.org/matter/dynamic-profile/view/1863486","18-1863486")</f>
        <v>0</v>
      </c>
      <c r="B4670" t="s">
        <v>240</v>
      </c>
      <c r="C4670" t="s">
        <v>248</v>
      </c>
      <c r="D4670" t="s">
        <v>952</v>
      </c>
      <c r="F4670" t="s">
        <v>1143</v>
      </c>
      <c r="G4670" t="s">
        <v>4718</v>
      </c>
      <c r="H4670" t="s">
        <v>6340</v>
      </c>
      <c r="I4670" t="s">
        <v>6870</v>
      </c>
      <c r="J4670" t="s">
        <v>7174</v>
      </c>
      <c r="K4670">
        <v>11226</v>
      </c>
      <c r="N4670" t="s">
        <v>7237</v>
      </c>
      <c r="O4670" t="s">
        <v>10196</v>
      </c>
      <c r="P4670">
        <v>2</v>
      </c>
      <c r="Q4670">
        <v>3</v>
      </c>
      <c r="R4670">
        <v>43.81</v>
      </c>
      <c r="U4670">
        <v>13357.44</v>
      </c>
      <c r="W4670">
        <v>0.5</v>
      </c>
      <c r="X4670" t="s">
        <v>952</v>
      </c>
      <c r="Y4670" t="s">
        <v>10909</v>
      </c>
      <c r="AA4670" t="s">
        <v>10974</v>
      </c>
      <c r="AB4670" t="s">
        <v>473</v>
      </c>
      <c r="AD4670" t="s">
        <v>11090</v>
      </c>
      <c r="AF4670" t="s">
        <v>11120</v>
      </c>
      <c r="AH4670" t="s">
        <v>10974</v>
      </c>
      <c r="AJ4670" t="s">
        <v>11129</v>
      </c>
      <c r="AK4670" t="s">
        <v>7225</v>
      </c>
      <c r="AM4670">
        <v>1324</v>
      </c>
      <c r="AO4670">
        <v>65</v>
      </c>
      <c r="AP4670" t="s">
        <v>11155</v>
      </c>
      <c r="AS4670" t="s">
        <v>11176</v>
      </c>
      <c r="AU4670">
        <v>12</v>
      </c>
      <c r="AW4670" t="s">
        <v>11187</v>
      </c>
      <c r="AZ4670" t="s">
        <v>11221</v>
      </c>
      <c r="BB4670" t="s">
        <v>11224</v>
      </c>
      <c r="BC4670" t="s">
        <v>11647</v>
      </c>
      <c r="BE4670" t="s">
        <v>14299</v>
      </c>
      <c r="BF4670" t="s">
        <v>14364</v>
      </c>
      <c r="BM4670" t="s">
        <v>15650</v>
      </c>
    </row>
    <row r="4671" spans="1:65">
      <c r="A4671" s="1">
        <f>HYPERLINK("https://lsnyc.legalserver.org/matter/dynamic-profile/view/1915425","19-1915425")</f>
        <v>0</v>
      </c>
      <c r="B4671" t="s">
        <v>240</v>
      </c>
      <c r="C4671" t="s">
        <v>248</v>
      </c>
      <c r="D4671" t="s">
        <v>669</v>
      </c>
      <c r="F4671" t="s">
        <v>2846</v>
      </c>
      <c r="G4671" t="s">
        <v>4719</v>
      </c>
      <c r="H4671" t="s">
        <v>6339</v>
      </c>
      <c r="I4671" t="s">
        <v>6910</v>
      </c>
      <c r="J4671" t="s">
        <v>7174</v>
      </c>
      <c r="K4671">
        <v>11226</v>
      </c>
      <c r="N4671" t="s">
        <v>7237</v>
      </c>
      <c r="O4671" t="s">
        <v>10197</v>
      </c>
      <c r="P4671">
        <v>1</v>
      </c>
      <c r="Q4671">
        <v>0</v>
      </c>
      <c r="R4671">
        <v>392.31</v>
      </c>
      <c r="U4671">
        <v>49000</v>
      </c>
      <c r="W4671">
        <v>0</v>
      </c>
      <c r="Y4671" t="s">
        <v>81</v>
      </c>
      <c r="AA4671" t="s">
        <v>10974</v>
      </c>
      <c r="AB4671" t="s">
        <v>264</v>
      </c>
      <c r="AD4671" t="s">
        <v>11100</v>
      </c>
      <c r="AF4671" t="s">
        <v>11120</v>
      </c>
      <c r="AG4671" t="s">
        <v>11124</v>
      </c>
      <c r="AJ4671" t="s">
        <v>11140</v>
      </c>
      <c r="AK4671" t="s">
        <v>7225</v>
      </c>
      <c r="AM4671">
        <v>1119.66</v>
      </c>
      <c r="AO4671">
        <v>6</v>
      </c>
      <c r="AQ4671" t="s">
        <v>11157</v>
      </c>
      <c r="AR4671" t="s">
        <v>11172</v>
      </c>
      <c r="AU4671">
        <v>8</v>
      </c>
      <c r="AW4671" t="s">
        <v>11187</v>
      </c>
      <c r="AZ4671" t="s">
        <v>11221</v>
      </c>
      <c r="BD4671" t="s">
        <v>11667</v>
      </c>
      <c r="BF4671" t="s">
        <v>14364</v>
      </c>
      <c r="BM4671" t="s">
        <v>15650</v>
      </c>
    </row>
    <row r="4672" spans="1:65">
      <c r="A4672" s="1">
        <f>HYPERLINK("https://lsnyc.legalserver.org/matter/dynamic-profile/view/1915297","19-1915297")</f>
        <v>0</v>
      </c>
      <c r="B4672" t="s">
        <v>240</v>
      </c>
      <c r="C4672" t="s">
        <v>248</v>
      </c>
      <c r="D4672" t="s">
        <v>436</v>
      </c>
      <c r="F4672" t="s">
        <v>1472</v>
      </c>
      <c r="G4672" t="s">
        <v>4711</v>
      </c>
      <c r="H4672" t="s">
        <v>6339</v>
      </c>
      <c r="I4672" t="s">
        <v>6761</v>
      </c>
      <c r="J4672" t="s">
        <v>7174</v>
      </c>
      <c r="K4672">
        <v>11226</v>
      </c>
      <c r="N4672" t="s">
        <v>7237</v>
      </c>
      <c r="O4672" t="s">
        <v>10182</v>
      </c>
      <c r="P4672">
        <v>1</v>
      </c>
      <c r="Q4672">
        <v>0</v>
      </c>
      <c r="R4672">
        <v>408.33</v>
      </c>
      <c r="U4672">
        <v>51000</v>
      </c>
      <c r="W4672">
        <v>0</v>
      </c>
      <c r="Y4672" t="s">
        <v>81</v>
      </c>
      <c r="AA4672" t="s">
        <v>10974</v>
      </c>
      <c r="AB4672" t="s">
        <v>264</v>
      </c>
      <c r="AD4672" t="s">
        <v>11100</v>
      </c>
      <c r="AF4672" t="s">
        <v>11120</v>
      </c>
      <c r="AH4672" t="s">
        <v>10974</v>
      </c>
      <c r="AJ4672" t="s">
        <v>11140</v>
      </c>
      <c r="AK4672" t="s">
        <v>7225</v>
      </c>
      <c r="AM4672">
        <v>1250</v>
      </c>
      <c r="AO4672">
        <v>6</v>
      </c>
      <c r="AQ4672" t="s">
        <v>11157</v>
      </c>
      <c r="AR4672" t="s">
        <v>11172</v>
      </c>
      <c r="AU4672">
        <v>1</v>
      </c>
      <c r="AW4672" t="s">
        <v>11187</v>
      </c>
      <c r="BA4672" t="s">
        <v>11222</v>
      </c>
      <c r="BD4672" t="s">
        <v>11667</v>
      </c>
      <c r="BF4672" t="s">
        <v>14364</v>
      </c>
      <c r="BM4672" t="s">
        <v>15650</v>
      </c>
    </row>
    <row r="4673" spans="1:65">
      <c r="A4673" s="1">
        <f>HYPERLINK("https://lsnyc.legalserver.org/matter/dynamic-profile/view/1891396","19-1891396")</f>
        <v>0</v>
      </c>
      <c r="B4673" t="s">
        <v>240</v>
      </c>
      <c r="C4673" t="s">
        <v>248</v>
      </c>
      <c r="D4673" t="s">
        <v>395</v>
      </c>
      <c r="F4673" t="s">
        <v>2831</v>
      </c>
      <c r="G4673" t="s">
        <v>2507</v>
      </c>
      <c r="H4673" t="s">
        <v>6340</v>
      </c>
      <c r="I4673" t="s">
        <v>6910</v>
      </c>
      <c r="J4673" t="s">
        <v>7174</v>
      </c>
      <c r="K4673">
        <v>11226</v>
      </c>
      <c r="N4673" t="s">
        <v>7237</v>
      </c>
      <c r="O4673" t="s">
        <v>10165</v>
      </c>
      <c r="P4673">
        <v>1</v>
      </c>
      <c r="Q4673">
        <v>0</v>
      </c>
      <c r="R4673">
        <v>51.88</v>
      </c>
      <c r="U4673">
        <v>6480</v>
      </c>
      <c r="W4673">
        <v>260.5</v>
      </c>
      <c r="X4673" t="s">
        <v>638</v>
      </c>
      <c r="Y4673" t="s">
        <v>81</v>
      </c>
      <c r="AA4673" t="s">
        <v>10974</v>
      </c>
      <c r="AB4673" t="s">
        <v>339</v>
      </c>
      <c r="AC4673" t="s">
        <v>11081</v>
      </c>
      <c r="AF4673" t="s">
        <v>11120</v>
      </c>
      <c r="AG4673" t="s">
        <v>11124</v>
      </c>
      <c r="AI4673" t="s">
        <v>11126</v>
      </c>
      <c r="AK4673" t="s">
        <v>7225</v>
      </c>
      <c r="AL4673" t="s">
        <v>11150</v>
      </c>
      <c r="AM4673">
        <v>0</v>
      </c>
      <c r="AN4673" t="s">
        <v>11151</v>
      </c>
      <c r="AO4673" t="s">
        <v>11153</v>
      </c>
      <c r="AP4673" t="s">
        <v>11155</v>
      </c>
      <c r="AR4673" t="s">
        <v>11172</v>
      </c>
      <c r="AT4673" t="s">
        <v>11184</v>
      </c>
      <c r="AU4673">
        <v>0</v>
      </c>
      <c r="AW4673" t="s">
        <v>11187</v>
      </c>
      <c r="AZ4673" t="s">
        <v>11221</v>
      </c>
      <c r="BE4673" t="s">
        <v>14277</v>
      </c>
      <c r="BF4673" t="s">
        <v>14364</v>
      </c>
      <c r="BM4673" t="s">
        <v>15650</v>
      </c>
    </row>
    <row r="4674" spans="1:65">
      <c r="A4674" s="1">
        <f>HYPERLINK("https://lsnyc.legalserver.org/matter/dynamic-profile/view/1907469","19-1907469")</f>
        <v>0</v>
      </c>
      <c r="B4674" t="s">
        <v>240</v>
      </c>
      <c r="C4674" t="s">
        <v>248</v>
      </c>
      <c r="D4674" t="s">
        <v>362</v>
      </c>
      <c r="F4674" t="s">
        <v>1108</v>
      </c>
      <c r="G4674" t="s">
        <v>4713</v>
      </c>
      <c r="H4674" t="s">
        <v>6341</v>
      </c>
      <c r="I4674" t="s">
        <v>6974</v>
      </c>
      <c r="J4674" t="s">
        <v>7174</v>
      </c>
      <c r="K4674">
        <v>11225</v>
      </c>
      <c r="M4674" t="s">
        <v>7227</v>
      </c>
      <c r="N4674" t="s">
        <v>7237</v>
      </c>
      <c r="O4674" t="s">
        <v>10187</v>
      </c>
      <c r="P4674">
        <v>3</v>
      </c>
      <c r="Q4674">
        <v>0</v>
      </c>
      <c r="R4674">
        <v>90.01000000000001</v>
      </c>
      <c r="U4674">
        <v>19200</v>
      </c>
      <c r="W4674">
        <v>0</v>
      </c>
      <c r="Y4674" t="s">
        <v>81</v>
      </c>
      <c r="AA4674" t="s">
        <v>10974</v>
      </c>
      <c r="AB4674" t="s">
        <v>362</v>
      </c>
      <c r="AD4674" t="s">
        <v>11100</v>
      </c>
      <c r="AF4674" t="s">
        <v>11120</v>
      </c>
      <c r="AH4674" t="s">
        <v>10974</v>
      </c>
      <c r="AI4674" t="s">
        <v>11126</v>
      </c>
      <c r="AK4674" t="s">
        <v>7225</v>
      </c>
      <c r="AL4674" t="s">
        <v>11150</v>
      </c>
      <c r="AM4674">
        <v>0</v>
      </c>
      <c r="AO4674">
        <v>46</v>
      </c>
      <c r="AP4674" t="s">
        <v>11155</v>
      </c>
      <c r="AR4674" t="s">
        <v>11172</v>
      </c>
      <c r="AT4674" t="s">
        <v>11184</v>
      </c>
      <c r="AU4674">
        <v>0</v>
      </c>
      <c r="AW4674" t="s">
        <v>11187</v>
      </c>
      <c r="BA4674" t="s">
        <v>11222</v>
      </c>
      <c r="BD4674" t="s">
        <v>11667</v>
      </c>
      <c r="BF4674" t="s">
        <v>14364</v>
      </c>
      <c r="BM4674" t="s">
        <v>15650</v>
      </c>
    </row>
    <row r="4675" spans="1:65">
      <c r="A4675" s="1">
        <f>HYPERLINK("https://lsnyc.legalserver.org/matter/dynamic-profile/view/1864198","18-1864198")</f>
        <v>0</v>
      </c>
      <c r="B4675" t="s">
        <v>240</v>
      </c>
      <c r="C4675" t="s">
        <v>248</v>
      </c>
      <c r="D4675" t="s">
        <v>817</v>
      </c>
      <c r="F4675" t="s">
        <v>1799</v>
      </c>
      <c r="G4675" t="s">
        <v>4720</v>
      </c>
      <c r="H4675" t="s">
        <v>6344</v>
      </c>
      <c r="I4675" t="s">
        <v>6797</v>
      </c>
      <c r="J4675" t="s">
        <v>7174</v>
      </c>
      <c r="K4675">
        <v>11226</v>
      </c>
      <c r="M4675" t="s">
        <v>7227</v>
      </c>
      <c r="N4675" t="s">
        <v>7237</v>
      </c>
      <c r="O4675" t="s">
        <v>10198</v>
      </c>
      <c r="P4675">
        <v>1</v>
      </c>
      <c r="Q4675">
        <v>0</v>
      </c>
      <c r="R4675">
        <v>88.95999999999999</v>
      </c>
      <c r="U4675">
        <v>10800</v>
      </c>
      <c r="W4675">
        <v>0.5</v>
      </c>
      <c r="X4675" t="s">
        <v>817</v>
      </c>
      <c r="Y4675" t="s">
        <v>10909</v>
      </c>
      <c r="AA4675" t="s">
        <v>10974</v>
      </c>
      <c r="AB4675" t="s">
        <v>939</v>
      </c>
      <c r="AD4675" t="s">
        <v>11096</v>
      </c>
      <c r="AF4675" t="s">
        <v>11122</v>
      </c>
      <c r="AH4675" t="s">
        <v>10974</v>
      </c>
      <c r="AJ4675" t="s">
        <v>11141</v>
      </c>
      <c r="AK4675" t="s">
        <v>7225</v>
      </c>
      <c r="AM4675">
        <v>1300</v>
      </c>
      <c r="AO4675">
        <v>61</v>
      </c>
      <c r="AQ4675" t="s">
        <v>11157</v>
      </c>
      <c r="AR4675" t="s">
        <v>11172</v>
      </c>
      <c r="AU4675">
        <v>12</v>
      </c>
      <c r="AW4675" t="s">
        <v>11187</v>
      </c>
      <c r="AZ4675" t="s">
        <v>11221</v>
      </c>
      <c r="BB4675" t="s">
        <v>11224</v>
      </c>
      <c r="BC4675">
        <v>11225120</v>
      </c>
      <c r="BE4675" t="s">
        <v>14300</v>
      </c>
      <c r="BG4675" t="s">
        <v>15549</v>
      </c>
      <c r="BM4675" t="s">
        <v>15650</v>
      </c>
    </row>
    <row r="4676" spans="1:65">
      <c r="A4676" s="1">
        <f>HYPERLINK("https://lsnyc.legalserver.org/matter/dynamic-profile/view/1863313","18-1863313")</f>
        <v>0</v>
      </c>
      <c r="B4676" t="s">
        <v>240</v>
      </c>
      <c r="C4676" t="s">
        <v>248</v>
      </c>
      <c r="D4676" t="s">
        <v>687</v>
      </c>
      <c r="F4676" t="s">
        <v>2833</v>
      </c>
      <c r="G4676" t="s">
        <v>3180</v>
      </c>
      <c r="H4676" t="s">
        <v>6340</v>
      </c>
      <c r="I4676" t="s">
        <v>6909</v>
      </c>
      <c r="J4676" t="s">
        <v>7174</v>
      </c>
      <c r="K4676">
        <v>11226</v>
      </c>
      <c r="M4676" t="s">
        <v>7227</v>
      </c>
      <c r="N4676" t="s">
        <v>7237</v>
      </c>
      <c r="O4676" t="s">
        <v>10170</v>
      </c>
      <c r="P4676">
        <v>2</v>
      </c>
      <c r="Q4676">
        <v>0</v>
      </c>
      <c r="R4676">
        <v>83.40000000000001</v>
      </c>
      <c r="U4676">
        <v>13728</v>
      </c>
      <c r="W4676">
        <v>0.5</v>
      </c>
      <c r="X4676" t="s">
        <v>687</v>
      </c>
      <c r="Y4676" t="s">
        <v>10909</v>
      </c>
      <c r="AA4676" t="s">
        <v>10974</v>
      </c>
      <c r="AB4676" t="s">
        <v>473</v>
      </c>
      <c r="AD4676" t="s">
        <v>11090</v>
      </c>
      <c r="AF4676" t="s">
        <v>11118</v>
      </c>
      <c r="AH4676" t="s">
        <v>10974</v>
      </c>
      <c r="AJ4676" t="s">
        <v>11129</v>
      </c>
      <c r="AK4676" t="s">
        <v>7225</v>
      </c>
      <c r="AL4676" t="s">
        <v>11150</v>
      </c>
      <c r="AM4676">
        <v>0</v>
      </c>
      <c r="AO4676">
        <v>65</v>
      </c>
      <c r="AQ4676" t="s">
        <v>11164</v>
      </c>
      <c r="AS4676" t="s">
        <v>11174</v>
      </c>
      <c r="AT4676" t="s">
        <v>11184</v>
      </c>
      <c r="AU4676">
        <v>0</v>
      </c>
      <c r="AW4676" t="s">
        <v>11187</v>
      </c>
      <c r="AZ4676" t="s">
        <v>11221</v>
      </c>
      <c r="BD4676" t="s">
        <v>11667</v>
      </c>
      <c r="BF4676" t="s">
        <v>14364</v>
      </c>
      <c r="BM4676" t="s">
        <v>15650</v>
      </c>
    </row>
    <row r="4677" spans="1:65">
      <c r="A4677" s="1">
        <f>HYPERLINK("https://lsnyc.legalserver.org/matter/dynamic-profile/view/1862652","18-1862652")</f>
        <v>0</v>
      </c>
      <c r="B4677" t="s">
        <v>240</v>
      </c>
      <c r="C4677" t="s">
        <v>248</v>
      </c>
      <c r="D4677" t="s">
        <v>725</v>
      </c>
      <c r="F4677" t="s">
        <v>1331</v>
      </c>
      <c r="G4677" t="s">
        <v>4721</v>
      </c>
      <c r="H4677" t="s">
        <v>6344</v>
      </c>
      <c r="I4677" t="s">
        <v>7162</v>
      </c>
      <c r="J4677" t="s">
        <v>7174</v>
      </c>
      <c r="K4677">
        <v>11226</v>
      </c>
      <c r="M4677" t="s">
        <v>7227</v>
      </c>
      <c r="N4677" t="s">
        <v>7237</v>
      </c>
      <c r="O4677" t="s">
        <v>10199</v>
      </c>
      <c r="P4677">
        <v>2</v>
      </c>
      <c r="Q4677">
        <v>1</v>
      </c>
      <c r="R4677">
        <v>317.61</v>
      </c>
      <c r="U4677">
        <v>99000</v>
      </c>
      <c r="W4677">
        <v>0.5</v>
      </c>
      <c r="X4677" t="s">
        <v>350</v>
      </c>
      <c r="Y4677" t="s">
        <v>10909</v>
      </c>
      <c r="AA4677" t="s">
        <v>10974</v>
      </c>
      <c r="AB4677" t="s">
        <v>939</v>
      </c>
      <c r="AD4677" t="s">
        <v>11096</v>
      </c>
      <c r="AF4677" t="s">
        <v>11118</v>
      </c>
      <c r="AH4677" t="s">
        <v>10974</v>
      </c>
      <c r="AJ4677" t="s">
        <v>11141</v>
      </c>
      <c r="AK4677" t="s">
        <v>7225</v>
      </c>
      <c r="AL4677" t="s">
        <v>11150</v>
      </c>
      <c r="AM4677">
        <v>0</v>
      </c>
      <c r="AO4677">
        <v>61</v>
      </c>
      <c r="AQ4677" t="s">
        <v>11157</v>
      </c>
      <c r="AR4677" t="s">
        <v>11172</v>
      </c>
      <c r="AU4677">
        <v>22</v>
      </c>
      <c r="AW4677" t="s">
        <v>11187</v>
      </c>
      <c r="AZ4677" t="s">
        <v>11221</v>
      </c>
      <c r="BE4677" t="s">
        <v>14301</v>
      </c>
      <c r="BG4677" t="s">
        <v>15550</v>
      </c>
      <c r="BM4677" t="s">
        <v>15650</v>
      </c>
    </row>
    <row r="4678" spans="1:65">
      <c r="A4678" s="1">
        <f>HYPERLINK("https://lsnyc.legalserver.org/matter/dynamic-profile/view/1914022","19-1914022")</f>
        <v>0</v>
      </c>
      <c r="B4678" t="s">
        <v>240</v>
      </c>
      <c r="C4678" t="s">
        <v>248</v>
      </c>
      <c r="D4678" t="s">
        <v>333</v>
      </c>
      <c r="F4678" t="s">
        <v>2847</v>
      </c>
      <c r="G4678" t="s">
        <v>4722</v>
      </c>
      <c r="H4678" t="s">
        <v>6351</v>
      </c>
      <c r="I4678" t="s">
        <v>6449</v>
      </c>
      <c r="J4678" t="s">
        <v>7174</v>
      </c>
      <c r="K4678">
        <v>11210</v>
      </c>
      <c r="N4678" t="s">
        <v>7237</v>
      </c>
      <c r="O4678" t="s">
        <v>10200</v>
      </c>
      <c r="P4678">
        <v>3</v>
      </c>
      <c r="Q4678">
        <v>1</v>
      </c>
      <c r="R4678">
        <v>368.16</v>
      </c>
      <c r="U4678">
        <v>94800</v>
      </c>
      <c r="W4678">
        <v>9.25</v>
      </c>
      <c r="X4678" t="s">
        <v>548</v>
      </c>
      <c r="Y4678" t="s">
        <v>81</v>
      </c>
      <c r="AA4678" t="s">
        <v>10974</v>
      </c>
      <c r="AB4678" t="s">
        <v>333</v>
      </c>
      <c r="AC4678" t="s">
        <v>11081</v>
      </c>
      <c r="AF4678" t="s">
        <v>11120</v>
      </c>
      <c r="AH4678" t="s">
        <v>10975</v>
      </c>
      <c r="AI4678" t="s">
        <v>11126</v>
      </c>
      <c r="AK4678" t="s">
        <v>7225</v>
      </c>
      <c r="AL4678" t="s">
        <v>11150</v>
      </c>
      <c r="AM4678">
        <v>0</v>
      </c>
      <c r="AO4678">
        <v>336</v>
      </c>
      <c r="AP4678" t="s">
        <v>11155</v>
      </c>
      <c r="AR4678" t="s">
        <v>11172</v>
      </c>
      <c r="AU4678">
        <v>4</v>
      </c>
      <c r="AW4678" t="s">
        <v>11199</v>
      </c>
      <c r="BA4678" t="s">
        <v>11222</v>
      </c>
      <c r="BD4678" t="s">
        <v>11667</v>
      </c>
      <c r="BF4678" t="s">
        <v>14364</v>
      </c>
      <c r="BM4678" t="s">
        <v>15650</v>
      </c>
    </row>
    <row r="4679" spans="1:65">
      <c r="A4679" s="1">
        <f>HYPERLINK("https://lsnyc.legalserver.org/matter/dynamic-profile/view/1861146","18-1861146")</f>
        <v>0</v>
      </c>
      <c r="B4679" t="s">
        <v>240</v>
      </c>
      <c r="C4679" t="s">
        <v>248</v>
      </c>
      <c r="D4679" t="s">
        <v>414</v>
      </c>
      <c r="F4679" t="s">
        <v>1331</v>
      </c>
      <c r="G4679" t="s">
        <v>4721</v>
      </c>
      <c r="H4679" t="s">
        <v>6344</v>
      </c>
      <c r="I4679" t="s">
        <v>7162</v>
      </c>
      <c r="J4679" t="s">
        <v>7174</v>
      </c>
      <c r="K4679">
        <v>11226</v>
      </c>
      <c r="M4679" t="s">
        <v>7227</v>
      </c>
      <c r="N4679" t="s">
        <v>7237</v>
      </c>
      <c r="O4679" t="s">
        <v>10199</v>
      </c>
      <c r="P4679">
        <v>2</v>
      </c>
      <c r="Q4679">
        <v>1</v>
      </c>
      <c r="R4679">
        <v>317.61</v>
      </c>
      <c r="S4679" t="s">
        <v>10255</v>
      </c>
      <c r="U4679">
        <v>66000</v>
      </c>
      <c r="W4679">
        <v>0</v>
      </c>
      <c r="Y4679" t="s">
        <v>10909</v>
      </c>
      <c r="AA4679" t="s">
        <v>10974</v>
      </c>
      <c r="AB4679" t="s">
        <v>11046</v>
      </c>
      <c r="AD4679" t="s">
        <v>11084</v>
      </c>
      <c r="AF4679" t="s">
        <v>11118</v>
      </c>
      <c r="AH4679" t="s">
        <v>10974</v>
      </c>
      <c r="AJ4679" t="s">
        <v>11141</v>
      </c>
      <c r="AK4679" t="s">
        <v>7225</v>
      </c>
      <c r="AL4679" t="s">
        <v>11150</v>
      </c>
      <c r="AM4679">
        <v>0</v>
      </c>
      <c r="AO4679">
        <v>61</v>
      </c>
      <c r="AQ4679" t="s">
        <v>11157</v>
      </c>
      <c r="AS4679" t="s">
        <v>11173</v>
      </c>
      <c r="AU4679">
        <v>22</v>
      </c>
      <c r="AW4679" t="s">
        <v>11187</v>
      </c>
      <c r="AZ4679" t="s">
        <v>11221</v>
      </c>
      <c r="BE4679" t="s">
        <v>14301</v>
      </c>
      <c r="BF4679" t="s">
        <v>14364</v>
      </c>
      <c r="BG4679" t="s">
        <v>15533</v>
      </c>
      <c r="BM4679" t="s">
        <v>15650</v>
      </c>
    </row>
    <row r="4680" spans="1:65">
      <c r="A4680" s="1">
        <f>HYPERLINK("https://lsnyc.legalserver.org/matter/dynamic-profile/view/1868401","18-1868401")</f>
        <v>0</v>
      </c>
      <c r="B4680" t="s">
        <v>240</v>
      </c>
      <c r="C4680" t="s">
        <v>248</v>
      </c>
      <c r="D4680" t="s">
        <v>686</v>
      </c>
      <c r="F4680" t="s">
        <v>2846</v>
      </c>
      <c r="G4680" t="s">
        <v>4719</v>
      </c>
      <c r="H4680" t="s">
        <v>6339</v>
      </c>
      <c r="I4680" t="s">
        <v>6910</v>
      </c>
      <c r="J4680" t="s">
        <v>7174</v>
      </c>
      <c r="K4680">
        <v>11226</v>
      </c>
      <c r="M4680" t="s">
        <v>7227</v>
      </c>
      <c r="N4680" t="s">
        <v>7237</v>
      </c>
      <c r="O4680" t="s">
        <v>10197</v>
      </c>
      <c r="P4680">
        <v>1</v>
      </c>
      <c r="Q4680">
        <v>0</v>
      </c>
      <c r="R4680">
        <v>403.62</v>
      </c>
      <c r="U4680">
        <v>49000</v>
      </c>
      <c r="W4680">
        <v>4</v>
      </c>
      <c r="X4680" t="s">
        <v>582</v>
      </c>
      <c r="Y4680" t="s">
        <v>10909</v>
      </c>
      <c r="AA4680" t="s">
        <v>10974</v>
      </c>
      <c r="AB4680" t="s">
        <v>959</v>
      </c>
      <c r="AD4680" t="s">
        <v>11082</v>
      </c>
      <c r="AF4680" t="s">
        <v>11118</v>
      </c>
      <c r="AH4680" t="s">
        <v>10974</v>
      </c>
      <c r="AJ4680" t="s">
        <v>11140</v>
      </c>
      <c r="AK4680" t="s">
        <v>7225</v>
      </c>
      <c r="AM4680">
        <v>1119.66</v>
      </c>
      <c r="AO4680">
        <v>6</v>
      </c>
      <c r="AQ4680" t="s">
        <v>11157</v>
      </c>
      <c r="AS4680" t="s">
        <v>11173</v>
      </c>
      <c r="AU4680">
        <v>8</v>
      </c>
      <c r="AW4680" t="s">
        <v>11187</v>
      </c>
      <c r="AZ4680" t="s">
        <v>11221</v>
      </c>
      <c r="BD4680" t="s">
        <v>11667</v>
      </c>
      <c r="BG4680" t="s">
        <v>15551</v>
      </c>
      <c r="BM4680" t="s">
        <v>15650</v>
      </c>
    </row>
    <row r="4681" spans="1:65">
      <c r="A4681" s="1">
        <f>HYPERLINK("https://lsnyc.legalserver.org/matter/dynamic-profile/view/1905115","19-1905115")</f>
        <v>0</v>
      </c>
      <c r="B4681" t="s">
        <v>240</v>
      </c>
      <c r="C4681" t="s">
        <v>248</v>
      </c>
      <c r="D4681" t="s">
        <v>332</v>
      </c>
      <c r="F4681" t="s">
        <v>2848</v>
      </c>
      <c r="G4681" t="s">
        <v>4723</v>
      </c>
      <c r="H4681" t="s">
        <v>6342</v>
      </c>
      <c r="I4681" t="s">
        <v>6491</v>
      </c>
      <c r="J4681" t="s">
        <v>7174</v>
      </c>
      <c r="K4681">
        <v>11220</v>
      </c>
      <c r="N4681" t="s">
        <v>7237</v>
      </c>
      <c r="O4681" t="s">
        <v>10201</v>
      </c>
      <c r="P4681">
        <v>3</v>
      </c>
      <c r="Q4681">
        <v>0</v>
      </c>
      <c r="R4681">
        <v>88.05</v>
      </c>
      <c r="U4681">
        <v>18780</v>
      </c>
      <c r="W4681">
        <v>88.45</v>
      </c>
      <c r="X4681" t="s">
        <v>436</v>
      </c>
      <c r="Y4681" t="s">
        <v>212</v>
      </c>
      <c r="AA4681" t="s">
        <v>10974</v>
      </c>
      <c r="AB4681" t="s">
        <v>328</v>
      </c>
      <c r="AC4681" t="s">
        <v>11081</v>
      </c>
      <c r="AF4681" t="s">
        <v>11118</v>
      </c>
      <c r="AH4681" t="s">
        <v>10974</v>
      </c>
      <c r="AI4681" t="s">
        <v>11126</v>
      </c>
      <c r="AK4681" t="s">
        <v>7225</v>
      </c>
      <c r="AL4681" t="s">
        <v>11150</v>
      </c>
      <c r="AM4681">
        <v>0</v>
      </c>
      <c r="AO4681">
        <v>54</v>
      </c>
      <c r="AP4681" t="s">
        <v>11155</v>
      </c>
      <c r="AS4681" t="s">
        <v>11175</v>
      </c>
      <c r="AT4681" t="s">
        <v>11184</v>
      </c>
      <c r="AU4681">
        <v>0</v>
      </c>
      <c r="AW4681" t="s">
        <v>11187</v>
      </c>
      <c r="AZ4681" t="s">
        <v>11221</v>
      </c>
      <c r="BE4681" t="s">
        <v>14302</v>
      </c>
      <c r="BF4681" t="s">
        <v>14364</v>
      </c>
      <c r="BM4681" t="s">
        <v>15650</v>
      </c>
    </row>
    <row r="4682" spans="1:65">
      <c r="A4682" s="1">
        <f>HYPERLINK("https://lsnyc.legalserver.org/matter/dynamic-profile/view/1864195","18-1864195")</f>
        <v>0</v>
      </c>
      <c r="B4682" t="s">
        <v>240</v>
      </c>
      <c r="C4682" t="s">
        <v>248</v>
      </c>
      <c r="D4682" t="s">
        <v>817</v>
      </c>
      <c r="F4682" t="s">
        <v>1700</v>
      </c>
      <c r="G4682" t="s">
        <v>4614</v>
      </c>
      <c r="H4682" t="s">
        <v>6344</v>
      </c>
      <c r="I4682" t="s">
        <v>6411</v>
      </c>
      <c r="J4682" t="s">
        <v>7174</v>
      </c>
      <c r="K4682">
        <v>11226</v>
      </c>
      <c r="M4682" t="s">
        <v>7227</v>
      </c>
      <c r="N4682" t="s">
        <v>7237</v>
      </c>
      <c r="O4682" t="s">
        <v>10202</v>
      </c>
      <c r="P4682">
        <v>3</v>
      </c>
      <c r="Q4682">
        <v>0</v>
      </c>
      <c r="R4682">
        <v>105.39</v>
      </c>
      <c r="U4682">
        <v>21900</v>
      </c>
      <c r="W4682">
        <v>22.5</v>
      </c>
      <c r="X4682" t="s">
        <v>269</v>
      </c>
      <c r="Y4682" t="s">
        <v>10909</v>
      </c>
      <c r="AA4682" t="s">
        <v>10974</v>
      </c>
      <c r="AB4682" t="s">
        <v>939</v>
      </c>
      <c r="AD4682" t="s">
        <v>11096</v>
      </c>
      <c r="AF4682" t="s">
        <v>11122</v>
      </c>
      <c r="AH4682" t="s">
        <v>10974</v>
      </c>
      <c r="AJ4682" t="s">
        <v>11141</v>
      </c>
      <c r="AK4682" t="s">
        <v>7225</v>
      </c>
      <c r="AM4682">
        <v>1053.67</v>
      </c>
      <c r="AO4682">
        <v>61</v>
      </c>
      <c r="AQ4682" t="s">
        <v>11157</v>
      </c>
      <c r="AR4682" t="s">
        <v>11172</v>
      </c>
      <c r="AU4682">
        <v>38</v>
      </c>
      <c r="AW4682" t="s">
        <v>11187</v>
      </c>
      <c r="AZ4682" t="s">
        <v>11221</v>
      </c>
      <c r="BE4682" t="s">
        <v>14303</v>
      </c>
      <c r="BG4682" t="s">
        <v>15552</v>
      </c>
      <c r="BM4682" t="s">
        <v>15650</v>
      </c>
    </row>
    <row r="4683" spans="1:65">
      <c r="A4683" s="1">
        <f>HYPERLINK("https://lsnyc.legalserver.org/matter/dynamic-profile/view/1863308","18-1863308")</f>
        <v>0</v>
      </c>
      <c r="B4683" t="s">
        <v>240</v>
      </c>
      <c r="C4683" t="s">
        <v>248</v>
      </c>
      <c r="D4683" t="s">
        <v>687</v>
      </c>
      <c r="F4683" t="s">
        <v>2849</v>
      </c>
      <c r="G4683" t="s">
        <v>3236</v>
      </c>
      <c r="H4683" t="s">
        <v>6340</v>
      </c>
      <c r="I4683" t="s">
        <v>6583</v>
      </c>
      <c r="J4683" t="s">
        <v>7174</v>
      </c>
      <c r="K4683">
        <v>11226</v>
      </c>
      <c r="M4683" t="s">
        <v>7227</v>
      </c>
      <c r="N4683" t="s">
        <v>7237</v>
      </c>
      <c r="O4683" t="s">
        <v>10203</v>
      </c>
      <c r="P4683">
        <v>2</v>
      </c>
      <c r="Q4683">
        <v>0</v>
      </c>
      <c r="R4683">
        <v>88.36</v>
      </c>
      <c r="U4683">
        <v>14544</v>
      </c>
      <c r="W4683">
        <v>3</v>
      </c>
      <c r="X4683" t="s">
        <v>420</v>
      </c>
      <c r="Y4683" t="s">
        <v>10909</v>
      </c>
      <c r="AA4683" t="s">
        <v>10974</v>
      </c>
      <c r="AB4683" t="s">
        <v>473</v>
      </c>
      <c r="AD4683" t="s">
        <v>11090</v>
      </c>
      <c r="AF4683" t="s">
        <v>11118</v>
      </c>
      <c r="AH4683" t="s">
        <v>10974</v>
      </c>
      <c r="AJ4683" t="s">
        <v>11129</v>
      </c>
      <c r="AK4683" t="s">
        <v>7225</v>
      </c>
      <c r="AM4683">
        <v>1800</v>
      </c>
      <c r="AO4683">
        <v>65</v>
      </c>
      <c r="AP4683" t="s">
        <v>11155</v>
      </c>
      <c r="AS4683" t="s">
        <v>11174</v>
      </c>
      <c r="AU4683">
        <v>15</v>
      </c>
      <c r="AW4683" t="s">
        <v>11187</v>
      </c>
      <c r="AZ4683" t="s">
        <v>11221</v>
      </c>
      <c r="BE4683" t="s">
        <v>14304</v>
      </c>
      <c r="BF4683" t="s">
        <v>14364</v>
      </c>
      <c r="BM4683" t="s">
        <v>15650</v>
      </c>
    </row>
    <row r="4684" spans="1:65">
      <c r="A4684" s="1">
        <f>HYPERLINK("https://lsnyc.legalserver.org/matter/dynamic-profile/view/1872745","18-1872745")</f>
        <v>0</v>
      </c>
      <c r="B4684" t="s">
        <v>240</v>
      </c>
      <c r="C4684" t="s">
        <v>248</v>
      </c>
      <c r="D4684" t="s">
        <v>1038</v>
      </c>
      <c r="F4684" t="s">
        <v>2462</v>
      </c>
      <c r="G4684" t="s">
        <v>1656</v>
      </c>
      <c r="H4684" t="s">
        <v>6341</v>
      </c>
      <c r="I4684" t="s">
        <v>6909</v>
      </c>
      <c r="J4684" t="s">
        <v>7174</v>
      </c>
      <c r="K4684">
        <v>11225</v>
      </c>
      <c r="M4684" t="s">
        <v>7227</v>
      </c>
      <c r="N4684" t="s">
        <v>7237</v>
      </c>
      <c r="O4684" t="s">
        <v>7764</v>
      </c>
      <c r="P4684">
        <v>2</v>
      </c>
      <c r="Q4684">
        <v>0</v>
      </c>
      <c r="R4684">
        <v>150.18</v>
      </c>
      <c r="U4684">
        <v>24720</v>
      </c>
      <c r="W4684">
        <v>1</v>
      </c>
      <c r="X4684" t="s">
        <v>1038</v>
      </c>
      <c r="Y4684" t="s">
        <v>10909</v>
      </c>
      <c r="AA4684" t="s">
        <v>10974</v>
      </c>
      <c r="AB4684" t="s">
        <v>1017</v>
      </c>
      <c r="AD4684" t="s">
        <v>11101</v>
      </c>
      <c r="AF4684" t="s">
        <v>11118</v>
      </c>
      <c r="AH4684" t="s">
        <v>10974</v>
      </c>
      <c r="AJ4684" t="s">
        <v>11141</v>
      </c>
      <c r="AK4684" t="s">
        <v>7225</v>
      </c>
      <c r="AM4684">
        <v>813</v>
      </c>
      <c r="AO4684">
        <v>47</v>
      </c>
      <c r="AQ4684" t="s">
        <v>11157</v>
      </c>
      <c r="AS4684" t="s">
        <v>11175</v>
      </c>
      <c r="AU4684">
        <v>43</v>
      </c>
      <c r="AV4684" t="s">
        <v>11186</v>
      </c>
      <c r="AY4684" t="s">
        <v>11213</v>
      </c>
      <c r="AZ4684" t="s">
        <v>11221</v>
      </c>
      <c r="BD4684" t="s">
        <v>11667</v>
      </c>
      <c r="BF4684" t="s">
        <v>14364</v>
      </c>
      <c r="BM4684" t="s">
        <v>15650</v>
      </c>
    </row>
    <row r="4685" spans="1:65">
      <c r="A4685" s="1">
        <f>HYPERLINK("https://lsnyc.legalserver.org/matter/dynamic-profile/view/1905109","19-1905109")</f>
        <v>0</v>
      </c>
      <c r="B4685" t="s">
        <v>240</v>
      </c>
      <c r="C4685" t="s">
        <v>248</v>
      </c>
      <c r="D4685" t="s">
        <v>332</v>
      </c>
      <c r="F4685" t="s">
        <v>2850</v>
      </c>
      <c r="G4685" t="s">
        <v>3314</v>
      </c>
      <c r="H4685" t="s">
        <v>6342</v>
      </c>
      <c r="I4685" t="s">
        <v>6420</v>
      </c>
      <c r="J4685" t="s">
        <v>7174</v>
      </c>
      <c r="K4685">
        <v>11220</v>
      </c>
      <c r="N4685" t="s">
        <v>7237</v>
      </c>
      <c r="O4685" t="s">
        <v>10204</v>
      </c>
      <c r="P4685">
        <v>4</v>
      </c>
      <c r="Q4685">
        <v>0</v>
      </c>
      <c r="R4685">
        <v>155.34</v>
      </c>
      <c r="U4685">
        <v>40000</v>
      </c>
      <c r="W4685">
        <v>0.2</v>
      </c>
      <c r="X4685" t="s">
        <v>332</v>
      </c>
      <c r="Y4685" t="s">
        <v>212</v>
      </c>
      <c r="AA4685" t="s">
        <v>10974</v>
      </c>
      <c r="AB4685" t="s">
        <v>328</v>
      </c>
      <c r="AD4685" t="s">
        <v>11101</v>
      </c>
      <c r="AF4685" t="s">
        <v>11118</v>
      </c>
      <c r="AH4685" t="s">
        <v>10974</v>
      </c>
      <c r="AI4685" t="s">
        <v>11126</v>
      </c>
      <c r="AK4685" t="s">
        <v>7225</v>
      </c>
      <c r="AL4685" t="s">
        <v>11150</v>
      </c>
      <c r="AM4685">
        <v>0</v>
      </c>
      <c r="AO4685">
        <v>54</v>
      </c>
      <c r="AP4685" t="s">
        <v>11155</v>
      </c>
      <c r="AR4685" t="s">
        <v>11172</v>
      </c>
      <c r="AT4685" t="s">
        <v>11184</v>
      </c>
      <c r="AU4685">
        <v>0</v>
      </c>
      <c r="AW4685" t="s">
        <v>11187</v>
      </c>
      <c r="BA4685" t="s">
        <v>11222</v>
      </c>
      <c r="BE4685" t="s">
        <v>14305</v>
      </c>
      <c r="BF4685" t="s">
        <v>14364</v>
      </c>
      <c r="BM4685" t="s">
        <v>15650</v>
      </c>
    </row>
    <row r="4686" spans="1:65">
      <c r="A4686" s="1">
        <f>HYPERLINK("https://lsnyc.legalserver.org/matter/dynamic-profile/view/1863305","18-1863305")</f>
        <v>0</v>
      </c>
      <c r="B4686" t="s">
        <v>240</v>
      </c>
      <c r="C4686" t="s">
        <v>248</v>
      </c>
      <c r="D4686" t="s">
        <v>687</v>
      </c>
      <c r="F4686" t="s">
        <v>2831</v>
      </c>
      <c r="G4686" t="s">
        <v>2507</v>
      </c>
      <c r="H4686" t="s">
        <v>6340</v>
      </c>
      <c r="I4686" t="s">
        <v>6910</v>
      </c>
      <c r="J4686" t="s">
        <v>7174</v>
      </c>
      <c r="K4686">
        <v>11226</v>
      </c>
      <c r="M4686" t="s">
        <v>7227</v>
      </c>
      <c r="N4686" t="s">
        <v>7237</v>
      </c>
      <c r="O4686" t="s">
        <v>10165</v>
      </c>
      <c r="P4686">
        <v>1</v>
      </c>
      <c r="Q4686">
        <v>0</v>
      </c>
      <c r="R4686">
        <v>53.38</v>
      </c>
      <c r="U4686">
        <v>6480</v>
      </c>
      <c r="W4686">
        <v>127.75</v>
      </c>
      <c r="X4686" t="s">
        <v>10857</v>
      </c>
      <c r="Y4686" t="s">
        <v>10909</v>
      </c>
      <c r="AA4686" t="s">
        <v>10974</v>
      </c>
      <c r="AB4686" t="s">
        <v>473</v>
      </c>
      <c r="AD4686" t="s">
        <v>11085</v>
      </c>
      <c r="AF4686" t="s">
        <v>11118</v>
      </c>
      <c r="AH4686" t="s">
        <v>10974</v>
      </c>
      <c r="AJ4686" t="s">
        <v>11129</v>
      </c>
      <c r="AK4686" t="s">
        <v>7225</v>
      </c>
      <c r="AM4686">
        <v>1275</v>
      </c>
      <c r="AO4686">
        <v>65</v>
      </c>
      <c r="AQ4686" t="s">
        <v>11157</v>
      </c>
      <c r="AS4686" t="s">
        <v>11174</v>
      </c>
      <c r="AU4686">
        <v>14</v>
      </c>
      <c r="AW4686" t="s">
        <v>11187</v>
      </c>
      <c r="AZ4686" t="s">
        <v>11221</v>
      </c>
      <c r="BE4686" t="s">
        <v>14277</v>
      </c>
      <c r="BF4686" t="s">
        <v>14364</v>
      </c>
      <c r="BM4686" t="s">
        <v>15650</v>
      </c>
    </row>
    <row r="4687" spans="1:65">
      <c r="A4687" s="1">
        <f>HYPERLINK("https://lsnyc.legalserver.org/matter/dynamic-profile/view/1860915","18-1860915")</f>
        <v>0</v>
      </c>
      <c r="B4687" t="s">
        <v>240</v>
      </c>
      <c r="C4687" t="s">
        <v>248</v>
      </c>
      <c r="D4687" t="s">
        <v>944</v>
      </c>
      <c r="F4687" t="s">
        <v>1799</v>
      </c>
      <c r="G4687" t="s">
        <v>4720</v>
      </c>
      <c r="H4687" t="s">
        <v>6344</v>
      </c>
      <c r="I4687" t="s">
        <v>6797</v>
      </c>
      <c r="J4687" t="s">
        <v>7174</v>
      </c>
      <c r="K4687">
        <v>11226</v>
      </c>
      <c r="M4687" t="s">
        <v>7227</v>
      </c>
      <c r="N4687" t="s">
        <v>7237</v>
      </c>
      <c r="O4687" t="s">
        <v>10198</v>
      </c>
      <c r="P4687">
        <v>1</v>
      </c>
      <c r="Q4687">
        <v>0</v>
      </c>
      <c r="R4687">
        <v>88.95999999999999</v>
      </c>
      <c r="U4687">
        <v>10800</v>
      </c>
      <c r="W4687">
        <v>1</v>
      </c>
      <c r="X4687" t="s">
        <v>944</v>
      </c>
      <c r="Y4687" t="s">
        <v>10909</v>
      </c>
      <c r="AA4687" t="s">
        <v>10974</v>
      </c>
      <c r="AB4687" t="s">
        <v>11046</v>
      </c>
      <c r="AD4687" t="s">
        <v>11084</v>
      </c>
      <c r="AF4687" t="s">
        <v>11118</v>
      </c>
      <c r="AH4687" t="s">
        <v>10975</v>
      </c>
      <c r="AJ4687" t="s">
        <v>11141</v>
      </c>
      <c r="AK4687" t="s">
        <v>7225</v>
      </c>
      <c r="AM4687">
        <v>1300</v>
      </c>
      <c r="AO4687">
        <v>61</v>
      </c>
      <c r="AQ4687" t="s">
        <v>11157</v>
      </c>
      <c r="AS4687" t="s">
        <v>11173</v>
      </c>
      <c r="AU4687">
        <v>12</v>
      </c>
      <c r="AW4687" t="s">
        <v>11187</v>
      </c>
      <c r="AZ4687" t="s">
        <v>11221</v>
      </c>
      <c r="BB4687" t="s">
        <v>11224</v>
      </c>
      <c r="BC4687">
        <v>11225120</v>
      </c>
      <c r="BE4687" t="s">
        <v>14300</v>
      </c>
      <c r="BF4687" t="s">
        <v>14364</v>
      </c>
      <c r="BG4687" t="s">
        <v>15533</v>
      </c>
      <c r="BM4687" t="s">
        <v>15650</v>
      </c>
    </row>
    <row r="4688" spans="1:65">
      <c r="A4688" s="1">
        <f>HYPERLINK("https://lsnyc.legalserver.org/matter/dynamic-profile/view/1853702","17-1853702")</f>
        <v>0</v>
      </c>
      <c r="B4688" t="s">
        <v>241</v>
      </c>
      <c r="C4688" t="s">
        <v>245</v>
      </c>
      <c r="D4688" t="s">
        <v>828</v>
      </c>
      <c r="E4688" t="s">
        <v>539</v>
      </c>
      <c r="F4688" t="s">
        <v>2340</v>
      </c>
      <c r="G4688" t="s">
        <v>4144</v>
      </c>
      <c r="H4688" t="s">
        <v>5817</v>
      </c>
      <c r="I4688" t="s">
        <v>6433</v>
      </c>
      <c r="J4688" t="s">
        <v>7169</v>
      </c>
      <c r="K4688">
        <v>10035</v>
      </c>
      <c r="L4688" t="s">
        <v>7219</v>
      </c>
      <c r="N4688" t="s">
        <v>7237</v>
      </c>
      <c r="O4688" t="s">
        <v>9202</v>
      </c>
      <c r="P4688">
        <v>1</v>
      </c>
      <c r="Q4688">
        <v>0</v>
      </c>
      <c r="R4688">
        <v>111.64</v>
      </c>
      <c r="U4688">
        <v>13464</v>
      </c>
      <c r="W4688">
        <v>45.3</v>
      </c>
      <c r="X4688" t="s">
        <v>608</v>
      </c>
      <c r="Y4688" t="s">
        <v>10859</v>
      </c>
      <c r="AA4688" t="s">
        <v>10974</v>
      </c>
      <c r="AB4688" t="s">
        <v>997</v>
      </c>
      <c r="AD4688" t="s">
        <v>11082</v>
      </c>
      <c r="AF4688" t="s">
        <v>11118</v>
      </c>
      <c r="AH4688" t="s">
        <v>10975</v>
      </c>
      <c r="AJ4688" t="s">
        <v>11132</v>
      </c>
      <c r="AK4688" t="s">
        <v>7225</v>
      </c>
      <c r="AM4688">
        <v>814.25</v>
      </c>
      <c r="AO4688">
        <v>8</v>
      </c>
      <c r="AQ4688" t="s">
        <v>11157</v>
      </c>
      <c r="AS4688" t="s">
        <v>11173</v>
      </c>
      <c r="AT4688" t="s">
        <v>11184</v>
      </c>
      <c r="AU4688">
        <v>0</v>
      </c>
      <c r="AW4688" t="s">
        <v>11187</v>
      </c>
      <c r="AZ4688" t="s">
        <v>11221</v>
      </c>
      <c r="BE4688" t="s">
        <v>13433</v>
      </c>
      <c r="BG4688" t="s">
        <v>15553</v>
      </c>
      <c r="BH4688" t="s">
        <v>15605</v>
      </c>
      <c r="BJ4688" t="s">
        <v>15615</v>
      </c>
      <c r="BL4688" t="s">
        <v>15648</v>
      </c>
      <c r="BM4688" t="s">
        <v>15651</v>
      </c>
    </row>
    <row r="4689" spans="1:65">
      <c r="A4689" s="1">
        <f>HYPERLINK("https://lsnyc.legalserver.org/matter/dynamic-profile/view/1902439","19-1902439")</f>
        <v>0</v>
      </c>
      <c r="B4689" t="s">
        <v>241</v>
      </c>
      <c r="C4689" t="s">
        <v>245</v>
      </c>
      <c r="D4689" t="s">
        <v>650</v>
      </c>
      <c r="F4689" t="s">
        <v>2851</v>
      </c>
      <c r="G4689" t="s">
        <v>4724</v>
      </c>
      <c r="H4689" t="s">
        <v>6352</v>
      </c>
      <c r="I4689">
        <v>1</v>
      </c>
      <c r="J4689" t="s">
        <v>7169</v>
      </c>
      <c r="K4689">
        <v>10032</v>
      </c>
      <c r="N4689" t="s">
        <v>7237</v>
      </c>
      <c r="O4689" t="s">
        <v>10205</v>
      </c>
      <c r="P4689">
        <v>1</v>
      </c>
      <c r="Q4689">
        <v>0</v>
      </c>
      <c r="R4689">
        <v>86.47</v>
      </c>
      <c r="U4689">
        <v>10800</v>
      </c>
      <c r="W4689">
        <v>39.6</v>
      </c>
      <c r="X4689" t="s">
        <v>735</v>
      </c>
      <c r="Y4689" t="s">
        <v>10885</v>
      </c>
      <c r="AA4689" t="s">
        <v>10974</v>
      </c>
      <c r="AB4689" t="s">
        <v>650</v>
      </c>
      <c r="AD4689" t="s">
        <v>11082</v>
      </c>
      <c r="AF4689" t="s">
        <v>11118</v>
      </c>
      <c r="AH4689" t="s">
        <v>10975</v>
      </c>
      <c r="AJ4689" t="s">
        <v>11138</v>
      </c>
      <c r="AK4689" t="s">
        <v>7225</v>
      </c>
      <c r="AM4689">
        <v>1308</v>
      </c>
      <c r="AN4689" t="s">
        <v>11151</v>
      </c>
      <c r="AO4689" t="s">
        <v>11153</v>
      </c>
      <c r="AQ4689" t="s">
        <v>11157</v>
      </c>
      <c r="AS4689" t="s">
        <v>11174</v>
      </c>
      <c r="AU4689">
        <v>48</v>
      </c>
      <c r="AW4689" t="s">
        <v>11187</v>
      </c>
      <c r="BA4689" t="s">
        <v>11222</v>
      </c>
      <c r="BE4689" t="s">
        <v>14306</v>
      </c>
      <c r="BG4689" t="s">
        <v>15554</v>
      </c>
      <c r="BM4689" t="s">
        <v>15650</v>
      </c>
    </row>
    <row r="4690" spans="1:65">
      <c r="A4690" s="1">
        <f>HYPERLINK("https://lsnyc.legalserver.org/matter/dynamic-profile/view/1872874","18-1872874")</f>
        <v>0</v>
      </c>
      <c r="B4690" t="s">
        <v>241</v>
      </c>
      <c r="C4690" t="s">
        <v>245</v>
      </c>
      <c r="D4690" t="s">
        <v>750</v>
      </c>
      <c r="F4690" t="s">
        <v>1721</v>
      </c>
      <c r="G4690" t="s">
        <v>3053</v>
      </c>
      <c r="H4690" t="s">
        <v>6353</v>
      </c>
      <c r="I4690" t="s">
        <v>6477</v>
      </c>
      <c r="J4690" t="s">
        <v>7169</v>
      </c>
      <c r="K4690">
        <v>10031</v>
      </c>
      <c r="N4690" t="s">
        <v>7237</v>
      </c>
      <c r="O4690" t="s">
        <v>10206</v>
      </c>
      <c r="P4690">
        <v>2</v>
      </c>
      <c r="Q4690">
        <v>0</v>
      </c>
      <c r="R4690">
        <v>207.87</v>
      </c>
      <c r="U4690">
        <v>34216</v>
      </c>
      <c r="W4690">
        <v>98.09999999999999</v>
      </c>
      <c r="X4690" t="s">
        <v>614</v>
      </c>
      <c r="Y4690" t="s">
        <v>10862</v>
      </c>
      <c r="AA4690" t="s">
        <v>10974</v>
      </c>
      <c r="AB4690" t="s">
        <v>750</v>
      </c>
      <c r="AD4690" t="s">
        <v>11083</v>
      </c>
      <c r="AF4690" t="s">
        <v>11118</v>
      </c>
      <c r="AH4690" t="s">
        <v>10975</v>
      </c>
      <c r="AJ4690" t="s">
        <v>11130</v>
      </c>
      <c r="AK4690" t="s">
        <v>7225</v>
      </c>
      <c r="AM4690">
        <v>186.57</v>
      </c>
      <c r="AN4690" t="s">
        <v>11151</v>
      </c>
      <c r="AO4690" t="s">
        <v>11153</v>
      </c>
      <c r="AQ4690" t="s">
        <v>11157</v>
      </c>
      <c r="AS4690" t="s">
        <v>11173</v>
      </c>
      <c r="AU4690">
        <v>48</v>
      </c>
      <c r="AW4690" t="s">
        <v>11187</v>
      </c>
      <c r="AY4690" t="s">
        <v>11213</v>
      </c>
      <c r="AZ4690" t="s">
        <v>11221</v>
      </c>
      <c r="BE4690" t="s">
        <v>14307</v>
      </c>
      <c r="BG4690" t="s">
        <v>15555</v>
      </c>
      <c r="BM4690" t="s">
        <v>15650</v>
      </c>
    </row>
    <row r="4691" spans="1:65">
      <c r="A4691" s="1">
        <f>HYPERLINK("https://lsnyc.legalserver.org/matter/dynamic-profile/view/0815733","16-0815733")</f>
        <v>0</v>
      </c>
      <c r="B4691" t="s">
        <v>241</v>
      </c>
      <c r="C4691" t="s">
        <v>245</v>
      </c>
      <c r="D4691" t="s">
        <v>1079</v>
      </c>
      <c r="F4691" t="s">
        <v>1295</v>
      </c>
      <c r="G4691" t="s">
        <v>2913</v>
      </c>
      <c r="H4691" t="s">
        <v>6354</v>
      </c>
      <c r="I4691" t="s">
        <v>7163</v>
      </c>
      <c r="J4691" t="s">
        <v>7169</v>
      </c>
      <c r="K4691">
        <v>10031</v>
      </c>
      <c r="M4691" t="s">
        <v>7224</v>
      </c>
      <c r="N4691" t="s">
        <v>7237</v>
      </c>
      <c r="O4691" t="s">
        <v>9027</v>
      </c>
      <c r="P4691">
        <v>1</v>
      </c>
      <c r="Q4691">
        <v>0</v>
      </c>
      <c r="R4691">
        <v>392.03</v>
      </c>
      <c r="U4691">
        <v>46573</v>
      </c>
      <c r="W4691">
        <v>43.05</v>
      </c>
      <c r="X4691" t="s">
        <v>10854</v>
      </c>
      <c r="Y4691" t="s">
        <v>10858</v>
      </c>
      <c r="AA4691" t="s">
        <v>10974</v>
      </c>
      <c r="AB4691" t="s">
        <v>409</v>
      </c>
      <c r="AC4691" t="s">
        <v>11081</v>
      </c>
      <c r="AF4691" t="s">
        <v>11118</v>
      </c>
      <c r="AG4691" t="s">
        <v>11124</v>
      </c>
      <c r="AI4691" t="s">
        <v>11126</v>
      </c>
      <c r="AK4691" t="s">
        <v>7225</v>
      </c>
      <c r="AL4691" t="s">
        <v>11150</v>
      </c>
      <c r="AM4691">
        <v>0</v>
      </c>
      <c r="AN4691" t="s">
        <v>11151</v>
      </c>
      <c r="AO4691" t="s">
        <v>11153</v>
      </c>
      <c r="AP4691" t="s">
        <v>11155</v>
      </c>
      <c r="AR4691" t="s">
        <v>11172</v>
      </c>
      <c r="AT4691" t="s">
        <v>11184</v>
      </c>
      <c r="AU4691">
        <v>0</v>
      </c>
      <c r="AW4691" t="s">
        <v>11187</v>
      </c>
      <c r="AZ4691" t="s">
        <v>11221</v>
      </c>
      <c r="BE4691" t="s">
        <v>14308</v>
      </c>
      <c r="BF4691" t="s">
        <v>14364</v>
      </c>
      <c r="BM4691" t="s">
        <v>15650</v>
      </c>
    </row>
    <row r="4692" spans="1:65">
      <c r="A4692" s="1">
        <f>HYPERLINK("https://lsnyc.legalserver.org/matter/dynamic-profile/view/1902471","19-1902471")</f>
        <v>0</v>
      </c>
      <c r="B4692" t="s">
        <v>241</v>
      </c>
      <c r="C4692" t="s">
        <v>245</v>
      </c>
      <c r="D4692" t="s">
        <v>650</v>
      </c>
      <c r="E4692" t="s">
        <v>426</v>
      </c>
      <c r="F4692" t="s">
        <v>1452</v>
      </c>
      <c r="G4692" t="s">
        <v>4725</v>
      </c>
      <c r="H4692" t="s">
        <v>6355</v>
      </c>
      <c r="I4692">
        <v>11</v>
      </c>
      <c r="J4692" t="s">
        <v>7169</v>
      </c>
      <c r="K4692">
        <v>10009</v>
      </c>
      <c r="L4692" t="s">
        <v>7216</v>
      </c>
      <c r="N4692" t="s">
        <v>7237</v>
      </c>
      <c r="O4692" t="s">
        <v>10207</v>
      </c>
      <c r="P4692">
        <v>1</v>
      </c>
      <c r="Q4692">
        <v>0</v>
      </c>
      <c r="R4692">
        <v>108.09</v>
      </c>
      <c r="U4692">
        <v>13500</v>
      </c>
      <c r="W4692">
        <v>0.25</v>
      </c>
      <c r="X4692" t="s">
        <v>264</v>
      </c>
      <c r="Y4692" t="s">
        <v>10885</v>
      </c>
      <c r="AA4692" t="s">
        <v>10974</v>
      </c>
      <c r="AB4692" t="s">
        <v>650</v>
      </c>
      <c r="AD4692" t="s">
        <v>11083</v>
      </c>
      <c r="AF4692" t="s">
        <v>11119</v>
      </c>
      <c r="AH4692" t="s">
        <v>10975</v>
      </c>
      <c r="AJ4692" t="s">
        <v>11141</v>
      </c>
      <c r="AK4692" t="s">
        <v>7225</v>
      </c>
      <c r="AM4692">
        <v>2400</v>
      </c>
      <c r="AN4692" t="s">
        <v>11151</v>
      </c>
      <c r="AO4692" t="s">
        <v>11153</v>
      </c>
      <c r="AQ4692" t="s">
        <v>11171</v>
      </c>
      <c r="AS4692" t="s">
        <v>11173</v>
      </c>
      <c r="AU4692">
        <v>1</v>
      </c>
      <c r="AW4692" t="s">
        <v>11187</v>
      </c>
      <c r="BA4692" t="s">
        <v>11222</v>
      </c>
      <c r="BE4692" t="s">
        <v>14309</v>
      </c>
      <c r="BG4692" t="s">
        <v>15556</v>
      </c>
      <c r="BM4692" t="s">
        <v>15651</v>
      </c>
    </row>
    <row r="4693" spans="1:65">
      <c r="A4693" s="1">
        <f>HYPERLINK("https://lsnyc.legalserver.org/matter/dynamic-profile/view/0831265","17-0831265")</f>
        <v>0</v>
      </c>
      <c r="B4693" t="s">
        <v>241</v>
      </c>
      <c r="C4693" t="s">
        <v>245</v>
      </c>
      <c r="D4693" t="s">
        <v>1013</v>
      </c>
      <c r="F4693" t="s">
        <v>1379</v>
      </c>
      <c r="G4693" t="s">
        <v>2922</v>
      </c>
      <c r="H4693" t="s">
        <v>6356</v>
      </c>
      <c r="I4693" t="s">
        <v>6436</v>
      </c>
      <c r="J4693" t="s">
        <v>7169</v>
      </c>
      <c r="K4693">
        <v>10027</v>
      </c>
      <c r="M4693" t="s">
        <v>7224</v>
      </c>
      <c r="N4693" t="s">
        <v>7237</v>
      </c>
      <c r="O4693" t="s">
        <v>8743</v>
      </c>
      <c r="P4693">
        <v>1</v>
      </c>
      <c r="Q4693">
        <v>0</v>
      </c>
      <c r="R4693">
        <v>258.71</v>
      </c>
      <c r="S4693" t="s">
        <v>10255</v>
      </c>
      <c r="U4693">
        <v>31200</v>
      </c>
      <c r="W4693">
        <v>17</v>
      </c>
      <c r="X4693" t="s">
        <v>630</v>
      </c>
      <c r="Y4693" t="s">
        <v>10858</v>
      </c>
      <c r="AA4693" t="s">
        <v>10974</v>
      </c>
      <c r="AB4693" t="s">
        <v>849</v>
      </c>
      <c r="AD4693" t="s">
        <v>11083</v>
      </c>
      <c r="AF4693" t="s">
        <v>11118</v>
      </c>
      <c r="AH4693" t="s">
        <v>10975</v>
      </c>
      <c r="AI4693" t="s">
        <v>11126</v>
      </c>
      <c r="AK4693" t="s">
        <v>7225</v>
      </c>
      <c r="AL4693" t="s">
        <v>11150</v>
      </c>
      <c r="AM4693">
        <v>0</v>
      </c>
      <c r="AN4693" t="s">
        <v>11151</v>
      </c>
      <c r="AO4693" t="s">
        <v>11153</v>
      </c>
      <c r="AP4693" t="s">
        <v>11155</v>
      </c>
      <c r="AR4693" t="s">
        <v>11172</v>
      </c>
      <c r="AT4693" t="s">
        <v>11184</v>
      </c>
      <c r="AU4693">
        <v>0</v>
      </c>
      <c r="AW4693" t="s">
        <v>11187</v>
      </c>
      <c r="AZ4693" t="s">
        <v>11221</v>
      </c>
      <c r="BE4693" t="s">
        <v>14310</v>
      </c>
      <c r="BG4693" t="s">
        <v>15557</v>
      </c>
      <c r="BM4693" t="s">
        <v>15650</v>
      </c>
    </row>
    <row r="4694" spans="1:65">
      <c r="A4694" s="1">
        <f>HYPERLINK("https://lsnyc.legalserver.org/matter/dynamic-profile/view/1886103","18-1886103")</f>
        <v>0</v>
      </c>
      <c r="B4694" t="s">
        <v>241</v>
      </c>
      <c r="C4694" t="s">
        <v>245</v>
      </c>
      <c r="D4694" t="s">
        <v>405</v>
      </c>
      <c r="E4694" t="s">
        <v>539</v>
      </c>
      <c r="F4694" t="s">
        <v>2852</v>
      </c>
      <c r="G4694" t="s">
        <v>4726</v>
      </c>
      <c r="H4694" t="s">
        <v>6357</v>
      </c>
      <c r="I4694">
        <v>202</v>
      </c>
      <c r="J4694" t="s">
        <v>7169</v>
      </c>
      <c r="K4694">
        <v>10027</v>
      </c>
      <c r="L4694" t="s">
        <v>7219</v>
      </c>
      <c r="N4694" t="s">
        <v>7237</v>
      </c>
      <c r="O4694" t="s">
        <v>10208</v>
      </c>
      <c r="P4694">
        <v>1</v>
      </c>
      <c r="Q4694">
        <v>3</v>
      </c>
      <c r="R4694">
        <v>302.79</v>
      </c>
      <c r="U4694">
        <v>76000</v>
      </c>
      <c r="W4694">
        <v>5.75</v>
      </c>
      <c r="X4694" t="s">
        <v>729</v>
      </c>
      <c r="Y4694" t="s">
        <v>10885</v>
      </c>
      <c r="AA4694" t="s">
        <v>10974</v>
      </c>
      <c r="AB4694" t="s">
        <v>405</v>
      </c>
      <c r="AD4694" t="s">
        <v>11083</v>
      </c>
      <c r="AF4694" t="s">
        <v>11118</v>
      </c>
      <c r="AH4694" t="s">
        <v>10975</v>
      </c>
      <c r="AJ4694" t="s">
        <v>11135</v>
      </c>
      <c r="AK4694" t="s">
        <v>7225</v>
      </c>
      <c r="AM4694">
        <v>734</v>
      </c>
      <c r="AO4694">
        <v>27</v>
      </c>
      <c r="AQ4694" t="s">
        <v>11157</v>
      </c>
      <c r="AS4694" t="s">
        <v>11173</v>
      </c>
      <c r="AU4694">
        <v>10</v>
      </c>
      <c r="AW4694" t="s">
        <v>11187</v>
      </c>
      <c r="AY4694" t="s">
        <v>11216</v>
      </c>
      <c r="AZ4694" t="s">
        <v>11221</v>
      </c>
      <c r="BE4694" t="s">
        <v>14311</v>
      </c>
      <c r="BG4694" t="s">
        <v>15558</v>
      </c>
      <c r="BH4694" t="s">
        <v>15605</v>
      </c>
      <c r="BJ4694" t="s">
        <v>15615</v>
      </c>
      <c r="BL4694" t="s">
        <v>15648</v>
      </c>
      <c r="BM4694" t="s">
        <v>15651</v>
      </c>
    </row>
    <row r="4695" spans="1:65">
      <c r="A4695" s="1">
        <f>HYPERLINK("https://lsnyc.legalserver.org/matter/dynamic-profile/view/1904585","19-1904585")</f>
        <v>0</v>
      </c>
      <c r="B4695" t="s">
        <v>241</v>
      </c>
      <c r="C4695" t="s">
        <v>245</v>
      </c>
      <c r="D4695" t="s">
        <v>380</v>
      </c>
      <c r="F4695" t="s">
        <v>1573</v>
      </c>
      <c r="G4695" t="s">
        <v>4727</v>
      </c>
      <c r="H4695" t="s">
        <v>6358</v>
      </c>
      <c r="I4695" t="s">
        <v>7049</v>
      </c>
      <c r="J4695" t="s">
        <v>7169</v>
      </c>
      <c r="K4695">
        <v>10002</v>
      </c>
      <c r="N4695" t="s">
        <v>7237</v>
      </c>
      <c r="O4695" t="s">
        <v>10209</v>
      </c>
      <c r="P4695">
        <v>1</v>
      </c>
      <c r="Q4695">
        <v>1</v>
      </c>
      <c r="R4695">
        <v>197.68</v>
      </c>
      <c r="U4695">
        <v>33428</v>
      </c>
      <c r="W4695">
        <v>2.35</v>
      </c>
      <c r="X4695" t="s">
        <v>635</v>
      </c>
      <c r="Y4695" t="s">
        <v>10862</v>
      </c>
      <c r="AA4695" t="s">
        <v>10974</v>
      </c>
      <c r="AD4695" t="s">
        <v>11090</v>
      </c>
      <c r="AF4695" t="s">
        <v>10384</v>
      </c>
      <c r="AG4695" t="s">
        <v>11124</v>
      </c>
      <c r="AJ4695" t="s">
        <v>11134</v>
      </c>
      <c r="AK4695" t="s">
        <v>7225</v>
      </c>
      <c r="AM4695">
        <v>1035.79</v>
      </c>
      <c r="AN4695" t="s">
        <v>11151</v>
      </c>
      <c r="AO4695" t="s">
        <v>11153</v>
      </c>
      <c r="AQ4695" t="s">
        <v>11164</v>
      </c>
      <c r="AR4695" t="s">
        <v>11172</v>
      </c>
      <c r="AU4695">
        <v>3</v>
      </c>
      <c r="AW4695" t="s">
        <v>11189</v>
      </c>
      <c r="AX4695" t="s">
        <v>11212</v>
      </c>
      <c r="BA4695" t="s">
        <v>11222</v>
      </c>
      <c r="BE4695" t="s">
        <v>14312</v>
      </c>
      <c r="BF4695" t="s">
        <v>14364</v>
      </c>
      <c r="BM4695" t="s">
        <v>15650</v>
      </c>
    </row>
    <row r="4696" spans="1:65">
      <c r="A4696" s="1">
        <f>HYPERLINK("https://lsnyc.legalserver.org/matter/dynamic-profile/view/1842815","17-1842815")</f>
        <v>0</v>
      </c>
      <c r="B4696" t="s">
        <v>241</v>
      </c>
      <c r="C4696" t="s">
        <v>245</v>
      </c>
      <c r="D4696" t="s">
        <v>603</v>
      </c>
      <c r="F4696" t="s">
        <v>2853</v>
      </c>
      <c r="G4696" t="s">
        <v>3378</v>
      </c>
      <c r="H4696" t="s">
        <v>6359</v>
      </c>
      <c r="I4696" t="s">
        <v>6689</v>
      </c>
      <c r="J4696" t="s">
        <v>7169</v>
      </c>
      <c r="K4696">
        <v>10023</v>
      </c>
      <c r="M4696" t="s">
        <v>7236</v>
      </c>
      <c r="N4696" t="s">
        <v>7237</v>
      </c>
      <c r="O4696" t="s">
        <v>10210</v>
      </c>
      <c r="P4696">
        <v>3</v>
      </c>
      <c r="Q4696">
        <v>0</v>
      </c>
      <c r="R4696">
        <v>58.77</v>
      </c>
      <c r="U4696">
        <v>12000</v>
      </c>
      <c r="W4696">
        <v>19.25</v>
      </c>
      <c r="X4696" t="s">
        <v>673</v>
      </c>
      <c r="Y4696" t="s">
        <v>10860</v>
      </c>
      <c r="Z4696" t="s">
        <v>10973</v>
      </c>
      <c r="AA4696" t="s">
        <v>10975</v>
      </c>
      <c r="AB4696" t="s">
        <v>603</v>
      </c>
      <c r="AC4696" t="s">
        <v>11081</v>
      </c>
      <c r="AF4696" t="s">
        <v>11118</v>
      </c>
      <c r="AG4696" t="s">
        <v>11124</v>
      </c>
      <c r="AI4696" t="s">
        <v>11126</v>
      </c>
      <c r="AK4696" t="s">
        <v>7225</v>
      </c>
      <c r="AM4696">
        <v>880</v>
      </c>
      <c r="AO4696">
        <v>188</v>
      </c>
      <c r="AP4696" t="s">
        <v>11155</v>
      </c>
      <c r="AR4696" t="s">
        <v>11172</v>
      </c>
      <c r="AU4696">
        <v>10</v>
      </c>
      <c r="AV4696" t="s">
        <v>11186</v>
      </c>
      <c r="AZ4696" t="s">
        <v>11221</v>
      </c>
      <c r="BE4696" t="s">
        <v>14313</v>
      </c>
      <c r="BF4696" t="s">
        <v>14364</v>
      </c>
      <c r="BM4696" t="s">
        <v>15650</v>
      </c>
    </row>
    <row r="4697" spans="1:65">
      <c r="A4697" s="1">
        <f>HYPERLINK("https://lsnyc.legalserver.org/matter/dynamic-profile/view/1894548","19-1894548")</f>
        <v>0</v>
      </c>
      <c r="B4697" t="s">
        <v>242</v>
      </c>
      <c r="C4697" t="s">
        <v>248</v>
      </c>
      <c r="D4697" t="s">
        <v>472</v>
      </c>
      <c r="F4697" t="s">
        <v>2854</v>
      </c>
      <c r="G4697" t="s">
        <v>4728</v>
      </c>
      <c r="H4697" t="s">
        <v>5121</v>
      </c>
      <c r="I4697" t="s">
        <v>6587</v>
      </c>
      <c r="J4697" t="s">
        <v>7174</v>
      </c>
      <c r="K4697">
        <v>11208</v>
      </c>
      <c r="N4697" t="s">
        <v>7237</v>
      </c>
      <c r="O4697" t="s">
        <v>8630</v>
      </c>
      <c r="P4697">
        <v>2</v>
      </c>
      <c r="Q4697">
        <v>2</v>
      </c>
      <c r="R4697">
        <v>8.890000000000001</v>
      </c>
      <c r="U4697">
        <v>2288</v>
      </c>
      <c r="W4697">
        <v>40.75</v>
      </c>
      <c r="X4697" t="s">
        <v>733</v>
      </c>
      <c r="Y4697" t="s">
        <v>10912</v>
      </c>
      <c r="AA4697" t="s">
        <v>10974</v>
      </c>
      <c r="AB4697" t="s">
        <v>472</v>
      </c>
      <c r="AD4697" t="s">
        <v>11082</v>
      </c>
      <c r="AF4697" t="s">
        <v>11118</v>
      </c>
      <c r="AG4697" t="s">
        <v>11124</v>
      </c>
      <c r="AJ4697" t="s">
        <v>11138</v>
      </c>
      <c r="AK4697" t="s">
        <v>7225</v>
      </c>
      <c r="AM4697">
        <v>1488</v>
      </c>
      <c r="AO4697">
        <v>18</v>
      </c>
      <c r="AQ4697" t="s">
        <v>11164</v>
      </c>
      <c r="AR4697" t="s">
        <v>11172</v>
      </c>
      <c r="AU4697">
        <v>2</v>
      </c>
      <c r="AW4697" t="s">
        <v>11187</v>
      </c>
      <c r="AZ4697" t="s">
        <v>11221</v>
      </c>
      <c r="BC4697" t="s">
        <v>11648</v>
      </c>
      <c r="BE4697" t="s">
        <v>14314</v>
      </c>
      <c r="BG4697" t="s">
        <v>15559</v>
      </c>
      <c r="BM4697" t="s">
        <v>15650</v>
      </c>
    </row>
    <row r="4698" spans="1:65">
      <c r="A4698" s="1">
        <f>HYPERLINK("https://lsnyc.legalserver.org/matter/dynamic-profile/view/1908622","19-1908622")</f>
        <v>0</v>
      </c>
      <c r="B4698" t="s">
        <v>242</v>
      </c>
      <c r="C4698" t="s">
        <v>248</v>
      </c>
      <c r="D4698" t="s">
        <v>302</v>
      </c>
      <c r="E4698" t="s">
        <v>426</v>
      </c>
      <c r="F4698" t="s">
        <v>2139</v>
      </c>
      <c r="G4698" t="s">
        <v>3126</v>
      </c>
      <c r="H4698" t="s">
        <v>5767</v>
      </c>
      <c r="I4698" t="s">
        <v>6502</v>
      </c>
      <c r="J4698" t="s">
        <v>7174</v>
      </c>
      <c r="K4698">
        <v>11208</v>
      </c>
      <c r="L4698" t="s">
        <v>7216</v>
      </c>
      <c r="N4698" t="s">
        <v>7237</v>
      </c>
      <c r="O4698" t="s">
        <v>10049</v>
      </c>
      <c r="P4698">
        <v>2</v>
      </c>
      <c r="Q4698">
        <v>0</v>
      </c>
      <c r="R4698">
        <v>201.06</v>
      </c>
      <c r="U4698">
        <v>34000</v>
      </c>
      <c r="W4698">
        <v>3.95</v>
      </c>
      <c r="X4698" t="s">
        <v>443</v>
      </c>
      <c r="Y4698" t="s">
        <v>225</v>
      </c>
      <c r="AA4698" t="s">
        <v>10974</v>
      </c>
      <c r="AB4698" t="s">
        <v>578</v>
      </c>
      <c r="AD4698" t="s">
        <v>11083</v>
      </c>
      <c r="AF4698" t="s">
        <v>11119</v>
      </c>
      <c r="AH4698" t="s">
        <v>10975</v>
      </c>
      <c r="AJ4698" t="s">
        <v>11104</v>
      </c>
      <c r="AK4698" t="s">
        <v>7225</v>
      </c>
      <c r="AL4698" t="s">
        <v>11150</v>
      </c>
      <c r="AM4698">
        <v>0</v>
      </c>
      <c r="AO4698">
        <v>24</v>
      </c>
      <c r="AP4698" t="s">
        <v>11155</v>
      </c>
      <c r="AS4698" t="s">
        <v>11173</v>
      </c>
      <c r="AT4698" t="s">
        <v>11184</v>
      </c>
      <c r="AU4698">
        <v>0</v>
      </c>
      <c r="AW4698" t="s">
        <v>11187</v>
      </c>
      <c r="AY4698" t="s">
        <v>11213</v>
      </c>
      <c r="BA4698" t="s">
        <v>11222</v>
      </c>
      <c r="BC4698" t="s">
        <v>11173</v>
      </c>
      <c r="BE4698" t="s">
        <v>14315</v>
      </c>
      <c r="BG4698" t="s">
        <v>15560</v>
      </c>
      <c r="BM4698" t="s">
        <v>15651</v>
      </c>
    </row>
    <row r="4699" spans="1:65">
      <c r="A4699" s="1">
        <f>HYPERLINK("https://lsnyc.legalserver.org/matter/dynamic-profile/view/1908579","19-1908579")</f>
        <v>0</v>
      </c>
      <c r="B4699" t="s">
        <v>242</v>
      </c>
      <c r="C4699" t="s">
        <v>248</v>
      </c>
      <c r="D4699" t="s">
        <v>635</v>
      </c>
      <c r="F4699" t="s">
        <v>1779</v>
      </c>
      <c r="G4699" t="s">
        <v>3308</v>
      </c>
      <c r="H4699" t="s">
        <v>6360</v>
      </c>
      <c r="I4699" t="s">
        <v>7164</v>
      </c>
      <c r="J4699" t="s">
        <v>7174</v>
      </c>
      <c r="K4699">
        <v>11207</v>
      </c>
      <c r="N4699" t="s">
        <v>7237</v>
      </c>
      <c r="O4699" t="s">
        <v>10211</v>
      </c>
      <c r="P4699">
        <v>1</v>
      </c>
      <c r="Q4699">
        <v>0</v>
      </c>
      <c r="R4699">
        <v>0</v>
      </c>
      <c r="U4699">
        <v>0</v>
      </c>
      <c r="W4699">
        <v>1.5</v>
      </c>
      <c r="X4699" t="s">
        <v>422</v>
      </c>
      <c r="Y4699" t="s">
        <v>10874</v>
      </c>
      <c r="AA4699" t="s">
        <v>10974</v>
      </c>
      <c r="AD4699" t="s">
        <v>11082</v>
      </c>
      <c r="AF4699" t="s">
        <v>11121</v>
      </c>
      <c r="AG4699" t="s">
        <v>11124</v>
      </c>
      <c r="AJ4699" t="s">
        <v>11138</v>
      </c>
      <c r="AK4699" t="s">
        <v>7225</v>
      </c>
      <c r="AM4699">
        <v>710</v>
      </c>
      <c r="AN4699" t="s">
        <v>11151</v>
      </c>
      <c r="AO4699" t="s">
        <v>11153</v>
      </c>
      <c r="AP4699" t="s">
        <v>11155</v>
      </c>
      <c r="AR4699" t="s">
        <v>11172</v>
      </c>
      <c r="AT4699" t="s">
        <v>11184</v>
      </c>
      <c r="AU4699">
        <v>0</v>
      </c>
      <c r="AW4699" t="s">
        <v>11187</v>
      </c>
      <c r="AX4699" t="s">
        <v>11212</v>
      </c>
      <c r="BA4699" t="s">
        <v>11222</v>
      </c>
      <c r="BE4699" t="s">
        <v>14316</v>
      </c>
      <c r="BG4699" t="s">
        <v>15561</v>
      </c>
      <c r="BM4699" t="s">
        <v>15650</v>
      </c>
    </row>
    <row r="4700" spans="1:65">
      <c r="A4700" s="1">
        <f>HYPERLINK("https://lsnyc.legalserver.org/matter/dynamic-profile/view/1889277","19-1889277")</f>
        <v>0</v>
      </c>
      <c r="B4700" t="s">
        <v>242</v>
      </c>
      <c r="C4700" t="s">
        <v>248</v>
      </c>
      <c r="D4700" t="s">
        <v>318</v>
      </c>
      <c r="F4700" t="s">
        <v>2574</v>
      </c>
      <c r="G4700" t="s">
        <v>1777</v>
      </c>
      <c r="H4700" t="s">
        <v>6361</v>
      </c>
      <c r="I4700">
        <v>3</v>
      </c>
      <c r="J4700" t="s">
        <v>7174</v>
      </c>
      <c r="K4700">
        <v>11207</v>
      </c>
      <c r="N4700" t="s">
        <v>7237</v>
      </c>
      <c r="O4700" t="s">
        <v>10212</v>
      </c>
      <c r="P4700">
        <v>1</v>
      </c>
      <c r="Q4700">
        <v>1</v>
      </c>
      <c r="R4700">
        <v>0</v>
      </c>
      <c r="U4700">
        <v>0</v>
      </c>
      <c r="W4700">
        <v>2.25</v>
      </c>
      <c r="X4700" t="s">
        <v>403</v>
      </c>
      <c r="Y4700" t="s">
        <v>10875</v>
      </c>
      <c r="Z4700" t="s">
        <v>10972</v>
      </c>
      <c r="AA4700" t="s">
        <v>10975</v>
      </c>
      <c r="AD4700" t="s">
        <v>11082</v>
      </c>
      <c r="AF4700" t="s">
        <v>11119</v>
      </c>
      <c r="AH4700" t="s">
        <v>10975</v>
      </c>
      <c r="AJ4700" t="s">
        <v>11104</v>
      </c>
      <c r="AK4700" t="s">
        <v>7225</v>
      </c>
      <c r="AM4700">
        <v>2600</v>
      </c>
      <c r="AO4700">
        <v>3</v>
      </c>
      <c r="AQ4700" t="s">
        <v>11156</v>
      </c>
      <c r="AS4700" t="s">
        <v>11173</v>
      </c>
      <c r="AT4700" t="s">
        <v>11184</v>
      </c>
      <c r="AU4700">
        <v>0</v>
      </c>
      <c r="AW4700" t="s">
        <v>11187</v>
      </c>
      <c r="AX4700" t="s">
        <v>11212</v>
      </c>
      <c r="AZ4700" t="s">
        <v>11221</v>
      </c>
      <c r="BE4700" t="s">
        <v>14317</v>
      </c>
      <c r="BG4700" t="s">
        <v>15562</v>
      </c>
      <c r="BM4700" t="s">
        <v>15650</v>
      </c>
    </row>
    <row r="4701" spans="1:65">
      <c r="A4701" s="1">
        <f>HYPERLINK("https://lsnyc.legalserver.org/matter/dynamic-profile/view/1912118","19-1912118")</f>
        <v>0</v>
      </c>
      <c r="B4701" t="s">
        <v>242</v>
      </c>
      <c r="C4701" t="s">
        <v>248</v>
      </c>
      <c r="D4701" t="s">
        <v>271</v>
      </c>
      <c r="F4701" t="s">
        <v>2855</v>
      </c>
      <c r="G4701" t="s">
        <v>4143</v>
      </c>
      <c r="H4701" t="s">
        <v>6362</v>
      </c>
      <c r="I4701" t="s">
        <v>7052</v>
      </c>
      <c r="J4701" t="s">
        <v>7174</v>
      </c>
      <c r="K4701">
        <v>11208</v>
      </c>
      <c r="N4701" t="s">
        <v>7237</v>
      </c>
      <c r="O4701" t="s">
        <v>10213</v>
      </c>
      <c r="P4701">
        <v>1</v>
      </c>
      <c r="Q4701">
        <v>2</v>
      </c>
      <c r="R4701">
        <v>0</v>
      </c>
      <c r="U4701">
        <v>0</v>
      </c>
      <c r="W4701">
        <v>3.5</v>
      </c>
      <c r="X4701" t="s">
        <v>528</v>
      </c>
      <c r="Y4701" t="s">
        <v>101</v>
      </c>
      <c r="Z4701" t="s">
        <v>10973</v>
      </c>
      <c r="AA4701" t="s">
        <v>10975</v>
      </c>
      <c r="AB4701" t="s">
        <v>925</v>
      </c>
      <c r="AD4701" t="s">
        <v>11082</v>
      </c>
      <c r="AF4701" t="s">
        <v>11118</v>
      </c>
      <c r="AH4701" t="s">
        <v>10975</v>
      </c>
      <c r="AJ4701" t="s">
        <v>11129</v>
      </c>
      <c r="AK4701" t="s">
        <v>7225</v>
      </c>
      <c r="AM4701">
        <v>895</v>
      </c>
      <c r="AO4701">
        <v>319</v>
      </c>
      <c r="AQ4701" t="s">
        <v>11157</v>
      </c>
      <c r="AS4701" t="s">
        <v>11180</v>
      </c>
      <c r="AU4701">
        <v>4</v>
      </c>
      <c r="AW4701" t="s">
        <v>11187</v>
      </c>
      <c r="BA4701" t="s">
        <v>11223</v>
      </c>
      <c r="BB4701" t="s">
        <v>11224</v>
      </c>
      <c r="BC4701" t="s">
        <v>11649</v>
      </c>
      <c r="BE4701" t="s">
        <v>14318</v>
      </c>
      <c r="BG4701" t="s">
        <v>15563</v>
      </c>
      <c r="BM4701" t="s">
        <v>15650</v>
      </c>
    </row>
    <row r="4702" spans="1:65">
      <c r="A4702" s="1">
        <f>HYPERLINK("https://lsnyc.legalserver.org/matter/dynamic-profile/view/1849905","17-1849905")</f>
        <v>0</v>
      </c>
      <c r="B4702" t="s">
        <v>242</v>
      </c>
      <c r="C4702" t="s">
        <v>248</v>
      </c>
      <c r="D4702" t="s">
        <v>884</v>
      </c>
      <c r="F4702" t="s">
        <v>1780</v>
      </c>
      <c r="G4702" t="s">
        <v>4729</v>
      </c>
      <c r="H4702" t="s">
        <v>6363</v>
      </c>
      <c r="I4702" t="s">
        <v>6430</v>
      </c>
      <c r="J4702" t="s">
        <v>7174</v>
      </c>
      <c r="K4702">
        <v>11208</v>
      </c>
      <c r="N4702" t="s">
        <v>7237</v>
      </c>
      <c r="O4702" t="s">
        <v>10214</v>
      </c>
      <c r="P4702">
        <v>1</v>
      </c>
      <c r="Q4702">
        <v>0</v>
      </c>
      <c r="R4702">
        <v>0</v>
      </c>
      <c r="U4702">
        <v>0</v>
      </c>
      <c r="W4702">
        <v>23.7</v>
      </c>
      <c r="X4702" t="s">
        <v>675</v>
      </c>
      <c r="Y4702" t="s">
        <v>76</v>
      </c>
      <c r="AA4702" t="s">
        <v>10974</v>
      </c>
      <c r="AB4702" t="s">
        <v>884</v>
      </c>
      <c r="AD4702" t="s">
        <v>11083</v>
      </c>
      <c r="AF4702" t="s">
        <v>11118</v>
      </c>
      <c r="AH4702" t="s">
        <v>10974</v>
      </c>
      <c r="AJ4702" t="s">
        <v>11136</v>
      </c>
      <c r="AK4702" t="s">
        <v>7225</v>
      </c>
      <c r="AL4702" t="s">
        <v>11150</v>
      </c>
      <c r="AM4702">
        <v>0</v>
      </c>
      <c r="AO4702">
        <v>5</v>
      </c>
      <c r="AQ4702" t="s">
        <v>11156</v>
      </c>
      <c r="AS4702" t="s">
        <v>11173</v>
      </c>
      <c r="AU4702">
        <v>5</v>
      </c>
      <c r="AW4702" t="s">
        <v>11187</v>
      </c>
      <c r="AZ4702" t="s">
        <v>11221</v>
      </c>
      <c r="BD4702" t="s">
        <v>11667</v>
      </c>
      <c r="BF4702" t="s">
        <v>14364</v>
      </c>
      <c r="BM4702" t="s">
        <v>15650</v>
      </c>
    </row>
    <row r="4703" spans="1:65">
      <c r="A4703" s="1">
        <f>HYPERLINK("https://lsnyc.legalserver.org/matter/dynamic-profile/view/1903001","19-1903001")</f>
        <v>0</v>
      </c>
      <c r="B4703" t="s">
        <v>242</v>
      </c>
      <c r="C4703" t="s">
        <v>248</v>
      </c>
      <c r="D4703" t="s">
        <v>611</v>
      </c>
      <c r="F4703" t="s">
        <v>2856</v>
      </c>
      <c r="G4703" t="s">
        <v>3378</v>
      </c>
      <c r="H4703" t="s">
        <v>5109</v>
      </c>
      <c r="I4703" t="s">
        <v>6502</v>
      </c>
      <c r="J4703" t="s">
        <v>7174</v>
      </c>
      <c r="K4703">
        <v>11212</v>
      </c>
      <c r="N4703" t="s">
        <v>7237</v>
      </c>
      <c r="O4703" t="s">
        <v>10146</v>
      </c>
      <c r="P4703">
        <v>1</v>
      </c>
      <c r="Q4703">
        <v>2</v>
      </c>
      <c r="R4703">
        <v>107.75</v>
      </c>
      <c r="U4703">
        <v>22984.08</v>
      </c>
      <c r="W4703">
        <v>44.55</v>
      </c>
      <c r="X4703" t="s">
        <v>669</v>
      </c>
      <c r="Y4703" t="s">
        <v>101</v>
      </c>
      <c r="AA4703" t="s">
        <v>10974</v>
      </c>
      <c r="AB4703" t="s">
        <v>575</v>
      </c>
      <c r="AD4703" t="s">
        <v>11082</v>
      </c>
      <c r="AF4703" t="s">
        <v>11118</v>
      </c>
      <c r="AH4703" t="s">
        <v>10975</v>
      </c>
      <c r="AJ4703" t="s">
        <v>11129</v>
      </c>
      <c r="AK4703" t="s">
        <v>7225</v>
      </c>
      <c r="AM4703">
        <v>1534</v>
      </c>
      <c r="AO4703">
        <v>21</v>
      </c>
      <c r="AQ4703" t="s">
        <v>11157</v>
      </c>
      <c r="AS4703" t="s">
        <v>11176</v>
      </c>
      <c r="AU4703">
        <v>9</v>
      </c>
      <c r="AW4703" t="s">
        <v>11187</v>
      </c>
      <c r="AY4703" t="s">
        <v>11213</v>
      </c>
      <c r="BA4703" t="s">
        <v>11222</v>
      </c>
      <c r="BB4703" t="s">
        <v>11224</v>
      </c>
      <c r="BC4703">
        <v>9407455</v>
      </c>
      <c r="BE4703" t="s">
        <v>14319</v>
      </c>
      <c r="BG4703" t="s">
        <v>15564</v>
      </c>
      <c r="BM4703" t="s">
        <v>15650</v>
      </c>
    </row>
    <row r="4704" spans="1:65">
      <c r="A4704" s="1">
        <f>HYPERLINK("https://lsnyc.legalserver.org/matter/dynamic-profile/view/1903865","19-1903865")</f>
        <v>0</v>
      </c>
      <c r="B4704" t="s">
        <v>242</v>
      </c>
      <c r="C4704" t="s">
        <v>248</v>
      </c>
      <c r="D4704" t="s">
        <v>260</v>
      </c>
      <c r="F4704" t="s">
        <v>1643</v>
      </c>
      <c r="G4704" t="s">
        <v>3504</v>
      </c>
      <c r="H4704" t="s">
        <v>6364</v>
      </c>
      <c r="I4704" t="s">
        <v>6436</v>
      </c>
      <c r="J4704" t="s">
        <v>7174</v>
      </c>
      <c r="K4704">
        <v>11233</v>
      </c>
      <c r="N4704" t="s">
        <v>7237</v>
      </c>
      <c r="O4704" t="s">
        <v>10215</v>
      </c>
      <c r="P4704">
        <v>2</v>
      </c>
      <c r="Q4704">
        <v>2</v>
      </c>
      <c r="R4704">
        <v>19.69</v>
      </c>
      <c r="U4704">
        <v>5070</v>
      </c>
      <c r="W4704">
        <v>52.5</v>
      </c>
      <c r="X4704" t="s">
        <v>528</v>
      </c>
      <c r="Y4704" t="s">
        <v>225</v>
      </c>
      <c r="AA4704" t="s">
        <v>10974</v>
      </c>
      <c r="AB4704" t="s">
        <v>260</v>
      </c>
      <c r="AD4704" t="s">
        <v>11082</v>
      </c>
      <c r="AF4704" t="s">
        <v>11118</v>
      </c>
      <c r="AH4704" t="s">
        <v>10975</v>
      </c>
      <c r="AJ4704" t="s">
        <v>11130</v>
      </c>
      <c r="AK4704" t="s">
        <v>7225</v>
      </c>
      <c r="AM4704">
        <v>1050</v>
      </c>
      <c r="AO4704">
        <v>8</v>
      </c>
      <c r="AQ4704" t="s">
        <v>11157</v>
      </c>
      <c r="AS4704" t="s">
        <v>11173</v>
      </c>
      <c r="AU4704">
        <v>17</v>
      </c>
      <c r="AW4704" t="s">
        <v>11187</v>
      </c>
      <c r="AY4704" t="s">
        <v>11214</v>
      </c>
      <c r="BA4704" t="s">
        <v>11223</v>
      </c>
      <c r="BB4704" t="s">
        <v>11224</v>
      </c>
      <c r="BC4704" t="s">
        <v>11650</v>
      </c>
      <c r="BE4704" t="s">
        <v>14320</v>
      </c>
      <c r="BG4704" t="s">
        <v>15565</v>
      </c>
      <c r="BM4704" t="s">
        <v>15650</v>
      </c>
    </row>
    <row r="4705" spans="1:65">
      <c r="A4705" s="1">
        <f>HYPERLINK("https://lsnyc.legalserver.org/matter/dynamic-profile/view/1887095","19-1887095")</f>
        <v>0</v>
      </c>
      <c r="B4705" t="s">
        <v>242</v>
      </c>
      <c r="C4705" t="s">
        <v>248</v>
      </c>
      <c r="D4705" t="s">
        <v>785</v>
      </c>
      <c r="F4705" t="s">
        <v>1213</v>
      </c>
      <c r="G4705" t="s">
        <v>3242</v>
      </c>
      <c r="H4705" t="s">
        <v>6365</v>
      </c>
      <c r="I4705">
        <v>2</v>
      </c>
      <c r="J4705" t="s">
        <v>7174</v>
      </c>
      <c r="K4705">
        <v>11233</v>
      </c>
      <c r="N4705" t="s">
        <v>7237</v>
      </c>
      <c r="O4705" t="s">
        <v>10216</v>
      </c>
      <c r="P4705">
        <v>2</v>
      </c>
      <c r="Q4705">
        <v>5</v>
      </c>
      <c r="R4705">
        <v>107.36</v>
      </c>
      <c r="U4705">
        <v>40860</v>
      </c>
      <c r="W4705">
        <v>62.5</v>
      </c>
      <c r="X4705" t="s">
        <v>316</v>
      </c>
      <c r="Y4705" t="s">
        <v>101</v>
      </c>
      <c r="AA4705" t="s">
        <v>10974</v>
      </c>
      <c r="AB4705" t="s">
        <v>621</v>
      </c>
      <c r="AD4705" t="s">
        <v>11082</v>
      </c>
      <c r="AF4705" t="s">
        <v>11118</v>
      </c>
      <c r="AH4705" t="s">
        <v>10975</v>
      </c>
      <c r="AJ4705" t="s">
        <v>11135</v>
      </c>
      <c r="AK4705" t="s">
        <v>7225</v>
      </c>
      <c r="AM4705">
        <v>2097</v>
      </c>
      <c r="AO4705">
        <v>3</v>
      </c>
      <c r="AP4705" t="s">
        <v>11155</v>
      </c>
      <c r="AS4705" t="s">
        <v>11180</v>
      </c>
      <c r="AU4705">
        <v>2</v>
      </c>
      <c r="AW4705" t="s">
        <v>11187</v>
      </c>
      <c r="AZ4705" t="s">
        <v>11221</v>
      </c>
      <c r="BC4705" t="s">
        <v>11651</v>
      </c>
      <c r="BE4705" t="s">
        <v>14321</v>
      </c>
      <c r="BG4705" t="s">
        <v>15566</v>
      </c>
      <c r="BM4705" t="s">
        <v>15650</v>
      </c>
    </row>
    <row r="4706" spans="1:65">
      <c r="A4706" s="1">
        <f>HYPERLINK("https://lsnyc.legalserver.org/matter/dynamic-profile/view/1894582","19-1894582")</f>
        <v>0</v>
      </c>
      <c r="B4706" t="s">
        <v>242</v>
      </c>
      <c r="C4706" t="s">
        <v>248</v>
      </c>
      <c r="D4706" t="s">
        <v>435</v>
      </c>
      <c r="F4706" t="s">
        <v>1555</v>
      </c>
      <c r="G4706" t="s">
        <v>4730</v>
      </c>
      <c r="H4706" t="s">
        <v>6366</v>
      </c>
      <c r="I4706" t="s">
        <v>7165</v>
      </c>
      <c r="J4706" t="s">
        <v>7174</v>
      </c>
      <c r="K4706">
        <v>11208</v>
      </c>
      <c r="N4706" t="s">
        <v>7237</v>
      </c>
      <c r="O4706" t="s">
        <v>10217</v>
      </c>
      <c r="P4706">
        <v>1</v>
      </c>
      <c r="Q4706">
        <v>0</v>
      </c>
      <c r="R4706">
        <v>87.43000000000001</v>
      </c>
      <c r="U4706">
        <v>10920</v>
      </c>
      <c r="W4706">
        <v>25.25</v>
      </c>
      <c r="X4706" t="s">
        <v>524</v>
      </c>
      <c r="Y4706" t="s">
        <v>225</v>
      </c>
      <c r="AA4706" t="s">
        <v>10974</v>
      </c>
      <c r="AB4706" t="s">
        <v>274</v>
      </c>
      <c r="AD4706" t="s">
        <v>11082</v>
      </c>
      <c r="AF4706" t="s">
        <v>11118</v>
      </c>
      <c r="AH4706" t="s">
        <v>10975</v>
      </c>
      <c r="AJ4706" t="s">
        <v>11138</v>
      </c>
      <c r="AK4706" t="s">
        <v>7225</v>
      </c>
      <c r="AM4706">
        <v>1174</v>
      </c>
      <c r="AN4706" t="s">
        <v>11151</v>
      </c>
      <c r="AO4706" t="s">
        <v>11153</v>
      </c>
      <c r="AQ4706" t="s">
        <v>11157</v>
      </c>
      <c r="AS4706" t="s">
        <v>11181</v>
      </c>
      <c r="AU4706">
        <v>4</v>
      </c>
      <c r="AW4706" t="s">
        <v>11187</v>
      </c>
      <c r="AY4706" t="s">
        <v>11213</v>
      </c>
      <c r="BA4706" t="s">
        <v>11222</v>
      </c>
      <c r="BB4706" t="s">
        <v>11224</v>
      </c>
      <c r="BC4706" t="s">
        <v>11652</v>
      </c>
      <c r="BE4706" t="s">
        <v>14322</v>
      </c>
      <c r="BG4706" t="s">
        <v>15567</v>
      </c>
      <c r="BM4706" t="s">
        <v>15650</v>
      </c>
    </row>
    <row r="4707" spans="1:65">
      <c r="A4707" s="1">
        <f>HYPERLINK("https://lsnyc.legalserver.org/matter/dynamic-profile/view/1912781","19-1912781")</f>
        <v>0</v>
      </c>
      <c r="B4707" t="s">
        <v>242</v>
      </c>
      <c r="C4707" t="s">
        <v>248</v>
      </c>
      <c r="D4707" t="s">
        <v>316</v>
      </c>
      <c r="F4707" t="s">
        <v>2857</v>
      </c>
      <c r="G4707" t="s">
        <v>3797</v>
      </c>
      <c r="H4707" t="s">
        <v>6367</v>
      </c>
      <c r="I4707" t="s">
        <v>6554</v>
      </c>
      <c r="J4707" t="s">
        <v>7174</v>
      </c>
      <c r="K4707">
        <v>11207</v>
      </c>
      <c r="N4707" t="s">
        <v>7237</v>
      </c>
      <c r="O4707" t="s">
        <v>10218</v>
      </c>
      <c r="P4707">
        <v>1</v>
      </c>
      <c r="Q4707">
        <v>3</v>
      </c>
      <c r="R4707">
        <v>106.53</v>
      </c>
      <c r="U4707">
        <v>27432</v>
      </c>
      <c r="W4707">
        <v>0.85</v>
      </c>
      <c r="X4707" t="s">
        <v>272</v>
      </c>
      <c r="Y4707" t="s">
        <v>10884</v>
      </c>
      <c r="Z4707" t="s">
        <v>10972</v>
      </c>
      <c r="AA4707" t="s">
        <v>10976</v>
      </c>
      <c r="AD4707" t="s">
        <v>11082</v>
      </c>
      <c r="AF4707" t="s">
        <v>11121</v>
      </c>
      <c r="AH4707" t="s">
        <v>10975</v>
      </c>
      <c r="AJ4707" t="s">
        <v>11131</v>
      </c>
      <c r="AK4707" t="s">
        <v>7225</v>
      </c>
      <c r="AM4707">
        <v>873</v>
      </c>
      <c r="AO4707">
        <v>168</v>
      </c>
      <c r="AQ4707" t="s">
        <v>11157</v>
      </c>
      <c r="AS4707" t="s">
        <v>11174</v>
      </c>
      <c r="AU4707">
        <v>4</v>
      </c>
      <c r="AW4707" t="s">
        <v>11187</v>
      </c>
      <c r="AY4707" t="s">
        <v>11215</v>
      </c>
      <c r="AZ4707" t="s">
        <v>11221</v>
      </c>
      <c r="BE4707" t="s">
        <v>14323</v>
      </c>
      <c r="BG4707" t="s">
        <v>15568</v>
      </c>
      <c r="BM4707" t="s">
        <v>15650</v>
      </c>
    </row>
    <row r="4708" spans="1:65">
      <c r="A4708" s="1">
        <f>HYPERLINK("https://lsnyc.legalserver.org/matter/dynamic-profile/view/1898006","19-1898006")</f>
        <v>0</v>
      </c>
      <c r="B4708" t="s">
        <v>242</v>
      </c>
      <c r="C4708" t="s">
        <v>248</v>
      </c>
      <c r="D4708" t="s">
        <v>594</v>
      </c>
      <c r="F4708" t="s">
        <v>2858</v>
      </c>
      <c r="G4708" t="s">
        <v>3285</v>
      </c>
      <c r="H4708" t="s">
        <v>6368</v>
      </c>
      <c r="I4708">
        <v>1</v>
      </c>
      <c r="J4708" t="s">
        <v>7174</v>
      </c>
      <c r="K4708">
        <v>11208</v>
      </c>
      <c r="N4708" t="s">
        <v>7237</v>
      </c>
      <c r="O4708" t="s">
        <v>10219</v>
      </c>
      <c r="P4708">
        <v>1</v>
      </c>
      <c r="Q4708">
        <v>2</v>
      </c>
      <c r="R4708">
        <v>19.75</v>
      </c>
      <c r="U4708">
        <v>4212</v>
      </c>
      <c r="W4708">
        <v>1.5</v>
      </c>
      <c r="X4708" t="s">
        <v>519</v>
      </c>
      <c r="Y4708" t="s">
        <v>10912</v>
      </c>
      <c r="AA4708" t="s">
        <v>10974</v>
      </c>
      <c r="AB4708" t="s">
        <v>594</v>
      </c>
      <c r="AD4708" t="s">
        <v>11083</v>
      </c>
      <c r="AF4708" t="s">
        <v>11118</v>
      </c>
      <c r="AG4708" t="s">
        <v>11124</v>
      </c>
      <c r="AJ4708" t="s">
        <v>11129</v>
      </c>
      <c r="AK4708" t="s">
        <v>7225</v>
      </c>
      <c r="AM4708">
        <v>1200</v>
      </c>
      <c r="AO4708">
        <v>3</v>
      </c>
      <c r="AQ4708" t="s">
        <v>11164</v>
      </c>
      <c r="AR4708" t="s">
        <v>11172</v>
      </c>
      <c r="AU4708">
        <v>1</v>
      </c>
      <c r="AW4708" t="s">
        <v>11187</v>
      </c>
      <c r="AZ4708" t="s">
        <v>11221</v>
      </c>
      <c r="BE4708" t="s">
        <v>14324</v>
      </c>
      <c r="BG4708" t="s">
        <v>15569</v>
      </c>
      <c r="BM4708" t="s">
        <v>15650</v>
      </c>
    </row>
    <row r="4709" spans="1:65">
      <c r="A4709" s="1">
        <f>HYPERLINK("https://lsnyc.legalserver.org/matter/dynamic-profile/view/1871295","18-1871295")</f>
        <v>0</v>
      </c>
      <c r="B4709" t="s">
        <v>242</v>
      </c>
      <c r="C4709" t="s">
        <v>248</v>
      </c>
      <c r="D4709" t="s">
        <v>780</v>
      </c>
      <c r="F4709" t="s">
        <v>1418</v>
      </c>
      <c r="G4709" t="s">
        <v>3293</v>
      </c>
      <c r="H4709" t="s">
        <v>5107</v>
      </c>
      <c r="I4709" t="s">
        <v>7166</v>
      </c>
      <c r="J4709" t="s">
        <v>7174</v>
      </c>
      <c r="K4709">
        <v>11212</v>
      </c>
      <c r="N4709" t="s">
        <v>7237</v>
      </c>
      <c r="O4709" t="s">
        <v>10220</v>
      </c>
      <c r="P4709">
        <v>1</v>
      </c>
      <c r="Q4709">
        <v>0</v>
      </c>
      <c r="R4709">
        <v>19.77</v>
      </c>
      <c r="U4709">
        <v>2400</v>
      </c>
      <c r="W4709">
        <v>20.8</v>
      </c>
      <c r="X4709" t="s">
        <v>959</v>
      </c>
      <c r="Y4709" t="s">
        <v>10892</v>
      </c>
      <c r="AA4709" t="s">
        <v>10974</v>
      </c>
      <c r="AB4709" t="s">
        <v>780</v>
      </c>
      <c r="AD4709" t="s">
        <v>11083</v>
      </c>
      <c r="AF4709" t="s">
        <v>11121</v>
      </c>
      <c r="AG4709" t="s">
        <v>11124</v>
      </c>
      <c r="AJ4709" t="s">
        <v>11129</v>
      </c>
      <c r="AK4709" t="s">
        <v>7225</v>
      </c>
      <c r="AM4709">
        <v>1116</v>
      </c>
      <c r="AO4709">
        <v>24</v>
      </c>
      <c r="AQ4709" t="s">
        <v>11157</v>
      </c>
      <c r="AS4709" t="s">
        <v>11177</v>
      </c>
      <c r="AU4709">
        <v>8</v>
      </c>
      <c r="AW4709" t="s">
        <v>11187</v>
      </c>
      <c r="AZ4709" t="s">
        <v>11221</v>
      </c>
      <c r="BE4709" t="s">
        <v>14325</v>
      </c>
      <c r="BG4709" t="s">
        <v>15570</v>
      </c>
      <c r="BM4709" t="s">
        <v>15650</v>
      </c>
    </row>
    <row r="4710" spans="1:65">
      <c r="A4710" s="1">
        <f>HYPERLINK("https://lsnyc.legalserver.org/matter/dynamic-profile/view/1914255","19-1914255")</f>
        <v>0</v>
      </c>
      <c r="B4710" t="s">
        <v>242</v>
      </c>
      <c r="C4710" t="s">
        <v>248</v>
      </c>
      <c r="D4710" t="s">
        <v>266</v>
      </c>
      <c r="F4710" t="s">
        <v>2529</v>
      </c>
      <c r="G4710" t="s">
        <v>3236</v>
      </c>
      <c r="H4710" t="s">
        <v>6369</v>
      </c>
      <c r="I4710" t="s">
        <v>6433</v>
      </c>
      <c r="J4710" t="s">
        <v>7174</v>
      </c>
      <c r="K4710">
        <v>11207</v>
      </c>
      <c r="N4710" t="s">
        <v>7237</v>
      </c>
      <c r="O4710" t="s">
        <v>10221</v>
      </c>
      <c r="P4710">
        <v>1</v>
      </c>
      <c r="Q4710">
        <v>2</v>
      </c>
      <c r="R4710">
        <v>181.87</v>
      </c>
      <c r="U4710">
        <v>38792</v>
      </c>
      <c r="W4710">
        <v>1.25</v>
      </c>
      <c r="X4710" t="s">
        <v>638</v>
      </c>
      <c r="Y4710" t="s">
        <v>225</v>
      </c>
      <c r="Z4710" t="s">
        <v>10972</v>
      </c>
      <c r="AA4710" t="s">
        <v>10975</v>
      </c>
      <c r="AD4710" t="s">
        <v>11083</v>
      </c>
      <c r="AE4710" t="s">
        <v>11117</v>
      </c>
      <c r="AH4710" t="s">
        <v>10975</v>
      </c>
      <c r="AJ4710" t="s">
        <v>11132</v>
      </c>
      <c r="AK4710" t="s">
        <v>7225</v>
      </c>
      <c r="AM4710">
        <v>1182</v>
      </c>
      <c r="AO4710">
        <v>4375</v>
      </c>
      <c r="AQ4710" t="s">
        <v>11157</v>
      </c>
      <c r="AS4710" t="s">
        <v>11178</v>
      </c>
      <c r="AU4710">
        <v>1</v>
      </c>
      <c r="AW4710" t="s">
        <v>11187</v>
      </c>
      <c r="AY4710" t="s">
        <v>11213</v>
      </c>
      <c r="AZ4710" t="s">
        <v>11221</v>
      </c>
      <c r="BA4710" t="s">
        <v>11173</v>
      </c>
      <c r="BC4710" t="s">
        <v>11653</v>
      </c>
      <c r="BE4710" t="s">
        <v>14326</v>
      </c>
      <c r="BG4710" t="s">
        <v>15571</v>
      </c>
      <c r="BM4710" t="s">
        <v>15650</v>
      </c>
    </row>
    <row r="4711" spans="1:65">
      <c r="A4711" s="1">
        <f>HYPERLINK("https://lsnyc.legalserver.org/matter/dynamic-profile/view/1870033","18-1870033")</f>
        <v>0</v>
      </c>
      <c r="B4711" t="s">
        <v>242</v>
      </c>
      <c r="C4711" t="s">
        <v>248</v>
      </c>
      <c r="D4711" t="s">
        <v>522</v>
      </c>
      <c r="F4711" t="s">
        <v>1279</v>
      </c>
      <c r="G4711" t="s">
        <v>4731</v>
      </c>
      <c r="H4711" t="s">
        <v>6370</v>
      </c>
      <c r="I4711" t="s">
        <v>6940</v>
      </c>
      <c r="J4711" t="s">
        <v>7174</v>
      </c>
      <c r="K4711">
        <v>11208</v>
      </c>
      <c r="N4711" t="s">
        <v>7237</v>
      </c>
      <c r="O4711" t="s">
        <v>8883</v>
      </c>
      <c r="P4711">
        <v>1</v>
      </c>
      <c r="Q4711">
        <v>0</v>
      </c>
      <c r="R4711">
        <v>88.95999999999999</v>
      </c>
      <c r="U4711">
        <v>10800</v>
      </c>
      <c r="W4711">
        <v>54.05</v>
      </c>
      <c r="X4711" t="s">
        <v>638</v>
      </c>
      <c r="Y4711" t="s">
        <v>10892</v>
      </c>
      <c r="AA4711" t="s">
        <v>10974</v>
      </c>
      <c r="AB4711" t="s">
        <v>522</v>
      </c>
      <c r="AD4711" t="s">
        <v>11082</v>
      </c>
      <c r="AF4711" t="s">
        <v>11119</v>
      </c>
      <c r="AH4711" t="s">
        <v>10975</v>
      </c>
      <c r="AJ4711" t="s">
        <v>11144</v>
      </c>
      <c r="AK4711" t="s">
        <v>7225</v>
      </c>
      <c r="AM4711">
        <v>1400</v>
      </c>
      <c r="AO4711">
        <v>3</v>
      </c>
      <c r="AP4711" t="s">
        <v>11155</v>
      </c>
      <c r="AR4711" t="s">
        <v>11172</v>
      </c>
      <c r="AU4711">
        <v>5</v>
      </c>
      <c r="AW4711" t="s">
        <v>11187</v>
      </c>
      <c r="AZ4711" t="s">
        <v>11221</v>
      </c>
      <c r="BE4711" t="s">
        <v>14327</v>
      </c>
      <c r="BG4711" t="s">
        <v>15572</v>
      </c>
      <c r="BM4711" t="s">
        <v>15650</v>
      </c>
    </row>
    <row r="4712" spans="1:65">
      <c r="A4712" s="1">
        <f>HYPERLINK("https://lsnyc.legalserver.org/matter/dynamic-profile/view/1888975","19-1888975")</f>
        <v>0</v>
      </c>
      <c r="B4712" t="s">
        <v>242</v>
      </c>
      <c r="C4712" t="s">
        <v>248</v>
      </c>
      <c r="D4712" t="s">
        <v>593</v>
      </c>
      <c r="F4712" t="s">
        <v>2859</v>
      </c>
      <c r="G4712" t="s">
        <v>4732</v>
      </c>
      <c r="H4712" t="s">
        <v>6371</v>
      </c>
      <c r="I4712">
        <v>1</v>
      </c>
      <c r="J4712" t="s">
        <v>7174</v>
      </c>
      <c r="K4712">
        <v>11233</v>
      </c>
      <c r="N4712" t="s">
        <v>7237</v>
      </c>
      <c r="O4712" t="s">
        <v>10222</v>
      </c>
      <c r="P4712">
        <v>1</v>
      </c>
      <c r="Q4712">
        <v>4</v>
      </c>
      <c r="R4712">
        <v>52.17</v>
      </c>
      <c r="U4712">
        <v>15740</v>
      </c>
      <c r="W4712">
        <v>0</v>
      </c>
      <c r="Y4712" t="s">
        <v>10912</v>
      </c>
      <c r="AA4712" t="s">
        <v>10974</v>
      </c>
      <c r="AB4712" t="s">
        <v>593</v>
      </c>
      <c r="AD4712" t="s">
        <v>11083</v>
      </c>
      <c r="AF4712" t="s">
        <v>11121</v>
      </c>
      <c r="AH4712" t="s">
        <v>10975</v>
      </c>
      <c r="AJ4712" t="s">
        <v>11131</v>
      </c>
      <c r="AK4712" t="s">
        <v>7225</v>
      </c>
      <c r="AM4712">
        <v>230</v>
      </c>
      <c r="AO4712">
        <v>3</v>
      </c>
      <c r="AQ4712" t="s">
        <v>11161</v>
      </c>
      <c r="AS4712" t="s">
        <v>11174</v>
      </c>
      <c r="AU4712">
        <v>4</v>
      </c>
      <c r="AW4712" t="s">
        <v>11187</v>
      </c>
      <c r="AZ4712" t="s">
        <v>11221</v>
      </c>
      <c r="BB4712" t="s">
        <v>11224</v>
      </c>
      <c r="BC4712" t="s">
        <v>11654</v>
      </c>
      <c r="BE4712" t="s">
        <v>14328</v>
      </c>
      <c r="BG4712" t="s">
        <v>15573</v>
      </c>
      <c r="BM4712" t="s">
        <v>15650</v>
      </c>
    </row>
    <row r="4713" spans="1:65">
      <c r="A4713" s="1">
        <f>HYPERLINK("https://lsnyc.legalserver.org/matter/dynamic-profile/view/1895562","19-1895562")</f>
        <v>0</v>
      </c>
      <c r="B4713" t="s">
        <v>242</v>
      </c>
      <c r="C4713" t="s">
        <v>248</v>
      </c>
      <c r="D4713" t="s">
        <v>370</v>
      </c>
      <c r="F4713" t="s">
        <v>2860</v>
      </c>
      <c r="G4713" t="s">
        <v>4733</v>
      </c>
      <c r="H4713" t="s">
        <v>5095</v>
      </c>
      <c r="I4713" t="s">
        <v>6438</v>
      </c>
      <c r="J4713" t="s">
        <v>7174</v>
      </c>
      <c r="K4713">
        <v>11206</v>
      </c>
      <c r="N4713" t="s">
        <v>7237</v>
      </c>
      <c r="O4713" t="s">
        <v>10223</v>
      </c>
      <c r="P4713">
        <v>1</v>
      </c>
      <c r="Q4713">
        <v>0</v>
      </c>
      <c r="R4713">
        <v>48.49</v>
      </c>
      <c r="U4713">
        <v>6056</v>
      </c>
      <c r="W4713">
        <v>22.3</v>
      </c>
      <c r="X4713" t="s">
        <v>728</v>
      </c>
      <c r="Y4713" t="s">
        <v>101</v>
      </c>
      <c r="AA4713" t="s">
        <v>10974</v>
      </c>
      <c r="AB4713" t="s">
        <v>427</v>
      </c>
      <c r="AD4713" t="s">
        <v>11082</v>
      </c>
      <c r="AF4713" t="s">
        <v>11118</v>
      </c>
      <c r="AH4713" t="s">
        <v>10975</v>
      </c>
      <c r="AJ4713" t="s">
        <v>11140</v>
      </c>
      <c r="AK4713" t="s">
        <v>7225</v>
      </c>
      <c r="AM4713">
        <v>96</v>
      </c>
      <c r="AN4713" t="s">
        <v>11151</v>
      </c>
      <c r="AO4713" t="s">
        <v>11153</v>
      </c>
      <c r="AQ4713" t="s">
        <v>11157</v>
      </c>
      <c r="AS4713" t="s">
        <v>11104</v>
      </c>
      <c r="AU4713">
        <v>40</v>
      </c>
      <c r="AW4713" t="s">
        <v>11187</v>
      </c>
      <c r="AY4713" t="s">
        <v>11213</v>
      </c>
      <c r="BA4713" t="s">
        <v>11222</v>
      </c>
      <c r="BE4713" t="s">
        <v>14329</v>
      </c>
      <c r="BG4713" t="s">
        <v>15574</v>
      </c>
      <c r="BM4713" t="s">
        <v>15650</v>
      </c>
    </row>
    <row r="4714" spans="1:65">
      <c r="A4714" s="1">
        <f>HYPERLINK("https://lsnyc.legalserver.org/matter/dynamic-profile/view/1911630","19-1911630")</f>
        <v>0</v>
      </c>
      <c r="B4714" t="s">
        <v>242</v>
      </c>
      <c r="C4714" t="s">
        <v>248</v>
      </c>
      <c r="D4714" t="s">
        <v>798</v>
      </c>
      <c r="F4714" t="s">
        <v>2861</v>
      </c>
      <c r="G4714" t="s">
        <v>3017</v>
      </c>
      <c r="H4714" t="s">
        <v>6372</v>
      </c>
      <c r="J4714" t="s">
        <v>7174</v>
      </c>
      <c r="K4714">
        <v>11207</v>
      </c>
      <c r="N4714" t="s">
        <v>7237</v>
      </c>
      <c r="O4714" t="s">
        <v>10224</v>
      </c>
      <c r="P4714">
        <v>6</v>
      </c>
      <c r="Q4714">
        <v>2</v>
      </c>
      <c r="R4714">
        <v>47.89</v>
      </c>
      <c r="U4714">
        <v>20800</v>
      </c>
      <c r="W4714">
        <v>4</v>
      </c>
      <c r="X4714" t="s">
        <v>735</v>
      </c>
      <c r="Y4714" t="s">
        <v>225</v>
      </c>
      <c r="AA4714" t="s">
        <v>10974</v>
      </c>
      <c r="AD4714" t="s">
        <v>11082</v>
      </c>
      <c r="AF4714" t="s">
        <v>11121</v>
      </c>
      <c r="AH4714" t="s">
        <v>10975</v>
      </c>
      <c r="AJ4714" t="s">
        <v>11130</v>
      </c>
      <c r="AK4714" t="s">
        <v>7225</v>
      </c>
      <c r="AM4714">
        <v>1441</v>
      </c>
      <c r="AO4714">
        <v>-2</v>
      </c>
      <c r="AQ4714" t="s">
        <v>11162</v>
      </c>
      <c r="AS4714" t="s">
        <v>11179</v>
      </c>
      <c r="AT4714" t="s">
        <v>11184</v>
      </c>
      <c r="AU4714">
        <v>0</v>
      </c>
      <c r="AW4714" t="s">
        <v>11189</v>
      </c>
      <c r="AY4714" t="s">
        <v>11213</v>
      </c>
      <c r="BA4714" t="s">
        <v>11222</v>
      </c>
      <c r="BC4714" t="s">
        <v>11276</v>
      </c>
      <c r="BE4714" t="s">
        <v>14330</v>
      </c>
      <c r="BG4714" t="s">
        <v>15575</v>
      </c>
      <c r="BM4714" t="s">
        <v>15650</v>
      </c>
    </row>
    <row r="4715" spans="1:65">
      <c r="A4715" s="1">
        <f>HYPERLINK("https://lsnyc.legalserver.org/matter/dynamic-profile/view/1881892","18-1881892")</f>
        <v>0</v>
      </c>
      <c r="B4715" t="s">
        <v>242</v>
      </c>
      <c r="C4715" t="s">
        <v>248</v>
      </c>
      <c r="D4715" t="s">
        <v>506</v>
      </c>
      <c r="F4715" t="s">
        <v>2862</v>
      </c>
      <c r="G4715" t="s">
        <v>4734</v>
      </c>
      <c r="H4715" t="s">
        <v>6373</v>
      </c>
      <c r="I4715" t="s">
        <v>6415</v>
      </c>
      <c r="J4715" t="s">
        <v>7174</v>
      </c>
      <c r="K4715">
        <v>11208</v>
      </c>
      <c r="N4715" t="s">
        <v>7237</v>
      </c>
      <c r="O4715" t="s">
        <v>10225</v>
      </c>
      <c r="P4715">
        <v>1</v>
      </c>
      <c r="Q4715">
        <v>1</v>
      </c>
      <c r="R4715">
        <v>92.09</v>
      </c>
      <c r="U4715">
        <v>15158</v>
      </c>
      <c r="W4715">
        <v>47.25</v>
      </c>
      <c r="X4715" t="s">
        <v>311</v>
      </c>
      <c r="Y4715" t="s">
        <v>225</v>
      </c>
      <c r="AA4715" t="s">
        <v>10974</v>
      </c>
      <c r="AB4715" t="s">
        <v>506</v>
      </c>
      <c r="AD4715" t="s">
        <v>11082</v>
      </c>
      <c r="AF4715" t="s">
        <v>11118</v>
      </c>
      <c r="AH4715" t="s">
        <v>10975</v>
      </c>
      <c r="AJ4715" t="s">
        <v>11129</v>
      </c>
      <c r="AK4715" t="s">
        <v>7225</v>
      </c>
      <c r="AM4715">
        <v>1425</v>
      </c>
      <c r="AO4715">
        <v>12</v>
      </c>
      <c r="AQ4715" t="s">
        <v>11157</v>
      </c>
      <c r="AS4715" t="s">
        <v>11104</v>
      </c>
      <c r="AU4715">
        <v>1</v>
      </c>
      <c r="AW4715" t="s">
        <v>11189</v>
      </c>
      <c r="AY4715" t="s">
        <v>11213</v>
      </c>
      <c r="AZ4715" t="s">
        <v>11221</v>
      </c>
      <c r="BB4715" t="s">
        <v>11224</v>
      </c>
      <c r="BC4715" t="s">
        <v>11655</v>
      </c>
      <c r="BE4715" t="s">
        <v>14331</v>
      </c>
      <c r="BG4715" t="s">
        <v>15576</v>
      </c>
      <c r="BM4715" t="s">
        <v>15650</v>
      </c>
    </row>
    <row r="4716" spans="1:65">
      <c r="A4716" s="1">
        <f>HYPERLINK("https://lsnyc.legalserver.org/matter/dynamic-profile/view/1835046","17-1835046")</f>
        <v>0</v>
      </c>
      <c r="B4716" t="s">
        <v>242</v>
      </c>
      <c r="C4716" t="s">
        <v>248</v>
      </c>
      <c r="D4716" t="s">
        <v>860</v>
      </c>
      <c r="F4716" t="s">
        <v>1340</v>
      </c>
      <c r="G4716" t="s">
        <v>4735</v>
      </c>
      <c r="H4716" t="s">
        <v>6374</v>
      </c>
      <c r="I4716" t="s">
        <v>6623</v>
      </c>
      <c r="J4716" t="s">
        <v>7174</v>
      </c>
      <c r="K4716">
        <v>11230</v>
      </c>
      <c r="N4716" t="s">
        <v>7237</v>
      </c>
      <c r="O4716" t="s">
        <v>10226</v>
      </c>
      <c r="P4716">
        <v>1</v>
      </c>
      <c r="Q4716">
        <v>0</v>
      </c>
      <c r="R4716">
        <v>0</v>
      </c>
      <c r="S4716" t="s">
        <v>10256</v>
      </c>
      <c r="T4716" t="s">
        <v>10277</v>
      </c>
      <c r="U4716">
        <v>0</v>
      </c>
      <c r="W4716">
        <v>773.55</v>
      </c>
      <c r="X4716" t="s">
        <v>548</v>
      </c>
      <c r="Y4716" t="s">
        <v>225</v>
      </c>
      <c r="AA4716" t="s">
        <v>10974</v>
      </c>
      <c r="AB4716" t="s">
        <v>11041</v>
      </c>
      <c r="AD4716" t="s">
        <v>11083</v>
      </c>
      <c r="AF4716" t="s">
        <v>11118</v>
      </c>
      <c r="AH4716" t="s">
        <v>10974</v>
      </c>
      <c r="AJ4716" t="s">
        <v>11136</v>
      </c>
      <c r="AK4716" t="s">
        <v>7225</v>
      </c>
      <c r="AM4716">
        <v>946</v>
      </c>
      <c r="AO4716">
        <v>20</v>
      </c>
      <c r="AQ4716" t="s">
        <v>11157</v>
      </c>
      <c r="AS4716" t="s">
        <v>11173</v>
      </c>
      <c r="AU4716">
        <v>6</v>
      </c>
      <c r="AW4716" t="s">
        <v>11187</v>
      </c>
      <c r="AZ4716" t="s">
        <v>11221</v>
      </c>
      <c r="BC4716" t="s">
        <v>11228</v>
      </c>
      <c r="BE4716" t="s">
        <v>14332</v>
      </c>
      <c r="BG4716" t="s">
        <v>15577</v>
      </c>
      <c r="BM4716" t="s">
        <v>15650</v>
      </c>
    </row>
    <row r="4717" spans="1:65">
      <c r="A4717" s="1">
        <f>HYPERLINK("https://lsnyc.legalserver.org/matter/dynamic-profile/view/1888792","19-1888792")</f>
        <v>0</v>
      </c>
      <c r="B4717" t="s">
        <v>242</v>
      </c>
      <c r="C4717" t="s">
        <v>248</v>
      </c>
      <c r="D4717" t="s">
        <v>587</v>
      </c>
      <c r="F4717" t="s">
        <v>2859</v>
      </c>
      <c r="G4717" t="s">
        <v>4736</v>
      </c>
      <c r="H4717" t="s">
        <v>6375</v>
      </c>
      <c r="I4717">
        <v>1</v>
      </c>
      <c r="J4717" t="s">
        <v>7174</v>
      </c>
      <c r="K4717">
        <v>11233</v>
      </c>
      <c r="N4717" t="s">
        <v>7237</v>
      </c>
      <c r="O4717" t="s">
        <v>7772</v>
      </c>
      <c r="P4717">
        <v>2</v>
      </c>
      <c r="Q4717">
        <v>3</v>
      </c>
      <c r="R4717">
        <v>0</v>
      </c>
      <c r="U4717">
        <v>0</v>
      </c>
      <c r="W4717">
        <v>1.5</v>
      </c>
      <c r="X4717" t="s">
        <v>339</v>
      </c>
      <c r="Y4717" t="s">
        <v>101</v>
      </c>
      <c r="AA4717" t="s">
        <v>10974</v>
      </c>
      <c r="AB4717" t="s">
        <v>587</v>
      </c>
      <c r="AD4717" t="s">
        <v>11083</v>
      </c>
      <c r="AF4717" t="s">
        <v>11119</v>
      </c>
      <c r="AH4717" t="s">
        <v>10975</v>
      </c>
      <c r="AI4717" t="s">
        <v>11126</v>
      </c>
      <c r="AK4717" t="s">
        <v>7225</v>
      </c>
      <c r="AL4717" t="s">
        <v>11150</v>
      </c>
      <c r="AM4717">
        <v>0</v>
      </c>
      <c r="AN4717" t="s">
        <v>11151</v>
      </c>
      <c r="AO4717" t="s">
        <v>11153</v>
      </c>
      <c r="AQ4717" t="s">
        <v>11156</v>
      </c>
      <c r="AS4717" t="s">
        <v>11174</v>
      </c>
      <c r="AT4717" t="s">
        <v>11184</v>
      </c>
      <c r="AU4717">
        <v>0</v>
      </c>
      <c r="AW4717" t="s">
        <v>11187</v>
      </c>
      <c r="AY4717" t="s">
        <v>11214</v>
      </c>
      <c r="BA4717" t="s">
        <v>11222</v>
      </c>
      <c r="BB4717" t="s">
        <v>11224</v>
      </c>
      <c r="BC4717" t="s">
        <v>11654</v>
      </c>
      <c r="BD4717" t="s">
        <v>11667</v>
      </c>
      <c r="BG4717" t="s">
        <v>15573</v>
      </c>
      <c r="BM4717" t="s">
        <v>15650</v>
      </c>
    </row>
    <row r="4718" spans="1:65">
      <c r="A4718" s="1">
        <f>HYPERLINK("https://lsnyc.legalserver.org/matter/dynamic-profile/view/1902776","19-1902776")</f>
        <v>0</v>
      </c>
      <c r="B4718" t="s">
        <v>242</v>
      </c>
      <c r="C4718" t="s">
        <v>248</v>
      </c>
      <c r="D4718" t="s">
        <v>276</v>
      </c>
      <c r="F4718" t="s">
        <v>2863</v>
      </c>
      <c r="G4718" t="s">
        <v>4193</v>
      </c>
      <c r="H4718" t="s">
        <v>5021</v>
      </c>
      <c r="I4718" t="s">
        <v>6577</v>
      </c>
      <c r="J4718" t="s">
        <v>7174</v>
      </c>
      <c r="K4718">
        <v>11239</v>
      </c>
      <c r="N4718" t="s">
        <v>7237</v>
      </c>
      <c r="O4718" t="s">
        <v>10227</v>
      </c>
      <c r="P4718">
        <v>3</v>
      </c>
      <c r="Q4718">
        <v>0</v>
      </c>
      <c r="R4718">
        <v>43.38</v>
      </c>
      <c r="U4718">
        <v>9252</v>
      </c>
      <c r="W4718">
        <v>6</v>
      </c>
      <c r="X4718" t="s">
        <v>349</v>
      </c>
      <c r="Y4718" t="s">
        <v>225</v>
      </c>
      <c r="AA4718" t="s">
        <v>10974</v>
      </c>
      <c r="AB4718" t="s">
        <v>447</v>
      </c>
      <c r="AD4718" t="s">
        <v>11083</v>
      </c>
      <c r="AF4718" t="s">
        <v>11121</v>
      </c>
      <c r="AH4718" t="s">
        <v>10975</v>
      </c>
      <c r="AJ4718" t="s">
        <v>11138</v>
      </c>
      <c r="AK4718" t="s">
        <v>7225</v>
      </c>
      <c r="AM4718">
        <v>254</v>
      </c>
      <c r="AO4718">
        <v>1463</v>
      </c>
      <c r="AQ4718" t="s">
        <v>11161</v>
      </c>
      <c r="AS4718" t="s">
        <v>11179</v>
      </c>
      <c r="AT4718" t="s">
        <v>11184</v>
      </c>
      <c r="AU4718">
        <v>0</v>
      </c>
      <c r="AW4718" t="s">
        <v>11187</v>
      </c>
      <c r="AY4718" t="s">
        <v>11213</v>
      </c>
      <c r="BA4718" t="s">
        <v>11222</v>
      </c>
      <c r="BC4718" t="s">
        <v>11164</v>
      </c>
      <c r="BD4718" t="s">
        <v>11667</v>
      </c>
      <c r="BG4718" t="s">
        <v>15578</v>
      </c>
      <c r="BM4718" t="s">
        <v>15650</v>
      </c>
    </row>
    <row r="4719" spans="1:65">
      <c r="A4719" s="1">
        <f>HYPERLINK("https://lsnyc.legalserver.org/matter/dynamic-profile/view/1904512","19-1904512")</f>
        <v>0</v>
      </c>
      <c r="B4719" t="s">
        <v>242</v>
      </c>
      <c r="C4719" t="s">
        <v>248</v>
      </c>
      <c r="D4719" t="s">
        <v>380</v>
      </c>
      <c r="F4719" t="s">
        <v>1733</v>
      </c>
      <c r="G4719" t="s">
        <v>3104</v>
      </c>
      <c r="H4719" t="s">
        <v>5163</v>
      </c>
      <c r="I4719">
        <v>9</v>
      </c>
      <c r="J4719" t="s">
        <v>7174</v>
      </c>
      <c r="K4719">
        <v>11212</v>
      </c>
      <c r="N4719" t="s">
        <v>7237</v>
      </c>
      <c r="O4719" t="s">
        <v>9189</v>
      </c>
      <c r="P4719">
        <v>1</v>
      </c>
      <c r="Q4719">
        <v>2</v>
      </c>
      <c r="R4719">
        <v>22.5</v>
      </c>
      <c r="U4719">
        <v>4800</v>
      </c>
      <c r="W4719">
        <v>11</v>
      </c>
      <c r="X4719" t="s">
        <v>426</v>
      </c>
      <c r="Y4719" t="s">
        <v>225</v>
      </c>
      <c r="AA4719" t="s">
        <v>10974</v>
      </c>
      <c r="AB4719" t="s">
        <v>575</v>
      </c>
      <c r="AD4719" t="s">
        <v>11082</v>
      </c>
      <c r="AF4719" t="s">
        <v>11118</v>
      </c>
      <c r="AH4719" t="s">
        <v>10975</v>
      </c>
      <c r="AJ4719" t="s">
        <v>11137</v>
      </c>
      <c r="AK4719" t="s">
        <v>7225</v>
      </c>
      <c r="AM4719">
        <v>1300</v>
      </c>
      <c r="AO4719">
        <v>23</v>
      </c>
      <c r="AQ4719" t="s">
        <v>11157</v>
      </c>
      <c r="AS4719" t="s">
        <v>11173</v>
      </c>
      <c r="AU4719">
        <v>1</v>
      </c>
      <c r="AW4719" t="s">
        <v>11187</v>
      </c>
      <c r="AY4719" t="s">
        <v>11213</v>
      </c>
      <c r="BA4719" t="s">
        <v>11222</v>
      </c>
      <c r="BB4719" t="s">
        <v>11224</v>
      </c>
      <c r="BC4719" t="s">
        <v>11493</v>
      </c>
      <c r="BE4719" t="s">
        <v>13418</v>
      </c>
      <c r="BG4719" t="s">
        <v>15140</v>
      </c>
      <c r="BM4719" t="s">
        <v>15650</v>
      </c>
    </row>
    <row r="4720" spans="1:65">
      <c r="A4720" s="1">
        <f>HYPERLINK("https://lsnyc.legalserver.org/matter/dynamic-profile/view/1900864","19-1900864")</f>
        <v>0</v>
      </c>
      <c r="B4720" t="s">
        <v>242</v>
      </c>
      <c r="C4720" t="s">
        <v>248</v>
      </c>
      <c r="D4720" t="s">
        <v>313</v>
      </c>
      <c r="F4720" t="s">
        <v>1751</v>
      </c>
      <c r="G4720" t="s">
        <v>3165</v>
      </c>
      <c r="H4720" t="s">
        <v>6376</v>
      </c>
      <c r="I4720" t="s">
        <v>6501</v>
      </c>
      <c r="J4720" t="s">
        <v>7174</v>
      </c>
      <c r="K4720">
        <v>11233</v>
      </c>
      <c r="N4720" t="s">
        <v>7237</v>
      </c>
      <c r="O4720" t="s">
        <v>10228</v>
      </c>
      <c r="P4720">
        <v>1</v>
      </c>
      <c r="Q4720">
        <v>2</v>
      </c>
      <c r="R4720">
        <v>23.16</v>
      </c>
      <c r="U4720">
        <v>4940</v>
      </c>
      <c r="W4720">
        <v>28.8</v>
      </c>
      <c r="X4720" t="s">
        <v>426</v>
      </c>
      <c r="Y4720" t="s">
        <v>101</v>
      </c>
      <c r="AA4720" t="s">
        <v>10974</v>
      </c>
      <c r="AB4720" t="s">
        <v>549</v>
      </c>
      <c r="AD4720" t="s">
        <v>11082</v>
      </c>
      <c r="AF4720" t="s">
        <v>11118</v>
      </c>
      <c r="AH4720" t="s">
        <v>10975</v>
      </c>
      <c r="AJ4720" t="s">
        <v>11104</v>
      </c>
      <c r="AK4720" t="s">
        <v>7225</v>
      </c>
      <c r="AM4720">
        <v>904</v>
      </c>
      <c r="AN4720" t="s">
        <v>11151</v>
      </c>
      <c r="AO4720" t="s">
        <v>11153</v>
      </c>
      <c r="AQ4720" t="s">
        <v>11157</v>
      </c>
      <c r="AS4720" t="s">
        <v>11180</v>
      </c>
      <c r="AU4720">
        <v>10</v>
      </c>
      <c r="AW4720" t="s">
        <v>11187</v>
      </c>
      <c r="BA4720" t="s">
        <v>11222</v>
      </c>
      <c r="BC4720" t="s">
        <v>11656</v>
      </c>
      <c r="BE4720" t="s">
        <v>14333</v>
      </c>
      <c r="BG4720" t="s">
        <v>15579</v>
      </c>
      <c r="BM4720" t="s">
        <v>15650</v>
      </c>
    </row>
    <row r="4721" spans="1:65">
      <c r="A4721" s="1">
        <f>HYPERLINK("https://lsnyc.legalserver.org/matter/dynamic-profile/view/1885460","18-1885460")</f>
        <v>0</v>
      </c>
      <c r="B4721" t="s">
        <v>242</v>
      </c>
      <c r="C4721" t="s">
        <v>248</v>
      </c>
      <c r="D4721" t="s">
        <v>946</v>
      </c>
      <c r="F4721" t="s">
        <v>1295</v>
      </c>
      <c r="G4721" t="s">
        <v>3489</v>
      </c>
      <c r="H4721" t="s">
        <v>6377</v>
      </c>
      <c r="I4721" t="s">
        <v>6658</v>
      </c>
      <c r="J4721" t="s">
        <v>7174</v>
      </c>
      <c r="K4721">
        <v>11212</v>
      </c>
      <c r="N4721" t="s">
        <v>7237</v>
      </c>
      <c r="O4721" t="s">
        <v>7442</v>
      </c>
      <c r="P4721">
        <v>1</v>
      </c>
      <c r="Q4721">
        <v>1</v>
      </c>
      <c r="R4721">
        <v>37.69</v>
      </c>
      <c r="U4721">
        <v>6204</v>
      </c>
      <c r="W4721">
        <v>11.75</v>
      </c>
      <c r="X4721" t="s">
        <v>601</v>
      </c>
      <c r="Y4721" t="s">
        <v>10874</v>
      </c>
      <c r="AA4721" t="s">
        <v>10974</v>
      </c>
      <c r="AB4721" t="s">
        <v>339</v>
      </c>
      <c r="AD4721" t="s">
        <v>11082</v>
      </c>
      <c r="AF4721" t="s">
        <v>11118</v>
      </c>
      <c r="AH4721" t="s">
        <v>10975</v>
      </c>
      <c r="AJ4721" t="s">
        <v>11138</v>
      </c>
      <c r="AK4721" t="s">
        <v>7225</v>
      </c>
      <c r="AM4721">
        <v>508</v>
      </c>
      <c r="AO4721">
        <v>23</v>
      </c>
      <c r="AP4721" t="s">
        <v>11155</v>
      </c>
      <c r="AR4721" t="s">
        <v>11172</v>
      </c>
      <c r="AU4721">
        <v>32</v>
      </c>
      <c r="AW4721" t="s">
        <v>11187</v>
      </c>
      <c r="AZ4721" t="s">
        <v>11221</v>
      </c>
      <c r="BC4721" t="s">
        <v>11657</v>
      </c>
      <c r="BE4721" t="s">
        <v>14334</v>
      </c>
      <c r="BG4721" t="s">
        <v>15580</v>
      </c>
      <c r="BM4721" t="s">
        <v>15650</v>
      </c>
    </row>
    <row r="4722" spans="1:65">
      <c r="A4722" s="1">
        <f>HYPERLINK("https://lsnyc.legalserver.org/matter/dynamic-profile/view/1898032","19-1898032")</f>
        <v>0</v>
      </c>
      <c r="B4722" t="s">
        <v>242</v>
      </c>
      <c r="C4722" t="s">
        <v>248</v>
      </c>
      <c r="D4722" t="s">
        <v>594</v>
      </c>
      <c r="F4722" t="s">
        <v>1282</v>
      </c>
      <c r="G4722" t="s">
        <v>4143</v>
      </c>
      <c r="H4722" t="s">
        <v>6378</v>
      </c>
      <c r="I4722" t="s">
        <v>6440</v>
      </c>
      <c r="J4722" t="s">
        <v>7174</v>
      </c>
      <c r="K4722">
        <v>11233</v>
      </c>
      <c r="N4722" t="s">
        <v>7237</v>
      </c>
      <c r="O4722" t="s">
        <v>10229</v>
      </c>
      <c r="P4722">
        <v>2</v>
      </c>
      <c r="Q4722">
        <v>1</v>
      </c>
      <c r="R4722">
        <v>168.78</v>
      </c>
      <c r="U4722">
        <v>36000</v>
      </c>
      <c r="W4722">
        <v>4.5</v>
      </c>
      <c r="X4722" t="s">
        <v>571</v>
      </c>
      <c r="Y4722" t="s">
        <v>225</v>
      </c>
      <c r="AA4722" t="s">
        <v>10974</v>
      </c>
      <c r="AB4722" t="s">
        <v>343</v>
      </c>
      <c r="AD4722" t="s">
        <v>11082</v>
      </c>
      <c r="AF4722" t="s">
        <v>11119</v>
      </c>
      <c r="AH4722" t="s">
        <v>10975</v>
      </c>
      <c r="AJ4722" t="s">
        <v>11129</v>
      </c>
      <c r="AK4722" t="s">
        <v>7225</v>
      </c>
      <c r="AM4722">
        <v>1303</v>
      </c>
      <c r="AO4722">
        <v>19</v>
      </c>
      <c r="AQ4722" t="s">
        <v>11157</v>
      </c>
      <c r="AS4722" t="s">
        <v>11173</v>
      </c>
      <c r="AU4722">
        <v>7</v>
      </c>
      <c r="AW4722" t="s">
        <v>11187</v>
      </c>
      <c r="AY4722" t="s">
        <v>11213</v>
      </c>
      <c r="BA4722" t="s">
        <v>11222</v>
      </c>
      <c r="BB4722" t="s">
        <v>11224</v>
      </c>
      <c r="BC4722" t="s">
        <v>11658</v>
      </c>
      <c r="BE4722" t="s">
        <v>14335</v>
      </c>
      <c r="BG4722" t="s">
        <v>15581</v>
      </c>
      <c r="BM4722" t="s">
        <v>15650</v>
      </c>
    </row>
    <row r="4723" spans="1:65">
      <c r="A4723" s="1">
        <f>HYPERLINK("https://lsnyc.legalserver.org/matter/dynamic-profile/view/1896190","19-1896190")</f>
        <v>0</v>
      </c>
      <c r="B4723" t="s">
        <v>242</v>
      </c>
      <c r="C4723" t="s">
        <v>248</v>
      </c>
      <c r="D4723" t="s">
        <v>445</v>
      </c>
      <c r="F4723" t="s">
        <v>2864</v>
      </c>
      <c r="G4723" t="s">
        <v>4737</v>
      </c>
      <c r="H4723" t="s">
        <v>6379</v>
      </c>
      <c r="I4723">
        <v>1</v>
      </c>
      <c r="J4723" t="s">
        <v>7174</v>
      </c>
      <c r="K4723">
        <v>11233</v>
      </c>
      <c r="N4723" t="s">
        <v>7237</v>
      </c>
      <c r="O4723" t="s">
        <v>10230</v>
      </c>
      <c r="P4723">
        <v>1</v>
      </c>
      <c r="Q4723">
        <v>1</v>
      </c>
      <c r="R4723">
        <v>57.04</v>
      </c>
      <c r="U4723">
        <v>9646</v>
      </c>
      <c r="W4723">
        <v>24.5</v>
      </c>
      <c r="X4723" t="s">
        <v>426</v>
      </c>
      <c r="Y4723" t="s">
        <v>101</v>
      </c>
      <c r="AA4723" t="s">
        <v>10974</v>
      </c>
      <c r="AB4723" t="s">
        <v>275</v>
      </c>
      <c r="AD4723" t="s">
        <v>11082</v>
      </c>
      <c r="AF4723" t="s">
        <v>11118</v>
      </c>
      <c r="AH4723" t="s">
        <v>10975</v>
      </c>
      <c r="AI4723" t="s">
        <v>11126</v>
      </c>
      <c r="AK4723" t="s">
        <v>7225</v>
      </c>
      <c r="AM4723">
        <v>1640</v>
      </c>
      <c r="AO4723">
        <v>8</v>
      </c>
      <c r="AQ4723" t="s">
        <v>11157</v>
      </c>
      <c r="AS4723" t="s">
        <v>11174</v>
      </c>
      <c r="AU4723">
        <v>11</v>
      </c>
      <c r="AW4723" t="s">
        <v>11187</v>
      </c>
      <c r="AY4723" t="s">
        <v>11213</v>
      </c>
      <c r="BA4723" t="s">
        <v>11222</v>
      </c>
      <c r="BE4723" t="s">
        <v>14336</v>
      </c>
      <c r="BG4723" t="s">
        <v>15582</v>
      </c>
      <c r="BM4723" t="s">
        <v>15650</v>
      </c>
    </row>
    <row r="4724" spans="1:65">
      <c r="A4724" s="1">
        <f>HYPERLINK("https://lsnyc.legalserver.org/matter/dynamic-profile/view/1898008","19-1898008")</f>
        <v>0</v>
      </c>
      <c r="B4724" t="s">
        <v>242</v>
      </c>
      <c r="C4724" t="s">
        <v>248</v>
      </c>
      <c r="D4724" t="s">
        <v>594</v>
      </c>
      <c r="F4724" t="s">
        <v>2335</v>
      </c>
      <c r="G4724" t="s">
        <v>2962</v>
      </c>
      <c r="H4724" t="s">
        <v>5808</v>
      </c>
      <c r="I4724" t="s">
        <v>6637</v>
      </c>
      <c r="J4724" t="s">
        <v>7174</v>
      </c>
      <c r="K4724">
        <v>11207</v>
      </c>
      <c r="N4724" t="s">
        <v>7237</v>
      </c>
      <c r="O4724" t="s">
        <v>9192</v>
      </c>
      <c r="P4724">
        <v>1</v>
      </c>
      <c r="Q4724">
        <v>2</v>
      </c>
      <c r="R4724">
        <v>60.95</v>
      </c>
      <c r="U4724">
        <v>13000</v>
      </c>
      <c r="W4724">
        <v>48.8</v>
      </c>
      <c r="X4724" t="s">
        <v>436</v>
      </c>
      <c r="Y4724" t="s">
        <v>10912</v>
      </c>
      <c r="AA4724" t="s">
        <v>10974</v>
      </c>
      <c r="AB4724" t="s">
        <v>594</v>
      </c>
      <c r="AD4724" t="s">
        <v>11082</v>
      </c>
      <c r="AF4724" t="s">
        <v>11118</v>
      </c>
      <c r="AG4724" t="s">
        <v>11124</v>
      </c>
      <c r="AJ4724" t="s">
        <v>11138</v>
      </c>
      <c r="AK4724" t="s">
        <v>7225</v>
      </c>
      <c r="AM4724">
        <v>11762.77</v>
      </c>
      <c r="AO4724">
        <v>6</v>
      </c>
      <c r="AQ4724" t="s">
        <v>11157</v>
      </c>
      <c r="AR4724" t="s">
        <v>11172</v>
      </c>
      <c r="AU4724">
        <v>11</v>
      </c>
      <c r="AW4724" t="s">
        <v>11208</v>
      </c>
      <c r="BA4724" t="s">
        <v>11223</v>
      </c>
      <c r="BC4724" t="s">
        <v>11495</v>
      </c>
      <c r="BE4724" t="s">
        <v>13422</v>
      </c>
      <c r="BG4724" t="s">
        <v>15145</v>
      </c>
      <c r="BM4724" t="s">
        <v>15650</v>
      </c>
    </row>
    <row r="4725" spans="1:65">
      <c r="A4725" s="1">
        <f>HYPERLINK("https://lsnyc.legalserver.org/matter/dynamic-profile/view/1873364","18-1873364")</f>
        <v>0</v>
      </c>
      <c r="B4725" t="s">
        <v>242</v>
      </c>
      <c r="C4725" t="s">
        <v>248</v>
      </c>
      <c r="D4725" t="s">
        <v>1027</v>
      </c>
      <c r="F4725" t="s">
        <v>2865</v>
      </c>
      <c r="G4725" t="s">
        <v>3180</v>
      </c>
      <c r="H4725" t="s">
        <v>6380</v>
      </c>
      <c r="I4725" t="s">
        <v>7167</v>
      </c>
      <c r="J4725" t="s">
        <v>7174</v>
      </c>
      <c r="K4725">
        <v>11208</v>
      </c>
      <c r="N4725" t="s">
        <v>7237</v>
      </c>
      <c r="O4725" t="s">
        <v>9206</v>
      </c>
      <c r="P4725">
        <v>2</v>
      </c>
      <c r="Q4725">
        <v>1</v>
      </c>
      <c r="R4725">
        <v>235.8</v>
      </c>
      <c r="S4725" t="s">
        <v>425</v>
      </c>
      <c r="T4725" t="s">
        <v>10276</v>
      </c>
      <c r="U4725">
        <v>49000</v>
      </c>
      <c r="W4725">
        <v>66.90000000000001</v>
      </c>
      <c r="X4725" t="s">
        <v>528</v>
      </c>
      <c r="Y4725" t="s">
        <v>10911</v>
      </c>
      <c r="AA4725" t="s">
        <v>10974</v>
      </c>
      <c r="AB4725" t="s">
        <v>1027</v>
      </c>
      <c r="AD4725" t="s">
        <v>11082</v>
      </c>
      <c r="AF4725" t="s">
        <v>11118</v>
      </c>
      <c r="AH4725" t="s">
        <v>10975</v>
      </c>
      <c r="AJ4725" t="s">
        <v>11104</v>
      </c>
      <c r="AK4725" t="s">
        <v>7225</v>
      </c>
      <c r="AM4725">
        <v>1600</v>
      </c>
      <c r="AO4725">
        <v>7</v>
      </c>
      <c r="AQ4725" t="s">
        <v>11157</v>
      </c>
      <c r="AS4725" t="s">
        <v>11174</v>
      </c>
      <c r="AU4725">
        <v>15</v>
      </c>
      <c r="AW4725" t="s">
        <v>11187</v>
      </c>
      <c r="AZ4725" t="s">
        <v>11221</v>
      </c>
      <c r="BE4725" t="s">
        <v>14337</v>
      </c>
      <c r="BG4725" t="s">
        <v>15583</v>
      </c>
      <c r="BM4725" t="s">
        <v>15650</v>
      </c>
    </row>
    <row r="4726" spans="1:65">
      <c r="A4726" s="1">
        <f>HYPERLINK("https://lsnyc.legalserver.org/matter/dynamic-profile/view/1897904","19-1897904")</f>
        <v>0</v>
      </c>
      <c r="B4726" t="s">
        <v>242</v>
      </c>
      <c r="C4726" t="s">
        <v>248</v>
      </c>
      <c r="D4726" t="s">
        <v>822</v>
      </c>
      <c r="F4726" t="s">
        <v>1175</v>
      </c>
      <c r="G4726" t="s">
        <v>2992</v>
      </c>
      <c r="H4726" t="s">
        <v>6381</v>
      </c>
      <c r="I4726">
        <v>254</v>
      </c>
      <c r="J4726" t="s">
        <v>7174</v>
      </c>
      <c r="K4726">
        <v>11208</v>
      </c>
      <c r="N4726" t="s">
        <v>7237</v>
      </c>
      <c r="O4726" t="s">
        <v>10231</v>
      </c>
      <c r="P4726">
        <v>2</v>
      </c>
      <c r="Q4726">
        <v>0</v>
      </c>
      <c r="R4726">
        <v>35.77</v>
      </c>
      <c r="U4726">
        <v>6048</v>
      </c>
      <c r="W4726">
        <v>10.75</v>
      </c>
      <c r="X4726" t="s">
        <v>267</v>
      </c>
      <c r="Y4726" t="s">
        <v>101</v>
      </c>
      <c r="AA4726" t="s">
        <v>10974</v>
      </c>
      <c r="AB4726" t="s">
        <v>428</v>
      </c>
      <c r="AD4726" t="s">
        <v>11082</v>
      </c>
      <c r="AF4726" t="s">
        <v>11118</v>
      </c>
      <c r="AH4726" t="s">
        <v>10975</v>
      </c>
      <c r="AJ4726" t="s">
        <v>11104</v>
      </c>
      <c r="AK4726" t="s">
        <v>7225</v>
      </c>
      <c r="AM4726">
        <v>1561</v>
      </c>
      <c r="AO4726">
        <v>266</v>
      </c>
      <c r="AQ4726" t="s">
        <v>11157</v>
      </c>
      <c r="AR4726" t="s">
        <v>11172</v>
      </c>
      <c r="AU4726">
        <v>5</v>
      </c>
      <c r="AW4726" t="s">
        <v>11187</v>
      </c>
      <c r="AY4726" t="s">
        <v>11213</v>
      </c>
      <c r="BA4726" t="s">
        <v>11222</v>
      </c>
      <c r="BB4726" t="s">
        <v>11224</v>
      </c>
      <c r="BC4726">
        <v>5428120</v>
      </c>
      <c r="BE4726" t="s">
        <v>14338</v>
      </c>
      <c r="BG4726" t="s">
        <v>15584</v>
      </c>
      <c r="BM4726" t="s">
        <v>15650</v>
      </c>
    </row>
    <row r="4727" spans="1:65">
      <c r="A4727" s="1">
        <f>HYPERLINK("https://lsnyc.legalserver.org/matter/dynamic-profile/view/1910748","19-1910748")</f>
        <v>0</v>
      </c>
      <c r="B4727" t="s">
        <v>242</v>
      </c>
      <c r="C4727" t="s">
        <v>248</v>
      </c>
      <c r="D4727" t="s">
        <v>327</v>
      </c>
      <c r="F4727" t="s">
        <v>2337</v>
      </c>
      <c r="G4727" t="s">
        <v>3334</v>
      </c>
      <c r="H4727" t="s">
        <v>6382</v>
      </c>
      <c r="J4727" t="s">
        <v>7174</v>
      </c>
      <c r="K4727">
        <v>11208</v>
      </c>
      <c r="N4727" t="s">
        <v>7237</v>
      </c>
      <c r="O4727" t="s">
        <v>9196</v>
      </c>
      <c r="P4727">
        <v>1</v>
      </c>
      <c r="Q4727">
        <v>0</v>
      </c>
      <c r="R4727">
        <v>76</v>
      </c>
      <c r="U4727">
        <v>9492</v>
      </c>
      <c r="W4727">
        <v>4.5</v>
      </c>
      <c r="X4727" t="s">
        <v>614</v>
      </c>
      <c r="Y4727" t="s">
        <v>10873</v>
      </c>
      <c r="AA4727" t="s">
        <v>10974</v>
      </c>
      <c r="AB4727" t="s">
        <v>327</v>
      </c>
      <c r="AD4727" t="s">
        <v>11082</v>
      </c>
      <c r="AF4727" t="s">
        <v>11121</v>
      </c>
      <c r="AH4727" t="s">
        <v>10975</v>
      </c>
      <c r="AI4727" t="s">
        <v>11126</v>
      </c>
      <c r="AK4727" t="s">
        <v>7225</v>
      </c>
      <c r="AM4727">
        <v>1057</v>
      </c>
      <c r="AO4727">
        <v>300</v>
      </c>
      <c r="AQ4727" t="s">
        <v>11163</v>
      </c>
      <c r="AS4727" t="s">
        <v>11181</v>
      </c>
      <c r="AU4727">
        <v>2</v>
      </c>
      <c r="AW4727" t="s">
        <v>11187</v>
      </c>
      <c r="AY4727" t="s">
        <v>11213</v>
      </c>
      <c r="BA4727" t="s">
        <v>11222</v>
      </c>
      <c r="BC4727" t="s">
        <v>11659</v>
      </c>
      <c r="BE4727" t="s">
        <v>13425</v>
      </c>
      <c r="BG4727" t="s">
        <v>15147</v>
      </c>
      <c r="BM4727" t="s">
        <v>15650</v>
      </c>
    </row>
    <row r="4728" spans="1:65">
      <c r="A4728" s="1">
        <f>HYPERLINK("https://lsnyc.legalserver.org/matter/dynamic-profile/view/1882190","18-1882190")</f>
        <v>0</v>
      </c>
      <c r="B4728" t="s">
        <v>242</v>
      </c>
      <c r="C4728" t="s">
        <v>248</v>
      </c>
      <c r="D4728" t="s">
        <v>569</v>
      </c>
      <c r="F4728" t="s">
        <v>2866</v>
      </c>
      <c r="G4728" t="s">
        <v>3032</v>
      </c>
      <c r="H4728" t="s">
        <v>6383</v>
      </c>
      <c r="I4728" t="s">
        <v>6491</v>
      </c>
      <c r="J4728" t="s">
        <v>7174</v>
      </c>
      <c r="K4728">
        <v>11239</v>
      </c>
      <c r="N4728" t="s">
        <v>7237</v>
      </c>
      <c r="O4728" t="s">
        <v>10232</v>
      </c>
      <c r="P4728">
        <v>1</v>
      </c>
      <c r="Q4728">
        <v>0</v>
      </c>
      <c r="R4728">
        <v>119.8</v>
      </c>
      <c r="U4728">
        <v>14544</v>
      </c>
      <c r="V4728" t="s">
        <v>10377</v>
      </c>
      <c r="W4728">
        <v>37.25</v>
      </c>
      <c r="X4728" t="s">
        <v>546</v>
      </c>
      <c r="Y4728" t="s">
        <v>10912</v>
      </c>
      <c r="AA4728" t="s">
        <v>10974</v>
      </c>
      <c r="AB4728" t="s">
        <v>569</v>
      </c>
      <c r="AD4728" t="s">
        <v>11082</v>
      </c>
      <c r="AF4728" t="s">
        <v>11118</v>
      </c>
      <c r="AG4728" t="s">
        <v>11124</v>
      </c>
      <c r="AJ4728" t="s">
        <v>11135</v>
      </c>
      <c r="AK4728" t="s">
        <v>7225</v>
      </c>
      <c r="AM4728">
        <v>689</v>
      </c>
      <c r="AO4728">
        <v>10</v>
      </c>
      <c r="AQ4728" t="s">
        <v>11157</v>
      </c>
      <c r="AR4728" t="s">
        <v>11172</v>
      </c>
      <c r="AU4728">
        <v>3</v>
      </c>
      <c r="AW4728" t="s">
        <v>11187</v>
      </c>
      <c r="AZ4728" t="s">
        <v>11221</v>
      </c>
      <c r="BE4728" t="s">
        <v>14339</v>
      </c>
      <c r="BG4728" t="s">
        <v>15585</v>
      </c>
      <c r="BM4728" t="s">
        <v>15650</v>
      </c>
    </row>
    <row r="4729" spans="1:65">
      <c r="A4729" s="1">
        <f>HYPERLINK("https://lsnyc.legalserver.org/matter/dynamic-profile/view/1908841","19-1908841")</f>
        <v>0</v>
      </c>
      <c r="B4729" t="s">
        <v>242</v>
      </c>
      <c r="C4729" t="s">
        <v>248</v>
      </c>
      <c r="D4729" t="s">
        <v>422</v>
      </c>
      <c r="F4729" t="s">
        <v>1370</v>
      </c>
      <c r="G4729" t="s">
        <v>4143</v>
      </c>
      <c r="H4729" t="s">
        <v>6384</v>
      </c>
      <c r="I4729" t="s">
        <v>6463</v>
      </c>
      <c r="J4729" t="s">
        <v>7174</v>
      </c>
      <c r="K4729">
        <v>11239</v>
      </c>
      <c r="N4729" t="s">
        <v>7237</v>
      </c>
      <c r="O4729" t="s">
        <v>10233</v>
      </c>
      <c r="P4729">
        <v>1</v>
      </c>
      <c r="Q4729">
        <v>1</v>
      </c>
      <c r="R4729">
        <v>13.7</v>
      </c>
      <c r="U4729">
        <v>2316</v>
      </c>
      <c r="W4729">
        <v>8</v>
      </c>
      <c r="X4729" t="s">
        <v>536</v>
      </c>
      <c r="Y4729" t="s">
        <v>10915</v>
      </c>
      <c r="AA4729" t="s">
        <v>10974</v>
      </c>
      <c r="AB4729" t="s">
        <v>422</v>
      </c>
      <c r="AD4729" t="s">
        <v>11082</v>
      </c>
      <c r="AF4729" t="s">
        <v>11118</v>
      </c>
      <c r="AH4729" t="s">
        <v>10975</v>
      </c>
      <c r="AJ4729" t="s">
        <v>11138</v>
      </c>
      <c r="AK4729" t="s">
        <v>7225</v>
      </c>
      <c r="AM4729">
        <v>1896</v>
      </c>
      <c r="AO4729">
        <v>1463</v>
      </c>
      <c r="AQ4729" t="s">
        <v>11162</v>
      </c>
      <c r="AS4729" t="s">
        <v>11179</v>
      </c>
      <c r="AT4729" t="s">
        <v>11184</v>
      </c>
      <c r="AU4729">
        <v>0</v>
      </c>
      <c r="AW4729" t="s">
        <v>11187</v>
      </c>
      <c r="AY4729" t="s">
        <v>11213</v>
      </c>
      <c r="BA4729" t="s">
        <v>11223</v>
      </c>
      <c r="BC4729" t="s">
        <v>11660</v>
      </c>
      <c r="BE4729" t="s">
        <v>14340</v>
      </c>
      <c r="BG4729" t="s">
        <v>15586</v>
      </c>
      <c r="BM4729" t="s">
        <v>15650</v>
      </c>
    </row>
    <row r="4730" spans="1:65">
      <c r="A4730" s="1">
        <f>HYPERLINK("https://lsnyc.legalserver.org/matter/dynamic-profile/view/1896358","19-1896358")</f>
        <v>0</v>
      </c>
      <c r="B4730" t="s">
        <v>242</v>
      </c>
      <c r="C4730" t="s">
        <v>248</v>
      </c>
      <c r="D4730" t="s">
        <v>412</v>
      </c>
      <c r="E4730" t="s">
        <v>426</v>
      </c>
      <c r="F4730" t="s">
        <v>2867</v>
      </c>
      <c r="G4730" t="s">
        <v>4738</v>
      </c>
      <c r="H4730" t="s">
        <v>6385</v>
      </c>
      <c r="I4730">
        <v>226</v>
      </c>
      <c r="J4730" t="s">
        <v>7174</v>
      </c>
      <c r="K4730">
        <v>11233</v>
      </c>
      <c r="L4730" t="s">
        <v>7221</v>
      </c>
      <c r="N4730" t="s">
        <v>7237</v>
      </c>
      <c r="O4730" t="s">
        <v>10234</v>
      </c>
      <c r="P4730">
        <v>1</v>
      </c>
      <c r="Q4730">
        <v>1</v>
      </c>
      <c r="R4730">
        <v>14.07</v>
      </c>
      <c r="U4730">
        <v>2379</v>
      </c>
      <c r="W4730">
        <v>3.25</v>
      </c>
      <c r="X4730" t="s">
        <v>591</v>
      </c>
      <c r="Y4730" t="s">
        <v>101</v>
      </c>
      <c r="AA4730" t="s">
        <v>10974</v>
      </c>
      <c r="AB4730" t="s">
        <v>343</v>
      </c>
      <c r="AD4730" t="s">
        <v>11082</v>
      </c>
      <c r="AF4730" t="s">
        <v>11118</v>
      </c>
      <c r="AH4730" t="s">
        <v>10975</v>
      </c>
      <c r="AI4730" t="s">
        <v>11126</v>
      </c>
      <c r="AK4730" t="s">
        <v>7225</v>
      </c>
      <c r="AM4730">
        <v>1208</v>
      </c>
      <c r="AO4730">
        <v>137</v>
      </c>
      <c r="AQ4730" t="s">
        <v>11157</v>
      </c>
      <c r="AS4730" t="s">
        <v>11180</v>
      </c>
      <c r="AU4730">
        <v>1</v>
      </c>
      <c r="AW4730" t="s">
        <v>11187</v>
      </c>
      <c r="AY4730" t="s">
        <v>11213</v>
      </c>
      <c r="BA4730" t="s">
        <v>11222</v>
      </c>
      <c r="BB4730" t="s">
        <v>11224</v>
      </c>
      <c r="BC4730" t="s">
        <v>11661</v>
      </c>
      <c r="BE4730" t="s">
        <v>14341</v>
      </c>
      <c r="BG4730" t="s">
        <v>15587</v>
      </c>
      <c r="BH4730" t="s">
        <v>15605</v>
      </c>
      <c r="BJ4730" t="s">
        <v>15615</v>
      </c>
      <c r="BL4730" t="s">
        <v>15648</v>
      </c>
      <c r="BM4730" t="s">
        <v>15651</v>
      </c>
    </row>
    <row r="4731" spans="1:65">
      <c r="A4731" s="1">
        <f>HYPERLINK("https://lsnyc.legalserver.org/matter/dynamic-profile/view/1881179","18-1881179")</f>
        <v>0</v>
      </c>
      <c r="B4731" t="s">
        <v>242</v>
      </c>
      <c r="C4731" t="s">
        <v>248</v>
      </c>
      <c r="D4731" t="s">
        <v>892</v>
      </c>
      <c r="F4731" t="s">
        <v>1128</v>
      </c>
      <c r="G4731" t="s">
        <v>4739</v>
      </c>
      <c r="H4731" t="s">
        <v>6386</v>
      </c>
      <c r="I4731" t="s">
        <v>6464</v>
      </c>
      <c r="J4731" t="s">
        <v>7174</v>
      </c>
      <c r="K4731">
        <v>11208</v>
      </c>
      <c r="N4731" t="s">
        <v>7237</v>
      </c>
      <c r="O4731" t="s">
        <v>10235</v>
      </c>
      <c r="P4731">
        <v>2</v>
      </c>
      <c r="Q4731">
        <v>0</v>
      </c>
      <c r="R4731">
        <v>82.27</v>
      </c>
      <c r="U4731">
        <v>13542</v>
      </c>
      <c r="W4731">
        <v>15.35</v>
      </c>
      <c r="X4731" t="s">
        <v>571</v>
      </c>
      <c r="Y4731" t="s">
        <v>10872</v>
      </c>
      <c r="AA4731" t="s">
        <v>10974</v>
      </c>
      <c r="AB4731" t="s">
        <v>550</v>
      </c>
      <c r="AD4731" t="s">
        <v>11083</v>
      </c>
      <c r="AF4731" t="s">
        <v>11118</v>
      </c>
      <c r="AH4731" t="s">
        <v>10975</v>
      </c>
      <c r="AJ4731" t="s">
        <v>11143</v>
      </c>
      <c r="AK4731" t="s">
        <v>7225</v>
      </c>
      <c r="AM4731">
        <v>1700</v>
      </c>
      <c r="AO4731">
        <v>3</v>
      </c>
      <c r="AQ4731" t="s">
        <v>11156</v>
      </c>
      <c r="AS4731" t="s">
        <v>11173</v>
      </c>
      <c r="AU4731">
        <v>6</v>
      </c>
      <c r="AW4731" t="s">
        <v>11187</v>
      </c>
      <c r="AY4731" t="s">
        <v>11213</v>
      </c>
      <c r="BA4731" t="s">
        <v>11222</v>
      </c>
      <c r="BB4731" t="s">
        <v>11224</v>
      </c>
      <c r="BC4731" t="s">
        <v>11662</v>
      </c>
      <c r="BD4731" t="s">
        <v>11667</v>
      </c>
      <c r="BG4731" t="s">
        <v>15588</v>
      </c>
      <c r="BM4731" t="s">
        <v>15650</v>
      </c>
    </row>
    <row r="4732" spans="1:65">
      <c r="A4732" s="1">
        <f>HYPERLINK("https://lsnyc.legalserver.org/matter/dynamic-profile/view/1914573","19-1914573")</f>
        <v>0</v>
      </c>
      <c r="B4732" t="s">
        <v>242</v>
      </c>
      <c r="C4732" t="s">
        <v>248</v>
      </c>
      <c r="D4732" t="s">
        <v>312</v>
      </c>
      <c r="F4732" t="s">
        <v>2868</v>
      </c>
      <c r="G4732" t="s">
        <v>4740</v>
      </c>
      <c r="H4732" t="s">
        <v>6387</v>
      </c>
      <c r="I4732" t="s">
        <v>6430</v>
      </c>
      <c r="J4732" t="s">
        <v>7174</v>
      </c>
      <c r="K4732">
        <v>11208</v>
      </c>
      <c r="N4732" t="s">
        <v>7237</v>
      </c>
      <c r="O4732" t="s">
        <v>10236</v>
      </c>
      <c r="P4732">
        <v>4</v>
      </c>
      <c r="Q4732">
        <v>0</v>
      </c>
      <c r="R4732">
        <v>121.17</v>
      </c>
      <c r="U4732">
        <v>31200</v>
      </c>
      <c r="W4732">
        <v>1.25</v>
      </c>
      <c r="X4732" t="s">
        <v>638</v>
      </c>
      <c r="Y4732" t="s">
        <v>225</v>
      </c>
      <c r="AA4732" t="s">
        <v>10974</v>
      </c>
      <c r="AB4732" t="s">
        <v>497</v>
      </c>
      <c r="AD4732" t="s">
        <v>11082</v>
      </c>
      <c r="AE4732" t="s">
        <v>11117</v>
      </c>
      <c r="AH4732" t="s">
        <v>10975</v>
      </c>
      <c r="AJ4732" t="s">
        <v>11146</v>
      </c>
      <c r="AK4732" t="s">
        <v>7225</v>
      </c>
      <c r="AM4732">
        <v>2850</v>
      </c>
      <c r="AO4732">
        <v>6</v>
      </c>
      <c r="AQ4732" t="s">
        <v>11157</v>
      </c>
      <c r="AS4732" t="s">
        <v>11104</v>
      </c>
      <c r="AU4732">
        <v>2</v>
      </c>
      <c r="AW4732" t="s">
        <v>11187</v>
      </c>
      <c r="AY4732" t="s">
        <v>11213</v>
      </c>
      <c r="BA4732" t="s">
        <v>11222</v>
      </c>
      <c r="BC4732" t="s">
        <v>11164</v>
      </c>
      <c r="BE4732" t="s">
        <v>14342</v>
      </c>
      <c r="BG4732" t="s">
        <v>15589</v>
      </c>
      <c r="BM4732" t="s">
        <v>15650</v>
      </c>
    </row>
    <row r="4733" spans="1:65">
      <c r="A4733" s="1">
        <f>HYPERLINK("https://lsnyc.legalserver.org/matter/dynamic-profile/view/1892387","19-1892387")</f>
        <v>0</v>
      </c>
      <c r="B4733" t="s">
        <v>242</v>
      </c>
      <c r="C4733" t="s">
        <v>248</v>
      </c>
      <c r="D4733" t="s">
        <v>483</v>
      </c>
      <c r="F4733" t="s">
        <v>2869</v>
      </c>
      <c r="G4733" t="s">
        <v>4741</v>
      </c>
      <c r="H4733" t="s">
        <v>6388</v>
      </c>
      <c r="I4733" t="s">
        <v>6421</v>
      </c>
      <c r="J4733" t="s">
        <v>7174</v>
      </c>
      <c r="K4733">
        <v>11233</v>
      </c>
      <c r="N4733" t="s">
        <v>7237</v>
      </c>
      <c r="O4733" t="s">
        <v>10237</v>
      </c>
      <c r="P4733">
        <v>3</v>
      </c>
      <c r="Q4733">
        <v>1</v>
      </c>
      <c r="R4733">
        <v>221.36</v>
      </c>
      <c r="U4733">
        <v>57000</v>
      </c>
      <c r="W4733">
        <v>43</v>
      </c>
      <c r="X4733" t="s">
        <v>638</v>
      </c>
      <c r="Y4733" t="s">
        <v>101</v>
      </c>
      <c r="AA4733" t="s">
        <v>10974</v>
      </c>
      <c r="AB4733" t="s">
        <v>505</v>
      </c>
      <c r="AD4733" t="s">
        <v>11082</v>
      </c>
      <c r="AF4733" t="s">
        <v>11118</v>
      </c>
      <c r="AH4733" t="s">
        <v>10975</v>
      </c>
      <c r="AI4733" t="s">
        <v>11126</v>
      </c>
      <c r="AK4733" t="s">
        <v>7225</v>
      </c>
      <c r="AM4733">
        <v>1250</v>
      </c>
      <c r="AO4733">
        <v>8</v>
      </c>
      <c r="AQ4733" t="s">
        <v>11157</v>
      </c>
      <c r="AS4733" t="s">
        <v>11174</v>
      </c>
      <c r="AU4733">
        <v>15</v>
      </c>
      <c r="AW4733" t="s">
        <v>11187</v>
      </c>
      <c r="BA4733" t="s">
        <v>11222</v>
      </c>
      <c r="BE4733" t="s">
        <v>14343</v>
      </c>
      <c r="BG4733" t="s">
        <v>15590</v>
      </c>
      <c r="BM4733" t="s">
        <v>15650</v>
      </c>
    </row>
    <row r="4734" spans="1:65">
      <c r="A4734" s="1">
        <f>HYPERLINK("https://lsnyc.legalserver.org/matter/dynamic-profile/view/1889612","19-1889612")</f>
        <v>0</v>
      </c>
      <c r="B4734" t="s">
        <v>242</v>
      </c>
      <c r="C4734" t="s">
        <v>248</v>
      </c>
      <c r="D4734" t="s">
        <v>604</v>
      </c>
      <c r="F4734" t="s">
        <v>2870</v>
      </c>
      <c r="G4734" t="s">
        <v>4742</v>
      </c>
      <c r="H4734" t="s">
        <v>4802</v>
      </c>
      <c r="I4734">
        <v>328</v>
      </c>
      <c r="J4734" t="s">
        <v>7174</v>
      </c>
      <c r="K4734">
        <v>11208</v>
      </c>
      <c r="N4734" t="s">
        <v>7237</v>
      </c>
      <c r="O4734" t="s">
        <v>10238</v>
      </c>
      <c r="P4734">
        <v>1</v>
      </c>
      <c r="Q4734">
        <v>1</v>
      </c>
      <c r="R4734">
        <v>130.1</v>
      </c>
      <c r="U4734">
        <v>22000</v>
      </c>
      <c r="W4734">
        <v>2.5</v>
      </c>
      <c r="X4734" t="s">
        <v>373</v>
      </c>
      <c r="Y4734" t="s">
        <v>242</v>
      </c>
      <c r="AA4734" t="s">
        <v>10974</v>
      </c>
      <c r="AB4734" t="s">
        <v>604</v>
      </c>
      <c r="AD4734" t="s">
        <v>11082</v>
      </c>
      <c r="AF4734" t="s">
        <v>11119</v>
      </c>
      <c r="AH4734" t="s">
        <v>10975</v>
      </c>
      <c r="AI4734" t="s">
        <v>11126</v>
      </c>
      <c r="AK4734" t="s">
        <v>7225</v>
      </c>
      <c r="AM4734">
        <v>1182</v>
      </c>
      <c r="AO4734">
        <v>266</v>
      </c>
      <c r="AQ4734" t="s">
        <v>11157</v>
      </c>
      <c r="AR4734" t="s">
        <v>11172</v>
      </c>
      <c r="AU4734">
        <v>7</v>
      </c>
      <c r="AW4734" t="s">
        <v>11187</v>
      </c>
      <c r="AY4734" t="s">
        <v>11213</v>
      </c>
      <c r="BA4734" t="s">
        <v>11222</v>
      </c>
      <c r="BC4734" t="s">
        <v>11230</v>
      </c>
      <c r="BE4734" t="s">
        <v>14344</v>
      </c>
      <c r="BG4734" t="s">
        <v>15591</v>
      </c>
      <c r="BM4734" t="s">
        <v>15650</v>
      </c>
    </row>
    <row r="4735" spans="1:65">
      <c r="A4735" s="1">
        <f>HYPERLINK("https://lsnyc.legalserver.org/matter/dynamic-profile/view/1908571","19-1908571")</f>
        <v>0</v>
      </c>
      <c r="B4735" t="s">
        <v>242</v>
      </c>
      <c r="C4735" t="s">
        <v>248</v>
      </c>
      <c r="D4735" t="s">
        <v>635</v>
      </c>
      <c r="F4735" t="s">
        <v>1822</v>
      </c>
      <c r="G4735" t="s">
        <v>4743</v>
      </c>
      <c r="H4735" t="s">
        <v>6389</v>
      </c>
      <c r="I4735" t="s">
        <v>6653</v>
      </c>
      <c r="J4735" t="s">
        <v>7174</v>
      </c>
      <c r="K4735">
        <v>11208</v>
      </c>
      <c r="N4735" t="s">
        <v>7237</v>
      </c>
      <c r="O4735" t="s">
        <v>10239</v>
      </c>
      <c r="P4735">
        <v>1</v>
      </c>
      <c r="Q4735">
        <v>3</v>
      </c>
      <c r="R4735">
        <v>68.66</v>
      </c>
      <c r="U4735">
        <v>17680</v>
      </c>
      <c r="W4735">
        <v>1.25</v>
      </c>
      <c r="X4735" t="s">
        <v>635</v>
      </c>
      <c r="Y4735" t="s">
        <v>10874</v>
      </c>
      <c r="AA4735" t="s">
        <v>10974</v>
      </c>
      <c r="AB4735" t="s">
        <v>635</v>
      </c>
      <c r="AD4735" t="s">
        <v>11083</v>
      </c>
      <c r="AF4735" t="s">
        <v>11119</v>
      </c>
      <c r="AG4735" t="s">
        <v>11124</v>
      </c>
      <c r="AJ4735" t="s">
        <v>11138</v>
      </c>
      <c r="AK4735" t="s">
        <v>7225</v>
      </c>
      <c r="AM4735">
        <v>2199.98</v>
      </c>
      <c r="AO4735">
        <v>4</v>
      </c>
      <c r="AP4735" t="s">
        <v>11155</v>
      </c>
      <c r="AR4735" t="s">
        <v>11172</v>
      </c>
      <c r="AT4735" t="s">
        <v>11184</v>
      </c>
      <c r="AU4735">
        <v>0</v>
      </c>
      <c r="AW4735" t="s">
        <v>11187</v>
      </c>
      <c r="BA4735" t="s">
        <v>11222</v>
      </c>
      <c r="BC4735" t="s">
        <v>11663</v>
      </c>
      <c r="BE4735" t="s">
        <v>14345</v>
      </c>
      <c r="BG4735" t="s">
        <v>15592</v>
      </c>
      <c r="BM4735" t="s">
        <v>15650</v>
      </c>
    </row>
    <row r="4736" spans="1:65">
      <c r="A4736" s="1">
        <f>HYPERLINK("https://lsnyc.legalserver.org/matter/dynamic-profile/view/1900296","19-1900296")</f>
        <v>0</v>
      </c>
      <c r="B4736" t="s">
        <v>242</v>
      </c>
      <c r="C4736" t="s">
        <v>248</v>
      </c>
      <c r="D4736" t="s">
        <v>315</v>
      </c>
      <c r="F4736" t="s">
        <v>2871</v>
      </c>
      <c r="G4736" t="s">
        <v>2921</v>
      </c>
      <c r="H4736" t="s">
        <v>5091</v>
      </c>
      <c r="I4736" t="s">
        <v>6479</v>
      </c>
      <c r="J4736" t="s">
        <v>7174</v>
      </c>
      <c r="K4736">
        <v>11208</v>
      </c>
      <c r="N4736" t="s">
        <v>7237</v>
      </c>
      <c r="O4736" t="s">
        <v>10240</v>
      </c>
      <c r="P4736">
        <v>1</v>
      </c>
      <c r="Q4736">
        <v>0</v>
      </c>
      <c r="R4736">
        <v>268.78</v>
      </c>
      <c r="U4736">
        <v>33570</v>
      </c>
      <c r="W4736">
        <v>22.25</v>
      </c>
      <c r="X4736" t="s">
        <v>426</v>
      </c>
      <c r="Y4736" t="s">
        <v>101</v>
      </c>
      <c r="AA4736" t="s">
        <v>10974</v>
      </c>
      <c r="AB4736" t="s">
        <v>1075</v>
      </c>
      <c r="AD4736" t="s">
        <v>11082</v>
      </c>
      <c r="AF4736" t="s">
        <v>11118</v>
      </c>
      <c r="AH4736" t="s">
        <v>10975</v>
      </c>
      <c r="AI4736" t="s">
        <v>11126</v>
      </c>
      <c r="AK4736" t="s">
        <v>7225</v>
      </c>
      <c r="AM4736">
        <v>744.58</v>
      </c>
      <c r="AN4736" t="s">
        <v>11151</v>
      </c>
      <c r="AO4736" t="s">
        <v>11153</v>
      </c>
      <c r="AQ4736" t="s">
        <v>11157</v>
      </c>
      <c r="AS4736" t="s">
        <v>11174</v>
      </c>
      <c r="AU4736">
        <v>42</v>
      </c>
      <c r="AW4736" t="s">
        <v>11187</v>
      </c>
      <c r="BA4736" t="s">
        <v>11222</v>
      </c>
      <c r="BE4736" t="s">
        <v>14346</v>
      </c>
      <c r="BG4736" t="s">
        <v>15593</v>
      </c>
      <c r="BM4736" t="s">
        <v>15650</v>
      </c>
    </row>
    <row r="4737" spans="1:67">
      <c r="A4737" s="1">
        <f>HYPERLINK("https://lsnyc.legalserver.org/matter/dynamic-profile/view/1848874","17-1848874")</f>
        <v>0</v>
      </c>
      <c r="B4737" t="s">
        <v>242</v>
      </c>
      <c r="C4737" t="s">
        <v>248</v>
      </c>
      <c r="D4737" t="s">
        <v>704</v>
      </c>
      <c r="F4737" t="s">
        <v>2872</v>
      </c>
      <c r="G4737" t="s">
        <v>4744</v>
      </c>
      <c r="H4737" t="s">
        <v>6363</v>
      </c>
      <c r="I4737">
        <v>2</v>
      </c>
      <c r="J4737" t="s">
        <v>7174</v>
      </c>
      <c r="K4737">
        <v>11208</v>
      </c>
      <c r="N4737" t="s">
        <v>7237</v>
      </c>
      <c r="O4737" t="s">
        <v>10241</v>
      </c>
      <c r="P4737">
        <v>1</v>
      </c>
      <c r="Q4737">
        <v>3</v>
      </c>
      <c r="R4737">
        <v>9.199999999999999</v>
      </c>
      <c r="U4737">
        <v>2262</v>
      </c>
      <c r="W4737">
        <v>33.4</v>
      </c>
      <c r="X4737" t="s">
        <v>512</v>
      </c>
      <c r="Y4737" t="s">
        <v>10913</v>
      </c>
      <c r="AA4737" t="s">
        <v>10974</v>
      </c>
      <c r="AB4737" t="s">
        <v>1045</v>
      </c>
      <c r="AD4737" t="s">
        <v>11083</v>
      </c>
      <c r="AF4737" t="s">
        <v>11118</v>
      </c>
      <c r="AG4737" t="s">
        <v>11124</v>
      </c>
      <c r="AJ4737" t="s">
        <v>11128</v>
      </c>
      <c r="AK4737" t="s">
        <v>7225</v>
      </c>
      <c r="AM4737">
        <v>1100</v>
      </c>
      <c r="AO4737">
        <v>5</v>
      </c>
      <c r="AQ4737" t="s">
        <v>11165</v>
      </c>
      <c r="AR4737" t="s">
        <v>11172</v>
      </c>
      <c r="AU4737">
        <v>5</v>
      </c>
      <c r="AW4737" t="s">
        <v>11187</v>
      </c>
      <c r="AZ4737" t="s">
        <v>11221</v>
      </c>
      <c r="BB4737" t="s">
        <v>11224</v>
      </c>
      <c r="BC4737" t="s">
        <v>11664</v>
      </c>
      <c r="BE4737" t="s">
        <v>14347</v>
      </c>
      <c r="BG4737" t="s">
        <v>15594</v>
      </c>
      <c r="BM4737" t="s">
        <v>15650</v>
      </c>
    </row>
    <row r="4738" spans="1:67">
      <c r="A4738" s="1">
        <f>HYPERLINK("https://lsnyc.legalserver.org/matter/dynamic-profile/view/1901745","19-1901745")</f>
        <v>0</v>
      </c>
      <c r="B4738" t="s">
        <v>242</v>
      </c>
      <c r="C4738" t="s">
        <v>248</v>
      </c>
      <c r="D4738" t="s">
        <v>280</v>
      </c>
      <c r="E4738" t="s">
        <v>426</v>
      </c>
      <c r="F4738" t="s">
        <v>1313</v>
      </c>
      <c r="G4738" t="s">
        <v>4745</v>
      </c>
      <c r="H4738" t="s">
        <v>6390</v>
      </c>
      <c r="I4738" t="s">
        <v>6436</v>
      </c>
      <c r="J4738" t="s">
        <v>7174</v>
      </c>
      <c r="K4738">
        <v>11233</v>
      </c>
      <c r="L4738" t="s">
        <v>7221</v>
      </c>
      <c r="N4738" t="s">
        <v>7237</v>
      </c>
      <c r="O4738" t="s">
        <v>10242</v>
      </c>
      <c r="P4738">
        <v>1</v>
      </c>
      <c r="Q4738">
        <v>0</v>
      </c>
      <c r="R4738">
        <v>134.51</v>
      </c>
      <c r="U4738">
        <v>16800</v>
      </c>
      <c r="W4738">
        <v>25.75</v>
      </c>
      <c r="X4738" t="s">
        <v>426</v>
      </c>
      <c r="Y4738" t="s">
        <v>10873</v>
      </c>
      <c r="AA4738" t="s">
        <v>10974</v>
      </c>
      <c r="AB4738" t="s">
        <v>575</v>
      </c>
      <c r="AD4738" t="s">
        <v>11082</v>
      </c>
      <c r="AF4738" t="s">
        <v>11118</v>
      </c>
      <c r="AH4738" t="s">
        <v>10975</v>
      </c>
      <c r="AI4738" t="s">
        <v>11126</v>
      </c>
      <c r="AK4738" t="s">
        <v>7225</v>
      </c>
      <c r="AM4738">
        <v>1032</v>
      </c>
      <c r="AO4738">
        <v>6</v>
      </c>
      <c r="AQ4738" t="s">
        <v>11157</v>
      </c>
      <c r="AS4738" t="s">
        <v>11173</v>
      </c>
      <c r="AU4738">
        <v>3</v>
      </c>
      <c r="AW4738" t="s">
        <v>11187</v>
      </c>
      <c r="AY4738" t="s">
        <v>11213</v>
      </c>
      <c r="BA4738" t="s">
        <v>11222</v>
      </c>
      <c r="BC4738" t="s">
        <v>11228</v>
      </c>
      <c r="BE4738" t="s">
        <v>14348</v>
      </c>
      <c r="BG4738" t="s">
        <v>15595</v>
      </c>
      <c r="BH4738" t="s">
        <v>15605</v>
      </c>
      <c r="BJ4738" t="s">
        <v>15615</v>
      </c>
      <c r="BL4738" t="s">
        <v>15648</v>
      </c>
      <c r="BM4738" t="s">
        <v>15651</v>
      </c>
    </row>
    <row r="4739" spans="1:67">
      <c r="A4739" s="1">
        <f>HYPERLINK("https://lsnyc.legalserver.org/matter/dynamic-profile/view/1875069","18-1875069")</f>
        <v>0</v>
      </c>
      <c r="B4739" t="s">
        <v>242</v>
      </c>
      <c r="C4739" t="s">
        <v>248</v>
      </c>
      <c r="D4739" t="s">
        <v>1028</v>
      </c>
      <c r="F4739" t="s">
        <v>1241</v>
      </c>
      <c r="G4739" t="s">
        <v>3142</v>
      </c>
      <c r="H4739" t="s">
        <v>6391</v>
      </c>
      <c r="I4739" t="s">
        <v>6751</v>
      </c>
      <c r="J4739" t="s">
        <v>7174</v>
      </c>
      <c r="K4739">
        <v>11233</v>
      </c>
      <c r="N4739" t="s">
        <v>7237</v>
      </c>
      <c r="O4739" t="s">
        <v>10243</v>
      </c>
      <c r="P4739">
        <v>2</v>
      </c>
      <c r="Q4739">
        <v>1</v>
      </c>
      <c r="R4739">
        <v>64.97</v>
      </c>
      <c r="U4739">
        <v>13500</v>
      </c>
      <c r="W4739">
        <v>37.25</v>
      </c>
      <c r="X4739" t="s">
        <v>450</v>
      </c>
      <c r="Y4739" t="s">
        <v>225</v>
      </c>
      <c r="AA4739" t="s">
        <v>10974</v>
      </c>
      <c r="AB4739" t="s">
        <v>1028</v>
      </c>
      <c r="AD4739" t="s">
        <v>11082</v>
      </c>
      <c r="AF4739" t="s">
        <v>11118</v>
      </c>
      <c r="AH4739" t="s">
        <v>10975</v>
      </c>
      <c r="AJ4739" t="s">
        <v>11131</v>
      </c>
      <c r="AK4739" t="s">
        <v>7225</v>
      </c>
      <c r="AM4739">
        <v>925</v>
      </c>
      <c r="AO4739">
        <v>101</v>
      </c>
      <c r="AQ4739" t="s">
        <v>11164</v>
      </c>
      <c r="AS4739" t="s">
        <v>11173</v>
      </c>
      <c r="AU4739">
        <v>1</v>
      </c>
      <c r="AW4739" t="s">
        <v>11189</v>
      </c>
      <c r="AZ4739" t="s">
        <v>11221</v>
      </c>
      <c r="BE4739" t="s">
        <v>14349</v>
      </c>
      <c r="BG4739" t="s">
        <v>15596</v>
      </c>
      <c r="BM4739" t="s">
        <v>15650</v>
      </c>
    </row>
    <row r="4740" spans="1:67">
      <c r="A4740" s="1">
        <f>HYPERLINK("https://lsnyc.legalserver.org/matter/dynamic-profile/view/1873452","18-1873452")</f>
        <v>0</v>
      </c>
      <c r="B4740" t="s">
        <v>242</v>
      </c>
      <c r="C4740" t="s">
        <v>248</v>
      </c>
      <c r="D4740" t="s">
        <v>912</v>
      </c>
      <c r="F4740" t="s">
        <v>2873</v>
      </c>
      <c r="G4740" t="s">
        <v>4746</v>
      </c>
      <c r="H4740" t="s">
        <v>6392</v>
      </c>
      <c r="I4740" t="s">
        <v>6477</v>
      </c>
      <c r="J4740" t="s">
        <v>7174</v>
      </c>
      <c r="K4740">
        <v>11208</v>
      </c>
      <c r="N4740" t="s">
        <v>7237</v>
      </c>
      <c r="O4740" t="s">
        <v>10244</v>
      </c>
      <c r="P4740">
        <v>4</v>
      </c>
      <c r="Q4740">
        <v>1</v>
      </c>
      <c r="R4740">
        <v>81.58</v>
      </c>
      <c r="U4740">
        <v>24000</v>
      </c>
      <c r="W4740">
        <v>35.85</v>
      </c>
      <c r="X4740" t="s">
        <v>375</v>
      </c>
      <c r="Y4740" t="s">
        <v>10874</v>
      </c>
      <c r="AA4740" t="s">
        <v>10974</v>
      </c>
      <c r="AB4740" t="s">
        <v>667</v>
      </c>
      <c r="AD4740" t="s">
        <v>11082</v>
      </c>
      <c r="AF4740" t="s">
        <v>11118</v>
      </c>
      <c r="AG4740" t="s">
        <v>11124</v>
      </c>
      <c r="AJ4740" t="s">
        <v>11128</v>
      </c>
      <c r="AK4740" t="s">
        <v>7225</v>
      </c>
      <c r="AM4740">
        <v>1020</v>
      </c>
      <c r="AO4740">
        <v>20</v>
      </c>
      <c r="AP4740" t="s">
        <v>11155</v>
      </c>
      <c r="AS4740" t="s">
        <v>11173</v>
      </c>
      <c r="AU4740">
        <v>12</v>
      </c>
      <c r="AW4740" t="s">
        <v>11187</v>
      </c>
      <c r="AZ4740" t="s">
        <v>11221</v>
      </c>
      <c r="BC4740" t="s">
        <v>11665</v>
      </c>
      <c r="BE4740" t="s">
        <v>14350</v>
      </c>
      <c r="BG4740" t="s">
        <v>15597</v>
      </c>
      <c r="BM4740" t="s">
        <v>15650</v>
      </c>
    </row>
    <row r="4741" spans="1:67">
      <c r="A4741" s="1">
        <f>HYPERLINK("https://lsnyc.legalserver.org/matter/dynamic-profile/view/1900658","19-1900658")</f>
        <v>0</v>
      </c>
      <c r="B4741" t="s">
        <v>243</v>
      </c>
      <c r="C4741" t="s">
        <v>248</v>
      </c>
      <c r="D4741" t="s">
        <v>549</v>
      </c>
      <c r="F4741" t="s">
        <v>1577</v>
      </c>
      <c r="G4741" t="s">
        <v>3665</v>
      </c>
      <c r="H4741" t="s">
        <v>5368</v>
      </c>
      <c r="I4741" t="s">
        <v>6466</v>
      </c>
      <c r="J4741" t="s">
        <v>7174</v>
      </c>
      <c r="K4741">
        <v>11213</v>
      </c>
      <c r="N4741" t="s">
        <v>7237</v>
      </c>
      <c r="O4741" t="s">
        <v>8351</v>
      </c>
      <c r="P4741">
        <v>2</v>
      </c>
      <c r="Q4741">
        <v>1</v>
      </c>
      <c r="R4741">
        <v>234.41</v>
      </c>
      <c r="S4741" t="s">
        <v>512</v>
      </c>
      <c r="T4741" t="s">
        <v>10276</v>
      </c>
      <c r="U4741">
        <v>50000</v>
      </c>
      <c r="V4741" t="s">
        <v>10801</v>
      </c>
      <c r="W4741">
        <v>27.45</v>
      </c>
      <c r="X4741" t="s">
        <v>270</v>
      </c>
      <c r="Y4741" t="s">
        <v>225</v>
      </c>
      <c r="AA4741" t="s">
        <v>10974</v>
      </c>
      <c r="AB4741" t="s">
        <v>800</v>
      </c>
      <c r="AD4741" t="s">
        <v>11082</v>
      </c>
      <c r="AF4741" t="s">
        <v>11118</v>
      </c>
      <c r="AG4741" t="s">
        <v>11124</v>
      </c>
      <c r="AJ4741" t="s">
        <v>11144</v>
      </c>
      <c r="AK4741" t="s">
        <v>7225</v>
      </c>
      <c r="AM4741">
        <v>693</v>
      </c>
      <c r="AO4741">
        <v>19</v>
      </c>
      <c r="AQ4741" t="s">
        <v>11157</v>
      </c>
      <c r="AS4741" t="s">
        <v>11173</v>
      </c>
      <c r="AU4741">
        <v>20</v>
      </c>
      <c r="AW4741" t="s">
        <v>11187</v>
      </c>
      <c r="AY4741" t="s">
        <v>11213</v>
      </c>
      <c r="BA4741" t="s">
        <v>11222</v>
      </c>
      <c r="BE4741" t="s">
        <v>12640</v>
      </c>
      <c r="BG4741" t="s">
        <v>15598</v>
      </c>
      <c r="BM4741" t="s">
        <v>15650</v>
      </c>
    </row>
    <row r="4742" spans="1:67">
      <c r="A4742" s="1">
        <f>HYPERLINK("https://lsnyc.legalserver.org/matter/dynamic-profile/view/1894029","19-1894029")</f>
        <v>0</v>
      </c>
      <c r="B4742" t="s">
        <v>243</v>
      </c>
      <c r="C4742" t="s">
        <v>248</v>
      </c>
      <c r="D4742" t="s">
        <v>863</v>
      </c>
      <c r="F4742" t="s">
        <v>2139</v>
      </c>
      <c r="G4742" t="s">
        <v>4747</v>
      </c>
      <c r="H4742" t="s">
        <v>6393</v>
      </c>
      <c r="I4742" t="s">
        <v>6492</v>
      </c>
      <c r="J4742" t="s">
        <v>7174</v>
      </c>
      <c r="K4742">
        <v>11212</v>
      </c>
      <c r="N4742" t="s">
        <v>7237</v>
      </c>
      <c r="O4742" t="s">
        <v>10173</v>
      </c>
      <c r="P4742">
        <v>3</v>
      </c>
      <c r="Q4742">
        <v>1</v>
      </c>
      <c r="R4742">
        <v>271.84</v>
      </c>
      <c r="U4742">
        <v>70000</v>
      </c>
      <c r="W4742">
        <v>8</v>
      </c>
      <c r="X4742" t="s">
        <v>920</v>
      </c>
      <c r="Y4742" t="s">
        <v>243</v>
      </c>
      <c r="AA4742" t="s">
        <v>10974</v>
      </c>
      <c r="AB4742" t="s">
        <v>863</v>
      </c>
      <c r="AD4742" t="s">
        <v>11090</v>
      </c>
      <c r="AF4742" t="s">
        <v>11119</v>
      </c>
      <c r="AH4742" t="s">
        <v>10974</v>
      </c>
      <c r="AJ4742" t="s">
        <v>11141</v>
      </c>
      <c r="AK4742" t="s">
        <v>7225</v>
      </c>
      <c r="AM4742">
        <v>1151</v>
      </c>
      <c r="AO4742">
        <v>73</v>
      </c>
      <c r="AQ4742" t="s">
        <v>11157</v>
      </c>
      <c r="AS4742" t="s">
        <v>11173</v>
      </c>
      <c r="AU4742">
        <v>20</v>
      </c>
      <c r="AW4742" t="s">
        <v>11187</v>
      </c>
      <c r="AZ4742" t="s">
        <v>11221</v>
      </c>
      <c r="BE4742" t="s">
        <v>14351</v>
      </c>
      <c r="BF4742" t="s">
        <v>14364</v>
      </c>
      <c r="BG4742" t="s">
        <v>14410</v>
      </c>
      <c r="BM4742" t="s">
        <v>15650</v>
      </c>
    </row>
    <row r="4743" spans="1:67">
      <c r="A4743" s="1">
        <f>HYPERLINK("https://lsnyc.legalserver.org/matter/dynamic-profile/view/1885519","18-1885519")</f>
        <v>0</v>
      </c>
      <c r="B4743" t="s">
        <v>243</v>
      </c>
      <c r="C4743" t="s">
        <v>248</v>
      </c>
      <c r="D4743" t="s">
        <v>721</v>
      </c>
      <c r="E4743" t="s">
        <v>548</v>
      </c>
      <c r="F4743" t="s">
        <v>2874</v>
      </c>
      <c r="G4743" t="s">
        <v>3333</v>
      </c>
      <c r="H4743" t="s">
        <v>6394</v>
      </c>
      <c r="I4743" t="s">
        <v>6430</v>
      </c>
      <c r="J4743" t="s">
        <v>7174</v>
      </c>
      <c r="K4743">
        <v>11207</v>
      </c>
      <c r="L4743" t="s">
        <v>7219</v>
      </c>
      <c r="N4743" t="s">
        <v>7237</v>
      </c>
      <c r="O4743" t="s">
        <v>10245</v>
      </c>
      <c r="P4743">
        <v>2</v>
      </c>
      <c r="Q4743">
        <v>1</v>
      </c>
      <c r="R4743">
        <v>17.32</v>
      </c>
      <c r="U4743">
        <v>3600</v>
      </c>
      <c r="W4743">
        <v>22.25</v>
      </c>
      <c r="X4743" t="s">
        <v>322</v>
      </c>
      <c r="Y4743" t="s">
        <v>243</v>
      </c>
      <c r="AA4743" t="s">
        <v>10974</v>
      </c>
      <c r="AB4743" t="s">
        <v>721</v>
      </c>
      <c r="AD4743" t="s">
        <v>11082</v>
      </c>
      <c r="AF4743" t="s">
        <v>11118</v>
      </c>
      <c r="AH4743" t="s">
        <v>10975</v>
      </c>
      <c r="AJ4743" t="s">
        <v>11130</v>
      </c>
      <c r="AK4743" t="s">
        <v>7225</v>
      </c>
      <c r="AL4743" t="s">
        <v>11150</v>
      </c>
      <c r="AM4743">
        <v>0</v>
      </c>
      <c r="AO4743">
        <v>4</v>
      </c>
      <c r="AQ4743" t="s">
        <v>11156</v>
      </c>
      <c r="AS4743" t="s">
        <v>11178</v>
      </c>
      <c r="AT4743" t="s">
        <v>11184</v>
      </c>
      <c r="AU4743">
        <v>0</v>
      </c>
      <c r="AW4743" t="s">
        <v>11187</v>
      </c>
      <c r="AY4743" t="s">
        <v>11213</v>
      </c>
      <c r="BA4743" t="s">
        <v>11223</v>
      </c>
      <c r="BC4743" t="s">
        <v>11666</v>
      </c>
      <c r="BE4743" t="s">
        <v>14352</v>
      </c>
      <c r="BG4743" t="s">
        <v>15599</v>
      </c>
      <c r="BH4743" t="s">
        <v>15605</v>
      </c>
      <c r="BK4743" t="s">
        <v>15618</v>
      </c>
      <c r="BM4743" t="s">
        <v>15651</v>
      </c>
      <c r="BN4743" t="s">
        <v>15652</v>
      </c>
      <c r="BO4743" t="s">
        <v>15658</v>
      </c>
    </row>
    <row r="4744" spans="1:67">
      <c r="A4744" s="1">
        <f>HYPERLINK("https://lsnyc.legalserver.org/matter/dynamic-profile/view/1900641","19-1900641")</f>
        <v>0</v>
      </c>
      <c r="B4744" t="s">
        <v>243</v>
      </c>
      <c r="C4744" t="s">
        <v>248</v>
      </c>
      <c r="D4744" t="s">
        <v>549</v>
      </c>
      <c r="F4744" t="s">
        <v>1855</v>
      </c>
      <c r="G4744" t="s">
        <v>3652</v>
      </c>
      <c r="H4744" t="s">
        <v>5368</v>
      </c>
      <c r="I4744" t="s">
        <v>6412</v>
      </c>
      <c r="J4744" t="s">
        <v>7174</v>
      </c>
      <c r="K4744">
        <v>11213</v>
      </c>
      <c r="N4744" t="s">
        <v>7237</v>
      </c>
      <c r="O4744" t="s">
        <v>8326</v>
      </c>
      <c r="P4744">
        <v>4</v>
      </c>
      <c r="Q4744">
        <v>0</v>
      </c>
      <c r="R4744">
        <v>186.06</v>
      </c>
      <c r="U4744">
        <v>47909.8</v>
      </c>
      <c r="V4744" t="s">
        <v>10802</v>
      </c>
      <c r="W4744">
        <v>5.75</v>
      </c>
      <c r="X4744" t="s">
        <v>511</v>
      </c>
      <c r="Y4744" t="s">
        <v>225</v>
      </c>
      <c r="AA4744" t="s">
        <v>10974</v>
      </c>
      <c r="AB4744" t="s">
        <v>800</v>
      </c>
      <c r="AD4744" t="s">
        <v>11082</v>
      </c>
      <c r="AF4744" t="s">
        <v>11118</v>
      </c>
      <c r="AH4744" t="s">
        <v>10974</v>
      </c>
      <c r="AJ4744" t="s">
        <v>11144</v>
      </c>
      <c r="AK4744" t="s">
        <v>7225</v>
      </c>
      <c r="AM4744">
        <v>1507.16</v>
      </c>
      <c r="AO4744">
        <v>19</v>
      </c>
      <c r="AQ4744" t="s">
        <v>11157</v>
      </c>
      <c r="AS4744" t="s">
        <v>11174</v>
      </c>
      <c r="AU4744">
        <v>22</v>
      </c>
      <c r="AW4744" t="s">
        <v>11187</v>
      </c>
      <c r="AY4744" t="s">
        <v>11213</v>
      </c>
      <c r="AZ4744" t="s">
        <v>11221</v>
      </c>
      <c r="BA4744" t="s">
        <v>11173</v>
      </c>
      <c r="BC4744" t="s">
        <v>11233</v>
      </c>
      <c r="BE4744" t="s">
        <v>12617</v>
      </c>
      <c r="BG4744" t="s">
        <v>15598</v>
      </c>
      <c r="BM4744" t="s">
        <v>15650</v>
      </c>
    </row>
    <row r="4745" spans="1:67">
      <c r="A4745" s="1">
        <f>HYPERLINK("https://lsnyc.legalserver.org/matter/dynamic-profile/view/1903768","19-1903768")</f>
        <v>0</v>
      </c>
      <c r="B4745" t="s">
        <v>243</v>
      </c>
      <c r="C4745" t="s">
        <v>248</v>
      </c>
      <c r="D4745" t="s">
        <v>311</v>
      </c>
      <c r="E4745" t="s">
        <v>548</v>
      </c>
      <c r="F4745" t="s">
        <v>2874</v>
      </c>
      <c r="G4745" t="s">
        <v>3333</v>
      </c>
      <c r="H4745" t="s">
        <v>6394</v>
      </c>
      <c r="I4745" t="s">
        <v>6430</v>
      </c>
      <c r="J4745" t="s">
        <v>7174</v>
      </c>
      <c r="K4745">
        <v>11207</v>
      </c>
      <c r="L4745" t="s">
        <v>7217</v>
      </c>
      <c r="N4745" t="s">
        <v>7237</v>
      </c>
      <c r="O4745" t="s">
        <v>10245</v>
      </c>
      <c r="P4745">
        <v>1</v>
      </c>
      <c r="Q4745">
        <v>2</v>
      </c>
      <c r="R4745">
        <v>112.52</v>
      </c>
      <c r="U4745">
        <v>24000</v>
      </c>
      <c r="W4745">
        <v>7.3</v>
      </c>
      <c r="X4745" t="s">
        <v>548</v>
      </c>
      <c r="Y4745" t="s">
        <v>243</v>
      </c>
      <c r="AA4745" t="s">
        <v>10974</v>
      </c>
      <c r="AB4745" t="s">
        <v>311</v>
      </c>
      <c r="AD4745" t="s">
        <v>11086</v>
      </c>
      <c r="AF4745" t="s">
        <v>10384</v>
      </c>
      <c r="AH4745" t="s">
        <v>10975</v>
      </c>
      <c r="AJ4745" t="s">
        <v>11129</v>
      </c>
      <c r="AK4745" t="s">
        <v>7225</v>
      </c>
      <c r="AM4745">
        <v>1515</v>
      </c>
      <c r="AO4745">
        <v>4</v>
      </c>
      <c r="AQ4745" t="s">
        <v>11156</v>
      </c>
      <c r="AS4745" t="s">
        <v>11180</v>
      </c>
      <c r="AU4745">
        <v>1</v>
      </c>
      <c r="AW4745" t="s">
        <v>11187</v>
      </c>
      <c r="AY4745" t="s">
        <v>11213</v>
      </c>
      <c r="BA4745" t="s">
        <v>11223</v>
      </c>
      <c r="BC4745" t="s">
        <v>11666</v>
      </c>
      <c r="BE4745" t="s">
        <v>14352</v>
      </c>
      <c r="BF4745" t="s">
        <v>14364</v>
      </c>
      <c r="BG4745" t="s">
        <v>11086</v>
      </c>
      <c r="BM4745" t="s">
        <v>15651</v>
      </c>
    </row>
    <row r="4746" spans="1:67">
      <c r="A4746" s="1">
        <f>HYPERLINK("https://lsnyc.legalserver.org/matter/dynamic-profile/view/1844694","17-1844694")</f>
        <v>0</v>
      </c>
      <c r="B4746" t="s">
        <v>243</v>
      </c>
      <c r="C4746" t="s">
        <v>248</v>
      </c>
      <c r="D4746" t="s">
        <v>1080</v>
      </c>
      <c r="E4746" t="s">
        <v>528</v>
      </c>
      <c r="F4746" t="s">
        <v>1218</v>
      </c>
      <c r="G4746" t="s">
        <v>2877</v>
      </c>
      <c r="H4746" t="s">
        <v>6395</v>
      </c>
      <c r="I4746" t="s">
        <v>6666</v>
      </c>
      <c r="J4746" t="s">
        <v>7174</v>
      </c>
      <c r="K4746">
        <v>11233</v>
      </c>
      <c r="L4746" t="s">
        <v>7219</v>
      </c>
      <c r="N4746" t="s">
        <v>7237</v>
      </c>
      <c r="O4746" t="s">
        <v>10246</v>
      </c>
      <c r="P4746">
        <v>1</v>
      </c>
      <c r="Q4746">
        <v>0</v>
      </c>
      <c r="R4746">
        <v>116.42</v>
      </c>
      <c r="U4746">
        <v>14040</v>
      </c>
      <c r="W4746">
        <v>138.65</v>
      </c>
      <c r="X4746" t="s">
        <v>528</v>
      </c>
      <c r="Y4746" t="s">
        <v>225</v>
      </c>
      <c r="AA4746" t="s">
        <v>10974</v>
      </c>
      <c r="AB4746" t="s">
        <v>11048</v>
      </c>
      <c r="AD4746" t="s">
        <v>11083</v>
      </c>
      <c r="AF4746" t="s">
        <v>11118</v>
      </c>
      <c r="AG4746" t="s">
        <v>11124</v>
      </c>
      <c r="AH4746" t="s">
        <v>11125</v>
      </c>
      <c r="AJ4746" t="s">
        <v>11129</v>
      </c>
      <c r="AK4746" t="s">
        <v>7225</v>
      </c>
      <c r="AM4746">
        <v>236</v>
      </c>
      <c r="AO4746">
        <v>84</v>
      </c>
      <c r="AQ4746" t="s">
        <v>11167</v>
      </c>
      <c r="AS4746" t="s">
        <v>11104</v>
      </c>
      <c r="AU4746">
        <v>8</v>
      </c>
      <c r="AW4746" t="s">
        <v>11187</v>
      </c>
      <c r="BA4746" t="s">
        <v>11222</v>
      </c>
      <c r="BC4746" t="s">
        <v>11276</v>
      </c>
      <c r="BE4746" t="s">
        <v>14353</v>
      </c>
      <c r="BG4746" t="s">
        <v>15600</v>
      </c>
      <c r="BH4746" t="s">
        <v>15605</v>
      </c>
      <c r="BJ4746" t="s">
        <v>15615</v>
      </c>
      <c r="BL4746" t="s">
        <v>15648</v>
      </c>
      <c r="BM4746" t="s">
        <v>15651</v>
      </c>
    </row>
    <row r="4747" spans="1:67">
      <c r="A4747" s="1">
        <f>HYPERLINK("https://lsnyc.legalserver.org/matter/dynamic-profile/view/1901141","19-1901141")</f>
        <v>0</v>
      </c>
      <c r="B4747" t="s">
        <v>243</v>
      </c>
      <c r="C4747" t="s">
        <v>248</v>
      </c>
      <c r="D4747" t="s">
        <v>343</v>
      </c>
      <c r="F4747" t="s">
        <v>2653</v>
      </c>
      <c r="G4747" t="s">
        <v>3126</v>
      </c>
      <c r="H4747" t="s">
        <v>6396</v>
      </c>
      <c r="I4747" t="s">
        <v>6864</v>
      </c>
      <c r="J4747" t="s">
        <v>7174</v>
      </c>
      <c r="K4747">
        <v>11212</v>
      </c>
      <c r="N4747" t="s">
        <v>7237</v>
      </c>
      <c r="O4747" t="s">
        <v>10247</v>
      </c>
      <c r="P4747">
        <v>1</v>
      </c>
      <c r="Q4747">
        <v>0</v>
      </c>
      <c r="R4747">
        <v>76.86</v>
      </c>
      <c r="U4747">
        <v>9600</v>
      </c>
      <c r="W4747">
        <v>2.5</v>
      </c>
      <c r="X4747" t="s">
        <v>565</v>
      </c>
      <c r="Y4747" t="s">
        <v>243</v>
      </c>
      <c r="AA4747" t="s">
        <v>10974</v>
      </c>
      <c r="AB4747" t="s">
        <v>343</v>
      </c>
      <c r="AD4747" t="s">
        <v>11082</v>
      </c>
      <c r="AF4747" t="s">
        <v>11119</v>
      </c>
      <c r="AH4747" t="s">
        <v>10975</v>
      </c>
      <c r="AI4747" t="s">
        <v>11126</v>
      </c>
      <c r="AK4747" t="s">
        <v>7225</v>
      </c>
      <c r="AM4747">
        <v>247</v>
      </c>
      <c r="AN4747" t="s">
        <v>11151</v>
      </c>
      <c r="AO4747" t="s">
        <v>11153</v>
      </c>
      <c r="AP4747" t="s">
        <v>11155</v>
      </c>
      <c r="AS4747" t="s">
        <v>11174</v>
      </c>
      <c r="AT4747" t="s">
        <v>11184</v>
      </c>
      <c r="AU4747">
        <v>0</v>
      </c>
      <c r="AW4747" t="s">
        <v>11187</v>
      </c>
      <c r="AY4747" t="s">
        <v>11213</v>
      </c>
      <c r="AZ4747" t="s">
        <v>11221</v>
      </c>
      <c r="BA4747" t="s">
        <v>11173</v>
      </c>
      <c r="BD4747" t="s">
        <v>11667</v>
      </c>
      <c r="BF4747" t="s">
        <v>14364</v>
      </c>
      <c r="BG4747" t="s">
        <v>14411</v>
      </c>
      <c r="BM4747" t="s">
        <v>15650</v>
      </c>
    </row>
    <row r="4748" spans="1:67">
      <c r="A4748" s="1">
        <f>HYPERLINK("https://lsnyc.legalserver.org/matter/dynamic-profile/view/1884267","18-1884267")</f>
        <v>0</v>
      </c>
      <c r="B4748" t="s">
        <v>243</v>
      </c>
      <c r="C4748" t="s">
        <v>248</v>
      </c>
      <c r="D4748" t="s">
        <v>795</v>
      </c>
      <c r="E4748" t="s">
        <v>548</v>
      </c>
      <c r="F4748" t="s">
        <v>2874</v>
      </c>
      <c r="G4748" t="s">
        <v>3333</v>
      </c>
      <c r="H4748" t="s">
        <v>6397</v>
      </c>
      <c r="I4748" t="s">
        <v>6408</v>
      </c>
      <c r="J4748" t="s">
        <v>7174</v>
      </c>
      <c r="K4748">
        <v>11208</v>
      </c>
      <c r="L4748" t="s">
        <v>7217</v>
      </c>
      <c r="N4748" t="s">
        <v>7243</v>
      </c>
      <c r="O4748" t="s">
        <v>10245</v>
      </c>
      <c r="P4748">
        <v>2</v>
      </c>
      <c r="Q4748">
        <v>1</v>
      </c>
      <c r="R4748">
        <v>17.32</v>
      </c>
      <c r="U4748">
        <v>3600</v>
      </c>
      <c r="W4748">
        <v>14.7</v>
      </c>
      <c r="X4748" t="s">
        <v>668</v>
      </c>
      <c r="Y4748" t="s">
        <v>243</v>
      </c>
      <c r="AA4748" t="s">
        <v>10974</v>
      </c>
      <c r="AB4748" t="s">
        <v>527</v>
      </c>
      <c r="AD4748" t="s">
        <v>11099</v>
      </c>
      <c r="AF4748" t="s">
        <v>11120</v>
      </c>
      <c r="AG4748" t="s">
        <v>11124</v>
      </c>
      <c r="AI4748" t="s">
        <v>11126</v>
      </c>
      <c r="AK4748" t="s">
        <v>7225</v>
      </c>
      <c r="AL4748" t="s">
        <v>11150</v>
      </c>
      <c r="AM4748">
        <v>0</v>
      </c>
      <c r="AN4748" t="s">
        <v>11151</v>
      </c>
      <c r="AO4748" t="s">
        <v>11153</v>
      </c>
      <c r="AP4748" t="s">
        <v>11155</v>
      </c>
      <c r="AR4748" t="s">
        <v>11172</v>
      </c>
      <c r="AT4748" t="s">
        <v>11184</v>
      </c>
      <c r="AU4748">
        <v>0</v>
      </c>
      <c r="AW4748" t="s">
        <v>11187</v>
      </c>
      <c r="BA4748" t="s">
        <v>11223</v>
      </c>
      <c r="BC4748" t="s">
        <v>11666</v>
      </c>
      <c r="BE4748" t="s">
        <v>14352</v>
      </c>
      <c r="BF4748" t="s">
        <v>14364</v>
      </c>
      <c r="BM4748" t="s">
        <v>15651</v>
      </c>
      <c r="BN4748" t="s">
        <v>15652</v>
      </c>
      <c r="BO4748" t="s">
        <v>15750</v>
      </c>
    </row>
    <row r="4749" spans="1:67">
      <c r="A4749" s="1">
        <f>HYPERLINK("https://lsnyc.legalserver.org/matter/dynamic-profile/view/1895324","19-1895324")</f>
        <v>0</v>
      </c>
      <c r="B4749" t="s">
        <v>243</v>
      </c>
      <c r="C4749" t="s">
        <v>248</v>
      </c>
      <c r="D4749" t="s">
        <v>299</v>
      </c>
      <c r="F4749" t="s">
        <v>1880</v>
      </c>
      <c r="G4749" t="s">
        <v>3678</v>
      </c>
      <c r="H4749" t="s">
        <v>5368</v>
      </c>
      <c r="I4749" t="s">
        <v>6407</v>
      </c>
      <c r="J4749" t="s">
        <v>7174</v>
      </c>
      <c r="K4749">
        <v>11213</v>
      </c>
      <c r="N4749" t="s">
        <v>7242</v>
      </c>
      <c r="O4749" t="s">
        <v>8373</v>
      </c>
      <c r="P4749">
        <v>1</v>
      </c>
      <c r="Q4749">
        <v>0</v>
      </c>
      <c r="R4749">
        <v>57.65</v>
      </c>
      <c r="U4749">
        <v>7200</v>
      </c>
      <c r="W4749">
        <v>0.3</v>
      </c>
      <c r="X4749" t="s">
        <v>304</v>
      </c>
      <c r="Y4749" t="s">
        <v>101</v>
      </c>
      <c r="AA4749" t="s">
        <v>10974</v>
      </c>
      <c r="AB4749" t="s">
        <v>299</v>
      </c>
      <c r="AD4749" t="s">
        <v>11097</v>
      </c>
      <c r="AF4749" t="s">
        <v>11119</v>
      </c>
      <c r="AH4749" t="s">
        <v>10974</v>
      </c>
      <c r="AJ4749" t="s">
        <v>11144</v>
      </c>
      <c r="AK4749" t="s">
        <v>7225</v>
      </c>
      <c r="AM4749">
        <v>1229.5</v>
      </c>
      <c r="AO4749">
        <v>19</v>
      </c>
      <c r="AQ4749" t="s">
        <v>11157</v>
      </c>
      <c r="AS4749" t="s">
        <v>11174</v>
      </c>
      <c r="AU4749">
        <v>25</v>
      </c>
      <c r="AW4749" t="s">
        <v>11187</v>
      </c>
      <c r="AZ4749" t="s">
        <v>11221</v>
      </c>
      <c r="BE4749" t="s">
        <v>12662</v>
      </c>
      <c r="BF4749" t="s">
        <v>14364</v>
      </c>
      <c r="BG4749" t="s">
        <v>14396</v>
      </c>
      <c r="BM4749" t="s">
        <v>15650</v>
      </c>
    </row>
    <row r="4750" spans="1:67">
      <c r="A4750" s="1">
        <f>HYPERLINK("https://lsnyc.legalserver.org/matter/dynamic-profile/view/1905941","19-1905941")</f>
        <v>0</v>
      </c>
      <c r="B4750" t="s">
        <v>243</v>
      </c>
      <c r="C4750" t="s">
        <v>248</v>
      </c>
      <c r="D4750" t="s">
        <v>394</v>
      </c>
      <c r="F4750" t="s">
        <v>1388</v>
      </c>
      <c r="G4750" t="s">
        <v>3704</v>
      </c>
      <c r="H4750" t="s">
        <v>5014</v>
      </c>
      <c r="I4750" t="s">
        <v>7168</v>
      </c>
      <c r="J4750" t="s">
        <v>7174</v>
      </c>
      <c r="K4750">
        <v>11213</v>
      </c>
      <c r="N4750" t="s">
        <v>7237</v>
      </c>
      <c r="O4750" t="s">
        <v>10248</v>
      </c>
      <c r="P4750">
        <v>1</v>
      </c>
      <c r="Q4750">
        <v>1</v>
      </c>
      <c r="R4750">
        <v>130.1</v>
      </c>
      <c r="U4750">
        <v>22000</v>
      </c>
      <c r="W4750">
        <v>1.25</v>
      </c>
      <c r="X4750" t="s">
        <v>511</v>
      </c>
      <c r="Y4750" t="s">
        <v>225</v>
      </c>
      <c r="AA4750" t="s">
        <v>10974</v>
      </c>
      <c r="AB4750" t="s">
        <v>511</v>
      </c>
      <c r="AD4750" t="s">
        <v>11086</v>
      </c>
      <c r="AF4750" t="s">
        <v>11121</v>
      </c>
      <c r="AH4750" t="s">
        <v>10974</v>
      </c>
      <c r="AJ4750" t="s">
        <v>11141</v>
      </c>
      <c r="AK4750" t="s">
        <v>7225</v>
      </c>
      <c r="AM4750">
        <v>1139.5</v>
      </c>
      <c r="AO4750">
        <v>34</v>
      </c>
      <c r="AQ4750" t="s">
        <v>11157</v>
      </c>
      <c r="AS4750" t="s">
        <v>11173</v>
      </c>
      <c r="AU4750">
        <v>1</v>
      </c>
      <c r="AW4750" t="s">
        <v>11187</v>
      </c>
      <c r="AY4750" t="s">
        <v>11213</v>
      </c>
      <c r="BA4750" t="s">
        <v>11222</v>
      </c>
      <c r="BC4750" t="s">
        <v>11228</v>
      </c>
      <c r="BE4750" t="s">
        <v>14354</v>
      </c>
      <c r="BF4750" t="s">
        <v>14364</v>
      </c>
      <c r="BG4750" t="s">
        <v>14411</v>
      </c>
      <c r="BM4750" t="s">
        <v>15650</v>
      </c>
    </row>
    <row r="4751" spans="1:67">
      <c r="A4751" s="1">
        <f>HYPERLINK("https://lsnyc.legalserver.org/matter/dynamic-profile/view/1905948","19-1905948")</f>
        <v>0</v>
      </c>
      <c r="B4751" t="s">
        <v>243</v>
      </c>
      <c r="C4751" t="s">
        <v>248</v>
      </c>
      <c r="D4751" t="s">
        <v>394</v>
      </c>
      <c r="F4751" t="s">
        <v>2691</v>
      </c>
      <c r="G4751" t="s">
        <v>2423</v>
      </c>
      <c r="H4751" t="s">
        <v>5014</v>
      </c>
      <c r="I4751" t="s">
        <v>7107</v>
      </c>
      <c r="J4751" t="s">
        <v>7174</v>
      </c>
      <c r="K4751">
        <v>11213</v>
      </c>
      <c r="N4751" t="s">
        <v>7237</v>
      </c>
      <c r="O4751" t="s">
        <v>9891</v>
      </c>
      <c r="P4751">
        <v>1</v>
      </c>
      <c r="Q4751">
        <v>0</v>
      </c>
      <c r="R4751">
        <v>286.63</v>
      </c>
      <c r="U4751">
        <v>35800</v>
      </c>
      <c r="W4751">
        <v>1</v>
      </c>
      <c r="X4751" t="s">
        <v>511</v>
      </c>
      <c r="Y4751" t="s">
        <v>225</v>
      </c>
      <c r="AA4751" t="s">
        <v>10974</v>
      </c>
      <c r="AB4751" t="s">
        <v>511</v>
      </c>
      <c r="AD4751" t="s">
        <v>11086</v>
      </c>
      <c r="AF4751" t="s">
        <v>11121</v>
      </c>
      <c r="AH4751" t="s">
        <v>10974</v>
      </c>
      <c r="AJ4751" t="s">
        <v>11141</v>
      </c>
      <c r="AK4751" t="s">
        <v>7225</v>
      </c>
      <c r="AM4751">
        <v>1025.26</v>
      </c>
      <c r="AO4751">
        <v>34</v>
      </c>
      <c r="AQ4751" t="s">
        <v>11157</v>
      </c>
      <c r="AS4751" t="s">
        <v>11173</v>
      </c>
      <c r="AU4751">
        <v>9</v>
      </c>
      <c r="AW4751" t="s">
        <v>11187</v>
      </c>
      <c r="AY4751" t="s">
        <v>11213</v>
      </c>
      <c r="BA4751" t="s">
        <v>11222</v>
      </c>
      <c r="BC4751" t="s">
        <v>11228</v>
      </c>
      <c r="BD4751" t="s">
        <v>11667</v>
      </c>
      <c r="BF4751" t="s">
        <v>14364</v>
      </c>
      <c r="BG4751" t="s">
        <v>14411</v>
      </c>
      <c r="BM4751" t="s">
        <v>15650</v>
      </c>
    </row>
    <row r="4752" spans="1:67">
      <c r="A4752" s="1">
        <f>HYPERLINK("https://lsnyc.legalserver.org/matter/dynamic-profile/view/1899074","19-1899074")</f>
        <v>0</v>
      </c>
      <c r="B4752" t="s">
        <v>243</v>
      </c>
      <c r="C4752" t="s">
        <v>248</v>
      </c>
      <c r="D4752" t="s">
        <v>880</v>
      </c>
      <c r="F4752" t="s">
        <v>1869</v>
      </c>
      <c r="G4752" t="s">
        <v>3125</v>
      </c>
      <c r="H4752" t="s">
        <v>5368</v>
      </c>
      <c r="I4752" t="s">
        <v>6410</v>
      </c>
      <c r="J4752" t="s">
        <v>7174</v>
      </c>
      <c r="K4752">
        <v>11213</v>
      </c>
      <c r="N4752" t="s">
        <v>7237</v>
      </c>
      <c r="O4752" t="s">
        <v>8357</v>
      </c>
      <c r="P4752">
        <v>2</v>
      </c>
      <c r="Q4752">
        <v>1</v>
      </c>
      <c r="R4752">
        <v>118.97</v>
      </c>
      <c r="U4752">
        <v>25376</v>
      </c>
      <c r="W4752">
        <v>3.95</v>
      </c>
      <c r="X4752" t="s">
        <v>310</v>
      </c>
      <c r="Y4752" t="s">
        <v>101</v>
      </c>
      <c r="AA4752" t="s">
        <v>10974</v>
      </c>
      <c r="AB4752" t="s">
        <v>608</v>
      </c>
      <c r="AD4752" t="s">
        <v>11082</v>
      </c>
      <c r="AF4752" t="s">
        <v>11118</v>
      </c>
      <c r="AH4752" t="s">
        <v>10975</v>
      </c>
      <c r="AI4752" t="s">
        <v>11126</v>
      </c>
      <c r="AK4752" t="s">
        <v>7225</v>
      </c>
      <c r="AM4752">
        <v>560</v>
      </c>
      <c r="AO4752">
        <v>19</v>
      </c>
      <c r="AQ4752" t="s">
        <v>11157</v>
      </c>
      <c r="AS4752" t="s">
        <v>11173</v>
      </c>
      <c r="AU4752">
        <v>18</v>
      </c>
      <c r="AW4752" t="s">
        <v>11187</v>
      </c>
      <c r="BA4752" t="s">
        <v>11222</v>
      </c>
      <c r="BE4752" t="s">
        <v>12645</v>
      </c>
      <c r="BG4752" t="s">
        <v>15601</v>
      </c>
      <c r="BM4752" t="s">
        <v>15650</v>
      </c>
    </row>
    <row r="4753" spans="1:65">
      <c r="A4753" s="1">
        <f>HYPERLINK("https://lsnyc.legalserver.org/matter/dynamic-profile/view/1845235","17-1845235")</f>
        <v>0</v>
      </c>
      <c r="B4753" t="s">
        <v>243</v>
      </c>
      <c r="C4753" t="s">
        <v>248</v>
      </c>
      <c r="D4753" t="s">
        <v>661</v>
      </c>
      <c r="F4753" t="s">
        <v>2640</v>
      </c>
      <c r="G4753" t="s">
        <v>4748</v>
      </c>
      <c r="H4753" t="s">
        <v>5651</v>
      </c>
      <c r="I4753" t="s">
        <v>6700</v>
      </c>
      <c r="J4753" t="s">
        <v>7174</v>
      </c>
      <c r="K4753">
        <v>11208</v>
      </c>
      <c r="N4753" t="s">
        <v>7237</v>
      </c>
      <c r="O4753" t="s">
        <v>10249</v>
      </c>
      <c r="P4753">
        <v>2</v>
      </c>
      <c r="Q4753">
        <v>0</v>
      </c>
      <c r="R4753">
        <v>92.36</v>
      </c>
      <c r="U4753">
        <v>15000</v>
      </c>
      <c r="W4753">
        <v>108</v>
      </c>
      <c r="X4753" t="s">
        <v>304</v>
      </c>
      <c r="Y4753" t="s">
        <v>225</v>
      </c>
      <c r="AA4753" t="s">
        <v>10974</v>
      </c>
      <c r="AB4753" t="s">
        <v>661</v>
      </c>
      <c r="AD4753" t="s">
        <v>11083</v>
      </c>
      <c r="AF4753" t="s">
        <v>11118</v>
      </c>
      <c r="AH4753" t="s">
        <v>10974</v>
      </c>
      <c r="AJ4753" t="s">
        <v>11131</v>
      </c>
      <c r="AK4753" t="s">
        <v>7225</v>
      </c>
      <c r="AM4753">
        <v>878</v>
      </c>
      <c r="AO4753">
        <v>176</v>
      </c>
      <c r="AQ4753" t="s">
        <v>11167</v>
      </c>
      <c r="AR4753" t="s">
        <v>11172</v>
      </c>
      <c r="AU4753">
        <v>5</v>
      </c>
      <c r="AW4753" t="s">
        <v>11187</v>
      </c>
      <c r="AZ4753" t="s">
        <v>11221</v>
      </c>
      <c r="BE4753" t="s">
        <v>14355</v>
      </c>
      <c r="BG4753" t="s">
        <v>15602</v>
      </c>
      <c r="BM4753" t="s">
        <v>15650</v>
      </c>
    </row>
    <row r="4754" spans="1:65">
      <c r="A4754" s="1">
        <f>HYPERLINK("https://lsnyc.legalserver.org/matter/dynamic-profile/view/1904718","19-1904718")</f>
        <v>0</v>
      </c>
      <c r="B4754" t="s">
        <v>244</v>
      </c>
      <c r="C4754" t="s">
        <v>245</v>
      </c>
      <c r="D4754" t="s">
        <v>373</v>
      </c>
      <c r="F4754" t="s">
        <v>2178</v>
      </c>
      <c r="G4754" t="s">
        <v>3984</v>
      </c>
      <c r="H4754" t="s">
        <v>4771</v>
      </c>
      <c r="I4754" t="s">
        <v>6499</v>
      </c>
      <c r="J4754" t="s">
        <v>7169</v>
      </c>
      <c r="K4754">
        <v>10040</v>
      </c>
      <c r="N4754" t="s">
        <v>7237</v>
      </c>
      <c r="O4754" t="s">
        <v>8916</v>
      </c>
      <c r="P4754">
        <v>2</v>
      </c>
      <c r="Q4754">
        <v>0</v>
      </c>
      <c r="R4754">
        <v>161.44</v>
      </c>
      <c r="U4754">
        <v>27300</v>
      </c>
      <c r="W4754">
        <v>8</v>
      </c>
      <c r="X4754" t="s">
        <v>671</v>
      </c>
      <c r="Y4754" t="s">
        <v>127</v>
      </c>
      <c r="AA4754" t="s">
        <v>10974</v>
      </c>
      <c r="AB4754" t="s">
        <v>373</v>
      </c>
      <c r="AC4754" t="s">
        <v>11081</v>
      </c>
      <c r="AF4754" t="s">
        <v>11121</v>
      </c>
      <c r="AH4754" t="s">
        <v>10975</v>
      </c>
      <c r="AJ4754" t="s">
        <v>11130</v>
      </c>
      <c r="AK4754" t="s">
        <v>7225</v>
      </c>
      <c r="AM4754">
        <v>1116.26</v>
      </c>
      <c r="AO4754">
        <v>42</v>
      </c>
      <c r="AQ4754" t="s">
        <v>11157</v>
      </c>
      <c r="AS4754" t="s">
        <v>11173</v>
      </c>
      <c r="AU4754">
        <v>22</v>
      </c>
      <c r="AW4754" t="s">
        <v>11189</v>
      </c>
      <c r="BA4754" t="s">
        <v>11222</v>
      </c>
      <c r="BE4754" t="s">
        <v>13160</v>
      </c>
      <c r="BF4754" t="s">
        <v>14364</v>
      </c>
      <c r="BM4754" t="s">
        <v>15650</v>
      </c>
    </row>
    <row r="4755" spans="1:65">
      <c r="A4755" s="1">
        <f>HYPERLINK("https://lsnyc.legalserver.org/matter/dynamic-profile/view/1869025","18-1869025")</f>
        <v>0</v>
      </c>
      <c r="B4755" t="s">
        <v>244</v>
      </c>
      <c r="C4755" t="s">
        <v>245</v>
      </c>
      <c r="D4755" t="s">
        <v>1034</v>
      </c>
      <c r="F4755" t="s">
        <v>2875</v>
      </c>
      <c r="G4755" t="s">
        <v>3162</v>
      </c>
      <c r="H4755" t="s">
        <v>6398</v>
      </c>
      <c r="I4755" t="s">
        <v>6479</v>
      </c>
      <c r="J4755" t="s">
        <v>7169</v>
      </c>
      <c r="K4755">
        <v>10034</v>
      </c>
      <c r="N4755" t="s">
        <v>7237</v>
      </c>
      <c r="O4755" t="s">
        <v>7570</v>
      </c>
      <c r="P4755">
        <v>2</v>
      </c>
      <c r="Q4755">
        <v>2</v>
      </c>
      <c r="R4755">
        <v>159.36</v>
      </c>
      <c r="U4755">
        <v>40000</v>
      </c>
      <c r="W4755">
        <v>0</v>
      </c>
      <c r="Y4755" t="s">
        <v>127</v>
      </c>
      <c r="AA4755" t="s">
        <v>10974</v>
      </c>
      <c r="AB4755" t="s">
        <v>1034</v>
      </c>
      <c r="AD4755" t="s">
        <v>11096</v>
      </c>
      <c r="AF4755" t="s">
        <v>11122</v>
      </c>
      <c r="AH4755" t="s">
        <v>10974</v>
      </c>
      <c r="AJ4755" t="s">
        <v>11139</v>
      </c>
      <c r="AK4755" t="s">
        <v>7225</v>
      </c>
      <c r="AM4755">
        <v>1297.87</v>
      </c>
      <c r="AO4755">
        <v>72</v>
      </c>
      <c r="AQ4755" t="s">
        <v>11157</v>
      </c>
      <c r="AS4755" t="s">
        <v>11173</v>
      </c>
      <c r="AU4755">
        <v>28</v>
      </c>
      <c r="AW4755" t="s">
        <v>11187</v>
      </c>
      <c r="AZ4755" t="s">
        <v>11221</v>
      </c>
      <c r="BE4755" t="s">
        <v>14356</v>
      </c>
      <c r="BG4755" t="s">
        <v>15603</v>
      </c>
      <c r="BM4755" t="s">
        <v>15650</v>
      </c>
    </row>
    <row r="4756" spans="1:65">
      <c r="A4756" s="1">
        <f>HYPERLINK("https://lsnyc.legalserver.org/matter/dynamic-profile/view/1869020","18-1869020")</f>
        <v>0</v>
      </c>
      <c r="B4756" t="s">
        <v>244</v>
      </c>
      <c r="C4756" t="s">
        <v>245</v>
      </c>
      <c r="D4756" t="s">
        <v>1034</v>
      </c>
      <c r="F4756" t="s">
        <v>2875</v>
      </c>
      <c r="G4756" t="s">
        <v>3162</v>
      </c>
      <c r="H4756" t="s">
        <v>6398</v>
      </c>
      <c r="I4756" t="s">
        <v>6479</v>
      </c>
      <c r="J4756" t="s">
        <v>7169</v>
      </c>
      <c r="K4756">
        <v>10034</v>
      </c>
      <c r="N4756" t="s">
        <v>7237</v>
      </c>
      <c r="O4756" t="s">
        <v>7570</v>
      </c>
      <c r="P4756">
        <v>2</v>
      </c>
      <c r="Q4756">
        <v>2</v>
      </c>
      <c r="R4756">
        <v>159.36</v>
      </c>
      <c r="U4756">
        <v>40000</v>
      </c>
      <c r="W4756">
        <v>0</v>
      </c>
      <c r="Y4756" t="s">
        <v>127</v>
      </c>
      <c r="AA4756" t="s">
        <v>10974</v>
      </c>
      <c r="AB4756" t="s">
        <v>1034</v>
      </c>
      <c r="AD4756" t="s">
        <v>11096</v>
      </c>
      <c r="AF4756" t="s">
        <v>11122</v>
      </c>
      <c r="AH4756" t="s">
        <v>10974</v>
      </c>
      <c r="AJ4756" t="s">
        <v>11139</v>
      </c>
      <c r="AK4756" t="s">
        <v>7225</v>
      </c>
      <c r="AM4756">
        <v>1297.87</v>
      </c>
      <c r="AO4756">
        <v>72</v>
      </c>
      <c r="AQ4756" t="s">
        <v>11157</v>
      </c>
      <c r="AS4756" t="s">
        <v>11173</v>
      </c>
      <c r="AU4756">
        <v>28</v>
      </c>
      <c r="AW4756" t="s">
        <v>11187</v>
      </c>
      <c r="AZ4756" t="s">
        <v>11221</v>
      </c>
      <c r="BE4756" t="s">
        <v>14356</v>
      </c>
      <c r="BG4756" t="s">
        <v>15604</v>
      </c>
      <c r="BM4756" t="s">
        <v>15650</v>
      </c>
    </row>
    <row r="4757" spans="1:65">
      <c r="A4757" s="1">
        <f>HYPERLINK("https://lsnyc.legalserver.org/matter/dynamic-profile/view/1872583","18-1872583")</f>
        <v>0</v>
      </c>
      <c r="B4757" t="s">
        <v>244</v>
      </c>
      <c r="C4757" t="s">
        <v>245</v>
      </c>
      <c r="D4757" t="s">
        <v>1039</v>
      </c>
      <c r="F4757" t="s">
        <v>1116</v>
      </c>
      <c r="G4757" t="s">
        <v>4749</v>
      </c>
      <c r="H4757" t="s">
        <v>6399</v>
      </c>
      <c r="I4757" t="s">
        <v>6666</v>
      </c>
      <c r="J4757" t="s">
        <v>7169</v>
      </c>
      <c r="K4757">
        <v>10032</v>
      </c>
      <c r="N4757" t="s">
        <v>7237</v>
      </c>
      <c r="O4757" t="s">
        <v>10250</v>
      </c>
      <c r="P4757">
        <v>1</v>
      </c>
      <c r="Q4757">
        <v>0</v>
      </c>
      <c r="R4757">
        <v>82.37</v>
      </c>
      <c r="U4757">
        <v>10000</v>
      </c>
      <c r="W4757">
        <v>15.6</v>
      </c>
      <c r="X4757" t="s">
        <v>293</v>
      </c>
      <c r="Y4757" t="s">
        <v>127</v>
      </c>
      <c r="AA4757" t="s">
        <v>10974</v>
      </c>
      <c r="AB4757" t="s">
        <v>1039</v>
      </c>
      <c r="AD4757" t="s">
        <v>11100</v>
      </c>
      <c r="AF4757" t="s">
        <v>11120</v>
      </c>
      <c r="AH4757" t="s">
        <v>10975</v>
      </c>
      <c r="AJ4757" t="s">
        <v>11130</v>
      </c>
      <c r="AK4757" t="s">
        <v>7225</v>
      </c>
      <c r="AM4757">
        <v>490.42</v>
      </c>
      <c r="AN4757" t="s">
        <v>11151</v>
      </c>
      <c r="AO4757" t="s">
        <v>11153</v>
      </c>
      <c r="AQ4757" t="s">
        <v>11157</v>
      </c>
      <c r="AS4757" t="s">
        <v>11173</v>
      </c>
      <c r="AU4757">
        <v>50</v>
      </c>
      <c r="AW4757" t="s">
        <v>11187</v>
      </c>
      <c r="BA4757" t="s">
        <v>11222</v>
      </c>
      <c r="BE4757" t="s">
        <v>14357</v>
      </c>
      <c r="BF4757" t="s">
        <v>14364</v>
      </c>
      <c r="BM4757" t="s">
        <v>15650</v>
      </c>
    </row>
    <row r="4758" spans="1:65">
      <c r="A4758" s="1">
        <f>HYPERLINK("https://lsnyc.legalserver.org/matter/dynamic-profile/view/1869096","18-1869096")</f>
        <v>0</v>
      </c>
      <c r="B4758" t="s">
        <v>244</v>
      </c>
      <c r="C4758" t="s">
        <v>245</v>
      </c>
      <c r="D4758" t="s">
        <v>572</v>
      </c>
      <c r="F4758" t="s">
        <v>1321</v>
      </c>
      <c r="G4758" t="s">
        <v>4750</v>
      </c>
      <c r="H4758" t="s">
        <v>6398</v>
      </c>
      <c r="I4758" t="s">
        <v>6407</v>
      </c>
      <c r="J4758" t="s">
        <v>7169</v>
      </c>
      <c r="K4758">
        <v>10034</v>
      </c>
      <c r="N4758" t="s">
        <v>7237</v>
      </c>
      <c r="O4758" t="s">
        <v>8947</v>
      </c>
      <c r="P4758">
        <v>2</v>
      </c>
      <c r="Q4758">
        <v>0</v>
      </c>
      <c r="R4758">
        <v>642.58</v>
      </c>
      <c r="U4758">
        <v>105768</v>
      </c>
      <c r="W4758">
        <v>45.35</v>
      </c>
      <c r="X4758" t="s">
        <v>449</v>
      </c>
      <c r="Y4758" t="s">
        <v>127</v>
      </c>
      <c r="AA4758" t="s">
        <v>10974</v>
      </c>
      <c r="AB4758" t="s">
        <v>572</v>
      </c>
      <c r="AD4758" t="s">
        <v>11096</v>
      </c>
      <c r="AF4758" t="s">
        <v>11122</v>
      </c>
      <c r="AH4758" t="s">
        <v>10974</v>
      </c>
      <c r="AJ4758" t="s">
        <v>11139</v>
      </c>
      <c r="AK4758" t="s">
        <v>7225</v>
      </c>
      <c r="AM4758">
        <v>1753</v>
      </c>
      <c r="AO4758">
        <v>72</v>
      </c>
      <c r="AQ4758" t="s">
        <v>11157</v>
      </c>
      <c r="AS4758" t="s">
        <v>11173</v>
      </c>
      <c r="AU4758">
        <v>22</v>
      </c>
      <c r="AW4758" t="s">
        <v>11187</v>
      </c>
      <c r="AZ4758" t="s">
        <v>11221</v>
      </c>
      <c r="BE4758" t="s">
        <v>14358</v>
      </c>
      <c r="BG4758" t="s">
        <v>15603</v>
      </c>
      <c r="BM4758" t="s">
        <v>15650</v>
      </c>
    </row>
    <row r="4759" spans="1:65">
      <c r="A4759" s="1">
        <f>HYPERLINK("https://lsnyc.legalserver.org/matter/dynamic-profile/view/1868952","18-1868952")</f>
        <v>0</v>
      </c>
      <c r="B4759" t="s">
        <v>244</v>
      </c>
      <c r="C4759" t="s">
        <v>245</v>
      </c>
      <c r="D4759" t="s">
        <v>1034</v>
      </c>
      <c r="F4759" t="s">
        <v>1388</v>
      </c>
      <c r="G4759" t="s">
        <v>4751</v>
      </c>
      <c r="H4759" t="s">
        <v>6398</v>
      </c>
      <c r="I4759" t="s">
        <v>6408</v>
      </c>
      <c r="J4759" t="s">
        <v>7169</v>
      </c>
      <c r="K4759">
        <v>10034</v>
      </c>
      <c r="N4759" t="s">
        <v>7237</v>
      </c>
      <c r="O4759" t="s">
        <v>10251</v>
      </c>
      <c r="P4759">
        <v>1</v>
      </c>
      <c r="Q4759">
        <v>2</v>
      </c>
      <c r="R4759">
        <v>245.43</v>
      </c>
      <c r="U4759">
        <v>51000</v>
      </c>
      <c r="W4759">
        <v>0</v>
      </c>
      <c r="Y4759" t="s">
        <v>127</v>
      </c>
      <c r="AA4759" t="s">
        <v>10974</v>
      </c>
      <c r="AB4759" t="s">
        <v>1034</v>
      </c>
      <c r="AD4759" t="s">
        <v>11096</v>
      </c>
      <c r="AF4759" t="s">
        <v>11122</v>
      </c>
      <c r="AH4759" t="s">
        <v>10974</v>
      </c>
      <c r="AJ4759" t="s">
        <v>11130</v>
      </c>
      <c r="AK4759" t="s">
        <v>7225</v>
      </c>
      <c r="AM4759">
        <v>2025</v>
      </c>
      <c r="AO4759">
        <v>72</v>
      </c>
      <c r="AQ4759" t="s">
        <v>11157</v>
      </c>
      <c r="AS4759" t="s">
        <v>11173</v>
      </c>
      <c r="AU4759">
        <v>8</v>
      </c>
      <c r="AW4759" t="s">
        <v>11187</v>
      </c>
      <c r="AZ4759" t="s">
        <v>11221</v>
      </c>
      <c r="BE4759" t="s">
        <v>14359</v>
      </c>
      <c r="BG4759" t="s">
        <v>15604</v>
      </c>
      <c r="BM4759" t="s">
        <v>15650</v>
      </c>
    </row>
    <row r="4760" spans="1:65">
      <c r="A4760" s="1">
        <f>HYPERLINK("https://lsnyc.legalserver.org/matter/dynamic-profile/view/1869088","18-1869088")</f>
        <v>0</v>
      </c>
      <c r="B4760" t="s">
        <v>244</v>
      </c>
      <c r="C4760" t="s">
        <v>245</v>
      </c>
      <c r="D4760" t="s">
        <v>572</v>
      </c>
      <c r="F4760" t="s">
        <v>1321</v>
      </c>
      <c r="G4760" t="s">
        <v>4750</v>
      </c>
      <c r="H4760" t="s">
        <v>6398</v>
      </c>
      <c r="I4760" t="s">
        <v>6407</v>
      </c>
      <c r="J4760" t="s">
        <v>7169</v>
      </c>
      <c r="K4760">
        <v>10034</v>
      </c>
      <c r="N4760" t="s">
        <v>7237</v>
      </c>
      <c r="O4760" t="s">
        <v>8947</v>
      </c>
      <c r="P4760">
        <v>2</v>
      </c>
      <c r="Q4760">
        <v>0</v>
      </c>
      <c r="R4760">
        <v>642.58</v>
      </c>
      <c r="U4760">
        <v>105768</v>
      </c>
      <c r="W4760">
        <v>3.9</v>
      </c>
      <c r="X4760" t="s">
        <v>582</v>
      </c>
      <c r="Y4760" t="s">
        <v>127</v>
      </c>
      <c r="AA4760" t="s">
        <v>10974</v>
      </c>
      <c r="AB4760" t="s">
        <v>572</v>
      </c>
      <c r="AD4760" t="s">
        <v>11096</v>
      </c>
      <c r="AF4760" t="s">
        <v>11122</v>
      </c>
      <c r="AH4760" t="s">
        <v>10974</v>
      </c>
      <c r="AJ4760" t="s">
        <v>11139</v>
      </c>
      <c r="AK4760" t="s">
        <v>7225</v>
      </c>
      <c r="AM4760">
        <v>1753</v>
      </c>
      <c r="AO4760">
        <v>72</v>
      </c>
      <c r="AQ4760" t="s">
        <v>11157</v>
      </c>
      <c r="AS4760" t="s">
        <v>11173</v>
      </c>
      <c r="AU4760">
        <v>22</v>
      </c>
      <c r="AW4760" t="s">
        <v>11187</v>
      </c>
      <c r="AZ4760" t="s">
        <v>11221</v>
      </c>
      <c r="BE4760" t="s">
        <v>14358</v>
      </c>
      <c r="BG4760" t="s">
        <v>15604</v>
      </c>
      <c r="BM4760" t="s">
        <v>15650</v>
      </c>
    </row>
    <row r="4761" spans="1:65">
      <c r="A4761" s="1">
        <f>HYPERLINK("https://lsnyc.legalserver.org/matter/dynamic-profile/view/1870331","18-1870331")</f>
        <v>0</v>
      </c>
      <c r="B4761" t="s">
        <v>244</v>
      </c>
      <c r="C4761" t="s">
        <v>245</v>
      </c>
      <c r="D4761" t="s">
        <v>895</v>
      </c>
      <c r="F4761" t="s">
        <v>1208</v>
      </c>
      <c r="G4761" t="s">
        <v>4752</v>
      </c>
      <c r="H4761" t="s">
        <v>6398</v>
      </c>
      <c r="I4761" t="s">
        <v>6565</v>
      </c>
      <c r="J4761" t="s">
        <v>7169</v>
      </c>
      <c r="K4761">
        <v>10034</v>
      </c>
      <c r="N4761" t="s">
        <v>7237</v>
      </c>
      <c r="O4761" t="s">
        <v>7726</v>
      </c>
      <c r="P4761">
        <v>1</v>
      </c>
      <c r="Q4761">
        <v>0</v>
      </c>
      <c r="R4761">
        <v>702.96</v>
      </c>
      <c r="U4761">
        <v>85339.92</v>
      </c>
      <c r="W4761">
        <v>0</v>
      </c>
      <c r="Y4761" t="s">
        <v>127</v>
      </c>
      <c r="AA4761" t="s">
        <v>10974</v>
      </c>
      <c r="AB4761" t="s">
        <v>953</v>
      </c>
      <c r="AD4761" t="s">
        <v>11096</v>
      </c>
      <c r="AF4761" t="s">
        <v>11122</v>
      </c>
      <c r="AH4761" t="s">
        <v>10974</v>
      </c>
      <c r="AJ4761" t="s">
        <v>11139</v>
      </c>
      <c r="AK4761" t="s">
        <v>7225</v>
      </c>
      <c r="AM4761">
        <v>1618.37</v>
      </c>
      <c r="AO4761">
        <v>72</v>
      </c>
      <c r="AQ4761" t="s">
        <v>11157</v>
      </c>
      <c r="AS4761" t="s">
        <v>11173</v>
      </c>
      <c r="AU4761">
        <v>29</v>
      </c>
      <c r="AW4761" t="s">
        <v>11187</v>
      </c>
      <c r="AZ4761" t="s">
        <v>11221</v>
      </c>
      <c r="BE4761" t="s">
        <v>14360</v>
      </c>
      <c r="BG4761" t="s">
        <v>15604</v>
      </c>
      <c r="BM4761" t="s">
        <v>15650</v>
      </c>
    </row>
    <row r="4762" spans="1:65">
      <c r="A4762" s="1">
        <f>HYPERLINK("https://lsnyc.legalserver.org/matter/dynamic-profile/view/1870334","18-1870334")</f>
        <v>0</v>
      </c>
      <c r="B4762" t="s">
        <v>244</v>
      </c>
      <c r="C4762" t="s">
        <v>245</v>
      </c>
      <c r="D4762" t="s">
        <v>895</v>
      </c>
      <c r="F4762" t="s">
        <v>1208</v>
      </c>
      <c r="G4762" t="s">
        <v>4752</v>
      </c>
      <c r="H4762" t="s">
        <v>6398</v>
      </c>
      <c r="I4762" t="s">
        <v>6565</v>
      </c>
      <c r="J4762" t="s">
        <v>7169</v>
      </c>
      <c r="K4762">
        <v>10034</v>
      </c>
      <c r="N4762" t="s">
        <v>7237</v>
      </c>
      <c r="O4762" t="s">
        <v>7726</v>
      </c>
      <c r="P4762">
        <v>1</v>
      </c>
      <c r="Q4762">
        <v>0</v>
      </c>
      <c r="R4762">
        <v>702.96</v>
      </c>
      <c r="U4762">
        <v>85339.92</v>
      </c>
      <c r="W4762">
        <v>0</v>
      </c>
      <c r="Y4762" t="s">
        <v>127</v>
      </c>
      <c r="AA4762" t="s">
        <v>10974</v>
      </c>
      <c r="AB4762" t="s">
        <v>953</v>
      </c>
      <c r="AD4762" t="s">
        <v>11096</v>
      </c>
      <c r="AF4762" t="s">
        <v>11122</v>
      </c>
      <c r="AH4762" t="s">
        <v>10974</v>
      </c>
      <c r="AJ4762" t="s">
        <v>11139</v>
      </c>
      <c r="AK4762" t="s">
        <v>7225</v>
      </c>
      <c r="AM4762">
        <v>1618.37</v>
      </c>
      <c r="AO4762">
        <v>72</v>
      </c>
      <c r="AQ4762" t="s">
        <v>11157</v>
      </c>
      <c r="AS4762" t="s">
        <v>11173</v>
      </c>
      <c r="AU4762">
        <v>29</v>
      </c>
      <c r="AW4762" t="s">
        <v>11187</v>
      </c>
      <c r="AZ4762" t="s">
        <v>11221</v>
      </c>
      <c r="BE4762" t="s">
        <v>14360</v>
      </c>
      <c r="BG4762" t="s">
        <v>15603</v>
      </c>
      <c r="BM4762" t="s">
        <v>15650</v>
      </c>
    </row>
    <row r="4763" spans="1:65">
      <c r="A4763" s="1">
        <f>HYPERLINK("https://lsnyc.legalserver.org/matter/dynamic-profile/view/1869099","18-1869099")</f>
        <v>0</v>
      </c>
      <c r="B4763" t="s">
        <v>244</v>
      </c>
      <c r="C4763" t="s">
        <v>245</v>
      </c>
      <c r="D4763" t="s">
        <v>572</v>
      </c>
      <c r="F4763" t="s">
        <v>1583</v>
      </c>
      <c r="G4763" t="s">
        <v>4753</v>
      </c>
      <c r="H4763" t="s">
        <v>6398</v>
      </c>
      <c r="I4763" t="s">
        <v>6611</v>
      </c>
      <c r="J4763" t="s">
        <v>7169</v>
      </c>
      <c r="K4763">
        <v>10034</v>
      </c>
      <c r="N4763" t="s">
        <v>7237</v>
      </c>
      <c r="O4763" t="s">
        <v>7635</v>
      </c>
      <c r="P4763">
        <v>2</v>
      </c>
      <c r="Q4763">
        <v>0</v>
      </c>
      <c r="R4763">
        <v>631.83</v>
      </c>
      <c r="U4763">
        <v>104000</v>
      </c>
      <c r="W4763">
        <v>1</v>
      </c>
      <c r="X4763" t="s">
        <v>582</v>
      </c>
      <c r="Y4763" t="s">
        <v>127</v>
      </c>
      <c r="AA4763" t="s">
        <v>10974</v>
      </c>
      <c r="AB4763" t="s">
        <v>572</v>
      </c>
      <c r="AD4763" t="s">
        <v>11096</v>
      </c>
      <c r="AF4763" t="s">
        <v>11122</v>
      </c>
      <c r="AH4763" t="s">
        <v>10974</v>
      </c>
      <c r="AJ4763" t="s">
        <v>11139</v>
      </c>
      <c r="AK4763" t="s">
        <v>7225</v>
      </c>
      <c r="AM4763">
        <v>1750.51</v>
      </c>
      <c r="AO4763">
        <v>72</v>
      </c>
      <c r="AQ4763" t="s">
        <v>11157</v>
      </c>
      <c r="AS4763" t="s">
        <v>11173</v>
      </c>
      <c r="AU4763">
        <v>11</v>
      </c>
      <c r="AW4763" t="s">
        <v>11187</v>
      </c>
      <c r="AZ4763" t="s">
        <v>11221</v>
      </c>
      <c r="BE4763" t="s">
        <v>14361</v>
      </c>
      <c r="BG4763" t="s">
        <v>15604</v>
      </c>
      <c r="BM4763" t="s">
        <v>15650</v>
      </c>
    </row>
    <row r="4764" spans="1:65">
      <c r="A4764" s="1">
        <f>HYPERLINK("https://lsnyc.legalserver.org/matter/dynamic-profile/view/1869108","18-1869108")</f>
        <v>0</v>
      </c>
      <c r="B4764" t="s">
        <v>244</v>
      </c>
      <c r="C4764" t="s">
        <v>245</v>
      </c>
      <c r="D4764" t="s">
        <v>572</v>
      </c>
      <c r="F4764" t="s">
        <v>1664</v>
      </c>
      <c r="G4764" t="s">
        <v>3047</v>
      </c>
      <c r="H4764" t="s">
        <v>6398</v>
      </c>
      <c r="I4764" t="s">
        <v>6473</v>
      </c>
      <c r="J4764" t="s">
        <v>7169</v>
      </c>
      <c r="K4764">
        <v>10034</v>
      </c>
      <c r="N4764" t="s">
        <v>7237</v>
      </c>
      <c r="O4764" t="s">
        <v>10252</v>
      </c>
      <c r="P4764">
        <v>1</v>
      </c>
      <c r="Q4764">
        <v>0</v>
      </c>
      <c r="R4764">
        <v>741.35</v>
      </c>
      <c r="U4764">
        <v>90000</v>
      </c>
      <c r="W4764">
        <v>0</v>
      </c>
      <c r="Y4764" t="s">
        <v>127</v>
      </c>
      <c r="AA4764" t="s">
        <v>10974</v>
      </c>
      <c r="AB4764" t="s">
        <v>572</v>
      </c>
      <c r="AD4764" t="s">
        <v>11096</v>
      </c>
      <c r="AF4764" t="s">
        <v>11122</v>
      </c>
      <c r="AH4764" t="s">
        <v>10974</v>
      </c>
      <c r="AJ4764" t="s">
        <v>11139</v>
      </c>
      <c r="AK4764" t="s">
        <v>7225</v>
      </c>
      <c r="AM4764">
        <v>1835</v>
      </c>
      <c r="AO4764">
        <v>72</v>
      </c>
      <c r="AQ4764" t="s">
        <v>11157</v>
      </c>
      <c r="AS4764" t="s">
        <v>11173</v>
      </c>
      <c r="AU4764">
        <v>4</v>
      </c>
      <c r="AW4764" t="s">
        <v>11187</v>
      </c>
      <c r="AZ4764" t="s">
        <v>11221</v>
      </c>
      <c r="BE4764" t="s">
        <v>14362</v>
      </c>
      <c r="BG4764" t="s">
        <v>15604</v>
      </c>
      <c r="BM4764" t="s">
        <v>15650</v>
      </c>
    </row>
    <row r="4765" spans="1:65">
      <c r="A4765" s="1">
        <f>HYPERLINK("https://lsnyc.legalserver.org/matter/dynamic-profile/view/1869110","18-1869110")</f>
        <v>0</v>
      </c>
      <c r="B4765" t="s">
        <v>244</v>
      </c>
      <c r="C4765" t="s">
        <v>245</v>
      </c>
      <c r="D4765" t="s">
        <v>572</v>
      </c>
      <c r="F4765" t="s">
        <v>1664</v>
      </c>
      <c r="G4765" t="s">
        <v>3047</v>
      </c>
      <c r="H4765" t="s">
        <v>6398</v>
      </c>
      <c r="I4765" t="s">
        <v>6473</v>
      </c>
      <c r="J4765" t="s">
        <v>7169</v>
      </c>
      <c r="K4765">
        <v>10034</v>
      </c>
      <c r="N4765" t="s">
        <v>7237</v>
      </c>
      <c r="O4765" t="s">
        <v>10252</v>
      </c>
      <c r="P4765">
        <v>1</v>
      </c>
      <c r="Q4765">
        <v>0</v>
      </c>
      <c r="R4765">
        <v>741.35</v>
      </c>
      <c r="U4765">
        <v>90000</v>
      </c>
      <c r="W4765">
        <v>0.8</v>
      </c>
      <c r="X4765" t="s">
        <v>582</v>
      </c>
      <c r="Y4765" t="s">
        <v>127</v>
      </c>
      <c r="AA4765" t="s">
        <v>10974</v>
      </c>
      <c r="AB4765" t="s">
        <v>572</v>
      </c>
      <c r="AD4765" t="s">
        <v>11096</v>
      </c>
      <c r="AF4765" t="s">
        <v>11122</v>
      </c>
      <c r="AH4765" t="s">
        <v>10974</v>
      </c>
      <c r="AJ4765" t="s">
        <v>11139</v>
      </c>
      <c r="AK4765" t="s">
        <v>7225</v>
      </c>
      <c r="AM4765">
        <v>1835</v>
      </c>
      <c r="AO4765">
        <v>72</v>
      </c>
      <c r="AQ4765" t="s">
        <v>11157</v>
      </c>
      <c r="AS4765" t="s">
        <v>11173</v>
      </c>
      <c r="AU4765">
        <v>4</v>
      </c>
      <c r="AW4765" t="s">
        <v>11187</v>
      </c>
      <c r="AZ4765" t="s">
        <v>11221</v>
      </c>
      <c r="BE4765" t="s">
        <v>14362</v>
      </c>
      <c r="BG4765" t="s">
        <v>15603</v>
      </c>
      <c r="BM4765" t="s">
        <v>15650</v>
      </c>
    </row>
    <row r="4766" spans="1:65">
      <c r="A4766" s="1">
        <f>HYPERLINK("https://lsnyc.legalserver.org/matter/dynamic-profile/view/1885942","18-1885942")</f>
        <v>0</v>
      </c>
      <c r="B4766" t="s">
        <v>244</v>
      </c>
      <c r="C4766" t="s">
        <v>245</v>
      </c>
      <c r="D4766" t="s">
        <v>631</v>
      </c>
      <c r="F4766" t="s">
        <v>1750</v>
      </c>
      <c r="G4766" t="s">
        <v>2956</v>
      </c>
      <c r="H4766" t="s">
        <v>6400</v>
      </c>
      <c r="I4766" t="s">
        <v>6480</v>
      </c>
      <c r="J4766" t="s">
        <v>7169</v>
      </c>
      <c r="K4766">
        <v>10032</v>
      </c>
      <c r="N4766" t="s">
        <v>7237</v>
      </c>
      <c r="O4766" t="s">
        <v>10253</v>
      </c>
      <c r="P4766">
        <v>2</v>
      </c>
      <c r="Q4766">
        <v>0</v>
      </c>
      <c r="R4766">
        <v>61.02</v>
      </c>
      <c r="U4766">
        <v>10044</v>
      </c>
      <c r="W4766">
        <v>7.4</v>
      </c>
      <c r="X4766" t="s">
        <v>337</v>
      </c>
      <c r="Y4766" t="s">
        <v>127</v>
      </c>
      <c r="AA4766" t="s">
        <v>10974</v>
      </c>
      <c r="AB4766" t="s">
        <v>631</v>
      </c>
      <c r="AD4766" t="s">
        <v>11090</v>
      </c>
      <c r="AF4766" t="s">
        <v>11120</v>
      </c>
      <c r="AH4766" t="s">
        <v>10975</v>
      </c>
      <c r="AJ4766" t="s">
        <v>11130</v>
      </c>
      <c r="AK4766" t="s">
        <v>7225</v>
      </c>
      <c r="AM4766">
        <v>558</v>
      </c>
      <c r="AN4766" t="s">
        <v>11151</v>
      </c>
      <c r="AO4766" t="s">
        <v>11153</v>
      </c>
      <c r="AQ4766" t="s">
        <v>11157</v>
      </c>
      <c r="AS4766" t="s">
        <v>11173</v>
      </c>
      <c r="AU4766">
        <v>48</v>
      </c>
      <c r="AW4766" t="s">
        <v>11209</v>
      </c>
      <c r="AZ4766" t="s">
        <v>11221</v>
      </c>
      <c r="BE4766" t="s">
        <v>14363</v>
      </c>
      <c r="BF4766" t="s">
        <v>14364</v>
      </c>
      <c r="BM4766" t="s">
        <v>15650</v>
      </c>
    </row>
    <row r="4767" spans="1:65">
      <c r="A4767" s="1">
        <f>HYPERLINK("https://lsnyc.legalserver.org/matter/dynamic-profile/view/1868956","18-1868956")</f>
        <v>0</v>
      </c>
      <c r="B4767" t="s">
        <v>244</v>
      </c>
      <c r="C4767" t="s">
        <v>245</v>
      </c>
      <c r="D4767" t="s">
        <v>1034</v>
      </c>
      <c r="F4767" t="s">
        <v>1388</v>
      </c>
      <c r="G4767" t="s">
        <v>4751</v>
      </c>
      <c r="H4767" t="s">
        <v>6398</v>
      </c>
      <c r="I4767" t="s">
        <v>6408</v>
      </c>
      <c r="J4767" t="s">
        <v>7169</v>
      </c>
      <c r="K4767">
        <v>10034</v>
      </c>
      <c r="N4767" t="s">
        <v>7237</v>
      </c>
      <c r="O4767" t="s">
        <v>10251</v>
      </c>
      <c r="P4767">
        <v>1</v>
      </c>
      <c r="Q4767">
        <v>2</v>
      </c>
      <c r="R4767">
        <v>245.43</v>
      </c>
      <c r="U4767">
        <v>51000</v>
      </c>
      <c r="W4767">
        <v>0</v>
      </c>
      <c r="Y4767" t="s">
        <v>127</v>
      </c>
      <c r="AA4767" t="s">
        <v>10974</v>
      </c>
      <c r="AB4767" t="s">
        <v>1034</v>
      </c>
      <c r="AD4767" t="s">
        <v>11096</v>
      </c>
      <c r="AF4767" t="s">
        <v>11122</v>
      </c>
      <c r="AH4767" t="s">
        <v>10974</v>
      </c>
      <c r="AJ4767" t="s">
        <v>11130</v>
      </c>
      <c r="AK4767" t="s">
        <v>7225</v>
      </c>
      <c r="AM4767">
        <v>2025</v>
      </c>
      <c r="AO4767">
        <v>72</v>
      </c>
      <c r="AQ4767" t="s">
        <v>11157</v>
      </c>
      <c r="AS4767" t="s">
        <v>11173</v>
      </c>
      <c r="AU4767">
        <v>8</v>
      </c>
      <c r="AW4767" t="s">
        <v>11187</v>
      </c>
      <c r="AZ4767" t="s">
        <v>11221</v>
      </c>
      <c r="BE4767" t="s">
        <v>14359</v>
      </c>
      <c r="BG4767" t="s">
        <v>15603</v>
      </c>
      <c r="BM4767" t="s">
        <v>15650</v>
      </c>
    </row>
    <row r="4768" spans="1:65">
      <c r="A4768" s="1">
        <f>HYPERLINK("https://lsnyc.legalserver.org/matter/dynamic-profile/view/1869102","18-1869102")</f>
        <v>0</v>
      </c>
      <c r="B4768" t="s">
        <v>244</v>
      </c>
      <c r="C4768" t="s">
        <v>245</v>
      </c>
      <c r="D4768" t="s">
        <v>572</v>
      </c>
      <c r="F4768" t="s">
        <v>1583</v>
      </c>
      <c r="G4768" t="s">
        <v>4753</v>
      </c>
      <c r="H4768" t="s">
        <v>6398</v>
      </c>
      <c r="I4768" t="s">
        <v>6611</v>
      </c>
      <c r="J4768" t="s">
        <v>7169</v>
      </c>
      <c r="K4768">
        <v>10034</v>
      </c>
      <c r="N4768" t="s">
        <v>7237</v>
      </c>
      <c r="O4768" t="s">
        <v>7635</v>
      </c>
      <c r="P4768">
        <v>2</v>
      </c>
      <c r="Q4768">
        <v>0</v>
      </c>
      <c r="R4768">
        <v>631.83</v>
      </c>
      <c r="U4768">
        <v>104000</v>
      </c>
      <c r="W4768">
        <v>0</v>
      </c>
      <c r="Y4768" t="s">
        <v>127</v>
      </c>
      <c r="AA4768" t="s">
        <v>10974</v>
      </c>
      <c r="AB4768" t="s">
        <v>572</v>
      </c>
      <c r="AD4768" t="s">
        <v>11096</v>
      </c>
      <c r="AF4768" t="s">
        <v>11122</v>
      </c>
      <c r="AH4768" t="s">
        <v>10974</v>
      </c>
      <c r="AJ4768" t="s">
        <v>11139</v>
      </c>
      <c r="AK4768" t="s">
        <v>7225</v>
      </c>
      <c r="AM4768">
        <v>1750.51</v>
      </c>
      <c r="AO4768">
        <v>72</v>
      </c>
      <c r="AQ4768" t="s">
        <v>11157</v>
      </c>
      <c r="AS4768" t="s">
        <v>11173</v>
      </c>
      <c r="AU4768">
        <v>11</v>
      </c>
      <c r="AW4768" t="s">
        <v>11187</v>
      </c>
      <c r="AZ4768" t="s">
        <v>11221</v>
      </c>
      <c r="BE4768" t="s">
        <v>14361</v>
      </c>
      <c r="BG4768" t="s">
        <v>15603</v>
      </c>
      <c r="BM4768" t="s">
        <v>15650</v>
      </c>
    </row>
  </sheetData>
  <conditionalFormatting sqref="C1:BO1">
    <cfRule type="containsText" dxfId="1" priority="3" operator="containsText" text="Tester">
      <formula>NOT(ISERROR(SEARCH("Tester",C1)))</formula>
    </cfRule>
  </conditionalFormatting>
  <conditionalFormatting sqref="C2:BO100000">
    <cfRule type="containsText" dxfId="0" priority="1" operator="containsText" text="No Release - Remove Elig Date">
      <formula>NOT(ISERROR(SEARCH("No Release - Remove Elig Date",C2)))</formula>
    </cfRule>
    <cfRule type="containsText" dxfId="1" priority="2" operator="containsText" text="Needs">
      <formula>NOT(ISERROR(SEARCH("Needs",C2)))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2020-01-07T14:27:58Z</dcterms:created>
  <dcterms:modified xsi:type="dcterms:W3CDTF">2020-01-07T14:27:58Z</dcterms:modified>
</cp:coreProperties>
</file>